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codeName="ThisWorkbook" autoCompressPictures="0"/>
  <mc:AlternateContent xmlns:mc="http://schemas.openxmlformats.org/markup-compatibility/2006">
    <mc:Choice Requires="x15">
      <x15ac:absPath xmlns:x15ac="http://schemas.microsoft.com/office/spreadsheetml/2010/11/ac" url="\\172.16.1.118\carpetasrem\REM20\DICCIONARIOS\SERIE A\"/>
    </mc:Choice>
  </mc:AlternateContent>
  <xr:revisionPtr revIDLastSave="0" documentId="13_ncr:1_{C471058C-A9AB-4C05-8261-728C2D788489}" xr6:coauthVersionLast="47" xr6:coauthVersionMax="47" xr10:uidLastSave="{00000000-0000-0000-0000-000000000000}"/>
  <bookViews>
    <workbookView xWindow="-120" yWindow="-120" windowWidth="24240" windowHeight="13140" tabRatio="857" activeTab="18" xr2:uid="{00000000-000D-0000-FFFF-FFFF00000000}"/>
  </bookViews>
  <sheets>
    <sheet name="NOMBRE" sheetId="27" r:id="rId1"/>
    <sheet name="A01" sheetId="1" r:id="rId2"/>
    <sheet name="A02" sheetId="40" r:id="rId3"/>
    <sheet name="A03" sheetId="4" r:id="rId4"/>
    <sheet name="A04" sheetId="32" r:id="rId5"/>
    <sheet name="A05" sheetId="6" r:id="rId6"/>
    <sheet name="A06" sheetId="7" r:id="rId7"/>
    <sheet name="A07" sheetId="8" r:id="rId8"/>
    <sheet name="A08" sheetId="47" r:id="rId9"/>
    <sheet name="A09" sheetId="45" r:id="rId10"/>
    <sheet name="A11" sheetId="41" r:id="rId11"/>
    <sheet name="A19a" sheetId="33" r:id="rId12"/>
    <sheet name="A19b" sheetId="42" r:id="rId13"/>
    <sheet name="A21" sheetId="2" r:id="rId14"/>
    <sheet name="A23" sheetId="43" r:id="rId15"/>
    <sheet name="A24" sheetId="16" r:id="rId16"/>
    <sheet name="A25" sheetId="44" r:id="rId17"/>
    <sheet name="A26" sheetId="46" r:id="rId18"/>
    <sheet name="A27" sheetId="31" r:id="rId19"/>
    <sheet name="A28" sheetId="37" r:id="rId20"/>
    <sheet name="A29" sheetId="39" r:id="rId21"/>
    <sheet name="A30 " sheetId="38" r:id="rId22"/>
    <sheet name="A31" sheetId="36" r:id="rId23"/>
    <sheet name="Contro" sheetId="28" r:id="rId24"/>
    <sheet name="MACROS" sheetId="29" r:id="rId25"/>
  </sheets>
  <externalReferences>
    <externalReference r:id="rId26"/>
  </externalReferences>
  <definedNames>
    <definedName name="_xlnm.Print_Area" localSheetId="15">'A24'!$B$22:$S$28</definedName>
    <definedName name="_xlnm.Print_Area" localSheetId="23">Contro!$A$1:$H$32</definedName>
    <definedName name="FAMILIA_CON_NIÑO_NANEAS" localSheetId="8">#REF!</definedName>
    <definedName name="FAMILIA_CON_NIÑO_NANEAS" localSheetId="17">#REF!</definedName>
    <definedName name="FAMILIA_CON_NIÑO_NANEAS">#REF!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U152" i="45" l="1"/>
  <c r="T152" i="45"/>
  <c r="E21" i="37" l="1"/>
  <c r="F21" i="37"/>
  <c r="U163" i="45" l="1"/>
  <c r="T163" i="45"/>
  <c r="S163" i="45"/>
  <c r="R163" i="45"/>
  <c r="Q163" i="45"/>
  <c r="P163" i="45"/>
  <c r="O163" i="45"/>
  <c r="N163" i="45"/>
  <c r="M163" i="45"/>
  <c r="L163" i="45"/>
  <c r="K163" i="45"/>
  <c r="J163" i="45"/>
  <c r="I163" i="45"/>
  <c r="H163" i="45"/>
  <c r="D48" i="46" l="1"/>
  <c r="E48" i="46"/>
  <c r="F48" i="46"/>
  <c r="G48" i="46"/>
  <c r="H48" i="46"/>
  <c r="I48" i="46"/>
  <c r="J48" i="46"/>
  <c r="K48" i="46"/>
  <c r="E90" i="47"/>
  <c r="D90" i="47"/>
  <c r="F90" i="47"/>
  <c r="AO90" i="47"/>
  <c r="AN90" i="47"/>
  <c r="AM90" i="47"/>
  <c r="AL90" i="47"/>
  <c r="AK90" i="47"/>
  <c r="AJ90" i="47"/>
  <c r="AI90" i="47"/>
  <c r="AH90" i="47"/>
  <c r="AG90" i="47"/>
  <c r="AF90" i="47"/>
  <c r="AE90" i="47"/>
  <c r="AD90" i="47"/>
  <c r="AC90" i="47"/>
  <c r="AB90" i="47"/>
  <c r="AA90" i="47"/>
  <c r="Z90" i="47"/>
  <c r="Y90" i="47"/>
  <c r="X90" i="47"/>
  <c r="W90" i="47"/>
  <c r="V90" i="47"/>
  <c r="U90" i="47"/>
  <c r="T90" i="47"/>
  <c r="S90" i="47"/>
  <c r="R90" i="47"/>
  <c r="Q90" i="47"/>
  <c r="P90" i="47"/>
  <c r="O90" i="47"/>
  <c r="N90" i="47"/>
  <c r="M90" i="47"/>
  <c r="L90" i="47"/>
  <c r="K90" i="47"/>
  <c r="J90" i="47"/>
  <c r="I90" i="47"/>
  <c r="H90" i="47"/>
  <c r="G90" i="47"/>
  <c r="P189" i="47" l="1"/>
  <c r="O189" i="47"/>
  <c r="N189" i="47"/>
  <c r="M189" i="47"/>
  <c r="L189" i="47"/>
  <c r="K189" i="47"/>
  <c r="J189" i="47"/>
  <c r="I189" i="47"/>
  <c r="H189" i="47"/>
  <c r="G189" i="47"/>
  <c r="F189" i="47"/>
  <c r="CH138" i="47"/>
  <c r="CB138" i="47"/>
  <c r="H138" i="47" s="1"/>
  <c r="C135" i="47"/>
  <c r="CB97" i="47"/>
  <c r="CI97" i="47"/>
  <c r="F85" i="47"/>
  <c r="E85" i="47"/>
  <c r="D85" i="47"/>
  <c r="C85" i="47"/>
  <c r="AO63" i="47"/>
  <c r="AN63" i="47"/>
  <c r="AM63" i="47"/>
  <c r="AL63" i="47"/>
  <c r="AK63" i="47"/>
  <c r="AJ63" i="47"/>
  <c r="AI63" i="47"/>
  <c r="AH63" i="47"/>
  <c r="AG63" i="47"/>
  <c r="AF63" i="47"/>
  <c r="AE63" i="47"/>
  <c r="AD63" i="47"/>
  <c r="AC63" i="47"/>
  <c r="AB63" i="47"/>
  <c r="AA63" i="47"/>
  <c r="Z63" i="47"/>
  <c r="Y63" i="47"/>
  <c r="X63" i="47"/>
  <c r="W63" i="47"/>
  <c r="V63" i="47"/>
  <c r="U63" i="47"/>
  <c r="T63" i="47"/>
  <c r="S63" i="47"/>
  <c r="R63" i="47"/>
  <c r="Q63" i="47"/>
  <c r="P63" i="47"/>
  <c r="O63" i="47"/>
  <c r="N63" i="47"/>
  <c r="M63" i="47"/>
  <c r="L63" i="47"/>
  <c r="K63" i="47"/>
  <c r="J63" i="47"/>
  <c r="I63" i="47"/>
  <c r="H63" i="47"/>
  <c r="G63" i="47"/>
  <c r="F63" i="47"/>
  <c r="E63" i="47"/>
  <c r="D63" i="47"/>
  <c r="B5" i="47"/>
  <c r="B4" i="47"/>
  <c r="B3" i="47"/>
  <c r="B2" i="47"/>
  <c r="CI61" i="46"/>
  <c r="CC61" i="46" s="1"/>
  <c r="CH61" i="46"/>
  <c r="CB61" i="46" s="1"/>
  <c r="CH59" i="46"/>
  <c r="CB59" i="46" s="1"/>
  <c r="CI58" i="46"/>
  <c r="CC58" i="46" s="1"/>
  <c r="CH58" i="46"/>
  <c r="CB58" i="46" s="1"/>
  <c r="CI56" i="46"/>
  <c r="CC56" i="46" s="1"/>
  <c r="CH56" i="46"/>
  <c r="CB56" i="46" s="1"/>
  <c r="CI55" i="46"/>
  <c r="CC55" i="46"/>
  <c r="CH55" i="46"/>
  <c r="CB55" i="46" s="1"/>
  <c r="CI54" i="46"/>
  <c r="CC54" i="46" s="1"/>
  <c r="CH54" i="46"/>
  <c r="CB54" i="46" s="1"/>
  <c r="CC36" i="46"/>
  <c r="CH36" i="46"/>
  <c r="CB36" i="46" s="1"/>
  <c r="CC35" i="46"/>
  <c r="CH35" i="46"/>
  <c r="CB35" i="46" s="1"/>
  <c r="P35" i="46" s="1"/>
  <c r="CC34" i="46"/>
  <c r="CH34" i="46"/>
  <c r="CB34" i="46" s="1"/>
  <c r="CC33" i="46"/>
  <c r="CH33" i="46"/>
  <c r="CB33" i="46" s="1"/>
  <c r="CC32" i="46"/>
  <c r="CH32" i="46"/>
  <c r="CB32" i="46" s="1"/>
  <c r="CI31" i="46"/>
  <c r="CC31" i="46" s="1"/>
  <c r="CH31" i="46"/>
  <c r="CB31" i="46" s="1"/>
  <c r="CI30" i="46"/>
  <c r="CC30" i="46" s="1"/>
  <c r="CH30" i="46"/>
  <c r="CB30" i="46" s="1"/>
  <c r="CI29" i="46"/>
  <c r="CC29" i="46" s="1"/>
  <c r="CH29" i="46"/>
  <c r="CB29" i="46" s="1"/>
  <c r="CC28" i="46"/>
  <c r="CH28" i="46"/>
  <c r="CB28" i="46" s="1"/>
  <c r="CC27" i="46"/>
  <c r="CH27" i="46"/>
  <c r="CB27" i="46" s="1"/>
  <c r="P27" i="46" s="1"/>
  <c r="CC26" i="46"/>
  <c r="CH26" i="46"/>
  <c r="CB26" i="46" s="1"/>
  <c r="CH25" i="46"/>
  <c r="CB25" i="46" s="1"/>
  <c r="CI24" i="46"/>
  <c r="CC24" i="46" s="1"/>
  <c r="CI23" i="46"/>
  <c r="CC23" i="46" s="1"/>
  <c r="CC22" i="46"/>
  <c r="CH22" i="46"/>
  <c r="CB22" i="46" s="1"/>
  <c r="CC21" i="46"/>
  <c r="CH21" i="46"/>
  <c r="CB21" i="46" s="1"/>
  <c r="P21" i="46" s="1"/>
  <c r="CI20" i="46"/>
  <c r="CC20" i="46" s="1"/>
  <c r="CI19" i="46"/>
  <c r="CC19" i="46" s="1"/>
  <c r="CI18" i="46"/>
  <c r="CC18" i="46" s="1"/>
  <c r="CC17" i="46"/>
  <c r="CH17" i="46"/>
  <c r="CB17" i="46" s="1"/>
  <c r="CC16" i="46"/>
  <c r="CH16" i="46"/>
  <c r="CB16" i="46" s="1"/>
  <c r="P16" i="46" s="1"/>
  <c r="CC15" i="46"/>
  <c r="CH15" i="46"/>
  <c r="CB15" i="46" s="1"/>
  <c r="CH14" i="46"/>
  <c r="CB14" i="46" s="1"/>
  <c r="CC14" i="46"/>
  <c r="CC13" i="46"/>
  <c r="CH13" i="46"/>
  <c r="CB13" i="46" s="1"/>
  <c r="CC12" i="46"/>
  <c r="CH12" i="46"/>
  <c r="CB12" i="46" s="1"/>
  <c r="P12" i="46" s="1"/>
  <c r="CC11" i="46"/>
  <c r="CH11" i="46"/>
  <c r="CB11" i="46" s="1"/>
  <c r="CC10" i="46"/>
  <c r="B195" i="46"/>
  <c r="B5" i="46"/>
  <c r="B4" i="46"/>
  <c r="B3" i="46"/>
  <c r="B2" i="46"/>
  <c r="P33" i="46" l="1"/>
  <c r="P11" i="46"/>
  <c r="P13" i="46"/>
  <c r="P15" i="46"/>
  <c r="P17" i="46"/>
  <c r="P26" i="46"/>
  <c r="P28" i="46"/>
  <c r="P30" i="46"/>
  <c r="P32" i="46"/>
  <c r="P34" i="46"/>
  <c r="P36" i="46"/>
  <c r="H55" i="46"/>
  <c r="P14" i="46"/>
  <c r="P22" i="46"/>
  <c r="D189" i="47"/>
  <c r="CC108" i="47"/>
  <c r="E189" i="47"/>
  <c r="CH109" i="47"/>
  <c r="P29" i="46"/>
  <c r="P31" i="46"/>
  <c r="H56" i="46"/>
  <c r="C63" i="47"/>
  <c r="B199" i="47" s="1"/>
  <c r="CH96" i="47"/>
  <c r="CC96" i="47"/>
  <c r="CB96" i="47"/>
  <c r="CI96" i="47"/>
  <c r="CI108" i="47"/>
  <c r="CH108" i="47"/>
  <c r="CC95" i="47"/>
  <c r="CB95" i="47"/>
  <c r="CI95" i="47"/>
  <c r="CH95" i="47"/>
  <c r="CC97" i="47"/>
  <c r="CH97" i="47"/>
  <c r="H54" i="46"/>
  <c r="H58" i="46"/>
  <c r="H61" i="46"/>
  <c r="CH18" i="46"/>
  <c r="CB18" i="46" s="1"/>
  <c r="P18" i="46" s="1"/>
  <c r="CH20" i="46"/>
  <c r="CB20" i="46" s="1"/>
  <c r="P20" i="46" s="1"/>
  <c r="CH23" i="46"/>
  <c r="CB23" i="46" s="1"/>
  <c r="P23" i="46" s="1"/>
  <c r="CI25" i="46"/>
  <c r="CC25" i="46" s="1"/>
  <c r="P25" i="46" s="1"/>
  <c r="CI59" i="46"/>
  <c r="CC59" i="46" s="1"/>
  <c r="H59" i="46" s="1"/>
  <c r="CH10" i="46"/>
  <c r="CH19" i="46"/>
  <c r="CB19" i="46" s="1"/>
  <c r="P19" i="46" s="1"/>
  <c r="CH24" i="46"/>
  <c r="CB24" i="46" s="1"/>
  <c r="P24" i="46" s="1"/>
  <c r="C54" i="32"/>
  <c r="C189" i="47" l="1"/>
  <c r="CI109" i="47"/>
  <c r="C199" i="47" s="1"/>
  <c r="CB108" i="47"/>
  <c r="CB109" i="47"/>
  <c r="CC109" i="47"/>
  <c r="C195" i="46"/>
  <c r="CB10" i="46"/>
  <c r="P10" i="46" s="1"/>
  <c r="B5" i="45"/>
  <c r="B4" i="45"/>
  <c r="B3" i="45"/>
  <c r="B2" i="45"/>
  <c r="CK288" i="45"/>
  <c r="CJ288" i="45"/>
  <c r="CC288" i="45" s="1"/>
  <c r="CI288" i="45"/>
  <c r="CB288" i="45" s="1"/>
  <c r="CD288" i="45"/>
  <c r="CK287" i="45"/>
  <c r="CJ287" i="45"/>
  <c r="CC287" i="45" s="1"/>
  <c r="CI287" i="45"/>
  <c r="CB287" i="45" s="1"/>
  <c r="CD287" i="45"/>
  <c r="CK286" i="45"/>
  <c r="CJ286" i="45"/>
  <c r="CC286" i="45" s="1"/>
  <c r="CI286" i="45"/>
  <c r="CB286" i="45" s="1"/>
  <c r="CD286" i="45"/>
  <c r="CK285" i="45"/>
  <c r="CJ285" i="45"/>
  <c r="CC285" i="45" s="1"/>
  <c r="CI285" i="45"/>
  <c r="CB285" i="45" s="1"/>
  <c r="CD285" i="45"/>
  <c r="CK284" i="45"/>
  <c r="CJ284" i="45"/>
  <c r="CC284" i="45" s="1"/>
  <c r="CI284" i="45"/>
  <c r="CB284" i="45" s="1"/>
  <c r="CD284" i="45"/>
  <c r="AF279" i="45"/>
  <c r="AE279" i="45"/>
  <c r="AD279" i="45"/>
  <c r="AC279" i="45"/>
  <c r="AB279" i="45"/>
  <c r="AA279" i="45"/>
  <c r="Z279" i="45"/>
  <c r="Y279" i="45"/>
  <c r="X279" i="45"/>
  <c r="W279" i="45"/>
  <c r="V279" i="45"/>
  <c r="U279" i="45"/>
  <c r="T279" i="45"/>
  <c r="S279" i="45"/>
  <c r="R279" i="45"/>
  <c r="Q279" i="45"/>
  <c r="P279" i="45"/>
  <c r="O279" i="45"/>
  <c r="N279" i="45"/>
  <c r="M279" i="45"/>
  <c r="L279" i="45"/>
  <c r="K279" i="45"/>
  <c r="J279" i="45"/>
  <c r="I279" i="45"/>
  <c r="H279" i="45"/>
  <c r="CK278" i="45"/>
  <c r="CD278" i="45" s="1"/>
  <c r="F278" i="45"/>
  <c r="F277" i="45"/>
  <c r="F276" i="45"/>
  <c r="F275" i="45"/>
  <c r="CO274" i="45"/>
  <c r="CN274" i="45"/>
  <c r="CM274" i="45"/>
  <c r="CL274" i="45"/>
  <c r="CJ274" i="45"/>
  <c r="CC274" i="45" s="1"/>
  <c r="CI274" i="45"/>
  <c r="CB274" i="45" s="1"/>
  <c r="CH274" i="45"/>
  <c r="CG274" i="45"/>
  <c r="CF274" i="45"/>
  <c r="CE274" i="45"/>
  <c r="CO273" i="45"/>
  <c r="CN273" i="45"/>
  <c r="CM273" i="45"/>
  <c r="CL273" i="45"/>
  <c r="CJ273" i="45"/>
  <c r="CC273" i="45" s="1"/>
  <c r="CI273" i="45"/>
  <c r="CB273" i="45" s="1"/>
  <c r="CH273" i="45"/>
  <c r="CG273" i="45"/>
  <c r="CF273" i="45"/>
  <c r="CE273" i="45"/>
  <c r="CO272" i="45"/>
  <c r="CN272" i="45"/>
  <c r="CM272" i="45"/>
  <c r="CL272" i="45"/>
  <c r="CK272" i="45"/>
  <c r="CD272" i="45" s="1"/>
  <c r="CJ272" i="45"/>
  <c r="CC272" i="45" s="1"/>
  <c r="CI272" i="45"/>
  <c r="CB272" i="45" s="1"/>
  <c r="CH272" i="45"/>
  <c r="CG272" i="45"/>
  <c r="CF272" i="45"/>
  <c r="CE272" i="45"/>
  <c r="CO271" i="45"/>
  <c r="CN271" i="45"/>
  <c r="CM271" i="45"/>
  <c r="CL271" i="45"/>
  <c r="CK271" i="45"/>
  <c r="CD271" i="45" s="1"/>
  <c r="CJ271" i="45"/>
  <c r="CC271" i="45" s="1"/>
  <c r="CI271" i="45"/>
  <c r="CB271" i="45" s="1"/>
  <c r="CH271" i="45"/>
  <c r="CG271" i="45"/>
  <c r="CF271" i="45"/>
  <c r="CE271" i="45"/>
  <c r="CO270" i="45"/>
  <c r="CN270" i="45"/>
  <c r="CM270" i="45"/>
  <c r="CL270" i="45"/>
  <c r="CK270" i="45"/>
  <c r="CD270" i="45" s="1"/>
  <c r="CJ270" i="45"/>
  <c r="CC270" i="45" s="1"/>
  <c r="CI270" i="45"/>
  <c r="CB270" i="45" s="1"/>
  <c r="CH270" i="45"/>
  <c r="CG270" i="45"/>
  <c r="CF270" i="45"/>
  <c r="CE270" i="45"/>
  <c r="CO269" i="45"/>
  <c r="CN269" i="45"/>
  <c r="CM269" i="45"/>
  <c r="CL269" i="45"/>
  <c r="CK269" i="45"/>
  <c r="CD269" i="45" s="1"/>
  <c r="CJ269" i="45"/>
  <c r="CC269" i="45" s="1"/>
  <c r="CI269" i="45"/>
  <c r="CB269" i="45" s="1"/>
  <c r="CH269" i="45"/>
  <c r="CG269" i="45"/>
  <c r="CF269" i="45"/>
  <c r="CE269" i="45"/>
  <c r="CO268" i="45"/>
  <c r="CN268" i="45"/>
  <c r="CM268" i="45"/>
  <c r="CL268" i="45"/>
  <c r="CK268" i="45"/>
  <c r="CD268" i="45" s="1"/>
  <c r="CJ268" i="45"/>
  <c r="CC268" i="45" s="1"/>
  <c r="CI268" i="45"/>
  <c r="CB268" i="45" s="1"/>
  <c r="CH268" i="45"/>
  <c r="CG268" i="45"/>
  <c r="CF268" i="45"/>
  <c r="CE268" i="45"/>
  <c r="CO267" i="45"/>
  <c r="CN267" i="45"/>
  <c r="CM267" i="45"/>
  <c r="CL267" i="45"/>
  <c r="CK267" i="45"/>
  <c r="CD267" i="45" s="1"/>
  <c r="CJ267" i="45"/>
  <c r="CC267" i="45" s="1"/>
  <c r="CI267" i="45"/>
  <c r="CB267" i="45" s="1"/>
  <c r="CH267" i="45"/>
  <c r="CG267" i="45"/>
  <c r="CF267" i="45"/>
  <c r="CE267" i="45"/>
  <c r="CO266" i="45"/>
  <c r="CN266" i="45"/>
  <c r="CM266" i="45"/>
  <c r="CL266" i="45"/>
  <c r="CK266" i="45"/>
  <c r="CD266" i="45" s="1"/>
  <c r="CJ266" i="45"/>
  <c r="CC266" i="45" s="1"/>
  <c r="CI266" i="45"/>
  <c r="CB266" i="45" s="1"/>
  <c r="CH266" i="45"/>
  <c r="CG266" i="45"/>
  <c r="CF266" i="45"/>
  <c r="CE266" i="45"/>
  <c r="CO265" i="45"/>
  <c r="CN265" i="45"/>
  <c r="CM265" i="45"/>
  <c r="CL265" i="45"/>
  <c r="CK265" i="45"/>
  <c r="CD265" i="45" s="1"/>
  <c r="CJ265" i="45"/>
  <c r="CC265" i="45" s="1"/>
  <c r="CI265" i="45"/>
  <c r="CB265" i="45" s="1"/>
  <c r="CH265" i="45"/>
  <c r="CG265" i="45"/>
  <c r="CF265" i="45"/>
  <c r="CE265" i="45"/>
  <c r="CO264" i="45"/>
  <c r="CN264" i="45"/>
  <c r="CM264" i="45"/>
  <c r="CL264" i="45"/>
  <c r="CK264" i="45"/>
  <c r="CD264" i="45" s="1"/>
  <c r="CJ264" i="45"/>
  <c r="CC264" i="45" s="1"/>
  <c r="CI264" i="45"/>
  <c r="CB264" i="45" s="1"/>
  <c r="CH264" i="45"/>
  <c r="CG264" i="45"/>
  <c r="CF264" i="45"/>
  <c r="CE264" i="45"/>
  <c r="CO263" i="45"/>
  <c r="CN263" i="45"/>
  <c r="CM263" i="45"/>
  <c r="CL263" i="45"/>
  <c r="CK263" i="45"/>
  <c r="CD263" i="45" s="1"/>
  <c r="CJ263" i="45"/>
  <c r="CC263" i="45" s="1"/>
  <c r="CI263" i="45"/>
  <c r="CB263" i="45" s="1"/>
  <c r="CH263" i="45"/>
  <c r="CG263" i="45"/>
  <c r="CF263" i="45"/>
  <c r="CE263" i="45"/>
  <c r="CO262" i="45"/>
  <c r="CN262" i="45"/>
  <c r="CM262" i="45"/>
  <c r="CL262" i="45"/>
  <c r="CK262" i="45"/>
  <c r="CD262" i="45" s="1"/>
  <c r="CJ262" i="45"/>
  <c r="CC262" i="45" s="1"/>
  <c r="CI262" i="45"/>
  <c r="CB262" i="45" s="1"/>
  <c r="CH262" i="45"/>
  <c r="CG262" i="45"/>
  <c r="CF262" i="45"/>
  <c r="CE262" i="45"/>
  <c r="CO261" i="45"/>
  <c r="CN261" i="45"/>
  <c r="CM261" i="45"/>
  <c r="CL261" i="45"/>
  <c r="CK261" i="45"/>
  <c r="CD261" i="45" s="1"/>
  <c r="CJ261" i="45"/>
  <c r="CC261" i="45" s="1"/>
  <c r="CI261" i="45"/>
  <c r="CB261" i="45" s="1"/>
  <c r="CH261" i="45"/>
  <c r="CG261" i="45"/>
  <c r="CF261" i="45"/>
  <c r="CE261" i="45"/>
  <c r="CO260" i="45"/>
  <c r="CN260" i="45"/>
  <c r="CM260" i="45"/>
  <c r="CL260" i="45"/>
  <c r="CK260" i="45"/>
  <c r="CD260" i="45" s="1"/>
  <c r="CJ260" i="45"/>
  <c r="CC260" i="45" s="1"/>
  <c r="CI260" i="45"/>
  <c r="CB260" i="45" s="1"/>
  <c r="CH260" i="45"/>
  <c r="CG260" i="45"/>
  <c r="CF260" i="45"/>
  <c r="CE260" i="45"/>
  <c r="CO259" i="45"/>
  <c r="CN259" i="45"/>
  <c r="CM259" i="45"/>
  <c r="CL259" i="45"/>
  <c r="CK259" i="45"/>
  <c r="CD259" i="45" s="1"/>
  <c r="CJ259" i="45"/>
  <c r="CC259" i="45" s="1"/>
  <c r="CI259" i="45"/>
  <c r="CB259" i="45" s="1"/>
  <c r="CH259" i="45"/>
  <c r="CG259" i="45"/>
  <c r="CF259" i="45"/>
  <c r="CE259" i="45"/>
  <c r="CO258" i="45"/>
  <c r="CN258" i="45"/>
  <c r="CM258" i="45"/>
  <c r="CL258" i="45"/>
  <c r="CK258" i="45"/>
  <c r="CD258" i="45" s="1"/>
  <c r="CJ258" i="45"/>
  <c r="CC258" i="45" s="1"/>
  <c r="CI258" i="45"/>
  <c r="CB258" i="45" s="1"/>
  <c r="CH258" i="45"/>
  <c r="CG258" i="45"/>
  <c r="CF258" i="45"/>
  <c r="CE258" i="45"/>
  <c r="CO257" i="45"/>
  <c r="CN257" i="45"/>
  <c r="CM257" i="45"/>
  <c r="CL257" i="45"/>
  <c r="CK257" i="45"/>
  <c r="CD257" i="45" s="1"/>
  <c r="CJ257" i="45"/>
  <c r="CC257" i="45" s="1"/>
  <c r="CI257" i="45"/>
  <c r="CB257" i="45" s="1"/>
  <c r="CH257" i="45"/>
  <c r="CG257" i="45"/>
  <c r="CF257" i="45"/>
  <c r="CE257" i="45"/>
  <c r="CO256" i="45"/>
  <c r="CN256" i="45"/>
  <c r="CM256" i="45"/>
  <c r="CL256" i="45"/>
  <c r="CK256" i="45"/>
  <c r="CD256" i="45" s="1"/>
  <c r="CJ256" i="45"/>
  <c r="CC256" i="45" s="1"/>
  <c r="CI256" i="45"/>
  <c r="CB256" i="45" s="1"/>
  <c r="CH256" i="45"/>
  <c r="CG256" i="45"/>
  <c r="CF256" i="45"/>
  <c r="CE256" i="45"/>
  <c r="CO255" i="45"/>
  <c r="CN255" i="45"/>
  <c r="CM255" i="45"/>
  <c r="CL255" i="45"/>
  <c r="CK255" i="45"/>
  <c r="CD255" i="45" s="1"/>
  <c r="CJ255" i="45"/>
  <c r="CC255" i="45" s="1"/>
  <c r="CI255" i="45"/>
  <c r="CB255" i="45" s="1"/>
  <c r="CH255" i="45"/>
  <c r="CG255" i="45"/>
  <c r="CF255" i="45"/>
  <c r="CE255" i="45"/>
  <c r="CO254" i="45"/>
  <c r="CN254" i="45"/>
  <c r="CM254" i="45"/>
  <c r="CL254" i="45"/>
  <c r="CK254" i="45"/>
  <c r="CD254" i="45" s="1"/>
  <c r="CJ254" i="45"/>
  <c r="CC254" i="45" s="1"/>
  <c r="CI254" i="45"/>
  <c r="CB254" i="45" s="1"/>
  <c r="CH254" i="45"/>
  <c r="CG254" i="45"/>
  <c r="CF254" i="45"/>
  <c r="CE254" i="45"/>
  <c r="CO253" i="45"/>
  <c r="CN253" i="45"/>
  <c r="CM253" i="45"/>
  <c r="CL253" i="45"/>
  <c r="CK253" i="45"/>
  <c r="CD253" i="45" s="1"/>
  <c r="CJ253" i="45"/>
  <c r="CC253" i="45" s="1"/>
  <c r="CI253" i="45"/>
  <c r="CB253" i="45" s="1"/>
  <c r="CH253" i="45"/>
  <c r="CG253" i="45"/>
  <c r="CF253" i="45"/>
  <c r="CE253" i="45"/>
  <c r="CO252" i="45"/>
  <c r="CN252" i="45"/>
  <c r="CM252" i="45"/>
  <c r="CL252" i="45"/>
  <c r="CK252" i="45"/>
  <c r="CD252" i="45" s="1"/>
  <c r="CJ252" i="45"/>
  <c r="CC252" i="45" s="1"/>
  <c r="CI252" i="45"/>
  <c r="CB252" i="45" s="1"/>
  <c r="CH252" i="45"/>
  <c r="CG252" i="45"/>
  <c r="CF252" i="45"/>
  <c r="CE252" i="45"/>
  <c r="CO251" i="45"/>
  <c r="CN251" i="45"/>
  <c r="CM251" i="45"/>
  <c r="CL251" i="45"/>
  <c r="CK251" i="45"/>
  <c r="CD251" i="45" s="1"/>
  <c r="CJ251" i="45"/>
  <c r="CC251" i="45" s="1"/>
  <c r="CI251" i="45"/>
  <c r="CB251" i="45" s="1"/>
  <c r="CH251" i="45"/>
  <c r="CG251" i="45"/>
  <c r="CF251" i="45"/>
  <c r="CE251" i="45"/>
  <c r="CO250" i="45"/>
  <c r="CN250" i="45"/>
  <c r="CM250" i="45"/>
  <c r="CL250" i="45"/>
  <c r="CK250" i="45"/>
  <c r="CD250" i="45" s="1"/>
  <c r="CJ250" i="45"/>
  <c r="CC250" i="45" s="1"/>
  <c r="CI250" i="45"/>
  <c r="CB250" i="45" s="1"/>
  <c r="CH250" i="45"/>
  <c r="CG250" i="45"/>
  <c r="CF250" i="45"/>
  <c r="CE250" i="45"/>
  <c r="CO249" i="45"/>
  <c r="CN249" i="45"/>
  <c r="CM249" i="45"/>
  <c r="CL249" i="45"/>
  <c r="CK249" i="45"/>
  <c r="CD249" i="45" s="1"/>
  <c r="CJ249" i="45"/>
  <c r="CC249" i="45" s="1"/>
  <c r="CI249" i="45"/>
  <c r="CB249" i="45" s="1"/>
  <c r="CH249" i="45"/>
  <c r="CG249" i="45"/>
  <c r="CF249" i="45"/>
  <c r="CE249" i="45"/>
  <c r="CO248" i="45"/>
  <c r="CN248" i="45"/>
  <c r="CM248" i="45"/>
  <c r="CL248" i="45"/>
  <c r="CK248" i="45"/>
  <c r="CD248" i="45" s="1"/>
  <c r="CJ248" i="45"/>
  <c r="CC248" i="45" s="1"/>
  <c r="CI248" i="45"/>
  <c r="CB248" i="45" s="1"/>
  <c r="CH248" i="45"/>
  <c r="CG248" i="45"/>
  <c r="CF248" i="45"/>
  <c r="CE248" i="45"/>
  <c r="CO247" i="45"/>
  <c r="CN247" i="45"/>
  <c r="CM247" i="45"/>
  <c r="CL247" i="45"/>
  <c r="CK247" i="45"/>
  <c r="CD247" i="45" s="1"/>
  <c r="CJ247" i="45"/>
  <c r="CC247" i="45" s="1"/>
  <c r="CI247" i="45"/>
  <c r="CB247" i="45" s="1"/>
  <c r="CH247" i="45"/>
  <c r="CG247" i="45"/>
  <c r="CF247" i="45"/>
  <c r="CE247" i="45"/>
  <c r="CO246" i="45"/>
  <c r="CN246" i="45"/>
  <c r="CM246" i="45"/>
  <c r="CL246" i="45"/>
  <c r="CK246" i="45"/>
  <c r="CD246" i="45" s="1"/>
  <c r="CJ246" i="45"/>
  <c r="CC246" i="45" s="1"/>
  <c r="CI246" i="45"/>
  <c r="CB246" i="45" s="1"/>
  <c r="CH246" i="45"/>
  <c r="CG246" i="45"/>
  <c r="CF246" i="45"/>
  <c r="CE246" i="45"/>
  <c r="CO245" i="45"/>
  <c r="CN245" i="45"/>
  <c r="CM245" i="45"/>
  <c r="CL245" i="45"/>
  <c r="CK245" i="45"/>
  <c r="CD245" i="45" s="1"/>
  <c r="CJ245" i="45"/>
  <c r="CC245" i="45" s="1"/>
  <c r="CI245" i="45"/>
  <c r="CB245" i="45" s="1"/>
  <c r="CH245" i="45"/>
  <c r="CG245" i="45"/>
  <c r="CF245" i="45"/>
  <c r="CE245" i="45"/>
  <c r="CO244" i="45"/>
  <c r="CN244" i="45"/>
  <c r="CM244" i="45"/>
  <c r="CL244" i="45"/>
  <c r="CK244" i="45"/>
  <c r="CD244" i="45" s="1"/>
  <c r="CJ244" i="45"/>
  <c r="CC244" i="45" s="1"/>
  <c r="CI244" i="45"/>
  <c r="CB244" i="45" s="1"/>
  <c r="CH244" i="45"/>
  <c r="CG244" i="45"/>
  <c r="CF244" i="45"/>
  <c r="CE244" i="45"/>
  <c r="CO243" i="45"/>
  <c r="CN243" i="45"/>
  <c r="CM243" i="45"/>
  <c r="CL243" i="45"/>
  <c r="CK243" i="45"/>
  <c r="CD243" i="45" s="1"/>
  <c r="CJ243" i="45"/>
  <c r="CC243" i="45" s="1"/>
  <c r="CI243" i="45"/>
  <c r="CB243" i="45" s="1"/>
  <c r="CH243" i="45"/>
  <c r="CG243" i="45"/>
  <c r="CF243" i="45"/>
  <c r="CE243" i="45"/>
  <c r="CO242" i="45"/>
  <c r="CN242" i="45"/>
  <c r="CM242" i="45"/>
  <c r="CL242" i="45"/>
  <c r="CK242" i="45"/>
  <c r="CD242" i="45" s="1"/>
  <c r="CJ242" i="45"/>
  <c r="CC242" i="45" s="1"/>
  <c r="CI242" i="45"/>
  <c r="CB242" i="45" s="1"/>
  <c r="CH242" i="45"/>
  <c r="CG242" i="45"/>
  <c r="CF242" i="45"/>
  <c r="CE242" i="45"/>
  <c r="CO241" i="45"/>
  <c r="CN241" i="45"/>
  <c r="CM241" i="45"/>
  <c r="CL241" i="45"/>
  <c r="CK241" i="45"/>
  <c r="CD241" i="45" s="1"/>
  <c r="CJ241" i="45"/>
  <c r="CC241" i="45" s="1"/>
  <c r="CI241" i="45"/>
  <c r="CB241" i="45" s="1"/>
  <c r="CH241" i="45"/>
  <c r="CG241" i="45"/>
  <c r="CF241" i="45"/>
  <c r="CE241" i="45"/>
  <c r="CO240" i="45"/>
  <c r="CN240" i="45"/>
  <c r="CM240" i="45"/>
  <c r="CL240" i="45"/>
  <c r="CK240" i="45"/>
  <c r="CD240" i="45" s="1"/>
  <c r="CJ240" i="45"/>
  <c r="CC240" i="45" s="1"/>
  <c r="CI240" i="45"/>
  <c r="CB240" i="45" s="1"/>
  <c r="CH240" i="45"/>
  <c r="CG240" i="45"/>
  <c r="CF240" i="45"/>
  <c r="CE240" i="45"/>
  <c r="CO239" i="45"/>
  <c r="CN239" i="45"/>
  <c r="CM239" i="45"/>
  <c r="CK239" i="45"/>
  <c r="CD239" i="45" s="1"/>
  <c r="CJ239" i="45"/>
  <c r="CC239" i="45" s="1"/>
  <c r="CH239" i="45"/>
  <c r="CG239" i="45"/>
  <c r="CF239" i="45"/>
  <c r="CO238" i="45"/>
  <c r="CN238" i="45"/>
  <c r="CM238" i="45"/>
  <c r="CK238" i="45"/>
  <c r="CD238" i="45" s="1"/>
  <c r="CJ238" i="45"/>
  <c r="CC238" i="45" s="1"/>
  <c r="CH238" i="45"/>
  <c r="CG238" i="45"/>
  <c r="CF238" i="45"/>
  <c r="CO237" i="45"/>
  <c r="CN237" i="45"/>
  <c r="CM237" i="45"/>
  <c r="CK237" i="45"/>
  <c r="CD237" i="45" s="1"/>
  <c r="CJ237" i="45"/>
  <c r="CC237" i="45" s="1"/>
  <c r="CH237" i="45"/>
  <c r="CG237" i="45"/>
  <c r="CF237" i="45"/>
  <c r="CO236" i="45"/>
  <c r="CN236" i="45"/>
  <c r="CM236" i="45"/>
  <c r="CK236" i="45"/>
  <c r="CD236" i="45" s="1"/>
  <c r="CJ236" i="45"/>
  <c r="CC236" i="45" s="1"/>
  <c r="CH236" i="45"/>
  <c r="CG236" i="45"/>
  <c r="CF236" i="45"/>
  <c r="CO235" i="45"/>
  <c r="CN235" i="45"/>
  <c r="CM235" i="45"/>
  <c r="CK235" i="45"/>
  <c r="CD235" i="45" s="1"/>
  <c r="CJ235" i="45"/>
  <c r="CH235" i="45"/>
  <c r="CG235" i="45"/>
  <c r="CF235" i="45"/>
  <c r="CC235" i="45"/>
  <c r="CO234" i="45"/>
  <c r="CN234" i="45"/>
  <c r="CM234" i="45"/>
  <c r="CK234" i="45"/>
  <c r="CD234" i="45" s="1"/>
  <c r="CJ234" i="45"/>
  <c r="CH234" i="45"/>
  <c r="CG234" i="45"/>
  <c r="CF234" i="45"/>
  <c r="CC234" i="45"/>
  <c r="CO233" i="45"/>
  <c r="CN233" i="45"/>
  <c r="CM233" i="45"/>
  <c r="CK233" i="45"/>
  <c r="CD233" i="45" s="1"/>
  <c r="CJ233" i="45"/>
  <c r="CC233" i="45" s="1"/>
  <c r="CH233" i="45"/>
  <c r="CG233" i="45"/>
  <c r="CF233" i="45"/>
  <c r="CO232" i="45"/>
  <c r="CN232" i="45"/>
  <c r="CM232" i="45"/>
  <c r="CK232" i="45"/>
  <c r="CD232" i="45" s="1"/>
  <c r="CJ232" i="45"/>
  <c r="CC232" i="45" s="1"/>
  <c r="CH232" i="45"/>
  <c r="CG232" i="45"/>
  <c r="CF232" i="45"/>
  <c r="CO231" i="45"/>
  <c r="CN231" i="45"/>
  <c r="CM231" i="45"/>
  <c r="CK231" i="45"/>
  <c r="CD231" i="45" s="1"/>
  <c r="CJ231" i="45"/>
  <c r="CC231" i="45" s="1"/>
  <c r="CH231" i="45"/>
  <c r="CG231" i="45"/>
  <c r="CF231" i="45"/>
  <c r="CO230" i="45"/>
  <c r="CN230" i="45"/>
  <c r="CM230" i="45"/>
  <c r="CK230" i="45"/>
  <c r="CD230" i="45" s="1"/>
  <c r="CJ230" i="45"/>
  <c r="CC230" i="45" s="1"/>
  <c r="CH230" i="45"/>
  <c r="CG230" i="45"/>
  <c r="CF230" i="45"/>
  <c r="CO229" i="45"/>
  <c r="CN229" i="45"/>
  <c r="CM229" i="45"/>
  <c r="CL229" i="45"/>
  <c r="CK229" i="45"/>
  <c r="CD229" i="45" s="1"/>
  <c r="CJ229" i="45"/>
  <c r="CC229" i="45" s="1"/>
  <c r="CI229" i="45"/>
  <c r="CB229" i="45" s="1"/>
  <c r="CH229" i="45"/>
  <c r="CG229" i="45"/>
  <c r="CF229" i="45"/>
  <c r="CE229" i="45"/>
  <c r="CO228" i="45"/>
  <c r="CN228" i="45"/>
  <c r="CM228" i="45"/>
  <c r="CL228" i="45"/>
  <c r="CK228" i="45"/>
  <c r="CD228" i="45" s="1"/>
  <c r="CJ228" i="45"/>
  <c r="CC228" i="45" s="1"/>
  <c r="CI228" i="45"/>
  <c r="CB228" i="45" s="1"/>
  <c r="CH228" i="45"/>
  <c r="CG228" i="45"/>
  <c r="CF228" i="45"/>
  <c r="CE228" i="45"/>
  <c r="CO227" i="45"/>
  <c r="CN227" i="45"/>
  <c r="CM227" i="45"/>
  <c r="CL227" i="45"/>
  <c r="CK227" i="45"/>
  <c r="CD227" i="45" s="1"/>
  <c r="CJ227" i="45"/>
  <c r="CC227" i="45" s="1"/>
  <c r="CI227" i="45"/>
  <c r="CB227" i="45" s="1"/>
  <c r="CH227" i="45"/>
  <c r="CG227" i="45"/>
  <c r="CF227" i="45"/>
  <c r="CE227" i="45"/>
  <c r="CO226" i="45"/>
  <c r="CN226" i="45"/>
  <c r="CM226" i="45"/>
  <c r="CL226" i="45"/>
  <c r="CK226" i="45"/>
  <c r="CD226" i="45" s="1"/>
  <c r="CJ226" i="45"/>
  <c r="CC226" i="45" s="1"/>
  <c r="CI226" i="45"/>
  <c r="CB226" i="45" s="1"/>
  <c r="CH226" i="45"/>
  <c r="CG226" i="45"/>
  <c r="CF226" i="45"/>
  <c r="CE226" i="45"/>
  <c r="CO225" i="45"/>
  <c r="CN225" i="45"/>
  <c r="CM225" i="45"/>
  <c r="CL225" i="45"/>
  <c r="CK225" i="45"/>
  <c r="CD225" i="45" s="1"/>
  <c r="CJ225" i="45"/>
  <c r="CC225" i="45" s="1"/>
  <c r="CI225" i="45"/>
  <c r="CB225" i="45" s="1"/>
  <c r="CH225" i="45"/>
  <c r="CG225" i="45"/>
  <c r="CF225" i="45"/>
  <c r="CE225" i="45"/>
  <c r="CO224" i="45"/>
  <c r="CN224" i="45"/>
  <c r="CM224" i="45"/>
  <c r="CL224" i="45"/>
  <c r="CK224" i="45"/>
  <c r="CD224" i="45" s="1"/>
  <c r="CJ224" i="45"/>
  <c r="CC224" i="45" s="1"/>
  <c r="CH224" i="45"/>
  <c r="CG224" i="45"/>
  <c r="CF224" i="45"/>
  <c r="CE224" i="45"/>
  <c r="CO223" i="45"/>
  <c r="CN223" i="45"/>
  <c r="CM223" i="45"/>
  <c r="CL223" i="45"/>
  <c r="CK223" i="45"/>
  <c r="CD223" i="45" s="1"/>
  <c r="CJ223" i="45"/>
  <c r="CC223" i="45" s="1"/>
  <c r="CH223" i="45"/>
  <c r="CG223" i="45"/>
  <c r="CF223" i="45"/>
  <c r="CE223" i="45"/>
  <c r="CO222" i="45"/>
  <c r="CN222" i="45"/>
  <c r="CM222" i="45"/>
  <c r="CL222" i="45"/>
  <c r="CK222" i="45"/>
  <c r="CD222" i="45" s="1"/>
  <c r="CJ222" i="45"/>
  <c r="CC222" i="45" s="1"/>
  <c r="CH222" i="45"/>
  <c r="CG222" i="45"/>
  <c r="CF222" i="45"/>
  <c r="CE222" i="45"/>
  <c r="CO221" i="45"/>
  <c r="CN221" i="45"/>
  <c r="CM221" i="45"/>
  <c r="CL221" i="45"/>
  <c r="CK221" i="45"/>
  <c r="CD221" i="45" s="1"/>
  <c r="CJ221" i="45"/>
  <c r="CC221" i="45" s="1"/>
  <c r="CH221" i="45"/>
  <c r="CG221" i="45"/>
  <c r="CF221" i="45"/>
  <c r="CE221" i="45"/>
  <c r="CO220" i="45"/>
  <c r="CN220" i="45"/>
  <c r="CM220" i="45"/>
  <c r="CL220" i="45"/>
  <c r="CK220" i="45"/>
  <c r="CD220" i="45" s="1"/>
  <c r="CJ220" i="45"/>
  <c r="CC220" i="45" s="1"/>
  <c r="CH220" i="45"/>
  <c r="CG220" i="45"/>
  <c r="CF220" i="45"/>
  <c r="CE220" i="45"/>
  <c r="CO219" i="45"/>
  <c r="CN219" i="45"/>
  <c r="CM219" i="45"/>
  <c r="CL219" i="45"/>
  <c r="CK219" i="45"/>
  <c r="CD219" i="45" s="1"/>
  <c r="CJ219" i="45"/>
  <c r="CC219" i="45" s="1"/>
  <c r="CI219" i="45"/>
  <c r="CB219" i="45" s="1"/>
  <c r="CH219" i="45"/>
  <c r="CG219" i="45"/>
  <c r="CF219" i="45"/>
  <c r="CE219" i="45"/>
  <c r="CO218" i="45"/>
  <c r="CN218" i="45"/>
  <c r="CM218" i="45"/>
  <c r="CL218" i="45"/>
  <c r="CK218" i="45"/>
  <c r="CD218" i="45" s="1"/>
  <c r="CJ218" i="45"/>
  <c r="CC218" i="45" s="1"/>
  <c r="CI218" i="45"/>
  <c r="CB218" i="45" s="1"/>
  <c r="CH218" i="45"/>
  <c r="CG218" i="45"/>
  <c r="CF218" i="45"/>
  <c r="CE218" i="45"/>
  <c r="CO217" i="45"/>
  <c r="CN217" i="45"/>
  <c r="CM217" i="45"/>
  <c r="CL217" i="45"/>
  <c r="CK217" i="45"/>
  <c r="CD217" i="45" s="1"/>
  <c r="CJ217" i="45"/>
  <c r="CC217" i="45" s="1"/>
  <c r="CI217" i="45"/>
  <c r="CB217" i="45" s="1"/>
  <c r="CH217" i="45"/>
  <c r="CG217" i="45"/>
  <c r="CF217" i="45"/>
  <c r="CE217" i="45"/>
  <c r="CO216" i="45"/>
  <c r="CN216" i="45"/>
  <c r="CM216" i="45"/>
  <c r="CL216" i="45"/>
  <c r="CK216" i="45"/>
  <c r="CD216" i="45" s="1"/>
  <c r="CJ216" i="45"/>
  <c r="CC216" i="45" s="1"/>
  <c r="CI216" i="45"/>
  <c r="CB216" i="45" s="1"/>
  <c r="CH216" i="45"/>
  <c r="CG216" i="45"/>
  <c r="CF216" i="45"/>
  <c r="CE216" i="45"/>
  <c r="CO215" i="45"/>
  <c r="CN215" i="45"/>
  <c r="CM215" i="45"/>
  <c r="CL215" i="45"/>
  <c r="CK215" i="45"/>
  <c r="CD215" i="45" s="1"/>
  <c r="CJ215" i="45"/>
  <c r="CC215" i="45" s="1"/>
  <c r="CI215" i="45"/>
  <c r="CB215" i="45" s="1"/>
  <c r="CH215" i="45"/>
  <c r="CG215" i="45"/>
  <c r="CF215" i="45"/>
  <c r="CE215" i="45"/>
  <c r="CO214" i="45"/>
  <c r="CN214" i="45"/>
  <c r="CM214" i="45"/>
  <c r="CL214" i="45"/>
  <c r="CK214" i="45"/>
  <c r="CD214" i="45" s="1"/>
  <c r="CJ214" i="45"/>
  <c r="CC214" i="45" s="1"/>
  <c r="CI214" i="45"/>
  <c r="CB214" i="45" s="1"/>
  <c r="CH214" i="45"/>
  <c r="CG214" i="45"/>
  <c r="CF214" i="45"/>
  <c r="CE214" i="45"/>
  <c r="CO213" i="45"/>
  <c r="CN213" i="45"/>
  <c r="CM213" i="45"/>
  <c r="CL213" i="45"/>
  <c r="CK213" i="45"/>
  <c r="CD213" i="45" s="1"/>
  <c r="CJ213" i="45"/>
  <c r="CC213" i="45" s="1"/>
  <c r="CI213" i="45"/>
  <c r="CB213" i="45" s="1"/>
  <c r="CH213" i="45"/>
  <c r="CG213" i="45"/>
  <c r="CF213" i="45"/>
  <c r="CE213" i="45"/>
  <c r="CO212" i="45"/>
  <c r="CN212" i="45"/>
  <c r="CM212" i="45"/>
  <c r="CL212" i="45"/>
  <c r="CK212" i="45"/>
  <c r="CD212" i="45" s="1"/>
  <c r="CJ212" i="45"/>
  <c r="CC212" i="45" s="1"/>
  <c r="CI212" i="45"/>
  <c r="CB212" i="45" s="1"/>
  <c r="CH212" i="45"/>
  <c r="CG212" i="45"/>
  <c r="CF212" i="45"/>
  <c r="CE212" i="45"/>
  <c r="CO211" i="45"/>
  <c r="CN211" i="45"/>
  <c r="CM211" i="45"/>
  <c r="CL211" i="45"/>
  <c r="CK211" i="45"/>
  <c r="CD211" i="45" s="1"/>
  <c r="CJ211" i="45"/>
  <c r="CC211" i="45" s="1"/>
  <c r="CI211" i="45"/>
  <c r="CB211" i="45" s="1"/>
  <c r="CH211" i="45"/>
  <c r="CG211" i="45"/>
  <c r="CF211" i="45"/>
  <c r="CE211" i="45"/>
  <c r="CO210" i="45"/>
  <c r="CN210" i="45"/>
  <c r="CM210" i="45"/>
  <c r="CL210" i="45"/>
  <c r="CK210" i="45"/>
  <c r="CD210" i="45" s="1"/>
  <c r="CJ210" i="45"/>
  <c r="CC210" i="45" s="1"/>
  <c r="CI210" i="45"/>
  <c r="CB210" i="45" s="1"/>
  <c r="CH210" i="45"/>
  <c r="CG210" i="45"/>
  <c r="CF210" i="45"/>
  <c r="CE210" i="45"/>
  <c r="CO209" i="45"/>
  <c r="CN209" i="45"/>
  <c r="CM209" i="45"/>
  <c r="CL209" i="45"/>
  <c r="CK209" i="45"/>
  <c r="CD209" i="45" s="1"/>
  <c r="CJ209" i="45"/>
  <c r="CC209" i="45" s="1"/>
  <c r="CI209" i="45"/>
  <c r="CB209" i="45" s="1"/>
  <c r="CH209" i="45"/>
  <c r="CG209" i="45"/>
  <c r="CF209" i="45"/>
  <c r="CE209" i="45"/>
  <c r="CO208" i="45"/>
  <c r="CN208" i="45"/>
  <c r="CM208" i="45"/>
  <c r="CL208" i="45"/>
  <c r="CK208" i="45"/>
  <c r="CD208" i="45" s="1"/>
  <c r="CJ208" i="45"/>
  <c r="CC208" i="45" s="1"/>
  <c r="CI208" i="45"/>
  <c r="CB208" i="45" s="1"/>
  <c r="CH208" i="45"/>
  <c r="CG208" i="45"/>
  <c r="CF208" i="45"/>
  <c r="CE208" i="45"/>
  <c r="CO207" i="45"/>
  <c r="CN207" i="45"/>
  <c r="CM207" i="45"/>
  <c r="CL207" i="45"/>
  <c r="CK207" i="45"/>
  <c r="CD207" i="45" s="1"/>
  <c r="CJ207" i="45"/>
  <c r="CC207" i="45" s="1"/>
  <c r="CI207" i="45"/>
  <c r="CB207" i="45" s="1"/>
  <c r="CH207" i="45"/>
  <c r="CG207" i="45"/>
  <c r="CF207" i="45"/>
  <c r="CE207" i="45"/>
  <c r="CO206" i="45"/>
  <c r="CN206" i="45"/>
  <c r="CM206" i="45"/>
  <c r="CL206" i="45"/>
  <c r="CK206" i="45"/>
  <c r="CD206" i="45" s="1"/>
  <c r="CJ206" i="45"/>
  <c r="CC206" i="45" s="1"/>
  <c r="CI206" i="45"/>
  <c r="CB206" i="45" s="1"/>
  <c r="CH206" i="45"/>
  <c r="CG206" i="45"/>
  <c r="CF206" i="45"/>
  <c r="CE206" i="45"/>
  <c r="CO205" i="45"/>
  <c r="CN205" i="45"/>
  <c r="CM205" i="45"/>
  <c r="CL205" i="45"/>
  <c r="CK205" i="45"/>
  <c r="CD205" i="45" s="1"/>
  <c r="CJ205" i="45"/>
  <c r="CC205" i="45" s="1"/>
  <c r="CI205" i="45"/>
  <c r="CB205" i="45" s="1"/>
  <c r="CH205" i="45"/>
  <c r="CG205" i="45"/>
  <c r="CF205" i="45"/>
  <c r="CE205" i="45"/>
  <c r="CO204" i="45"/>
  <c r="CN204" i="45"/>
  <c r="CM204" i="45"/>
  <c r="CL204" i="45"/>
  <c r="CK204" i="45"/>
  <c r="CD204" i="45" s="1"/>
  <c r="CJ204" i="45"/>
  <c r="CC204" i="45" s="1"/>
  <c r="CI204" i="45"/>
  <c r="CB204" i="45" s="1"/>
  <c r="CH204" i="45"/>
  <c r="CG204" i="45"/>
  <c r="CF204" i="45"/>
  <c r="CE204" i="45"/>
  <c r="CO203" i="45"/>
  <c r="CN203" i="45"/>
  <c r="CM203" i="45"/>
  <c r="CL203" i="45"/>
  <c r="CK203" i="45"/>
  <c r="CD203" i="45" s="1"/>
  <c r="CJ203" i="45"/>
  <c r="CC203" i="45" s="1"/>
  <c r="CI203" i="45"/>
  <c r="CB203" i="45" s="1"/>
  <c r="CH203" i="45"/>
  <c r="CG203" i="45"/>
  <c r="CF203" i="45"/>
  <c r="CE203" i="45"/>
  <c r="CI198" i="45"/>
  <c r="CB198" i="45" s="1"/>
  <c r="L198" i="45" s="1"/>
  <c r="CI197" i="45"/>
  <c r="CB197" i="45" s="1"/>
  <c r="L197" i="45" s="1"/>
  <c r="CI196" i="45"/>
  <c r="CB196" i="45" s="1"/>
  <c r="L196" i="45" s="1"/>
  <c r="CI195" i="45"/>
  <c r="CB195" i="45" s="1"/>
  <c r="L195" i="45" s="1"/>
  <c r="AI190" i="45"/>
  <c r="CM189" i="45"/>
  <c r="CF189" i="45" s="1"/>
  <c r="CL189" i="45"/>
  <c r="CE189" i="45" s="1"/>
  <c r="CK189" i="45"/>
  <c r="CD189" i="45" s="1"/>
  <c r="CJ189" i="45"/>
  <c r="CC189" i="45" s="1"/>
  <c r="CI189" i="45"/>
  <c r="CB189" i="45" s="1"/>
  <c r="CM188" i="45"/>
  <c r="CF188" i="45" s="1"/>
  <c r="CL188" i="45"/>
  <c r="CE188" i="45" s="1"/>
  <c r="CK188" i="45"/>
  <c r="CD188" i="45" s="1"/>
  <c r="CJ188" i="45"/>
  <c r="CC188" i="45" s="1"/>
  <c r="CI188" i="45"/>
  <c r="CB188" i="45" s="1"/>
  <c r="CM187" i="45"/>
  <c r="CF187" i="45" s="1"/>
  <c r="CL187" i="45"/>
  <c r="CK187" i="45"/>
  <c r="CD187" i="45" s="1"/>
  <c r="CJ187" i="45"/>
  <c r="CI187" i="45"/>
  <c r="CB187" i="45" s="1"/>
  <c r="CE187" i="45"/>
  <c r="CC187" i="45"/>
  <c r="CM186" i="45"/>
  <c r="CF186" i="45" s="1"/>
  <c r="CL186" i="45"/>
  <c r="CE186" i="45" s="1"/>
  <c r="CK186" i="45"/>
  <c r="CD186" i="45" s="1"/>
  <c r="CJ186" i="45"/>
  <c r="CC186" i="45" s="1"/>
  <c r="CI186" i="45"/>
  <c r="CB186" i="45" s="1"/>
  <c r="CI181" i="45"/>
  <c r="CI180" i="45"/>
  <c r="CI179" i="45"/>
  <c r="CB181" i="45" s="1"/>
  <c r="CI178" i="45"/>
  <c r="CB180" i="45" s="1"/>
  <c r="CI177" i="45"/>
  <c r="CB179" i="45" s="1"/>
  <c r="CI176" i="45"/>
  <c r="CB178" i="45" s="1"/>
  <c r="CI175" i="45"/>
  <c r="CB177" i="45" s="1"/>
  <c r="CI174" i="45"/>
  <c r="CB176" i="45" s="1"/>
  <c r="CI173" i="45"/>
  <c r="CB175" i="45" s="1"/>
  <c r="CI172" i="45"/>
  <c r="CB174" i="45" s="1"/>
  <c r="CI171" i="45"/>
  <c r="CB173" i="45" s="1"/>
  <c r="CI170" i="45"/>
  <c r="CB172" i="45" s="1"/>
  <c r="CI167" i="45"/>
  <c r="CB169" i="45" s="1"/>
  <c r="CI166" i="45"/>
  <c r="CB168" i="45" s="1"/>
  <c r="CI163" i="45"/>
  <c r="CB165" i="45" s="1"/>
  <c r="G163" i="45"/>
  <c r="F163" i="45"/>
  <c r="CI161" i="45" s="1"/>
  <c r="CB163" i="45" s="1"/>
  <c r="CI162" i="45"/>
  <c r="CB164" i="45" s="1"/>
  <c r="CI160" i="45"/>
  <c r="CB162" i="45" s="1"/>
  <c r="CI159" i="45"/>
  <c r="CB161" i="45" s="1"/>
  <c r="CI158" i="45"/>
  <c r="CB160" i="45" s="1"/>
  <c r="CI157" i="45"/>
  <c r="CB159" i="45" s="1"/>
  <c r="CI156" i="45"/>
  <c r="CB158" i="45" s="1"/>
  <c r="CI155" i="45"/>
  <c r="CB157" i="45" s="1"/>
  <c r="CI154" i="45"/>
  <c r="CB156" i="45" s="1"/>
  <c r="CI153" i="45"/>
  <c r="CB155" i="45" s="1"/>
  <c r="S152" i="45"/>
  <c r="R152" i="45"/>
  <c r="Q152" i="45"/>
  <c r="P152" i="45"/>
  <c r="O152" i="45"/>
  <c r="M152" i="45"/>
  <c r="G152" i="45"/>
  <c r="CI150" i="45" s="1"/>
  <c r="CB152" i="45" s="1"/>
  <c r="CI151" i="45"/>
  <c r="CB153" i="45" s="1"/>
  <c r="CI149" i="45"/>
  <c r="CB151" i="45" s="1"/>
  <c r="V144" i="45"/>
  <c r="U144" i="45"/>
  <c r="T144" i="45"/>
  <c r="S144" i="45"/>
  <c r="R144" i="45"/>
  <c r="Q144" i="45"/>
  <c r="P144" i="45"/>
  <c r="O144" i="45"/>
  <c r="N144" i="45"/>
  <c r="M144" i="45"/>
  <c r="L144" i="45"/>
  <c r="K144" i="45"/>
  <c r="J144" i="45"/>
  <c r="I144" i="45"/>
  <c r="H144" i="45"/>
  <c r="G144" i="45"/>
  <c r="F144" i="45"/>
  <c r="E144" i="45"/>
  <c r="CO143" i="45"/>
  <c r="CH143" i="45" s="1"/>
  <c r="CN143" i="45"/>
  <c r="CM143" i="45"/>
  <c r="CL143" i="45"/>
  <c r="CK143" i="45"/>
  <c r="CJ143" i="45"/>
  <c r="CI143" i="45"/>
  <c r="CG143" i="45"/>
  <c r="CF143" i="45"/>
  <c r="CE143" i="45"/>
  <c r="CD143" i="45"/>
  <c r="CC143" i="45"/>
  <c r="CB143" i="45"/>
  <c r="CO142" i="45"/>
  <c r="CH142" i="45" s="1"/>
  <c r="CN142" i="45"/>
  <c r="CM142" i="45"/>
  <c r="CL142" i="45"/>
  <c r="CK142" i="45"/>
  <c r="CJ142" i="45"/>
  <c r="CI142" i="45"/>
  <c r="CG142" i="45"/>
  <c r="CF142" i="45"/>
  <c r="CE142" i="45"/>
  <c r="CD142" i="45"/>
  <c r="CC142" i="45"/>
  <c r="CB142" i="45"/>
  <c r="CO141" i="45"/>
  <c r="CH141" i="45" s="1"/>
  <c r="CN141" i="45"/>
  <c r="CM141" i="45"/>
  <c r="CL141" i="45"/>
  <c r="CK141" i="45"/>
  <c r="CJ141" i="45"/>
  <c r="CI141" i="45"/>
  <c r="CG141" i="45"/>
  <c r="CF141" i="45"/>
  <c r="CE141" i="45"/>
  <c r="CD141" i="45"/>
  <c r="CC141" i="45"/>
  <c r="CB141" i="45"/>
  <c r="CO140" i="45"/>
  <c r="CH140" i="45" s="1"/>
  <c r="CN140" i="45"/>
  <c r="CM140" i="45"/>
  <c r="CL140" i="45"/>
  <c r="CK140" i="45"/>
  <c r="CJ140" i="45"/>
  <c r="CI140" i="45"/>
  <c r="CG140" i="45"/>
  <c r="CF140" i="45"/>
  <c r="CE140" i="45"/>
  <c r="CD140" i="45"/>
  <c r="CC140" i="45"/>
  <c r="CB140" i="45"/>
  <c r="CO139" i="45"/>
  <c r="CH139" i="45" s="1"/>
  <c r="CN139" i="45"/>
  <c r="CM139" i="45"/>
  <c r="CL139" i="45"/>
  <c r="CK139" i="45"/>
  <c r="CJ139" i="45"/>
  <c r="CI139" i="45"/>
  <c r="CG139" i="45"/>
  <c r="CF139" i="45"/>
  <c r="CE139" i="45"/>
  <c r="CD139" i="45"/>
  <c r="CC139" i="45"/>
  <c r="CB139" i="45"/>
  <c r="CO138" i="45"/>
  <c r="CH138" i="45" s="1"/>
  <c r="CN138" i="45"/>
  <c r="CM138" i="45"/>
  <c r="CL138" i="45"/>
  <c r="CK138" i="45"/>
  <c r="CJ138" i="45"/>
  <c r="CI138" i="45"/>
  <c r="CG138" i="45"/>
  <c r="CF138" i="45"/>
  <c r="CE138" i="45"/>
  <c r="CD138" i="45"/>
  <c r="CC138" i="45"/>
  <c r="CB138" i="45"/>
  <c r="CO137" i="45"/>
  <c r="CH137" i="45" s="1"/>
  <c r="CN137" i="45"/>
  <c r="CM137" i="45"/>
  <c r="CL137" i="45"/>
  <c r="CK137" i="45"/>
  <c r="CJ137" i="45"/>
  <c r="CI137" i="45"/>
  <c r="CG137" i="45"/>
  <c r="CF137" i="45"/>
  <c r="CE137" i="45"/>
  <c r="CD137" i="45"/>
  <c r="CC137" i="45"/>
  <c r="CB137" i="45"/>
  <c r="CO136" i="45"/>
  <c r="CH136" i="45" s="1"/>
  <c r="CN136" i="45"/>
  <c r="CM136" i="45"/>
  <c r="CL136" i="45"/>
  <c r="CK136" i="45"/>
  <c r="CJ136" i="45"/>
  <c r="CI136" i="45"/>
  <c r="CG136" i="45"/>
  <c r="CF136" i="45"/>
  <c r="CE136" i="45"/>
  <c r="CD136" i="45"/>
  <c r="CC136" i="45"/>
  <c r="CB136" i="45"/>
  <c r="W132" i="45"/>
  <c r="V132" i="45"/>
  <c r="U132" i="45"/>
  <c r="T132" i="45"/>
  <c r="S132" i="45"/>
  <c r="R132" i="45"/>
  <c r="Q132" i="45"/>
  <c r="P132" i="45"/>
  <c r="O132" i="45"/>
  <c r="N132" i="45"/>
  <c r="M132" i="45"/>
  <c r="L132" i="45"/>
  <c r="K132" i="45"/>
  <c r="J132" i="45"/>
  <c r="I132" i="45"/>
  <c r="H132" i="45"/>
  <c r="G132" i="45"/>
  <c r="F132" i="45"/>
  <c r="E132" i="45"/>
  <c r="CO131" i="45"/>
  <c r="CH131" i="45" s="1"/>
  <c r="CN131" i="45"/>
  <c r="CM131" i="45"/>
  <c r="CL131" i="45"/>
  <c r="CK131" i="45"/>
  <c r="CJ131" i="45"/>
  <c r="CI131" i="45"/>
  <c r="CG131" i="45"/>
  <c r="CF131" i="45"/>
  <c r="CE131" i="45"/>
  <c r="CD131" i="45"/>
  <c r="CC131" i="45"/>
  <c r="CB131" i="45"/>
  <c r="CO130" i="45"/>
  <c r="CH130" i="45" s="1"/>
  <c r="CN130" i="45"/>
  <c r="CM130" i="45"/>
  <c r="CL130" i="45"/>
  <c r="CK130" i="45"/>
  <c r="CJ130" i="45"/>
  <c r="CI130" i="45"/>
  <c r="CG130" i="45"/>
  <c r="CF130" i="45"/>
  <c r="CE130" i="45"/>
  <c r="CD130" i="45"/>
  <c r="CC130" i="45"/>
  <c r="CB130" i="45"/>
  <c r="CO129" i="45"/>
  <c r="CH129" i="45" s="1"/>
  <c r="CN129" i="45"/>
  <c r="CM129" i="45"/>
  <c r="CL129" i="45"/>
  <c r="CK129" i="45"/>
  <c r="CJ129" i="45"/>
  <c r="CI129" i="45"/>
  <c r="CG129" i="45"/>
  <c r="CF129" i="45"/>
  <c r="CE129" i="45"/>
  <c r="CD129" i="45"/>
  <c r="CC129" i="45"/>
  <c r="CB129" i="45"/>
  <c r="CO128" i="45"/>
  <c r="CH128" i="45" s="1"/>
  <c r="CN128" i="45"/>
  <c r="CM128" i="45"/>
  <c r="CL128" i="45"/>
  <c r="CK128" i="45"/>
  <c r="CJ128" i="45"/>
  <c r="CI128" i="45"/>
  <c r="CG128" i="45"/>
  <c r="CF128" i="45"/>
  <c r="CE128" i="45"/>
  <c r="CD128" i="45"/>
  <c r="CC128" i="45"/>
  <c r="CB128" i="45"/>
  <c r="CO127" i="45"/>
  <c r="CH127" i="45" s="1"/>
  <c r="CN127" i="45"/>
  <c r="CM127" i="45"/>
  <c r="CL127" i="45"/>
  <c r="CK127" i="45"/>
  <c r="CJ127" i="45"/>
  <c r="CI127" i="45"/>
  <c r="CG127" i="45"/>
  <c r="CF127" i="45"/>
  <c r="CE127" i="45"/>
  <c r="CD127" i="45"/>
  <c r="CC127" i="45"/>
  <c r="CB127" i="45"/>
  <c r="CO126" i="45"/>
  <c r="CH126" i="45" s="1"/>
  <c r="CN126" i="45"/>
  <c r="CM126" i="45"/>
  <c r="CL126" i="45"/>
  <c r="CK126" i="45"/>
  <c r="CJ126" i="45"/>
  <c r="CI126" i="45"/>
  <c r="CG126" i="45"/>
  <c r="CF126" i="45"/>
  <c r="CE126" i="45"/>
  <c r="CD126" i="45"/>
  <c r="CC126" i="45"/>
  <c r="CB126" i="45"/>
  <c r="CO125" i="45"/>
  <c r="CH125" i="45" s="1"/>
  <c r="CN125" i="45"/>
  <c r="CM125" i="45"/>
  <c r="CL125" i="45"/>
  <c r="CK125" i="45"/>
  <c r="CJ125" i="45"/>
  <c r="CI125" i="45"/>
  <c r="CG125" i="45"/>
  <c r="CF125" i="45"/>
  <c r="CE125" i="45"/>
  <c r="CD125" i="45"/>
  <c r="CC125" i="45"/>
  <c r="CB125" i="45"/>
  <c r="CO124" i="45"/>
  <c r="CH124" i="45" s="1"/>
  <c r="CN124" i="45"/>
  <c r="CM124" i="45"/>
  <c r="CL124" i="45"/>
  <c r="CK124" i="45"/>
  <c r="CJ124" i="45"/>
  <c r="CI124" i="45"/>
  <c r="CG124" i="45"/>
  <c r="CF124" i="45"/>
  <c r="CE124" i="45"/>
  <c r="CD124" i="45"/>
  <c r="CC124" i="45"/>
  <c r="CB124" i="45"/>
  <c r="CO123" i="45"/>
  <c r="CH123" i="45" s="1"/>
  <c r="CN123" i="45"/>
  <c r="CM123" i="45"/>
  <c r="CL123" i="45"/>
  <c r="CK123" i="45"/>
  <c r="CJ123" i="45"/>
  <c r="CI123" i="45"/>
  <c r="CG123" i="45"/>
  <c r="CF123" i="45"/>
  <c r="CE123" i="45"/>
  <c r="CD123" i="45"/>
  <c r="CC123" i="45"/>
  <c r="CB123" i="45"/>
  <c r="CO122" i="45"/>
  <c r="CH122" i="45" s="1"/>
  <c r="CN122" i="45"/>
  <c r="CM122" i="45"/>
  <c r="CL122" i="45"/>
  <c r="CK122" i="45"/>
  <c r="CJ122" i="45"/>
  <c r="CI122" i="45"/>
  <c r="CG122" i="45"/>
  <c r="CF122" i="45"/>
  <c r="CE122" i="45"/>
  <c r="CD122" i="45"/>
  <c r="CC122" i="45"/>
  <c r="CB122" i="45"/>
  <c r="CO121" i="45"/>
  <c r="CH121" i="45" s="1"/>
  <c r="CN121" i="45"/>
  <c r="CM121" i="45"/>
  <c r="CL121" i="45"/>
  <c r="CK121" i="45"/>
  <c r="CJ121" i="45"/>
  <c r="CI121" i="45"/>
  <c r="CG121" i="45"/>
  <c r="CF121" i="45"/>
  <c r="CE121" i="45"/>
  <c r="CD121" i="45"/>
  <c r="CC121" i="45"/>
  <c r="CB121" i="45"/>
  <c r="CO120" i="45"/>
  <c r="CH120" i="45" s="1"/>
  <c r="CN120" i="45"/>
  <c r="CM120" i="45"/>
  <c r="CL120" i="45"/>
  <c r="CK120" i="45"/>
  <c r="CJ120" i="45"/>
  <c r="CI120" i="45"/>
  <c r="CG120" i="45"/>
  <c r="CF120" i="45"/>
  <c r="CE120" i="45"/>
  <c r="CD120" i="45"/>
  <c r="CC120" i="45"/>
  <c r="CB120" i="45"/>
  <c r="CO119" i="45"/>
  <c r="CH119" i="45" s="1"/>
  <c r="CN119" i="45"/>
  <c r="CM119" i="45"/>
  <c r="CL119" i="45"/>
  <c r="CK119" i="45"/>
  <c r="CJ119" i="45"/>
  <c r="CI119" i="45"/>
  <c r="CG119" i="45"/>
  <c r="CF119" i="45"/>
  <c r="CE119" i="45"/>
  <c r="CD119" i="45"/>
  <c r="CC119" i="45"/>
  <c r="CB119" i="45"/>
  <c r="CO118" i="45"/>
  <c r="CH118" i="45" s="1"/>
  <c r="CN118" i="45"/>
  <c r="CM118" i="45"/>
  <c r="CL118" i="45"/>
  <c r="CK118" i="45"/>
  <c r="CJ118" i="45"/>
  <c r="CI118" i="45"/>
  <c r="CG118" i="45"/>
  <c r="CF118" i="45"/>
  <c r="CE118" i="45"/>
  <c r="CD118" i="45"/>
  <c r="CC118" i="45"/>
  <c r="CB118" i="45"/>
  <c r="CO117" i="45"/>
  <c r="CH117" i="45" s="1"/>
  <c r="CN117" i="45"/>
  <c r="CM117" i="45"/>
  <c r="CL117" i="45"/>
  <c r="CK117" i="45"/>
  <c r="CJ117" i="45"/>
  <c r="CI117" i="45"/>
  <c r="CG117" i="45"/>
  <c r="CF117" i="45"/>
  <c r="CE117" i="45"/>
  <c r="CD117" i="45"/>
  <c r="CC117" i="45"/>
  <c r="CB117" i="45"/>
  <c r="CO116" i="45"/>
  <c r="CH116" i="45" s="1"/>
  <c r="CN116" i="45"/>
  <c r="CM116" i="45"/>
  <c r="CL116" i="45"/>
  <c r="CK116" i="45"/>
  <c r="CJ116" i="45"/>
  <c r="CI116" i="45"/>
  <c r="CG116" i="45"/>
  <c r="CF116" i="45"/>
  <c r="CE116" i="45"/>
  <c r="CD116" i="45"/>
  <c r="CC116" i="45"/>
  <c r="CB116" i="45"/>
  <c r="CO115" i="45"/>
  <c r="CH115" i="45" s="1"/>
  <c r="CN115" i="45"/>
  <c r="CM115" i="45"/>
  <c r="CL115" i="45"/>
  <c r="CK115" i="45"/>
  <c r="CJ115" i="45"/>
  <c r="CI115" i="45"/>
  <c r="CG115" i="45"/>
  <c r="CF115" i="45"/>
  <c r="CE115" i="45"/>
  <c r="CD115" i="45"/>
  <c r="CC115" i="45"/>
  <c r="CB115" i="45"/>
  <c r="CO114" i="45"/>
  <c r="CH114" i="45" s="1"/>
  <c r="CN114" i="45"/>
  <c r="CM114" i="45"/>
  <c r="CL114" i="45"/>
  <c r="CK114" i="45"/>
  <c r="CJ114" i="45"/>
  <c r="CI114" i="45"/>
  <c r="CG114" i="45"/>
  <c r="CF114" i="45"/>
  <c r="CE114" i="45"/>
  <c r="CD114" i="45"/>
  <c r="CC114" i="45"/>
  <c r="CB114" i="45"/>
  <c r="CO113" i="45"/>
  <c r="CH113" i="45" s="1"/>
  <c r="CN113" i="45"/>
  <c r="CM113" i="45"/>
  <c r="CL113" i="45"/>
  <c r="CK113" i="45"/>
  <c r="CJ113" i="45"/>
  <c r="CI113" i="45"/>
  <c r="CG113" i="45"/>
  <c r="CF113" i="45"/>
  <c r="CE113" i="45"/>
  <c r="CD113" i="45"/>
  <c r="CC113" i="45"/>
  <c r="CB113" i="45"/>
  <c r="CO112" i="45"/>
  <c r="CH112" i="45" s="1"/>
  <c r="CN112" i="45"/>
  <c r="CM112" i="45"/>
  <c r="CL112" i="45"/>
  <c r="CK112" i="45"/>
  <c r="CJ112" i="45"/>
  <c r="CI112" i="45"/>
  <c r="CG112" i="45"/>
  <c r="CF112" i="45"/>
  <c r="CE112" i="45"/>
  <c r="CD112" i="45"/>
  <c r="CC112" i="45"/>
  <c r="CB112" i="45"/>
  <c r="CO111" i="45"/>
  <c r="CH111" i="45" s="1"/>
  <c r="CN111" i="45"/>
  <c r="CM111" i="45"/>
  <c r="CL111" i="45"/>
  <c r="CK111" i="45"/>
  <c r="CJ111" i="45"/>
  <c r="CI111" i="45"/>
  <c r="CG111" i="45"/>
  <c r="CF111" i="45"/>
  <c r="CE111" i="45"/>
  <c r="CD111" i="45"/>
  <c r="CC111" i="45"/>
  <c r="CB111" i="45"/>
  <c r="CO110" i="45"/>
  <c r="CH110" i="45" s="1"/>
  <c r="CN110" i="45"/>
  <c r="CM110" i="45"/>
  <c r="CL110" i="45"/>
  <c r="CK110" i="45"/>
  <c r="CJ110" i="45"/>
  <c r="CI110" i="45"/>
  <c r="CG110" i="45"/>
  <c r="CF110" i="45"/>
  <c r="CE110" i="45"/>
  <c r="CD110" i="45"/>
  <c r="CC110" i="45"/>
  <c r="CB110" i="45"/>
  <c r="CO109" i="45"/>
  <c r="CH109" i="45" s="1"/>
  <c r="CN109" i="45"/>
  <c r="CM109" i="45"/>
  <c r="CL109" i="45"/>
  <c r="CK109" i="45"/>
  <c r="CJ109" i="45"/>
  <c r="CI109" i="45"/>
  <c r="CG109" i="45"/>
  <c r="CF109" i="45"/>
  <c r="CE109" i="45"/>
  <c r="CD109" i="45"/>
  <c r="CC109" i="45"/>
  <c r="CB109" i="45"/>
  <c r="CO108" i="45"/>
  <c r="CH108" i="45" s="1"/>
  <c r="CN108" i="45"/>
  <c r="CM108" i="45"/>
  <c r="CL108" i="45"/>
  <c r="CK108" i="45"/>
  <c r="CJ108" i="45"/>
  <c r="CI108" i="45"/>
  <c r="CG108" i="45"/>
  <c r="CF108" i="45"/>
  <c r="CE108" i="45"/>
  <c r="CD108" i="45"/>
  <c r="CC108" i="45"/>
  <c r="CB108" i="45"/>
  <c r="CO107" i="45"/>
  <c r="CH107" i="45" s="1"/>
  <c r="CN107" i="45"/>
  <c r="CM107" i="45"/>
  <c r="CL107" i="45"/>
  <c r="CK107" i="45"/>
  <c r="CJ107" i="45"/>
  <c r="CI107" i="45"/>
  <c r="CG107" i="45"/>
  <c r="CF107" i="45"/>
  <c r="CE107" i="45"/>
  <c r="CD107" i="45"/>
  <c r="CC107" i="45"/>
  <c r="CB107" i="45"/>
  <c r="CO106" i="45"/>
  <c r="CH106" i="45" s="1"/>
  <c r="CN106" i="45"/>
  <c r="CM106" i="45"/>
  <c r="CL106" i="45"/>
  <c r="CK106" i="45"/>
  <c r="CJ106" i="45"/>
  <c r="CI106" i="45"/>
  <c r="CG106" i="45"/>
  <c r="CF106" i="45"/>
  <c r="CE106" i="45"/>
  <c r="CD106" i="45"/>
  <c r="CC106" i="45"/>
  <c r="CB106" i="45"/>
  <c r="CO105" i="45"/>
  <c r="CH105" i="45" s="1"/>
  <c r="CN105" i="45"/>
  <c r="CM105" i="45"/>
  <c r="CL105" i="45"/>
  <c r="CK105" i="45"/>
  <c r="CJ105" i="45"/>
  <c r="CI105" i="45"/>
  <c r="CG105" i="45"/>
  <c r="CF105" i="45"/>
  <c r="CE105" i="45"/>
  <c r="CD105" i="45"/>
  <c r="CC105" i="45"/>
  <c r="CB105" i="45"/>
  <c r="CO104" i="45"/>
  <c r="CH104" i="45" s="1"/>
  <c r="CN104" i="45"/>
  <c r="CM104" i="45"/>
  <c r="CL104" i="45"/>
  <c r="CK104" i="45"/>
  <c r="CJ104" i="45"/>
  <c r="CI104" i="45"/>
  <c r="CG104" i="45"/>
  <c r="CF104" i="45"/>
  <c r="CE104" i="45"/>
  <c r="CD104" i="45"/>
  <c r="CC104" i="45"/>
  <c r="CB104" i="45"/>
  <c r="CO103" i="45"/>
  <c r="CH103" i="45" s="1"/>
  <c r="CN103" i="45"/>
  <c r="CM103" i="45"/>
  <c r="CL103" i="45"/>
  <c r="CK103" i="45"/>
  <c r="CJ103" i="45"/>
  <c r="CI103" i="45"/>
  <c r="CG103" i="45"/>
  <c r="CF103" i="45"/>
  <c r="CE103" i="45"/>
  <c r="CD103" i="45"/>
  <c r="CC103" i="45"/>
  <c r="CB103" i="45"/>
  <c r="CO102" i="45"/>
  <c r="CH102" i="45" s="1"/>
  <c r="CN102" i="45"/>
  <c r="CM102" i="45"/>
  <c r="CL102" i="45"/>
  <c r="CK102" i="45"/>
  <c r="CJ102" i="45"/>
  <c r="CI102" i="45"/>
  <c r="CG102" i="45"/>
  <c r="CF102" i="45"/>
  <c r="CE102" i="45"/>
  <c r="CD102" i="45"/>
  <c r="CC102" i="45"/>
  <c r="CB102" i="45"/>
  <c r="CO101" i="45"/>
  <c r="CH101" i="45" s="1"/>
  <c r="CN101" i="45"/>
  <c r="CM101" i="45"/>
  <c r="CL101" i="45"/>
  <c r="CK101" i="45"/>
  <c r="CJ101" i="45"/>
  <c r="CI101" i="45"/>
  <c r="CG101" i="45"/>
  <c r="CF101" i="45"/>
  <c r="CE101" i="45"/>
  <c r="CD101" i="45"/>
  <c r="CC101" i="45"/>
  <c r="CB101" i="45"/>
  <c r="CO100" i="45"/>
  <c r="CH100" i="45" s="1"/>
  <c r="CN100" i="45"/>
  <c r="CM100" i="45"/>
  <c r="CL100" i="45"/>
  <c r="CJ100" i="45"/>
  <c r="CG100" i="45"/>
  <c r="CF100" i="45"/>
  <c r="CE100" i="45"/>
  <c r="CC100" i="45"/>
  <c r="CO99" i="45"/>
  <c r="CH99" i="45" s="1"/>
  <c r="CN99" i="45"/>
  <c r="CM99" i="45"/>
  <c r="CL99" i="45"/>
  <c r="CK99" i="45"/>
  <c r="CJ99" i="45"/>
  <c r="CI99" i="45"/>
  <c r="CG99" i="45"/>
  <c r="CF99" i="45"/>
  <c r="CE99" i="45"/>
  <c r="CD99" i="45"/>
  <c r="CC99" i="45"/>
  <c r="CB99" i="45"/>
  <c r="CO98" i="45"/>
  <c r="CH98" i="45" s="1"/>
  <c r="CN98" i="45"/>
  <c r="CM98" i="45"/>
  <c r="CL98" i="45"/>
  <c r="CK98" i="45"/>
  <c r="CJ98" i="45"/>
  <c r="CI98" i="45"/>
  <c r="CG98" i="45"/>
  <c r="CF98" i="45"/>
  <c r="CE98" i="45"/>
  <c r="CD98" i="45"/>
  <c r="CC98" i="45"/>
  <c r="CB98" i="45"/>
  <c r="CO97" i="45"/>
  <c r="CH97" i="45" s="1"/>
  <c r="CN97" i="45"/>
  <c r="CM97" i="45"/>
  <c r="CL97" i="45"/>
  <c r="CK97" i="45"/>
  <c r="CJ97" i="45"/>
  <c r="CI97" i="45"/>
  <c r="CG97" i="45"/>
  <c r="CF97" i="45"/>
  <c r="CE97" i="45"/>
  <c r="CD97" i="45"/>
  <c r="CC97" i="45"/>
  <c r="CB97" i="45"/>
  <c r="CO96" i="45"/>
  <c r="CH96" i="45" s="1"/>
  <c r="CN96" i="45"/>
  <c r="CM96" i="45"/>
  <c r="CL96" i="45"/>
  <c r="CJ96" i="45"/>
  <c r="CI96" i="45"/>
  <c r="CG96" i="45"/>
  <c r="CF96" i="45"/>
  <c r="CE96" i="45"/>
  <c r="CC96" i="45"/>
  <c r="CB96" i="45"/>
  <c r="CO95" i="45"/>
  <c r="CH95" i="45" s="1"/>
  <c r="CN95" i="45"/>
  <c r="CM95" i="45"/>
  <c r="CL95" i="45"/>
  <c r="CJ95" i="45"/>
  <c r="CI95" i="45"/>
  <c r="CG95" i="45"/>
  <c r="CF95" i="45"/>
  <c r="CE95" i="45"/>
  <c r="CC95" i="45"/>
  <c r="CB95" i="45"/>
  <c r="CO94" i="45"/>
  <c r="CH94" i="45" s="1"/>
  <c r="CN94" i="45"/>
  <c r="CM94" i="45"/>
  <c r="CL94" i="45"/>
  <c r="CJ94" i="45"/>
  <c r="CI94" i="45"/>
  <c r="CG94" i="45"/>
  <c r="CF94" i="45"/>
  <c r="CE94" i="45"/>
  <c r="CC94" i="45"/>
  <c r="CB94" i="45"/>
  <c r="CO93" i="45"/>
  <c r="CH93" i="45" s="1"/>
  <c r="CN93" i="45"/>
  <c r="CM93" i="45"/>
  <c r="CL93" i="45"/>
  <c r="CJ93" i="45"/>
  <c r="CI93" i="45"/>
  <c r="CG93" i="45"/>
  <c r="CF93" i="45"/>
  <c r="CE93" i="45"/>
  <c r="CC93" i="45"/>
  <c r="CB93" i="45"/>
  <c r="CO92" i="45"/>
  <c r="CH92" i="45" s="1"/>
  <c r="CN92" i="45"/>
  <c r="CM92" i="45"/>
  <c r="CL92" i="45"/>
  <c r="CJ92" i="45"/>
  <c r="CI92" i="45"/>
  <c r="CG92" i="45"/>
  <c r="CF92" i="45"/>
  <c r="CE92" i="45"/>
  <c r="CC92" i="45"/>
  <c r="CB92" i="45"/>
  <c r="CO91" i="45"/>
  <c r="CH91" i="45" s="1"/>
  <c r="CN91" i="45"/>
  <c r="CM91" i="45"/>
  <c r="CL91" i="45"/>
  <c r="CJ91" i="45"/>
  <c r="CI91" i="45"/>
  <c r="CG91" i="45"/>
  <c r="CF91" i="45"/>
  <c r="CE91" i="45"/>
  <c r="CC91" i="45"/>
  <c r="CB91" i="45"/>
  <c r="CO90" i="45"/>
  <c r="CH90" i="45" s="1"/>
  <c r="CN90" i="45"/>
  <c r="CM90" i="45"/>
  <c r="CL90" i="45"/>
  <c r="CK90" i="45"/>
  <c r="CJ90" i="45"/>
  <c r="CI90" i="45"/>
  <c r="CG90" i="45"/>
  <c r="CF90" i="45"/>
  <c r="CE90" i="45"/>
  <c r="CD90" i="45"/>
  <c r="CC90" i="45"/>
  <c r="CB90" i="45"/>
  <c r="CO89" i="45"/>
  <c r="CH89" i="45" s="1"/>
  <c r="CN89" i="45"/>
  <c r="CM89" i="45"/>
  <c r="CL89" i="45"/>
  <c r="CK89" i="45"/>
  <c r="CJ89" i="45"/>
  <c r="CI89" i="45"/>
  <c r="CG89" i="45"/>
  <c r="CF89" i="45"/>
  <c r="CE89" i="45"/>
  <c r="CD89" i="45"/>
  <c r="CC89" i="45"/>
  <c r="CB89" i="45"/>
  <c r="CO88" i="45"/>
  <c r="CH88" i="45" s="1"/>
  <c r="CN88" i="45"/>
  <c r="CM88" i="45"/>
  <c r="CL88" i="45"/>
  <c r="CK88" i="45"/>
  <c r="CJ88" i="45"/>
  <c r="CI88" i="45"/>
  <c r="CG88" i="45"/>
  <c r="CF88" i="45"/>
  <c r="CE88" i="45"/>
  <c r="CD88" i="45"/>
  <c r="CC88" i="45"/>
  <c r="CB88" i="45"/>
  <c r="CO87" i="45"/>
  <c r="CH87" i="45" s="1"/>
  <c r="CN87" i="45"/>
  <c r="CM87" i="45"/>
  <c r="CL87" i="45"/>
  <c r="CK87" i="45"/>
  <c r="CJ87" i="45"/>
  <c r="CI87" i="45"/>
  <c r="CG87" i="45"/>
  <c r="CF87" i="45"/>
  <c r="CE87" i="45"/>
  <c r="CD87" i="45"/>
  <c r="CC87" i="45"/>
  <c r="CB87" i="45"/>
  <c r="CO86" i="45"/>
  <c r="CH86" i="45" s="1"/>
  <c r="CN86" i="45"/>
  <c r="CM86" i="45"/>
  <c r="CL86" i="45"/>
  <c r="CK86" i="45"/>
  <c r="CJ86" i="45"/>
  <c r="CI86" i="45"/>
  <c r="CG86" i="45"/>
  <c r="CF86" i="45"/>
  <c r="CE86" i="45"/>
  <c r="CD86" i="45"/>
  <c r="CC86" i="45"/>
  <c r="CB86" i="45"/>
  <c r="CO85" i="45"/>
  <c r="CH85" i="45" s="1"/>
  <c r="CN85" i="45"/>
  <c r="CM85" i="45"/>
  <c r="CL85" i="45"/>
  <c r="CK85" i="45"/>
  <c r="CJ85" i="45"/>
  <c r="CI85" i="45"/>
  <c r="CG85" i="45"/>
  <c r="CF85" i="45"/>
  <c r="CE85" i="45"/>
  <c r="CD85" i="45"/>
  <c r="CC85" i="45"/>
  <c r="CB85" i="45"/>
  <c r="CO84" i="45"/>
  <c r="CH84" i="45" s="1"/>
  <c r="CN84" i="45"/>
  <c r="CM84" i="45"/>
  <c r="CL84" i="45"/>
  <c r="CK84" i="45"/>
  <c r="CJ84" i="45"/>
  <c r="CI84" i="45"/>
  <c r="CG84" i="45"/>
  <c r="CF84" i="45"/>
  <c r="CE84" i="45"/>
  <c r="CD84" i="45"/>
  <c r="CC84" i="45"/>
  <c r="CB84" i="45"/>
  <c r="CO83" i="45"/>
  <c r="CH83" i="45" s="1"/>
  <c r="CN83" i="45"/>
  <c r="CM83" i="45"/>
  <c r="CL83" i="45"/>
  <c r="CK83" i="45"/>
  <c r="CJ83" i="45"/>
  <c r="CI83" i="45"/>
  <c r="CG83" i="45"/>
  <c r="CF83" i="45"/>
  <c r="CE83" i="45"/>
  <c r="CD83" i="45"/>
  <c r="CC83" i="45"/>
  <c r="CB83" i="45"/>
  <c r="CO82" i="45"/>
  <c r="CH82" i="45" s="1"/>
  <c r="CN82" i="45"/>
  <c r="CM82" i="45"/>
  <c r="CL82" i="45"/>
  <c r="CK82" i="45"/>
  <c r="CJ82" i="45"/>
  <c r="CI82" i="45"/>
  <c r="CG82" i="45"/>
  <c r="CF82" i="45"/>
  <c r="CE82" i="45"/>
  <c r="CD82" i="45"/>
  <c r="CC82" i="45"/>
  <c r="CB82" i="45"/>
  <c r="CO81" i="45"/>
  <c r="CH81" i="45" s="1"/>
  <c r="CN81" i="45"/>
  <c r="CM81" i="45"/>
  <c r="CL81" i="45"/>
  <c r="CK81" i="45"/>
  <c r="CJ81" i="45"/>
  <c r="CI81" i="45"/>
  <c r="CG81" i="45"/>
  <c r="CF81" i="45"/>
  <c r="CE81" i="45"/>
  <c r="CD81" i="45"/>
  <c r="CC81" i="45"/>
  <c r="CB81" i="45"/>
  <c r="CO80" i="45"/>
  <c r="CH80" i="45" s="1"/>
  <c r="CN80" i="45"/>
  <c r="CM80" i="45"/>
  <c r="CL80" i="45"/>
  <c r="CK80" i="45"/>
  <c r="CJ80" i="45"/>
  <c r="CI80" i="45"/>
  <c r="CG80" i="45"/>
  <c r="CF80" i="45"/>
  <c r="CE80" i="45"/>
  <c r="CD80" i="45"/>
  <c r="CC80" i="45"/>
  <c r="CB80" i="45"/>
  <c r="CM71" i="45"/>
  <c r="CF71" i="45" s="1"/>
  <c r="CL71" i="45"/>
  <c r="CE71" i="45" s="1"/>
  <c r="CK71" i="45"/>
  <c r="CD71" i="45" s="1"/>
  <c r="CJ71" i="45"/>
  <c r="CC71" i="45" s="1"/>
  <c r="CI71" i="45"/>
  <c r="CB71" i="45" s="1"/>
  <c r="CM70" i="45"/>
  <c r="CF70" i="45" s="1"/>
  <c r="CL70" i="45"/>
  <c r="CE70" i="45" s="1"/>
  <c r="CK70" i="45"/>
  <c r="CD70" i="45" s="1"/>
  <c r="CJ70" i="45"/>
  <c r="CC70" i="45" s="1"/>
  <c r="CI70" i="45"/>
  <c r="CB70" i="45"/>
  <c r="CM69" i="45"/>
  <c r="CF69" i="45" s="1"/>
  <c r="CL69" i="45"/>
  <c r="CE69" i="45" s="1"/>
  <c r="CK69" i="45"/>
  <c r="CD69" i="45" s="1"/>
  <c r="CJ69" i="45"/>
  <c r="CC69" i="45" s="1"/>
  <c r="CI69" i="45"/>
  <c r="CB69" i="45" s="1"/>
  <c r="CM68" i="45"/>
  <c r="CF68" i="45" s="1"/>
  <c r="CL68" i="45"/>
  <c r="CE68" i="45" s="1"/>
  <c r="CK68" i="45"/>
  <c r="CD68" i="45" s="1"/>
  <c r="CJ68" i="45"/>
  <c r="CC68" i="45" s="1"/>
  <c r="CI68" i="45"/>
  <c r="CB68" i="45" s="1"/>
  <c r="CM67" i="45"/>
  <c r="CF67" i="45" s="1"/>
  <c r="CL67" i="45"/>
  <c r="CE67" i="45" s="1"/>
  <c r="CK67" i="45"/>
  <c r="CD67" i="45" s="1"/>
  <c r="CJ67" i="45"/>
  <c r="CC67" i="45" s="1"/>
  <c r="CI67" i="45"/>
  <c r="CB67" i="45" s="1"/>
  <c r="CM66" i="45"/>
  <c r="CF66" i="45" s="1"/>
  <c r="CL66" i="45"/>
  <c r="CE66" i="45" s="1"/>
  <c r="CK66" i="45"/>
  <c r="CD66" i="45" s="1"/>
  <c r="CJ66" i="45"/>
  <c r="CC66" i="45" s="1"/>
  <c r="CI66" i="45"/>
  <c r="CB66" i="45" s="1"/>
  <c r="CM65" i="45"/>
  <c r="CF65" i="45" s="1"/>
  <c r="CL65" i="45"/>
  <c r="CK65" i="45"/>
  <c r="CD65" i="45" s="1"/>
  <c r="CJ65" i="45"/>
  <c r="CC65" i="45" s="1"/>
  <c r="CI65" i="45"/>
  <c r="CB65" i="45" s="1"/>
  <c r="CE65" i="45"/>
  <c r="CM64" i="45"/>
  <c r="CF64" i="45" s="1"/>
  <c r="CL64" i="45"/>
  <c r="CE64" i="45" s="1"/>
  <c r="CK64" i="45"/>
  <c r="CD64" i="45" s="1"/>
  <c r="CJ64" i="45"/>
  <c r="CC64" i="45" s="1"/>
  <c r="CI64" i="45"/>
  <c r="CB64" i="45" s="1"/>
  <c r="CM63" i="45"/>
  <c r="CF63" i="45" s="1"/>
  <c r="CL63" i="45"/>
  <c r="CE63" i="45" s="1"/>
  <c r="CK63" i="45"/>
  <c r="CD63" i="45" s="1"/>
  <c r="CJ63" i="45"/>
  <c r="CC63" i="45" s="1"/>
  <c r="CI63" i="45"/>
  <c r="CB63" i="45" s="1"/>
  <c r="CM62" i="45"/>
  <c r="CF62" i="45" s="1"/>
  <c r="CL62" i="45"/>
  <c r="CE62" i="45" s="1"/>
  <c r="CK62" i="45"/>
  <c r="CD62" i="45" s="1"/>
  <c r="CJ62" i="45"/>
  <c r="CC62" i="45" s="1"/>
  <c r="CI62" i="45"/>
  <c r="CB62" i="45" s="1"/>
  <c r="CM61" i="45"/>
  <c r="CF61" i="45" s="1"/>
  <c r="CL61" i="45"/>
  <c r="CE61" i="45" s="1"/>
  <c r="CK61" i="45"/>
  <c r="CD61" i="45" s="1"/>
  <c r="CJ61" i="45"/>
  <c r="CC61" i="45" s="1"/>
  <c r="CI61" i="45"/>
  <c r="CB61" i="45" s="1"/>
  <c r="AJ58" i="45"/>
  <c r="AI58" i="45"/>
  <c r="AH58" i="45"/>
  <c r="AG58" i="45"/>
  <c r="AF58" i="45"/>
  <c r="AE58" i="45"/>
  <c r="AD58" i="45"/>
  <c r="AC58" i="45"/>
  <c r="AB58" i="45"/>
  <c r="AA58" i="45"/>
  <c r="Z58" i="45"/>
  <c r="Y58" i="45"/>
  <c r="X58" i="45"/>
  <c r="W58" i="45"/>
  <c r="V58" i="45"/>
  <c r="G58" i="45"/>
  <c r="F58" i="45"/>
  <c r="CM57" i="45"/>
  <c r="CL57" i="45"/>
  <c r="CK57" i="45"/>
  <c r="CJ57" i="45"/>
  <c r="CC57" i="45" s="1"/>
  <c r="CI57" i="45"/>
  <c r="CB57" i="45" s="1"/>
  <c r="CF57" i="45"/>
  <c r="CE57" i="45"/>
  <c r="CD57" i="45"/>
  <c r="CM56" i="45"/>
  <c r="CL56" i="45"/>
  <c r="CK56" i="45"/>
  <c r="CJ56" i="45"/>
  <c r="CC56" i="45" s="1"/>
  <c r="CI56" i="45"/>
  <c r="CB56" i="45" s="1"/>
  <c r="CF56" i="45"/>
  <c r="CE56" i="45"/>
  <c r="CD56" i="45"/>
  <c r="CM55" i="45"/>
  <c r="CL55" i="45"/>
  <c r="CK55" i="45"/>
  <c r="CJ55" i="45"/>
  <c r="CC55" i="45" s="1"/>
  <c r="CI55" i="45"/>
  <c r="CB55" i="45" s="1"/>
  <c r="CF55" i="45"/>
  <c r="CE55" i="45"/>
  <c r="CD55" i="45"/>
  <c r="AJ54" i="45"/>
  <c r="AI54" i="45"/>
  <c r="AH54" i="45"/>
  <c r="AG54" i="45"/>
  <c r="AF54" i="45"/>
  <c r="AE54" i="45"/>
  <c r="AD54" i="45"/>
  <c r="AC54" i="45"/>
  <c r="AB54" i="45"/>
  <c r="AA54" i="45"/>
  <c r="Z54" i="45"/>
  <c r="Y54" i="45"/>
  <c r="X54" i="45"/>
  <c r="W54" i="45"/>
  <c r="V54" i="45"/>
  <c r="U54" i="45"/>
  <c r="T54" i="45"/>
  <c r="S54" i="45"/>
  <c r="R54" i="45"/>
  <c r="Q54" i="45"/>
  <c r="P54" i="45"/>
  <c r="O54" i="45"/>
  <c r="N54" i="45"/>
  <c r="M54" i="45"/>
  <c r="L54" i="45"/>
  <c r="K54" i="45"/>
  <c r="J54" i="45"/>
  <c r="I54" i="45"/>
  <c r="H54" i="45"/>
  <c r="G54" i="45"/>
  <c r="F54" i="45"/>
  <c r="E54" i="45"/>
  <c r="CM53" i="45"/>
  <c r="CL53" i="45"/>
  <c r="CK53" i="45"/>
  <c r="CJ53" i="45"/>
  <c r="CC53" i="45" s="1"/>
  <c r="CI53" i="45"/>
  <c r="CB53" i="45" s="1"/>
  <c r="CF53" i="45"/>
  <c r="CE53" i="45"/>
  <c r="CD53" i="45"/>
  <c r="CM52" i="45"/>
  <c r="CL52" i="45"/>
  <c r="CK52" i="45"/>
  <c r="CJ52" i="45"/>
  <c r="CC52" i="45" s="1"/>
  <c r="CI52" i="45"/>
  <c r="CB52" i="45" s="1"/>
  <c r="CF52" i="45"/>
  <c r="CE52" i="45"/>
  <c r="CD52" i="45"/>
  <c r="CM51" i="45"/>
  <c r="CL51" i="45"/>
  <c r="CK51" i="45"/>
  <c r="CJ51" i="45"/>
  <c r="CC51" i="45" s="1"/>
  <c r="CI51" i="45"/>
  <c r="CB51" i="45" s="1"/>
  <c r="CF51" i="45"/>
  <c r="CE51" i="45"/>
  <c r="CD51" i="45"/>
  <c r="CM50" i="45"/>
  <c r="CL50" i="45"/>
  <c r="CK50" i="45"/>
  <c r="CJ50" i="45"/>
  <c r="CC50" i="45" s="1"/>
  <c r="CI50" i="45"/>
  <c r="CB50" i="45" s="1"/>
  <c r="CF50" i="45"/>
  <c r="CE50" i="45"/>
  <c r="CD50" i="45"/>
  <c r="CM49" i="45"/>
  <c r="CL49" i="45"/>
  <c r="CK49" i="45"/>
  <c r="CJ49" i="45"/>
  <c r="CC49" i="45" s="1"/>
  <c r="CI49" i="45"/>
  <c r="CB49" i="45" s="1"/>
  <c r="CF49" i="45"/>
  <c r="CE49" i="45"/>
  <c r="CD49" i="45"/>
  <c r="CM48" i="45"/>
  <c r="CL48" i="45"/>
  <c r="CK48" i="45"/>
  <c r="CJ48" i="45"/>
  <c r="CC48" i="45" s="1"/>
  <c r="CI48" i="45"/>
  <c r="CB48" i="45" s="1"/>
  <c r="CF48" i="45"/>
  <c r="CE48" i="45"/>
  <c r="CD48" i="45"/>
  <c r="CM47" i="45"/>
  <c r="CL47" i="45"/>
  <c r="CK47" i="45"/>
  <c r="CJ47" i="45"/>
  <c r="CC47" i="45" s="1"/>
  <c r="CI47" i="45"/>
  <c r="CB47" i="45" s="1"/>
  <c r="CF47" i="45"/>
  <c r="CE47" i="45"/>
  <c r="CD47" i="45"/>
  <c r="AJ46" i="45"/>
  <c r="AI46" i="45"/>
  <c r="AH46" i="45"/>
  <c r="AG46" i="45"/>
  <c r="AF46" i="45"/>
  <c r="AE46" i="45"/>
  <c r="AD46" i="45"/>
  <c r="AC46" i="45"/>
  <c r="AB46" i="45"/>
  <c r="AA46" i="45"/>
  <c r="Z46" i="45"/>
  <c r="Y46" i="45"/>
  <c r="X46" i="45"/>
  <c r="W46" i="45"/>
  <c r="V46" i="45"/>
  <c r="CM45" i="45"/>
  <c r="CL45" i="45"/>
  <c r="CK45" i="45"/>
  <c r="CJ45" i="45"/>
  <c r="CC45" i="45" s="1"/>
  <c r="CF45" i="45"/>
  <c r="CE45" i="45"/>
  <c r="CD45" i="45"/>
  <c r="CM44" i="45"/>
  <c r="CL44" i="45"/>
  <c r="CK44" i="45"/>
  <c r="CJ44" i="45"/>
  <c r="CC44" i="45" s="1"/>
  <c r="CI44" i="45"/>
  <c r="CB44" i="45" s="1"/>
  <c r="CF44" i="45"/>
  <c r="CE44" i="45"/>
  <c r="CD44" i="45"/>
  <c r="CM43" i="45"/>
  <c r="CL43" i="45"/>
  <c r="CJ43" i="45"/>
  <c r="CC43" i="45" s="1"/>
  <c r="CF43" i="45"/>
  <c r="CE43" i="45"/>
  <c r="CM42" i="45"/>
  <c r="CL42" i="45"/>
  <c r="CJ42" i="45"/>
  <c r="CC42" i="45" s="1"/>
  <c r="CF42" i="45"/>
  <c r="CE42" i="45"/>
  <c r="CM41" i="45"/>
  <c r="CL41" i="45"/>
  <c r="CK41" i="45"/>
  <c r="CJ41" i="45"/>
  <c r="CC41" i="45" s="1"/>
  <c r="CI41" i="45"/>
  <c r="CB41" i="45" s="1"/>
  <c r="CF41" i="45"/>
  <c r="CE41" i="45"/>
  <c r="CD41" i="45"/>
  <c r="AL36" i="45"/>
  <c r="AK36" i="45"/>
  <c r="AJ36" i="45"/>
  <c r="AI36" i="45"/>
  <c r="AH36" i="45"/>
  <c r="AG36" i="45"/>
  <c r="AF36" i="45"/>
  <c r="AE36" i="45"/>
  <c r="AD36" i="45"/>
  <c r="AC36" i="45"/>
  <c r="AB36" i="45"/>
  <c r="AA36" i="45"/>
  <c r="Z36" i="45"/>
  <c r="Y36" i="45"/>
  <c r="X36" i="45"/>
  <c r="W36" i="45"/>
  <c r="V36" i="45"/>
  <c r="U36" i="45"/>
  <c r="T36" i="45"/>
  <c r="S36" i="45"/>
  <c r="R36" i="45"/>
  <c r="Q36" i="45"/>
  <c r="P36" i="45"/>
  <c r="O36" i="45"/>
  <c r="N36" i="45"/>
  <c r="M36" i="45"/>
  <c r="L36" i="45"/>
  <c r="K36" i="45"/>
  <c r="J36" i="45"/>
  <c r="I36" i="45"/>
  <c r="H36" i="45"/>
  <c r="G36" i="45"/>
  <c r="F36" i="45"/>
  <c r="E36" i="45"/>
  <c r="CN35" i="45"/>
  <c r="CM35" i="45"/>
  <c r="CL35" i="45"/>
  <c r="CK35" i="45"/>
  <c r="CJ35" i="45"/>
  <c r="CC35" i="45" s="1"/>
  <c r="CI35" i="45"/>
  <c r="CB35" i="45" s="1"/>
  <c r="CG35" i="45"/>
  <c r="CF35" i="45"/>
  <c r="CE35" i="45"/>
  <c r="CD35" i="45"/>
  <c r="CN34" i="45"/>
  <c r="CM34" i="45"/>
  <c r="CL34" i="45"/>
  <c r="CK34" i="45"/>
  <c r="CJ34" i="45"/>
  <c r="CC34" i="45" s="1"/>
  <c r="CI34" i="45"/>
  <c r="CB34" i="45" s="1"/>
  <c r="CG34" i="45"/>
  <c r="CF34" i="45"/>
  <c r="CE34" i="45"/>
  <c r="CD34" i="45"/>
  <c r="CN33" i="45"/>
  <c r="CM33" i="45"/>
  <c r="CL33" i="45"/>
  <c r="CK33" i="45"/>
  <c r="CJ33" i="45"/>
  <c r="CC33" i="45" s="1"/>
  <c r="CI33" i="45"/>
  <c r="CB33" i="45" s="1"/>
  <c r="CG33" i="45"/>
  <c r="CF33" i="45"/>
  <c r="CE33" i="45"/>
  <c r="CD33" i="45"/>
  <c r="CN32" i="45"/>
  <c r="CM32" i="45"/>
  <c r="CL32" i="45"/>
  <c r="CK32" i="45"/>
  <c r="CJ32" i="45"/>
  <c r="CC32" i="45" s="1"/>
  <c r="CI32" i="45"/>
  <c r="CB32" i="45" s="1"/>
  <c r="CG32" i="45"/>
  <c r="CF32" i="45"/>
  <c r="CE32" i="45"/>
  <c r="CD32" i="45"/>
  <c r="CN31" i="45"/>
  <c r="CM31" i="45"/>
  <c r="CL31" i="45"/>
  <c r="CK31" i="45"/>
  <c r="CJ31" i="45"/>
  <c r="CC31" i="45" s="1"/>
  <c r="CI31" i="45"/>
  <c r="CB31" i="45" s="1"/>
  <c r="CG31" i="45"/>
  <c r="CF31" i="45"/>
  <c r="CE31" i="45"/>
  <c r="CD31" i="45"/>
  <c r="CN30" i="45"/>
  <c r="CM30" i="45"/>
  <c r="CL30" i="45"/>
  <c r="CK30" i="45"/>
  <c r="CJ30" i="45"/>
  <c r="CC30" i="45" s="1"/>
  <c r="CI30" i="45"/>
  <c r="CB30" i="45" s="1"/>
  <c r="CG30" i="45"/>
  <c r="CF30" i="45"/>
  <c r="CE30" i="45"/>
  <c r="CD30" i="45"/>
  <c r="CN29" i="45"/>
  <c r="CM29" i="45"/>
  <c r="CL29" i="45"/>
  <c r="CK29" i="45"/>
  <c r="CJ29" i="45"/>
  <c r="CC29" i="45" s="1"/>
  <c r="CI29" i="45"/>
  <c r="CB29" i="45" s="1"/>
  <c r="CG29" i="45"/>
  <c r="CF29" i="45"/>
  <c r="CE29" i="45"/>
  <c r="CD29" i="45"/>
  <c r="CN28" i="45"/>
  <c r="CM28" i="45"/>
  <c r="CL28" i="45"/>
  <c r="CK28" i="45"/>
  <c r="CJ28" i="45"/>
  <c r="CC28" i="45" s="1"/>
  <c r="CI28" i="45"/>
  <c r="CB28" i="45" s="1"/>
  <c r="CG28" i="45"/>
  <c r="CF28" i="45"/>
  <c r="CE28" i="45"/>
  <c r="CD28" i="45"/>
  <c r="CN27" i="45"/>
  <c r="CM27" i="45"/>
  <c r="CL27" i="45"/>
  <c r="CK27" i="45"/>
  <c r="CJ27" i="45"/>
  <c r="CC27" i="45" s="1"/>
  <c r="CI27" i="45"/>
  <c r="CG27" i="45"/>
  <c r="CF27" i="45"/>
  <c r="CE27" i="45"/>
  <c r="CD27" i="45"/>
  <c r="CB27" i="45"/>
  <c r="CN26" i="45"/>
  <c r="CM26" i="45"/>
  <c r="CL26" i="45"/>
  <c r="CK26" i="45"/>
  <c r="CJ26" i="45"/>
  <c r="CC26" i="45" s="1"/>
  <c r="CI26" i="45"/>
  <c r="CB26" i="45" s="1"/>
  <c r="CG26" i="45"/>
  <c r="CF26" i="45"/>
  <c r="CE26" i="45"/>
  <c r="CD26" i="45"/>
  <c r="CN25" i="45"/>
  <c r="CM25" i="45"/>
  <c r="CL25" i="45"/>
  <c r="CK25" i="45"/>
  <c r="CJ25" i="45"/>
  <c r="CC25" i="45" s="1"/>
  <c r="CI25" i="45"/>
  <c r="CB25" i="45" s="1"/>
  <c r="CG25" i="45"/>
  <c r="CF25" i="45"/>
  <c r="CE25" i="45"/>
  <c r="CD25" i="45"/>
  <c r="CN24" i="45"/>
  <c r="CM24" i="45"/>
  <c r="CL24" i="45"/>
  <c r="CK24" i="45"/>
  <c r="CJ24" i="45"/>
  <c r="CC24" i="45" s="1"/>
  <c r="CI24" i="45"/>
  <c r="CB24" i="45" s="1"/>
  <c r="CG24" i="45"/>
  <c r="CF24" i="45"/>
  <c r="CE24" i="45"/>
  <c r="CD24" i="45"/>
  <c r="CN23" i="45"/>
  <c r="CM23" i="45"/>
  <c r="CL23" i="45"/>
  <c r="CK23" i="45"/>
  <c r="CJ23" i="45"/>
  <c r="CC23" i="45" s="1"/>
  <c r="CI23" i="45"/>
  <c r="CB23" i="45" s="1"/>
  <c r="CG23" i="45"/>
  <c r="CF23" i="45"/>
  <c r="CE23" i="45"/>
  <c r="CD23" i="45"/>
  <c r="CN22" i="45"/>
  <c r="CM22" i="45"/>
  <c r="CL22" i="45"/>
  <c r="CK22" i="45"/>
  <c r="CJ22" i="45"/>
  <c r="CC22" i="45" s="1"/>
  <c r="CI22" i="45"/>
  <c r="CB22" i="45" s="1"/>
  <c r="CG22" i="45"/>
  <c r="CF22" i="45"/>
  <c r="CE22" i="45"/>
  <c r="CD22" i="45"/>
  <c r="CN21" i="45"/>
  <c r="CM21" i="45"/>
  <c r="CL21" i="45"/>
  <c r="CK21" i="45"/>
  <c r="CJ21" i="45"/>
  <c r="CC21" i="45" s="1"/>
  <c r="CI21" i="45"/>
  <c r="CB21" i="45" s="1"/>
  <c r="CG21" i="45"/>
  <c r="CF21" i="45"/>
  <c r="CE21" i="45"/>
  <c r="CD21" i="45"/>
  <c r="CN20" i="45"/>
  <c r="CM20" i="45"/>
  <c r="CL20" i="45"/>
  <c r="CK20" i="45"/>
  <c r="CJ20" i="45"/>
  <c r="CC20" i="45" s="1"/>
  <c r="CI20" i="45"/>
  <c r="CB20" i="45" s="1"/>
  <c r="CG20" i="45"/>
  <c r="CF20" i="45"/>
  <c r="CE20" i="45"/>
  <c r="CD20" i="45"/>
  <c r="CN19" i="45"/>
  <c r="CM19" i="45"/>
  <c r="CL19" i="45"/>
  <c r="CK19" i="45"/>
  <c r="CJ19" i="45"/>
  <c r="CI19" i="45"/>
  <c r="AM19" i="45"/>
  <c r="CM15" i="45"/>
  <c r="CL15" i="45"/>
  <c r="CK15" i="45"/>
  <c r="CJ15" i="45"/>
  <c r="CC15" i="45" s="1"/>
  <c r="CI15" i="45"/>
  <c r="CB15" i="45" s="1"/>
  <c r="CF15" i="45"/>
  <c r="CE15" i="45"/>
  <c r="CD15" i="45"/>
  <c r="CM14" i="45"/>
  <c r="CL14" i="45"/>
  <c r="CK14" i="45"/>
  <c r="CJ14" i="45"/>
  <c r="CC14" i="45" s="1"/>
  <c r="CI14" i="45"/>
  <c r="CB14" i="45" s="1"/>
  <c r="CF14" i="45"/>
  <c r="CE14" i="45"/>
  <c r="CD14" i="45"/>
  <c r="CM13" i="45"/>
  <c r="CL13" i="45"/>
  <c r="CK13" i="45"/>
  <c r="CJ13" i="45"/>
  <c r="CC13" i="45" s="1"/>
  <c r="CI13" i="45"/>
  <c r="CB13" i="45" s="1"/>
  <c r="CF13" i="45"/>
  <c r="CE13" i="45"/>
  <c r="CD13" i="45"/>
  <c r="CM12" i="45"/>
  <c r="CL12" i="45"/>
  <c r="CK12" i="45"/>
  <c r="CJ12" i="45"/>
  <c r="CC12" i="45" s="1"/>
  <c r="CI12" i="45"/>
  <c r="C315" i="45" s="1"/>
  <c r="CF12" i="45"/>
  <c r="CE12" i="45"/>
  <c r="CD12" i="45"/>
  <c r="G46" i="45" l="1"/>
  <c r="E58" i="45"/>
  <c r="AG214" i="45"/>
  <c r="AG238" i="45"/>
  <c r="AG270" i="45"/>
  <c r="E152" i="45"/>
  <c r="AG240" i="45"/>
  <c r="AK41" i="45"/>
  <c r="W102" i="45"/>
  <c r="W105" i="45"/>
  <c r="AK14" i="45"/>
  <c r="K61" i="45"/>
  <c r="W122" i="45"/>
  <c r="W131" i="45"/>
  <c r="W138" i="45"/>
  <c r="W141" i="45"/>
  <c r="AG204" i="45"/>
  <c r="AG217" i="45"/>
  <c r="F279" i="45"/>
  <c r="AK44" i="45"/>
  <c r="AK51" i="45"/>
  <c r="AG230" i="45"/>
  <c r="AG239" i="45"/>
  <c r="AG243" i="45"/>
  <c r="F46" i="45"/>
  <c r="E46" i="45" s="1"/>
  <c r="CJ54" i="45"/>
  <c r="CC54" i="45" s="1"/>
  <c r="W94" i="45"/>
  <c r="W97" i="45"/>
  <c r="W127" i="45"/>
  <c r="AI189" i="45"/>
  <c r="AG228" i="45"/>
  <c r="AG234" i="45"/>
  <c r="G279" i="45"/>
  <c r="AM26" i="45"/>
  <c r="AK52" i="45"/>
  <c r="W96" i="45"/>
  <c r="AG250" i="45"/>
  <c r="AK13" i="45"/>
  <c r="AK57" i="45"/>
  <c r="K63" i="45"/>
  <c r="W89" i="45"/>
  <c r="W109" i="45"/>
  <c r="W115" i="45"/>
  <c r="AG212" i="45"/>
  <c r="AG223" i="45"/>
  <c r="AG227" i="45"/>
  <c r="AG254" i="45"/>
  <c r="AM34" i="45"/>
  <c r="W92" i="45"/>
  <c r="W93" i="45"/>
  <c r="W119" i="45"/>
  <c r="AK48" i="45"/>
  <c r="AK15" i="45"/>
  <c r="AM22" i="45"/>
  <c r="AM30" i="45"/>
  <c r="K65" i="45"/>
  <c r="K68" i="45"/>
  <c r="K69" i="45"/>
  <c r="W82" i="45"/>
  <c r="W85" i="45"/>
  <c r="W123" i="45"/>
  <c r="AG225" i="45"/>
  <c r="AG226" i="45"/>
  <c r="AG231" i="45"/>
  <c r="W126" i="45"/>
  <c r="W130" i="45"/>
  <c r="W137" i="45"/>
  <c r="AI188" i="45"/>
  <c r="AG220" i="45"/>
  <c r="AG222" i="45"/>
  <c r="AG235" i="45"/>
  <c r="AG248" i="45"/>
  <c r="AG266" i="45"/>
  <c r="R287" i="45"/>
  <c r="AK42" i="45"/>
  <c r="CI46" i="45"/>
  <c r="CB46" i="45" s="1"/>
  <c r="AK47" i="45"/>
  <c r="AK50" i="45"/>
  <c r="AK56" i="45"/>
  <c r="K62" i="45"/>
  <c r="K67" i="45"/>
  <c r="K70" i="45"/>
  <c r="W81" i="45"/>
  <c r="W87" i="45"/>
  <c r="W91" i="45"/>
  <c r="W99" i="45"/>
  <c r="W107" i="45"/>
  <c r="W111" i="45"/>
  <c r="W114" i="45"/>
  <c r="W118" i="45"/>
  <c r="W121" i="45"/>
  <c r="W129" i="45"/>
  <c r="AI187" i="45"/>
  <c r="AG262" i="45"/>
  <c r="AG210" i="45"/>
  <c r="AG224" i="45"/>
  <c r="AM21" i="45"/>
  <c r="AM23" i="45"/>
  <c r="AM25" i="45"/>
  <c r="AM27" i="45"/>
  <c r="AM29" i="45"/>
  <c r="AM31" i="45"/>
  <c r="AM33" i="45"/>
  <c r="AM35" i="45"/>
  <c r="AK43" i="45"/>
  <c r="AK45" i="45"/>
  <c r="AK49" i="45"/>
  <c r="AK53" i="45"/>
  <c r="CI54" i="45"/>
  <c r="CB54" i="45" s="1"/>
  <c r="CD54" i="45"/>
  <c r="CM54" i="45"/>
  <c r="K66" i="45"/>
  <c r="W83" i="45"/>
  <c r="W86" i="45"/>
  <c r="W90" i="45"/>
  <c r="W98" i="45"/>
  <c r="W100" i="45"/>
  <c r="W103" i="45"/>
  <c r="W106" i="45"/>
  <c r="W110" i="45"/>
  <c r="W113" i="45"/>
  <c r="W136" i="45"/>
  <c r="W142" i="45"/>
  <c r="AG208" i="45"/>
  <c r="AG215" i="45"/>
  <c r="AG241" i="45"/>
  <c r="AG258" i="45"/>
  <c r="E163" i="45"/>
  <c r="W101" i="45"/>
  <c r="W140" i="45"/>
  <c r="W95" i="45"/>
  <c r="W125" i="45"/>
  <c r="AM20" i="45"/>
  <c r="AM24" i="45"/>
  <c r="AM28" i="45"/>
  <c r="AM32" i="45"/>
  <c r="K71" i="45"/>
  <c r="W117" i="45"/>
  <c r="W84" i="45"/>
  <c r="W108" i="45"/>
  <c r="W116" i="45"/>
  <c r="AI186" i="45"/>
  <c r="AG216" i="45"/>
  <c r="AG218" i="45"/>
  <c r="AG221" i="45"/>
  <c r="AG246" i="45"/>
  <c r="CF54" i="45"/>
  <c r="W139" i="45"/>
  <c r="AK55" i="45"/>
  <c r="CK54" i="45"/>
  <c r="K64" i="45"/>
  <c r="W80" i="45"/>
  <c r="W88" i="45"/>
  <c r="W143" i="45"/>
  <c r="AG211" i="45"/>
  <c r="AG213" i="45"/>
  <c r="AG219" i="45"/>
  <c r="AG249" i="45"/>
  <c r="AG251" i="45"/>
  <c r="AG255" i="45"/>
  <c r="AG259" i="45"/>
  <c r="AG263" i="45"/>
  <c r="AG267" i="45"/>
  <c r="AG271" i="45"/>
  <c r="W124" i="45"/>
  <c r="CB12" i="45"/>
  <c r="AK12" i="45" s="1"/>
  <c r="CE54" i="45"/>
  <c r="CL54" i="45"/>
  <c r="W104" i="45"/>
  <c r="W112" i="45"/>
  <c r="W120" i="45"/>
  <c r="W128" i="45"/>
  <c r="AG203" i="45"/>
  <c r="AG207" i="45"/>
  <c r="AG209" i="45"/>
  <c r="AG233" i="45"/>
  <c r="AG236" i="45"/>
  <c r="AG237" i="45"/>
  <c r="AG242" i="45"/>
  <c r="AG244" i="45"/>
  <c r="AG229" i="45"/>
  <c r="AG232" i="45"/>
  <c r="AG252" i="45"/>
  <c r="AG253" i="45"/>
  <c r="AG256" i="45"/>
  <c r="AG257" i="45"/>
  <c r="AG260" i="45"/>
  <c r="AG261" i="45"/>
  <c r="AG264" i="45"/>
  <c r="AG265" i="45"/>
  <c r="AG268" i="45"/>
  <c r="AG269" i="45"/>
  <c r="AG272" i="45"/>
  <c r="R285" i="45"/>
  <c r="AG205" i="45"/>
  <c r="AG206" i="45"/>
  <c r="AG245" i="45"/>
  <c r="AG247" i="45"/>
  <c r="R284" i="45"/>
  <c r="R286" i="45"/>
  <c r="R288" i="45"/>
  <c r="CJ46" i="45" l="1"/>
  <c r="CC46" i="45" s="1"/>
  <c r="CK46" i="45"/>
  <c r="CE46" i="45"/>
  <c r="CL46" i="45"/>
  <c r="CF46" i="45"/>
  <c r="E279" i="45"/>
  <c r="CK277" i="45" s="1"/>
  <c r="CD277" i="45" s="1"/>
  <c r="CD46" i="45"/>
  <c r="CM46" i="45"/>
  <c r="C49" i="44" l="1"/>
  <c r="L44" i="42" l="1"/>
  <c r="E11" i="42"/>
  <c r="D11" i="42"/>
  <c r="C11" i="42" l="1"/>
  <c r="CH107" i="8" l="1"/>
  <c r="F102" i="8"/>
  <c r="E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I102" i="8"/>
  <c r="AJ102" i="8"/>
  <c r="AK102" i="8"/>
  <c r="AL102" i="8"/>
  <c r="AM102" i="8"/>
  <c r="AN102" i="8"/>
  <c r="AO102" i="8"/>
  <c r="AP102" i="8"/>
  <c r="AQ102" i="8"/>
  <c r="AR102" i="8"/>
  <c r="D102" i="8" l="1"/>
  <c r="V71" i="8" l="1"/>
  <c r="AP23" i="7"/>
  <c r="AO23" i="7"/>
  <c r="AN23" i="7"/>
  <c r="AM23" i="7"/>
  <c r="AL23" i="7"/>
  <c r="AK23" i="7"/>
  <c r="AJ23" i="7"/>
  <c r="AI23" i="7"/>
  <c r="AH23" i="7"/>
  <c r="AG23" i="7"/>
  <c r="AF23" i="7"/>
  <c r="AE23" i="7"/>
  <c r="AD23" i="7"/>
  <c r="AC23" i="7"/>
  <c r="AB23" i="7"/>
  <c r="AA23" i="7"/>
  <c r="Z23" i="7"/>
  <c r="Y23" i="7"/>
  <c r="X23" i="7"/>
  <c r="W23" i="7"/>
  <c r="V23" i="7"/>
  <c r="U23" i="7"/>
  <c r="T23" i="7"/>
  <c r="S23" i="7"/>
  <c r="R23" i="7"/>
  <c r="Q23" i="7"/>
  <c r="P23" i="7"/>
  <c r="O23" i="7"/>
  <c r="N23" i="7"/>
  <c r="M23" i="7"/>
  <c r="L23" i="7"/>
  <c r="K23" i="7"/>
  <c r="J23" i="7"/>
  <c r="I23" i="7"/>
  <c r="H23" i="7"/>
  <c r="G23" i="7"/>
  <c r="AV251" i="6"/>
  <c r="AU251" i="6"/>
  <c r="AT251" i="6"/>
  <c r="AS251" i="6"/>
  <c r="AR251" i="6"/>
  <c r="AQ251" i="6"/>
  <c r="AP251" i="6"/>
  <c r="AO251" i="6"/>
  <c r="AN251" i="6"/>
  <c r="AM251" i="6"/>
  <c r="AL251" i="6"/>
  <c r="AK251" i="6"/>
  <c r="AJ251" i="6"/>
  <c r="AI251" i="6"/>
  <c r="AH251" i="6"/>
  <c r="AG251" i="6"/>
  <c r="AF251" i="6"/>
  <c r="AE251" i="6"/>
  <c r="AD251" i="6"/>
  <c r="AC251" i="6"/>
  <c r="AB251" i="6"/>
  <c r="AA251" i="6"/>
  <c r="Z251" i="6"/>
  <c r="Y251" i="6"/>
  <c r="X251" i="6"/>
  <c r="W251" i="6"/>
  <c r="V251" i="6"/>
  <c r="U251" i="6"/>
  <c r="T251" i="6"/>
  <c r="S251" i="6"/>
  <c r="R251" i="6"/>
  <c r="Q251" i="6"/>
  <c r="P251" i="6"/>
  <c r="O251" i="6"/>
  <c r="N251" i="6"/>
  <c r="M251" i="6"/>
  <c r="L251" i="6"/>
  <c r="K251" i="6"/>
  <c r="J251" i="6"/>
  <c r="I251" i="6"/>
  <c r="H251" i="6"/>
  <c r="G251" i="6"/>
  <c r="P141" i="6"/>
  <c r="O141" i="6"/>
  <c r="N141" i="6"/>
  <c r="M141" i="6"/>
  <c r="L141" i="6"/>
  <c r="K141" i="6"/>
  <c r="J141" i="6"/>
  <c r="I141" i="6"/>
  <c r="H141" i="6"/>
  <c r="G141" i="6"/>
  <c r="F141" i="6"/>
  <c r="E141" i="6"/>
  <c r="D141" i="6"/>
  <c r="Q128" i="6"/>
  <c r="P128" i="6"/>
  <c r="O128" i="6"/>
  <c r="N128" i="6"/>
  <c r="M128" i="6"/>
  <c r="L128" i="6"/>
  <c r="K128" i="6"/>
  <c r="J128" i="6"/>
  <c r="I128" i="6"/>
  <c r="H128" i="6"/>
  <c r="G128" i="6"/>
  <c r="F128" i="6"/>
  <c r="E128" i="6"/>
  <c r="D128" i="6"/>
  <c r="D120" i="6"/>
  <c r="N115" i="6"/>
  <c r="M115" i="6"/>
  <c r="L115" i="6"/>
  <c r="K115" i="6"/>
  <c r="J115" i="6"/>
  <c r="I115" i="6"/>
  <c r="H115" i="6"/>
  <c r="G115" i="6"/>
  <c r="F115" i="6"/>
  <c r="E115" i="6"/>
  <c r="D115" i="6"/>
  <c r="E33" i="6"/>
  <c r="O33" i="6"/>
  <c r="F33" i="6"/>
  <c r="C101" i="32"/>
  <c r="G101" i="32"/>
  <c r="F101" i="32"/>
  <c r="E101" i="32"/>
  <c r="D101" i="32"/>
  <c r="E54" i="32"/>
  <c r="D54" i="32"/>
  <c r="X57" i="32"/>
  <c r="W57" i="32"/>
  <c r="V57" i="32"/>
  <c r="U57" i="32"/>
  <c r="T57" i="32"/>
  <c r="S57" i="32"/>
  <c r="R57" i="32"/>
  <c r="Q57" i="32"/>
  <c r="P57" i="32"/>
  <c r="O57" i="32"/>
  <c r="N57" i="32"/>
  <c r="M57" i="32"/>
  <c r="L57" i="32"/>
  <c r="K57" i="32"/>
  <c r="J57" i="32"/>
  <c r="I57" i="32"/>
  <c r="H57" i="32"/>
  <c r="G57" i="32"/>
  <c r="F57" i="32"/>
  <c r="E57" i="32"/>
  <c r="D57" i="32"/>
  <c r="C57" i="32"/>
  <c r="X54" i="32"/>
  <c r="W54" i="32"/>
  <c r="V54" i="32"/>
  <c r="U54" i="32"/>
  <c r="T54" i="32"/>
  <c r="S54" i="32"/>
  <c r="R54" i="32"/>
  <c r="Q54" i="32"/>
  <c r="P54" i="32"/>
  <c r="O54" i="32"/>
  <c r="N54" i="32"/>
  <c r="M54" i="32"/>
  <c r="L54" i="32"/>
  <c r="K54" i="32"/>
  <c r="J54" i="32"/>
  <c r="I54" i="32"/>
  <c r="H54" i="32"/>
  <c r="G54" i="32"/>
  <c r="F54" i="32"/>
  <c r="U193" i="4"/>
  <c r="V193" i="4"/>
  <c r="E193" i="4"/>
  <c r="F193" i="4"/>
  <c r="G193" i="4"/>
  <c r="H193" i="4"/>
  <c r="I193" i="4"/>
  <c r="J193" i="4"/>
  <c r="K193" i="4"/>
  <c r="L193" i="4"/>
  <c r="M193" i="4"/>
  <c r="N193" i="4"/>
  <c r="O193" i="4"/>
  <c r="P193" i="4"/>
  <c r="Q193" i="4"/>
  <c r="R193" i="4"/>
  <c r="S193" i="4"/>
  <c r="T193" i="4"/>
  <c r="D193" i="4"/>
  <c r="R186" i="4"/>
  <c r="Q186" i="4"/>
  <c r="P186" i="4"/>
  <c r="O186" i="4"/>
  <c r="N186" i="4"/>
  <c r="M186" i="4"/>
  <c r="L186" i="4"/>
  <c r="K186" i="4"/>
  <c r="J186" i="4"/>
  <c r="I186" i="4"/>
  <c r="H186" i="4"/>
  <c r="G186" i="4"/>
  <c r="R178" i="4"/>
  <c r="Q178" i="4"/>
  <c r="P178" i="4"/>
  <c r="O178" i="4"/>
  <c r="N178" i="4"/>
  <c r="M178" i="4"/>
  <c r="L178" i="4"/>
  <c r="K178" i="4"/>
  <c r="J178" i="4"/>
  <c r="I178" i="4"/>
  <c r="H178" i="4"/>
  <c r="G178" i="4"/>
  <c r="F178" i="4"/>
  <c r="E178" i="4"/>
  <c r="D178" i="4"/>
  <c r="AB150" i="4"/>
  <c r="AA150" i="4"/>
  <c r="Z150" i="4"/>
  <c r="Y150" i="4"/>
  <c r="X150" i="4"/>
  <c r="W150" i="4"/>
  <c r="V150" i="4"/>
  <c r="U150" i="4"/>
  <c r="T150" i="4"/>
  <c r="S150" i="4"/>
  <c r="R150" i="4"/>
  <c r="Q150" i="4"/>
  <c r="P150" i="4"/>
  <c r="O150" i="4"/>
  <c r="N150" i="4"/>
  <c r="M150" i="4"/>
  <c r="L150" i="4"/>
  <c r="K150" i="4"/>
  <c r="J150" i="4"/>
  <c r="I150" i="4"/>
  <c r="H150" i="4"/>
  <c r="G150" i="4"/>
  <c r="F150" i="4"/>
  <c r="E150" i="4"/>
  <c r="D150" i="4"/>
  <c r="AB139" i="4"/>
  <c r="AA139" i="4"/>
  <c r="Z139" i="4"/>
  <c r="Y139" i="4"/>
  <c r="X139" i="4"/>
  <c r="W139" i="4"/>
  <c r="V139" i="4"/>
  <c r="U139" i="4"/>
  <c r="T139" i="4"/>
  <c r="S139" i="4"/>
  <c r="R139" i="4"/>
  <c r="Q139" i="4"/>
  <c r="P139" i="4"/>
  <c r="O139" i="4"/>
  <c r="N139" i="4"/>
  <c r="M139" i="4"/>
  <c r="L139" i="4"/>
  <c r="K139" i="4"/>
  <c r="J139" i="4"/>
  <c r="I139" i="4"/>
  <c r="H139" i="4"/>
  <c r="G139" i="4"/>
  <c r="F139" i="4"/>
  <c r="E139" i="4"/>
  <c r="D139" i="4"/>
  <c r="J51" i="4"/>
  <c r="I51" i="4"/>
  <c r="H51" i="4"/>
  <c r="F51" i="4" s="1"/>
  <c r="G51" i="4"/>
  <c r="E51" i="4" s="1"/>
  <c r="D51" i="4" s="1"/>
  <c r="C11" i="40"/>
  <c r="I69" i="1"/>
  <c r="H69" i="1"/>
  <c r="G69" i="1"/>
  <c r="F69" i="1"/>
  <c r="E69" i="1"/>
  <c r="D69" i="1"/>
  <c r="F186" i="4" l="1"/>
  <c r="E251" i="6"/>
  <c r="E23" i="7"/>
  <c r="F23" i="7"/>
  <c r="F251" i="6"/>
  <c r="E186" i="4"/>
  <c r="D186" i="4" s="1"/>
  <c r="D251" i="6" l="1"/>
  <c r="D23" i="7"/>
  <c r="F25" i="28"/>
  <c r="F24" i="28"/>
  <c r="D28" i="28"/>
  <c r="D25" i="28"/>
  <c r="D24" i="28"/>
  <c r="CH73" i="36" l="1"/>
  <c r="CB73" i="36" s="1"/>
  <c r="CH74" i="36"/>
  <c r="CB74" i="36" s="1"/>
  <c r="CH75" i="36"/>
  <c r="CB75" i="36" s="1"/>
  <c r="CH76" i="36"/>
  <c r="CB76" i="36" s="1"/>
  <c r="CH77" i="36"/>
  <c r="CB77" i="36" s="1"/>
  <c r="CH78" i="36"/>
  <c r="CB78" i="36" s="1"/>
  <c r="CH79" i="36"/>
  <c r="CB79" i="36" s="1"/>
  <c r="CH80" i="36"/>
  <c r="CB80" i="36" s="1"/>
  <c r="CH81" i="36"/>
  <c r="CB81" i="36" s="1"/>
  <c r="CH83" i="36"/>
  <c r="CB83" i="36" s="1"/>
  <c r="CH84" i="36"/>
  <c r="CB84" i="36" s="1"/>
  <c r="CH85" i="36"/>
  <c r="CB85" i="36" s="1"/>
  <c r="CH72" i="36"/>
  <c r="CB72" i="36" s="1"/>
  <c r="CI73" i="36"/>
  <c r="CC73" i="36" s="1"/>
  <c r="CI74" i="36"/>
  <c r="CC74" i="36" s="1"/>
  <c r="CI75" i="36"/>
  <c r="CC75" i="36" s="1"/>
  <c r="CI76" i="36"/>
  <c r="CC76" i="36" s="1"/>
  <c r="CI77" i="36"/>
  <c r="CC77" i="36" s="1"/>
  <c r="CI78" i="36"/>
  <c r="CC78" i="36" s="1"/>
  <c r="CI79" i="36"/>
  <c r="CC79" i="36" s="1"/>
  <c r="CI80" i="36"/>
  <c r="CC80" i="36" s="1"/>
  <c r="CI81" i="36"/>
  <c r="CC81" i="36" s="1"/>
  <c r="CI83" i="36"/>
  <c r="CC83" i="36" s="1"/>
  <c r="CI84" i="36"/>
  <c r="CC84" i="36" s="1"/>
  <c r="CI85" i="36"/>
  <c r="CC85" i="36" s="1"/>
  <c r="CI72" i="36"/>
  <c r="CC72" i="36" s="1"/>
  <c r="CH21" i="31"/>
  <c r="CB21" i="31" s="1"/>
  <c r="AE21" i="31" s="1"/>
  <c r="W77" i="36" l="1"/>
  <c r="W83" i="36"/>
  <c r="W74" i="36"/>
  <c r="W75" i="36"/>
  <c r="W85" i="36"/>
  <c r="W73" i="36"/>
  <c r="W81" i="36"/>
  <c r="W76" i="36"/>
  <c r="W80" i="36"/>
  <c r="W84" i="36"/>
  <c r="W78" i="36"/>
  <c r="W79" i="36"/>
  <c r="I74" i="2"/>
  <c r="CK81" i="33" l="1"/>
  <c r="CE81" i="33" s="1"/>
  <c r="CJ81" i="33"/>
  <c r="CD81" i="33" s="1"/>
  <c r="CI81" i="33"/>
  <c r="CC81" i="33" s="1"/>
  <c r="CH81" i="33"/>
  <c r="CB81" i="33" s="1"/>
  <c r="AV81" i="33" l="1"/>
  <c r="CH12" i="8"/>
  <c r="CI12" i="8"/>
  <c r="CH13" i="8"/>
  <c r="CI13" i="8"/>
  <c r="CH14" i="8"/>
  <c r="CI14" i="8"/>
  <c r="CH15" i="8"/>
  <c r="CI15" i="8"/>
  <c r="CH16" i="8"/>
  <c r="CI16" i="8"/>
  <c r="CH17" i="8"/>
  <c r="CI17" i="8"/>
  <c r="CH18" i="8"/>
  <c r="CI18" i="8"/>
  <c r="CH19" i="8"/>
  <c r="CI19" i="8"/>
  <c r="CH20" i="8"/>
  <c r="CI20" i="8"/>
  <c r="CH21" i="8"/>
  <c r="CI21" i="8"/>
  <c r="CH22" i="8"/>
  <c r="CI22" i="8"/>
  <c r="CH23" i="8"/>
  <c r="CI23" i="8"/>
  <c r="CH24" i="8"/>
  <c r="CI24" i="8"/>
  <c r="CH25" i="8"/>
  <c r="CI25" i="8"/>
  <c r="CH26" i="8"/>
  <c r="CI26" i="8"/>
  <c r="CH27" i="8"/>
  <c r="CI27" i="8"/>
  <c r="CH28" i="8"/>
  <c r="CI28" i="8"/>
  <c r="CH29" i="8"/>
  <c r="CI29" i="8"/>
  <c r="CH30" i="8"/>
  <c r="CI30" i="8"/>
  <c r="CH31" i="8"/>
  <c r="CI31" i="8"/>
  <c r="CH32" i="8"/>
  <c r="CI32" i="8"/>
  <c r="CH33" i="8"/>
  <c r="CI33" i="8"/>
  <c r="CH34" i="8"/>
  <c r="CI34" i="8"/>
  <c r="CH35" i="8"/>
  <c r="CI35" i="8"/>
  <c r="CH36" i="8"/>
  <c r="CI36" i="8"/>
  <c r="CH37" i="8"/>
  <c r="CI37" i="8"/>
  <c r="CH38" i="8"/>
  <c r="CI38" i="8"/>
  <c r="CH39" i="8"/>
  <c r="CI39" i="8"/>
  <c r="CH40" i="8"/>
  <c r="CI40" i="8"/>
  <c r="CH41" i="8"/>
  <c r="CI41" i="8"/>
  <c r="CH42" i="8"/>
  <c r="CI42" i="8"/>
  <c r="CH43" i="8"/>
  <c r="CI43" i="8"/>
  <c r="CH44" i="8"/>
  <c r="CI44" i="8"/>
  <c r="CH45" i="8"/>
  <c r="CI45" i="8"/>
  <c r="CH46" i="8"/>
  <c r="CI46" i="8"/>
  <c r="CH47" i="8"/>
  <c r="CI47" i="8"/>
  <c r="CH48" i="8"/>
  <c r="CI48" i="8"/>
  <c r="CH49" i="8"/>
  <c r="CI49" i="8"/>
  <c r="CH50" i="8"/>
  <c r="CI50" i="8"/>
  <c r="CH51" i="8"/>
  <c r="CI51" i="8"/>
  <c r="CH52" i="8"/>
  <c r="CI52" i="8"/>
  <c r="CH53" i="8"/>
  <c r="CI53" i="8"/>
  <c r="CH54" i="8"/>
  <c r="CI54" i="8"/>
  <c r="CH55" i="8"/>
  <c r="CI55" i="8"/>
  <c r="CH56" i="8"/>
  <c r="CI56" i="8"/>
  <c r="CH57" i="8"/>
  <c r="CI57" i="8"/>
  <c r="CH58" i="8"/>
  <c r="CI58" i="8"/>
  <c r="CH59" i="8"/>
  <c r="CI59" i="8"/>
  <c r="CH60" i="8"/>
  <c r="CI60" i="8"/>
  <c r="CH61" i="8"/>
  <c r="CI61" i="8"/>
  <c r="CH62" i="8"/>
  <c r="CI62" i="8"/>
  <c r="CH63" i="8"/>
  <c r="CI63" i="8"/>
  <c r="CH64" i="8"/>
  <c r="CI64" i="8"/>
  <c r="CH65" i="8"/>
  <c r="CI65" i="8"/>
  <c r="CH66" i="8"/>
  <c r="CI66" i="8"/>
  <c r="CH67" i="8"/>
  <c r="CI67" i="8"/>
  <c r="CH68" i="8"/>
  <c r="CI68" i="8"/>
  <c r="CH69" i="8"/>
  <c r="CI69" i="8"/>
  <c r="CH70" i="8"/>
  <c r="CI70" i="8"/>
  <c r="CI11" i="8"/>
  <c r="CH11" i="8"/>
  <c r="CH149" i="7" l="1"/>
  <c r="CB149" i="7" s="1"/>
  <c r="CI149" i="7"/>
  <c r="CC149" i="7" s="1"/>
  <c r="CJ149" i="7"/>
  <c r="CD149" i="7" s="1"/>
  <c r="CK149" i="7"/>
  <c r="CE149" i="7" s="1"/>
  <c r="CM149" i="7"/>
  <c r="CG149" i="7" s="1"/>
  <c r="CH150" i="7"/>
  <c r="CB150" i="7" s="1"/>
  <c r="CI150" i="7"/>
  <c r="CC150" i="7" s="1"/>
  <c r="CJ150" i="7"/>
  <c r="CD150" i="7" s="1"/>
  <c r="CK150" i="7"/>
  <c r="CE150" i="7" s="1"/>
  <c r="CM150" i="7"/>
  <c r="CG150" i="7" s="1"/>
  <c r="CM148" i="7"/>
  <c r="CG148" i="7" s="1"/>
  <c r="CK148" i="7"/>
  <c r="CE148" i="7" s="1"/>
  <c r="CJ148" i="7"/>
  <c r="CD148" i="7" s="1"/>
  <c r="CI148" i="7"/>
  <c r="CC148" i="7" s="1"/>
  <c r="CH148" i="7"/>
  <c r="CB148" i="7" s="1"/>
  <c r="CM132" i="7"/>
  <c r="CM133" i="7"/>
  <c r="CM134" i="7"/>
  <c r="CM135" i="7"/>
  <c r="CM136" i="7"/>
  <c r="CM137" i="7"/>
  <c r="CM138" i="7"/>
  <c r="CM139" i="7"/>
  <c r="CG139" i="7" s="1"/>
  <c r="CM140" i="7"/>
  <c r="CG140" i="7" s="1"/>
  <c r="CM142" i="7"/>
  <c r="CG142" i="7" s="1"/>
  <c r="CM143" i="7"/>
  <c r="CG143" i="7" s="1"/>
  <c r="CM131" i="7"/>
  <c r="CG131" i="7" s="1"/>
  <c r="CH143" i="7"/>
  <c r="CB143" i="7" s="1"/>
  <c r="CI143" i="7"/>
  <c r="CC143" i="7" s="1"/>
  <c r="CJ143" i="7"/>
  <c r="CD143" i="7" s="1"/>
  <c r="CK143" i="7"/>
  <c r="CE143" i="7" s="1"/>
  <c r="CG132" i="7"/>
  <c r="CH132" i="7"/>
  <c r="CB132" i="7" s="1"/>
  <c r="CI132" i="7"/>
  <c r="CC132" i="7" s="1"/>
  <c r="CJ132" i="7"/>
  <c r="CD132" i="7" s="1"/>
  <c r="CK132" i="7"/>
  <c r="CE132" i="7" s="1"/>
  <c r="CG133" i="7"/>
  <c r="CH133" i="7"/>
  <c r="CB133" i="7" s="1"/>
  <c r="CI133" i="7"/>
  <c r="CC133" i="7" s="1"/>
  <c r="CJ133" i="7"/>
  <c r="CD133" i="7" s="1"/>
  <c r="CK133" i="7"/>
  <c r="CE133" i="7" s="1"/>
  <c r="CG134" i="7"/>
  <c r="CH134" i="7"/>
  <c r="CB134" i="7" s="1"/>
  <c r="CI134" i="7"/>
  <c r="CC134" i="7" s="1"/>
  <c r="CJ134" i="7"/>
  <c r="CD134" i="7" s="1"/>
  <c r="CK134" i="7"/>
  <c r="CE134" i="7" s="1"/>
  <c r="CG135" i="7"/>
  <c r="CH135" i="7"/>
  <c r="CB135" i="7" s="1"/>
  <c r="CI135" i="7"/>
  <c r="CC135" i="7" s="1"/>
  <c r="CJ135" i="7"/>
  <c r="CD135" i="7" s="1"/>
  <c r="CK135" i="7"/>
  <c r="CE135" i="7" s="1"/>
  <c r="CG136" i="7"/>
  <c r="CH136" i="7"/>
  <c r="CB136" i="7" s="1"/>
  <c r="CI136" i="7"/>
  <c r="CC136" i="7" s="1"/>
  <c r="CJ136" i="7"/>
  <c r="CD136" i="7" s="1"/>
  <c r="CK136" i="7"/>
  <c r="CE136" i="7" s="1"/>
  <c r="CG137" i="7"/>
  <c r="CH137" i="7"/>
  <c r="CB137" i="7" s="1"/>
  <c r="CI137" i="7"/>
  <c r="CC137" i="7" s="1"/>
  <c r="CJ137" i="7"/>
  <c r="CD137" i="7" s="1"/>
  <c r="CK137" i="7"/>
  <c r="CE137" i="7" s="1"/>
  <c r="CG138" i="7"/>
  <c r="CH138" i="7"/>
  <c r="CB138" i="7" s="1"/>
  <c r="CI138" i="7"/>
  <c r="CC138" i="7" s="1"/>
  <c r="CJ138" i="7"/>
  <c r="CD138" i="7" s="1"/>
  <c r="CK138" i="7"/>
  <c r="CE138" i="7" s="1"/>
  <c r="CH139" i="7"/>
  <c r="CB139" i="7" s="1"/>
  <c r="CI139" i="7"/>
  <c r="CC139" i="7" s="1"/>
  <c r="CJ139" i="7"/>
  <c r="CD139" i="7" s="1"/>
  <c r="CK139" i="7"/>
  <c r="CE139" i="7" s="1"/>
  <c r="CH140" i="7"/>
  <c r="CB140" i="7" s="1"/>
  <c r="CI140" i="7"/>
  <c r="CC140" i="7" s="1"/>
  <c r="CJ140" i="7"/>
  <c r="CD140" i="7" s="1"/>
  <c r="CK140" i="7"/>
  <c r="CE140" i="7" s="1"/>
  <c r="CH142" i="7"/>
  <c r="CB142" i="7" s="1"/>
  <c r="CI142" i="7"/>
  <c r="CC142" i="7" s="1"/>
  <c r="CJ142" i="7"/>
  <c r="CD142" i="7" s="1"/>
  <c r="CK142" i="7"/>
  <c r="CE142" i="7" s="1"/>
  <c r="CK131" i="7"/>
  <c r="CE131" i="7" s="1"/>
  <c r="CJ131" i="7"/>
  <c r="CD131" i="7" s="1"/>
  <c r="CI131" i="7"/>
  <c r="CC131" i="7" s="1"/>
  <c r="CH131" i="7"/>
  <c r="CB131" i="7" s="1"/>
  <c r="CM14" i="7"/>
  <c r="CG14" i="7" s="1"/>
  <c r="CM15" i="7"/>
  <c r="CG15" i="7" s="1"/>
  <c r="CM16" i="7"/>
  <c r="CM17" i="7"/>
  <c r="CG17" i="7" s="1"/>
  <c r="CM18" i="7"/>
  <c r="CG18" i="7" s="1"/>
  <c r="CM19" i="7"/>
  <c r="CG19" i="7" s="1"/>
  <c r="CM20" i="7"/>
  <c r="CG20" i="7" s="1"/>
  <c r="CM21" i="7"/>
  <c r="CG21" i="7" s="1"/>
  <c r="CM22" i="7"/>
  <c r="CG22" i="7" s="1"/>
  <c r="CM24" i="7"/>
  <c r="CG24" i="7" s="1"/>
  <c r="CM25" i="7"/>
  <c r="CG25" i="7" s="1"/>
  <c r="CM26" i="7"/>
  <c r="CG26" i="7" s="1"/>
  <c r="CM27" i="7"/>
  <c r="CG27" i="7" s="1"/>
  <c r="CM13" i="7"/>
  <c r="CG13" i="7" s="1"/>
  <c r="CI13" i="7"/>
  <c r="CJ13" i="7"/>
  <c r="CD13" i="7" s="1"/>
  <c r="CK13" i="7"/>
  <c r="CE13" i="7" s="1"/>
  <c r="CL13" i="7"/>
  <c r="CF13" i="7" s="1"/>
  <c r="CI14" i="7"/>
  <c r="CJ14" i="7"/>
  <c r="CD14" i="7" s="1"/>
  <c r="CK14" i="7"/>
  <c r="CE14" i="7" s="1"/>
  <c r="CL14" i="7"/>
  <c r="CF14" i="7" s="1"/>
  <c r="CI15" i="7"/>
  <c r="CJ15" i="7"/>
  <c r="CD15" i="7" s="1"/>
  <c r="CK15" i="7"/>
  <c r="CE15" i="7" s="1"/>
  <c r="CL15" i="7"/>
  <c r="CF15" i="7" s="1"/>
  <c r="CI16" i="7"/>
  <c r="CJ16" i="7"/>
  <c r="CD16" i="7" s="1"/>
  <c r="CK16" i="7"/>
  <c r="CE16" i="7" s="1"/>
  <c r="CL16" i="7"/>
  <c r="CF16" i="7" s="1"/>
  <c r="CI17" i="7"/>
  <c r="CJ17" i="7"/>
  <c r="CD17" i="7" s="1"/>
  <c r="CK17" i="7"/>
  <c r="CE17" i="7" s="1"/>
  <c r="CL17" i="7"/>
  <c r="CF17" i="7" s="1"/>
  <c r="CI18" i="7"/>
  <c r="CJ18" i="7"/>
  <c r="CD18" i="7" s="1"/>
  <c r="CK18" i="7"/>
  <c r="CE18" i="7" s="1"/>
  <c r="CL18" i="7"/>
  <c r="CF18" i="7" s="1"/>
  <c r="CI19" i="7"/>
  <c r="CJ19" i="7"/>
  <c r="CD19" i="7" s="1"/>
  <c r="CK19" i="7"/>
  <c r="CE19" i="7" s="1"/>
  <c r="CL19" i="7"/>
  <c r="CF19" i="7" s="1"/>
  <c r="CI20" i="7"/>
  <c r="CJ20" i="7"/>
  <c r="CD20" i="7" s="1"/>
  <c r="CK20" i="7"/>
  <c r="CE20" i="7" s="1"/>
  <c r="CL20" i="7"/>
  <c r="CF20" i="7" s="1"/>
  <c r="CI21" i="7"/>
  <c r="CJ21" i="7"/>
  <c r="CD21" i="7" s="1"/>
  <c r="CK21" i="7"/>
  <c r="CE21" i="7" s="1"/>
  <c r="CL21" i="7"/>
  <c r="CF21" i="7" s="1"/>
  <c r="CI22" i="7"/>
  <c r="CJ22" i="7"/>
  <c r="CD22" i="7" s="1"/>
  <c r="CK22" i="7"/>
  <c r="CE22" i="7" s="1"/>
  <c r="CL22" i="7"/>
  <c r="CF22" i="7" s="1"/>
  <c r="CI23" i="7"/>
  <c r="CI24" i="7"/>
  <c r="CJ24" i="7"/>
  <c r="CD24" i="7" s="1"/>
  <c r="CK24" i="7"/>
  <c r="CE24" i="7" s="1"/>
  <c r="CL24" i="7"/>
  <c r="CF24" i="7" s="1"/>
  <c r="CI25" i="7"/>
  <c r="CJ25" i="7"/>
  <c r="CD25" i="7" s="1"/>
  <c r="CK25" i="7"/>
  <c r="CE25" i="7" s="1"/>
  <c r="CL25" i="7"/>
  <c r="CF25" i="7" s="1"/>
  <c r="CI26" i="7"/>
  <c r="CJ26" i="7"/>
  <c r="CD26" i="7" s="1"/>
  <c r="CK26" i="7"/>
  <c r="CE26" i="7" s="1"/>
  <c r="CL26" i="7"/>
  <c r="CF26" i="7" s="1"/>
  <c r="CI27" i="7"/>
  <c r="CJ27" i="7"/>
  <c r="CD27" i="7" s="1"/>
  <c r="CK27" i="7"/>
  <c r="CE27" i="7" s="1"/>
  <c r="CL27" i="7"/>
  <c r="CF27" i="7" s="1"/>
  <c r="CH14" i="7"/>
  <c r="CH15" i="7"/>
  <c r="CH16" i="7"/>
  <c r="CH17" i="7"/>
  <c r="CH18" i="7"/>
  <c r="CH19" i="7"/>
  <c r="CH20" i="7"/>
  <c r="CH21" i="7"/>
  <c r="CH22" i="7"/>
  <c r="CH23" i="7"/>
  <c r="CH24" i="7"/>
  <c r="CH25" i="7"/>
  <c r="CH26" i="7"/>
  <c r="CH27" i="7"/>
  <c r="CH13" i="7"/>
  <c r="CG16" i="7"/>
  <c r="CE19" i="6"/>
  <c r="H19" i="6" s="1"/>
  <c r="H20" i="6"/>
  <c r="H21" i="6"/>
  <c r="H22" i="6"/>
  <c r="H23" i="6"/>
  <c r="H24" i="6"/>
  <c r="H25" i="6"/>
  <c r="H26" i="6"/>
  <c r="H27" i="6"/>
  <c r="H28" i="6"/>
  <c r="H29" i="6"/>
  <c r="CB59" i="6"/>
  <c r="CC12" i="6"/>
  <c r="CC13" i="6"/>
  <c r="CC14" i="6"/>
  <c r="CC15" i="6"/>
  <c r="CK12" i="6"/>
  <c r="CD12" i="6" s="1"/>
  <c r="CK13" i="6"/>
  <c r="CD13" i="6" s="1"/>
  <c r="CK14" i="6"/>
  <c r="CD14" i="6" s="1"/>
  <c r="CK15" i="6"/>
  <c r="CD15" i="6" s="1"/>
  <c r="CI12" i="6"/>
  <c r="CB12" i="6" s="1"/>
  <c r="CI13" i="6"/>
  <c r="CB13" i="6" s="1"/>
  <c r="CI14" i="6"/>
  <c r="CB14" i="6" s="1"/>
  <c r="CI15" i="6"/>
  <c r="CB15" i="6" s="1"/>
  <c r="AS148" i="7" l="1"/>
  <c r="AS138" i="7"/>
  <c r="AS134" i="7"/>
  <c r="AS143" i="7"/>
  <c r="AS149" i="7"/>
  <c r="AS150" i="7"/>
  <c r="AS142" i="7"/>
  <c r="AS137" i="7"/>
  <c r="AS133" i="7"/>
  <c r="AS140" i="7"/>
  <c r="AS136" i="7"/>
  <c r="AS132" i="7"/>
  <c r="AS139" i="7"/>
  <c r="AS135" i="7"/>
  <c r="AS131" i="7"/>
  <c r="B5" i="4"/>
  <c r="B4" i="4"/>
  <c r="B3" i="4"/>
  <c r="B2" i="4"/>
  <c r="F85" i="4" l="1"/>
  <c r="E85" i="4"/>
  <c r="D85" i="4"/>
  <c r="J85" i="4"/>
  <c r="I85" i="4"/>
  <c r="H85" i="4"/>
  <c r="G85" i="4"/>
  <c r="D68" i="4"/>
  <c r="CJ33" i="1"/>
  <c r="CG18" i="1"/>
  <c r="CG19" i="1"/>
  <c r="CG20" i="1"/>
  <c r="CG21" i="1"/>
  <c r="CJ34" i="1" l="1"/>
  <c r="CJ31" i="1"/>
  <c r="CJ32" i="1"/>
  <c r="CD34" i="1"/>
  <c r="CE33" i="1"/>
  <c r="CD33" i="1"/>
  <c r="CE32" i="1"/>
  <c r="CD32" i="1"/>
  <c r="CE31" i="1"/>
  <c r="CD31" i="1"/>
  <c r="B5" i="36"/>
  <c r="B4" i="36"/>
  <c r="B3" i="36"/>
  <c r="B2" i="36"/>
  <c r="B5" i="38"/>
  <c r="B4" i="38"/>
  <c r="B3" i="38"/>
  <c r="B2" i="38"/>
  <c r="B5" i="39"/>
  <c r="B4" i="39"/>
  <c r="B3" i="39"/>
  <c r="B2" i="39"/>
  <c r="B5" i="37"/>
  <c r="B4" i="37"/>
  <c r="B3" i="37"/>
  <c r="B2" i="37"/>
  <c r="B5" i="31"/>
  <c r="B4" i="31"/>
  <c r="B3" i="31"/>
  <c r="B2" i="31"/>
  <c r="B5" i="44"/>
  <c r="B4" i="44"/>
  <c r="B3" i="44"/>
  <c r="B2" i="44"/>
  <c r="B5" i="16"/>
  <c r="B4" i="16"/>
  <c r="B3" i="16"/>
  <c r="B2" i="16"/>
  <c r="B5" i="43"/>
  <c r="B4" i="43"/>
  <c r="B3" i="43"/>
  <c r="B2" i="43"/>
  <c r="B5" i="2"/>
  <c r="B4" i="2"/>
  <c r="B3" i="2"/>
  <c r="B2" i="2"/>
  <c r="B5" i="42"/>
  <c r="B4" i="42"/>
  <c r="B3" i="42"/>
  <c r="B2" i="42"/>
  <c r="B5" i="33"/>
  <c r="B4" i="33"/>
  <c r="B3" i="33"/>
  <c r="B2" i="33"/>
  <c r="B5" i="41"/>
  <c r="B4" i="41"/>
  <c r="B3" i="41"/>
  <c r="B2" i="41"/>
  <c r="B5" i="8"/>
  <c r="B4" i="8"/>
  <c r="B3" i="8"/>
  <c r="B2" i="8"/>
  <c r="B5" i="7"/>
  <c r="B4" i="7"/>
  <c r="B3" i="7"/>
  <c r="B2" i="7"/>
  <c r="B5" i="6"/>
  <c r="B4" i="6"/>
  <c r="B3" i="6"/>
  <c r="B2" i="6"/>
  <c r="B5" i="32"/>
  <c r="B4" i="32"/>
  <c r="B3" i="32"/>
  <c r="B2" i="32"/>
  <c r="B5" i="40"/>
  <c r="B4" i="40"/>
  <c r="B3" i="40"/>
  <c r="B2" i="40"/>
  <c r="AA12" i="2" l="1"/>
  <c r="C195" i="40"/>
  <c r="D9" i="28" s="1"/>
  <c r="AG21" i="40"/>
  <c r="AF21" i="40"/>
  <c r="AE21" i="40"/>
  <c r="AD21" i="40"/>
  <c r="AC21" i="40"/>
  <c r="AB21" i="40"/>
  <c r="AA21" i="40"/>
  <c r="Z21" i="40"/>
  <c r="Y21" i="40"/>
  <c r="X21" i="40"/>
  <c r="W21" i="40"/>
  <c r="V21" i="40"/>
  <c r="U21" i="40"/>
  <c r="T21" i="40"/>
  <c r="S21" i="40"/>
  <c r="R21" i="40"/>
  <c r="Q21" i="40"/>
  <c r="P21" i="40"/>
  <c r="O21" i="40"/>
  <c r="N21" i="40"/>
  <c r="M21" i="40"/>
  <c r="L21" i="40"/>
  <c r="K21" i="40"/>
  <c r="J21" i="40"/>
  <c r="I21" i="40"/>
  <c r="H21" i="40"/>
  <c r="G21" i="40"/>
  <c r="F21" i="40"/>
  <c r="E11" i="40"/>
  <c r="D11" i="40"/>
  <c r="C195" i="44"/>
  <c r="D23" i="28" s="1"/>
  <c r="H133" i="44"/>
  <c r="G133" i="44"/>
  <c r="F133" i="44"/>
  <c r="E133" i="44"/>
  <c r="I79" i="44"/>
  <c r="H79" i="44"/>
  <c r="G79" i="44"/>
  <c r="F79" i="44"/>
  <c r="E79" i="44"/>
  <c r="D79" i="44"/>
  <c r="I69" i="44"/>
  <c r="H69" i="44"/>
  <c r="G69" i="44"/>
  <c r="F69" i="44"/>
  <c r="E69" i="44"/>
  <c r="D69" i="44"/>
  <c r="AA28" i="44"/>
  <c r="Z28" i="44"/>
  <c r="Y28" i="44"/>
  <c r="X28" i="44"/>
  <c r="W28" i="44"/>
  <c r="V28" i="44"/>
  <c r="U28" i="44"/>
  <c r="T28" i="44"/>
  <c r="S28" i="44"/>
  <c r="R28" i="44"/>
  <c r="Q28" i="44"/>
  <c r="P28" i="44"/>
  <c r="O28" i="44"/>
  <c r="N28" i="44"/>
  <c r="M28" i="44"/>
  <c r="L28" i="44"/>
  <c r="K28" i="44"/>
  <c r="J28" i="44"/>
  <c r="I28" i="44"/>
  <c r="H28" i="44"/>
  <c r="C197" i="43"/>
  <c r="D21" i="28" s="1"/>
  <c r="H152" i="43"/>
  <c r="G152" i="43"/>
  <c r="F152" i="43"/>
  <c r="E152" i="43"/>
  <c r="G140" i="43"/>
  <c r="F140" i="43"/>
  <c r="E140" i="43"/>
  <c r="AM130" i="43"/>
  <c r="AL130" i="43"/>
  <c r="AK130" i="43"/>
  <c r="AJ130" i="43"/>
  <c r="AI130" i="43"/>
  <c r="AH130" i="43"/>
  <c r="AG130" i="43"/>
  <c r="AF130" i="43"/>
  <c r="AE130" i="43"/>
  <c r="AD130" i="43"/>
  <c r="AC130" i="43"/>
  <c r="AB130" i="43"/>
  <c r="AA130" i="43"/>
  <c r="Z130" i="43"/>
  <c r="Y130" i="43"/>
  <c r="X130" i="43"/>
  <c r="W130" i="43"/>
  <c r="V130" i="43"/>
  <c r="U130" i="43"/>
  <c r="T130" i="43"/>
  <c r="S130" i="43"/>
  <c r="R130" i="43"/>
  <c r="Q130" i="43"/>
  <c r="P130" i="43"/>
  <c r="O130" i="43"/>
  <c r="N130" i="43"/>
  <c r="M130" i="43"/>
  <c r="L130" i="43"/>
  <c r="K130" i="43"/>
  <c r="J130" i="43"/>
  <c r="I130" i="43"/>
  <c r="H130" i="43"/>
  <c r="G130" i="43"/>
  <c r="F95" i="43"/>
  <c r="E95" i="43"/>
  <c r="AL88" i="43"/>
  <c r="AK88" i="43"/>
  <c r="AJ88" i="43"/>
  <c r="AI88" i="43"/>
  <c r="AH88" i="43"/>
  <c r="AG88" i="43"/>
  <c r="AF88" i="43"/>
  <c r="AE88" i="43"/>
  <c r="AD88" i="43"/>
  <c r="AC88" i="43"/>
  <c r="AB88" i="43"/>
  <c r="AA88" i="43"/>
  <c r="Z88" i="43"/>
  <c r="Y88" i="43"/>
  <c r="X88" i="43"/>
  <c r="W88" i="43"/>
  <c r="V88" i="43"/>
  <c r="U88" i="43"/>
  <c r="T88" i="43"/>
  <c r="S88" i="43"/>
  <c r="R88" i="43"/>
  <c r="Q88" i="43"/>
  <c r="P88" i="43"/>
  <c r="O88" i="43"/>
  <c r="N88" i="43"/>
  <c r="M88" i="43"/>
  <c r="L88" i="43"/>
  <c r="K88" i="43"/>
  <c r="J88" i="43"/>
  <c r="I88" i="43"/>
  <c r="H88" i="43"/>
  <c r="G88" i="43"/>
  <c r="AN77" i="43"/>
  <c r="AM77" i="43"/>
  <c r="AL77" i="43"/>
  <c r="AK77" i="43"/>
  <c r="AJ77" i="43"/>
  <c r="AI77" i="43"/>
  <c r="AH77" i="43"/>
  <c r="AG77" i="43"/>
  <c r="AF77" i="43"/>
  <c r="AE77" i="43"/>
  <c r="AD77" i="43"/>
  <c r="AC77" i="43"/>
  <c r="AB77" i="43"/>
  <c r="AA77" i="43"/>
  <c r="Z77" i="43"/>
  <c r="Y77" i="43"/>
  <c r="X77" i="43"/>
  <c r="W77" i="43"/>
  <c r="V77" i="43"/>
  <c r="U77" i="43"/>
  <c r="T77" i="43"/>
  <c r="S77" i="43"/>
  <c r="R77" i="43"/>
  <c r="Q77" i="43"/>
  <c r="P77" i="43"/>
  <c r="O77" i="43"/>
  <c r="N77" i="43"/>
  <c r="M77" i="43"/>
  <c r="L77" i="43"/>
  <c r="K77" i="43"/>
  <c r="J77" i="43"/>
  <c r="I77" i="43"/>
  <c r="H77" i="43"/>
  <c r="G77" i="43"/>
  <c r="F77" i="43"/>
  <c r="AM70" i="43"/>
  <c r="AL70" i="43"/>
  <c r="AK70" i="43"/>
  <c r="AJ70" i="43"/>
  <c r="AI70" i="43"/>
  <c r="AH70" i="43"/>
  <c r="AG70" i="43"/>
  <c r="AF70" i="43"/>
  <c r="AE70" i="43"/>
  <c r="AD70" i="43"/>
  <c r="AC70" i="43"/>
  <c r="AB70" i="43"/>
  <c r="AA70" i="43"/>
  <c r="Z70" i="43"/>
  <c r="Y70" i="43"/>
  <c r="X70" i="43"/>
  <c r="W70" i="43"/>
  <c r="V70" i="43"/>
  <c r="U70" i="43"/>
  <c r="T70" i="43"/>
  <c r="S70" i="43"/>
  <c r="R70" i="43"/>
  <c r="Q70" i="43"/>
  <c r="P70" i="43"/>
  <c r="O70" i="43"/>
  <c r="N70" i="43"/>
  <c r="M70" i="43"/>
  <c r="L70" i="43"/>
  <c r="K70" i="43"/>
  <c r="J70" i="43"/>
  <c r="I70" i="43"/>
  <c r="H70" i="43"/>
  <c r="G70" i="43"/>
  <c r="AM43" i="43"/>
  <c r="AL43" i="43"/>
  <c r="AK43" i="43"/>
  <c r="AJ43" i="43"/>
  <c r="AI43" i="43"/>
  <c r="AH43" i="43"/>
  <c r="AG43" i="43"/>
  <c r="AF43" i="43"/>
  <c r="AE43" i="43"/>
  <c r="AD43" i="43"/>
  <c r="AC43" i="43"/>
  <c r="AB43" i="43"/>
  <c r="AA43" i="43"/>
  <c r="Z43" i="43"/>
  <c r="Y43" i="43"/>
  <c r="X43" i="43"/>
  <c r="W43" i="43"/>
  <c r="V43" i="43"/>
  <c r="U43" i="43"/>
  <c r="T43" i="43"/>
  <c r="S43" i="43"/>
  <c r="R43" i="43"/>
  <c r="Q43" i="43"/>
  <c r="P43" i="43"/>
  <c r="O43" i="43"/>
  <c r="N43" i="43"/>
  <c r="M43" i="43"/>
  <c r="L43" i="43"/>
  <c r="K43" i="43"/>
  <c r="J43" i="43"/>
  <c r="I43" i="43"/>
  <c r="H43" i="43"/>
  <c r="G43" i="43"/>
  <c r="E43" i="43"/>
  <c r="AN24" i="43"/>
  <c r="AM24" i="43"/>
  <c r="AL24" i="43"/>
  <c r="AK24" i="43"/>
  <c r="AJ24" i="43"/>
  <c r="AI24" i="43"/>
  <c r="AH24" i="43"/>
  <c r="AG24" i="43"/>
  <c r="AF24" i="43"/>
  <c r="AE24" i="43"/>
  <c r="AD24" i="43"/>
  <c r="AC24" i="43"/>
  <c r="AB24" i="43"/>
  <c r="AA24" i="43"/>
  <c r="Z24" i="43"/>
  <c r="Y24" i="43"/>
  <c r="X24" i="43"/>
  <c r="W24" i="43"/>
  <c r="V24" i="43"/>
  <c r="U24" i="43"/>
  <c r="T24" i="43"/>
  <c r="S24" i="43"/>
  <c r="R24" i="43"/>
  <c r="Q24" i="43"/>
  <c r="P24" i="43"/>
  <c r="O24" i="43"/>
  <c r="N24" i="43"/>
  <c r="M24" i="43"/>
  <c r="L24" i="43"/>
  <c r="K24" i="43"/>
  <c r="J24" i="43"/>
  <c r="I24" i="43"/>
  <c r="H24" i="43"/>
  <c r="G24" i="43"/>
  <c r="F24" i="43"/>
  <c r="C195" i="42"/>
  <c r="D19" i="28" s="1"/>
  <c r="CB48" i="42"/>
  <c r="N44" i="42"/>
  <c r="M44" i="42"/>
  <c r="K44" i="42"/>
  <c r="J44" i="42"/>
  <c r="I44" i="42"/>
  <c r="H44" i="42"/>
  <c r="G44" i="42"/>
  <c r="F44" i="42"/>
  <c r="E44" i="42"/>
  <c r="D44" i="42"/>
  <c r="J11" i="42"/>
  <c r="I11" i="42"/>
  <c r="H11" i="42"/>
  <c r="G11" i="42"/>
  <c r="F11" i="42"/>
  <c r="DX264" i="41"/>
  <c r="CX264" i="41" s="1"/>
  <c r="DW264" i="41"/>
  <c r="CW264" i="41" s="1"/>
  <c r="DV264" i="41"/>
  <c r="CV264" i="41" s="1"/>
  <c r="DU264" i="41"/>
  <c r="CU264" i="41" s="1"/>
  <c r="DT264" i="41"/>
  <c r="CT264" i="41" s="1"/>
  <c r="DS264" i="41"/>
  <c r="CS264" i="41" s="1"/>
  <c r="DR264" i="41"/>
  <c r="CR264" i="41" s="1"/>
  <c r="DQ264" i="41"/>
  <c r="CQ264" i="41" s="1"/>
  <c r="DP264" i="41"/>
  <c r="CP264" i="41" s="1"/>
  <c r="DO264" i="41"/>
  <c r="CO264" i="41" s="1"/>
  <c r="DN264" i="41"/>
  <c r="CN264" i="41" s="1"/>
  <c r="DM264" i="41"/>
  <c r="CM264" i="41" s="1"/>
  <c r="DL264" i="41"/>
  <c r="CL264" i="41" s="1"/>
  <c r="DK264" i="41"/>
  <c r="CK264" i="41" s="1"/>
  <c r="DJ264" i="41"/>
  <c r="CJ264" i="41" s="1"/>
  <c r="DI264" i="41"/>
  <c r="CI264" i="41" s="1"/>
  <c r="DH264" i="41"/>
  <c r="CH264" i="41" s="1"/>
  <c r="DG264" i="41"/>
  <c r="DD264" i="41"/>
  <c r="CG264" i="41"/>
  <c r="DY263" i="41"/>
  <c r="CY263" i="41" s="1"/>
  <c r="DW263" i="41"/>
  <c r="CW263" i="41" s="1"/>
  <c r="DV263" i="41"/>
  <c r="CV263" i="41" s="1"/>
  <c r="DU263" i="41"/>
  <c r="CU263" i="41" s="1"/>
  <c r="DT263" i="41"/>
  <c r="CT263" i="41" s="1"/>
  <c r="DS263" i="41"/>
  <c r="CS263" i="41" s="1"/>
  <c r="DR263" i="41"/>
  <c r="CR263" i="41" s="1"/>
  <c r="DQ263" i="41"/>
  <c r="CQ263" i="41" s="1"/>
  <c r="DP263" i="41"/>
  <c r="CP263" i="41" s="1"/>
  <c r="DO263" i="41"/>
  <c r="CO263" i="41" s="1"/>
  <c r="DN263" i="41"/>
  <c r="CN263" i="41" s="1"/>
  <c r="DM263" i="41"/>
  <c r="CM263" i="41" s="1"/>
  <c r="DL263" i="41"/>
  <c r="CL263" i="41" s="1"/>
  <c r="DK263" i="41"/>
  <c r="CK263" i="41" s="1"/>
  <c r="DJ263" i="41"/>
  <c r="CJ263" i="41" s="1"/>
  <c r="DI263" i="41"/>
  <c r="CI263" i="41" s="1"/>
  <c r="DH263" i="41"/>
  <c r="CH263" i="41" s="1"/>
  <c r="DG263" i="41"/>
  <c r="DE263" i="41"/>
  <c r="CG263" i="41"/>
  <c r="CD263" i="41"/>
  <c r="DF263" i="41"/>
  <c r="DW262" i="41"/>
  <c r="CW262" i="41" s="1"/>
  <c r="DV262" i="41"/>
  <c r="CV262" i="41" s="1"/>
  <c r="DU262" i="41"/>
  <c r="CU262" i="41" s="1"/>
  <c r="DT262" i="41"/>
  <c r="CT262" i="41" s="1"/>
  <c r="DS262" i="41"/>
  <c r="CS262" i="41" s="1"/>
  <c r="DR262" i="41"/>
  <c r="CR262" i="41" s="1"/>
  <c r="DQ262" i="41"/>
  <c r="CQ262" i="41" s="1"/>
  <c r="DP262" i="41"/>
  <c r="CP262" i="41" s="1"/>
  <c r="DO262" i="41"/>
  <c r="CO262" i="41" s="1"/>
  <c r="DN262" i="41"/>
  <c r="CN262" i="41" s="1"/>
  <c r="DM262" i="41"/>
  <c r="CM262" i="41" s="1"/>
  <c r="DL262" i="41"/>
  <c r="CL262" i="41" s="1"/>
  <c r="DK262" i="41"/>
  <c r="CK262" i="41" s="1"/>
  <c r="DJ262" i="41"/>
  <c r="CJ262" i="41" s="1"/>
  <c r="DI262" i="41"/>
  <c r="CI262" i="41" s="1"/>
  <c r="DH262" i="41"/>
  <c r="CH262" i="41" s="1"/>
  <c r="DG262" i="41"/>
  <c r="DF262" i="41"/>
  <c r="CG262" i="41"/>
  <c r="DW261" i="41"/>
  <c r="CW261" i="41" s="1"/>
  <c r="DV261" i="41"/>
  <c r="CV261" i="41" s="1"/>
  <c r="DU261" i="41"/>
  <c r="CU261" i="41" s="1"/>
  <c r="DT261" i="41"/>
  <c r="CT261" i="41" s="1"/>
  <c r="DS261" i="41"/>
  <c r="CS261" i="41" s="1"/>
  <c r="DR261" i="41"/>
  <c r="CR261" i="41" s="1"/>
  <c r="DQ261" i="41"/>
  <c r="CQ261" i="41" s="1"/>
  <c r="DP261" i="41"/>
  <c r="CP261" i="41" s="1"/>
  <c r="DO261" i="41"/>
  <c r="CO261" i="41" s="1"/>
  <c r="DN261" i="41"/>
  <c r="CN261" i="41" s="1"/>
  <c r="DM261" i="41"/>
  <c r="CM261" i="41" s="1"/>
  <c r="DL261" i="41"/>
  <c r="CL261" i="41" s="1"/>
  <c r="DK261" i="41"/>
  <c r="CK261" i="41" s="1"/>
  <c r="DJ261" i="41"/>
  <c r="CJ261" i="41" s="1"/>
  <c r="DI261" i="41"/>
  <c r="CI261" i="41" s="1"/>
  <c r="DH261" i="41"/>
  <c r="CH261" i="41" s="1"/>
  <c r="DG261" i="41"/>
  <c r="CG261" i="41"/>
  <c r="DX260" i="41"/>
  <c r="CX260" i="41" s="1"/>
  <c r="DW260" i="41"/>
  <c r="CW260" i="41" s="1"/>
  <c r="DV260" i="41"/>
  <c r="CV260" i="41" s="1"/>
  <c r="DU260" i="41"/>
  <c r="CU260" i="41" s="1"/>
  <c r="DT260" i="41"/>
  <c r="CT260" i="41" s="1"/>
  <c r="DS260" i="41"/>
  <c r="CS260" i="41" s="1"/>
  <c r="DR260" i="41"/>
  <c r="CR260" i="41" s="1"/>
  <c r="DQ260" i="41"/>
  <c r="CQ260" i="41" s="1"/>
  <c r="DP260" i="41"/>
  <c r="CP260" i="41" s="1"/>
  <c r="DO260" i="41"/>
  <c r="DN260" i="41"/>
  <c r="CN260" i="41" s="1"/>
  <c r="DM260" i="41"/>
  <c r="CM260" i="41" s="1"/>
  <c r="DL260" i="41"/>
  <c r="CL260" i="41" s="1"/>
  <c r="DK260" i="41"/>
  <c r="DJ260" i="41"/>
  <c r="CJ260" i="41" s="1"/>
  <c r="DI260" i="41"/>
  <c r="CI260" i="41" s="1"/>
  <c r="DH260" i="41"/>
  <c r="CH260" i="41" s="1"/>
  <c r="DG260" i="41"/>
  <c r="CO260" i="41"/>
  <c r="CK260" i="41"/>
  <c r="CG260" i="41"/>
  <c r="DY259" i="41"/>
  <c r="CY259" i="41" s="1"/>
  <c r="DW259" i="41"/>
  <c r="CW259" i="41" s="1"/>
  <c r="DV259" i="41"/>
  <c r="DU259" i="41"/>
  <c r="CU259" i="41" s="1"/>
  <c r="DT259" i="41"/>
  <c r="CT259" i="41" s="1"/>
  <c r="DS259" i="41"/>
  <c r="CS259" i="41" s="1"/>
  <c r="DR259" i="41"/>
  <c r="CR259" i="41" s="1"/>
  <c r="DQ259" i="41"/>
  <c r="CQ259" i="41" s="1"/>
  <c r="DP259" i="41"/>
  <c r="CP259" i="41" s="1"/>
  <c r="DO259" i="41"/>
  <c r="CO259" i="41" s="1"/>
  <c r="DN259" i="41"/>
  <c r="CN259" i="41" s="1"/>
  <c r="DM259" i="41"/>
  <c r="CM259" i="41" s="1"/>
  <c r="DL259" i="41"/>
  <c r="CL259" i="41" s="1"/>
  <c r="DK259" i="41"/>
  <c r="CK259" i="41" s="1"/>
  <c r="DJ259" i="41"/>
  <c r="CJ259" i="41" s="1"/>
  <c r="DI259" i="41"/>
  <c r="CI259" i="41" s="1"/>
  <c r="DH259" i="41"/>
  <c r="CH259" i="41" s="1"/>
  <c r="DG259" i="41"/>
  <c r="CV259" i="41"/>
  <c r="CG259" i="41"/>
  <c r="DY258" i="41"/>
  <c r="CY258" i="41" s="1"/>
  <c r="DW258" i="41"/>
  <c r="CW258" i="41" s="1"/>
  <c r="DV258" i="41"/>
  <c r="CV258" i="41" s="1"/>
  <c r="DU258" i="41"/>
  <c r="CU258" i="41" s="1"/>
  <c r="DT258" i="41"/>
  <c r="CT258" i="41" s="1"/>
  <c r="DS258" i="41"/>
  <c r="CS258" i="41" s="1"/>
  <c r="DR258" i="41"/>
  <c r="CR258" i="41" s="1"/>
  <c r="DQ258" i="41"/>
  <c r="CQ258" i="41" s="1"/>
  <c r="DP258" i="41"/>
  <c r="CP258" i="41" s="1"/>
  <c r="DO258" i="41"/>
  <c r="CO258" i="41" s="1"/>
  <c r="DN258" i="41"/>
  <c r="CN258" i="41" s="1"/>
  <c r="DM258" i="41"/>
  <c r="CM258" i="41" s="1"/>
  <c r="DL258" i="41"/>
  <c r="CL258" i="41" s="1"/>
  <c r="DK258" i="41"/>
  <c r="CK258" i="41" s="1"/>
  <c r="DJ258" i="41"/>
  <c r="CJ258" i="41" s="1"/>
  <c r="DI258" i="41"/>
  <c r="CI258" i="41" s="1"/>
  <c r="DH258" i="41"/>
  <c r="CH258" i="41" s="1"/>
  <c r="DG258" i="41"/>
  <c r="CG258" i="41"/>
  <c r="DW257" i="41"/>
  <c r="CW257" i="41" s="1"/>
  <c r="DV257" i="41"/>
  <c r="CV257" i="41" s="1"/>
  <c r="DU257" i="41"/>
  <c r="CU257" i="41" s="1"/>
  <c r="DT257" i="41"/>
  <c r="CT257" i="41" s="1"/>
  <c r="DS257" i="41"/>
  <c r="CS257" i="41" s="1"/>
  <c r="DR257" i="41"/>
  <c r="CR257" i="41" s="1"/>
  <c r="DQ257" i="41"/>
  <c r="CQ257" i="41" s="1"/>
  <c r="DP257" i="41"/>
  <c r="CP257" i="41" s="1"/>
  <c r="DO257" i="41"/>
  <c r="CO257" i="41" s="1"/>
  <c r="DN257" i="41"/>
  <c r="CN257" i="41" s="1"/>
  <c r="DM257" i="41"/>
  <c r="CM257" i="41" s="1"/>
  <c r="DL257" i="41"/>
  <c r="CL257" i="41" s="1"/>
  <c r="DK257" i="41"/>
  <c r="CK257" i="41" s="1"/>
  <c r="DJ257" i="41"/>
  <c r="CJ257" i="41" s="1"/>
  <c r="DI257" i="41"/>
  <c r="CI257" i="41" s="1"/>
  <c r="DH257" i="41"/>
  <c r="CH257" i="41" s="1"/>
  <c r="DG257" i="41"/>
  <c r="CD257" i="41"/>
  <c r="CG257" i="41"/>
  <c r="DW256" i="41"/>
  <c r="CW256" i="41" s="1"/>
  <c r="DV256" i="41"/>
  <c r="CV256" i="41" s="1"/>
  <c r="DU256" i="41"/>
  <c r="CU256" i="41" s="1"/>
  <c r="DT256" i="41"/>
  <c r="CT256" i="41" s="1"/>
  <c r="DS256" i="41"/>
  <c r="CS256" i="41" s="1"/>
  <c r="DR256" i="41"/>
  <c r="CR256" i="41" s="1"/>
  <c r="DQ256" i="41"/>
  <c r="CQ256" i="41" s="1"/>
  <c r="DP256" i="41"/>
  <c r="CP256" i="41" s="1"/>
  <c r="DO256" i="41"/>
  <c r="CO256" i="41" s="1"/>
  <c r="DN256" i="41"/>
  <c r="CN256" i="41" s="1"/>
  <c r="DM256" i="41"/>
  <c r="CM256" i="41" s="1"/>
  <c r="DL256" i="41"/>
  <c r="CL256" i="41" s="1"/>
  <c r="DK256" i="41"/>
  <c r="CK256" i="41" s="1"/>
  <c r="DJ256" i="41"/>
  <c r="CJ256" i="41" s="1"/>
  <c r="DI256" i="41"/>
  <c r="CI256" i="41" s="1"/>
  <c r="DH256" i="41"/>
  <c r="CH256" i="41" s="1"/>
  <c r="DG256" i="41"/>
  <c r="DF256" i="41"/>
  <c r="DY256" i="41"/>
  <c r="CY256" i="41" s="1"/>
  <c r="CG256" i="41"/>
  <c r="DE256" i="41"/>
  <c r="DY255" i="41"/>
  <c r="CY255" i="41" s="1"/>
  <c r="DW255" i="41"/>
  <c r="CW255" i="41" s="1"/>
  <c r="DV255" i="41"/>
  <c r="CV255" i="41" s="1"/>
  <c r="DU255" i="41"/>
  <c r="CU255" i="41" s="1"/>
  <c r="DT255" i="41"/>
  <c r="CT255" i="41" s="1"/>
  <c r="DS255" i="41"/>
  <c r="CS255" i="41" s="1"/>
  <c r="DR255" i="41"/>
  <c r="CR255" i="41" s="1"/>
  <c r="DQ255" i="41"/>
  <c r="CQ255" i="41" s="1"/>
  <c r="DP255" i="41"/>
  <c r="CP255" i="41" s="1"/>
  <c r="DO255" i="41"/>
  <c r="CO255" i="41" s="1"/>
  <c r="DN255" i="41"/>
  <c r="CN255" i="41" s="1"/>
  <c r="DM255" i="41"/>
  <c r="CM255" i="41" s="1"/>
  <c r="DL255" i="41"/>
  <c r="CL255" i="41" s="1"/>
  <c r="DK255" i="41"/>
  <c r="CK255" i="41" s="1"/>
  <c r="DJ255" i="41"/>
  <c r="CJ255" i="41" s="1"/>
  <c r="DI255" i="41"/>
  <c r="CI255" i="41" s="1"/>
  <c r="DH255" i="41"/>
  <c r="CH255" i="41" s="1"/>
  <c r="DG255" i="41"/>
  <c r="DE255" i="41"/>
  <c r="CG255" i="41"/>
  <c r="DX254" i="41"/>
  <c r="CX254" i="41" s="1"/>
  <c r="DW254" i="41"/>
  <c r="CW254" i="41" s="1"/>
  <c r="DV254" i="41"/>
  <c r="CV254" i="41" s="1"/>
  <c r="DU254" i="41"/>
  <c r="CU254" i="41" s="1"/>
  <c r="DT254" i="41"/>
  <c r="CT254" i="41" s="1"/>
  <c r="DS254" i="41"/>
  <c r="CS254" i="41" s="1"/>
  <c r="DR254" i="41"/>
  <c r="CR254" i="41" s="1"/>
  <c r="DQ254" i="41"/>
  <c r="CQ254" i="41" s="1"/>
  <c r="DP254" i="41"/>
  <c r="CP254" i="41" s="1"/>
  <c r="DO254" i="41"/>
  <c r="CO254" i="41" s="1"/>
  <c r="DN254" i="41"/>
  <c r="CN254" i="41" s="1"/>
  <c r="DM254" i="41"/>
  <c r="CM254" i="41" s="1"/>
  <c r="DL254" i="41"/>
  <c r="CL254" i="41" s="1"/>
  <c r="DK254" i="41"/>
  <c r="CK254" i="41" s="1"/>
  <c r="DJ254" i="41"/>
  <c r="CJ254" i="41" s="1"/>
  <c r="DI254" i="41"/>
  <c r="CI254" i="41" s="1"/>
  <c r="DH254" i="41"/>
  <c r="CH254" i="41" s="1"/>
  <c r="DG254" i="41"/>
  <c r="DD254" i="41"/>
  <c r="CG254" i="41"/>
  <c r="CE254" i="41"/>
  <c r="DY254" i="41"/>
  <c r="CY254" i="41" s="1"/>
  <c r="DY253" i="41"/>
  <c r="CY253" i="41" s="1"/>
  <c r="DW253" i="41"/>
  <c r="CW253" i="41" s="1"/>
  <c r="DV253" i="41"/>
  <c r="CV253" i="41" s="1"/>
  <c r="DU253" i="41"/>
  <c r="CU253" i="41" s="1"/>
  <c r="DT253" i="41"/>
  <c r="CT253" i="41" s="1"/>
  <c r="DS253" i="41"/>
  <c r="CS253" i="41" s="1"/>
  <c r="DR253" i="41"/>
  <c r="CR253" i="41" s="1"/>
  <c r="DQ253" i="41"/>
  <c r="CQ253" i="41" s="1"/>
  <c r="DP253" i="41"/>
  <c r="CP253" i="41" s="1"/>
  <c r="DO253" i="41"/>
  <c r="CO253" i="41" s="1"/>
  <c r="DN253" i="41"/>
  <c r="CN253" i="41" s="1"/>
  <c r="DM253" i="41"/>
  <c r="CM253" i="41" s="1"/>
  <c r="DL253" i="41"/>
  <c r="CL253" i="41" s="1"/>
  <c r="DK253" i="41"/>
  <c r="CK253" i="41" s="1"/>
  <c r="DJ253" i="41"/>
  <c r="CJ253" i="41" s="1"/>
  <c r="DI253" i="41"/>
  <c r="CI253" i="41" s="1"/>
  <c r="DH253" i="41"/>
  <c r="CH253" i="41" s="1"/>
  <c r="DG253" i="41"/>
  <c r="CG253" i="41"/>
  <c r="DE252" i="41"/>
  <c r="DW252" i="41"/>
  <c r="CW252" i="41" s="1"/>
  <c r="DV252" i="41"/>
  <c r="CV252" i="41" s="1"/>
  <c r="DU252" i="41"/>
  <c r="CU252" i="41" s="1"/>
  <c r="DT252" i="41"/>
  <c r="CT252" i="41" s="1"/>
  <c r="DS252" i="41"/>
  <c r="CS252" i="41" s="1"/>
  <c r="DR252" i="41"/>
  <c r="CR252" i="41" s="1"/>
  <c r="DQ252" i="41"/>
  <c r="CQ252" i="41" s="1"/>
  <c r="DP252" i="41"/>
  <c r="CP252" i="41" s="1"/>
  <c r="DO252" i="41"/>
  <c r="CO252" i="41" s="1"/>
  <c r="DN252" i="41"/>
  <c r="CN252" i="41" s="1"/>
  <c r="DM252" i="41"/>
  <c r="CM252" i="41" s="1"/>
  <c r="DL252" i="41"/>
  <c r="CL252" i="41" s="1"/>
  <c r="DK252" i="41"/>
  <c r="CK252" i="41" s="1"/>
  <c r="DJ252" i="41"/>
  <c r="CJ252" i="41" s="1"/>
  <c r="DI252" i="41"/>
  <c r="CI252" i="41" s="1"/>
  <c r="DH252" i="41"/>
  <c r="CH252" i="41" s="1"/>
  <c r="DG252" i="41"/>
  <c r="CG252" i="41"/>
  <c r="CF251" i="41"/>
  <c r="DW251" i="41"/>
  <c r="CW251" i="41" s="1"/>
  <c r="DV251" i="41"/>
  <c r="DU251" i="41"/>
  <c r="CU251" i="41" s="1"/>
  <c r="DT251" i="41"/>
  <c r="CT251" i="41" s="1"/>
  <c r="DS251" i="41"/>
  <c r="CS251" i="41" s="1"/>
  <c r="DR251" i="41"/>
  <c r="CR251" i="41" s="1"/>
  <c r="DQ251" i="41"/>
  <c r="CQ251" i="41" s="1"/>
  <c r="DP251" i="41"/>
  <c r="CP251" i="41" s="1"/>
  <c r="DO251" i="41"/>
  <c r="CO251" i="41" s="1"/>
  <c r="DN251" i="41"/>
  <c r="CN251" i="41" s="1"/>
  <c r="DM251" i="41"/>
  <c r="CM251" i="41" s="1"/>
  <c r="DL251" i="41"/>
  <c r="CL251" i="41" s="1"/>
  <c r="DK251" i="41"/>
  <c r="CK251" i="41" s="1"/>
  <c r="DJ251" i="41"/>
  <c r="CJ251" i="41" s="1"/>
  <c r="DI251" i="41"/>
  <c r="CI251" i="41" s="1"/>
  <c r="DH251" i="41"/>
  <c r="CH251" i="41" s="1"/>
  <c r="DG251" i="41"/>
  <c r="CV251" i="41"/>
  <c r="CG251" i="41"/>
  <c r="DW250" i="41"/>
  <c r="CW250" i="41" s="1"/>
  <c r="DV250" i="41"/>
  <c r="CV250" i="41" s="1"/>
  <c r="DU250" i="41"/>
  <c r="CU250" i="41" s="1"/>
  <c r="DT250" i="41"/>
  <c r="CT250" i="41" s="1"/>
  <c r="DS250" i="41"/>
  <c r="CS250" i="41" s="1"/>
  <c r="DR250" i="41"/>
  <c r="CR250" i="41" s="1"/>
  <c r="DQ250" i="41"/>
  <c r="CQ250" i="41" s="1"/>
  <c r="DP250" i="41"/>
  <c r="CP250" i="41" s="1"/>
  <c r="DO250" i="41"/>
  <c r="CO250" i="41" s="1"/>
  <c r="DN250" i="41"/>
  <c r="CN250" i="41" s="1"/>
  <c r="DM250" i="41"/>
  <c r="CM250" i="41" s="1"/>
  <c r="DL250" i="41"/>
  <c r="CL250" i="41" s="1"/>
  <c r="DK250" i="41"/>
  <c r="CK250" i="41" s="1"/>
  <c r="DJ250" i="41"/>
  <c r="CJ250" i="41" s="1"/>
  <c r="DI250" i="41"/>
  <c r="CI250" i="41" s="1"/>
  <c r="DH250" i="41"/>
  <c r="CH250" i="41" s="1"/>
  <c r="DG250" i="41"/>
  <c r="CG250" i="41"/>
  <c r="DW249" i="41"/>
  <c r="CW249" i="41" s="1"/>
  <c r="DV249" i="41"/>
  <c r="CV249" i="41" s="1"/>
  <c r="DU249" i="41"/>
  <c r="DT249" i="41"/>
  <c r="CT249" i="41" s="1"/>
  <c r="DS249" i="41"/>
  <c r="CS249" i="41" s="1"/>
  <c r="DR249" i="41"/>
  <c r="CR249" i="41" s="1"/>
  <c r="DQ249" i="41"/>
  <c r="CQ249" i="41" s="1"/>
  <c r="DP249" i="41"/>
  <c r="DO249" i="41"/>
  <c r="CO249" i="41" s="1"/>
  <c r="DN249" i="41"/>
  <c r="CN249" i="41" s="1"/>
  <c r="DM249" i="41"/>
  <c r="CM249" i="41" s="1"/>
  <c r="DL249" i="41"/>
  <c r="CL249" i="41" s="1"/>
  <c r="DK249" i="41"/>
  <c r="CK249" i="41" s="1"/>
  <c r="DJ249" i="41"/>
  <c r="CJ249" i="41" s="1"/>
  <c r="DI249" i="41"/>
  <c r="CI249" i="41" s="1"/>
  <c r="DH249" i="41"/>
  <c r="CH249" i="41" s="1"/>
  <c r="DG249" i="41"/>
  <c r="CD249" i="41"/>
  <c r="CU249" i="41"/>
  <c r="CP249" i="41"/>
  <c r="CG249" i="41"/>
  <c r="DX248" i="41"/>
  <c r="CX248" i="41" s="1"/>
  <c r="DW248" i="41"/>
  <c r="CW248" i="41" s="1"/>
  <c r="DV248" i="41"/>
  <c r="CV248" i="41" s="1"/>
  <c r="DU248" i="41"/>
  <c r="CU248" i="41" s="1"/>
  <c r="DT248" i="41"/>
  <c r="CT248" i="41" s="1"/>
  <c r="DS248" i="41"/>
  <c r="CS248" i="41" s="1"/>
  <c r="DR248" i="41"/>
  <c r="CR248" i="41" s="1"/>
  <c r="DQ248" i="41"/>
  <c r="CQ248" i="41" s="1"/>
  <c r="DP248" i="41"/>
  <c r="CP248" i="41" s="1"/>
  <c r="DO248" i="41"/>
  <c r="CO248" i="41" s="1"/>
  <c r="DN248" i="41"/>
  <c r="CN248" i="41" s="1"/>
  <c r="DM248" i="41"/>
  <c r="CM248" i="41" s="1"/>
  <c r="DL248" i="41"/>
  <c r="CL248" i="41" s="1"/>
  <c r="DK248" i="41"/>
  <c r="CK248" i="41" s="1"/>
  <c r="DJ248" i="41"/>
  <c r="CJ248" i="41" s="1"/>
  <c r="DI248" i="41"/>
  <c r="CI248" i="41" s="1"/>
  <c r="DH248" i="41"/>
  <c r="CH248" i="41" s="1"/>
  <c r="DG248" i="41"/>
  <c r="DF248" i="41"/>
  <c r="DB248" i="41"/>
  <c r="CB248" i="41" s="1"/>
  <c r="DY248" i="41"/>
  <c r="CY248" i="41" s="1"/>
  <c r="CG248" i="41"/>
  <c r="CE248" i="41"/>
  <c r="DY247" i="41"/>
  <c r="CY247" i="41" s="1"/>
  <c r="DW247" i="41"/>
  <c r="CW247" i="41" s="1"/>
  <c r="DV247" i="41"/>
  <c r="CV247" i="41" s="1"/>
  <c r="DU247" i="41"/>
  <c r="CU247" i="41" s="1"/>
  <c r="DT247" i="41"/>
  <c r="CT247" i="41" s="1"/>
  <c r="DS247" i="41"/>
  <c r="CS247" i="41" s="1"/>
  <c r="DR247" i="41"/>
  <c r="CR247" i="41" s="1"/>
  <c r="DQ247" i="41"/>
  <c r="CQ247" i="41" s="1"/>
  <c r="DP247" i="41"/>
  <c r="CP247" i="41" s="1"/>
  <c r="DO247" i="41"/>
  <c r="CO247" i="41" s="1"/>
  <c r="DN247" i="41"/>
  <c r="CN247" i="41" s="1"/>
  <c r="DM247" i="41"/>
  <c r="CM247" i="41" s="1"/>
  <c r="DL247" i="41"/>
  <c r="CL247" i="41" s="1"/>
  <c r="DK247" i="41"/>
  <c r="CK247" i="41" s="1"/>
  <c r="DJ247" i="41"/>
  <c r="CJ247" i="41" s="1"/>
  <c r="DI247" i="41"/>
  <c r="CI247" i="41" s="1"/>
  <c r="DH247" i="41"/>
  <c r="CH247" i="41" s="1"/>
  <c r="DG247" i="41"/>
  <c r="DE247" i="41"/>
  <c r="CG247" i="41"/>
  <c r="DD246" i="41"/>
  <c r="DW246" i="41"/>
  <c r="CW246" i="41" s="1"/>
  <c r="DV246" i="41"/>
  <c r="CV246" i="41" s="1"/>
  <c r="DU246" i="41"/>
  <c r="CU246" i="41" s="1"/>
  <c r="DT246" i="41"/>
  <c r="CT246" i="41" s="1"/>
  <c r="DS246" i="41"/>
  <c r="CS246" i="41" s="1"/>
  <c r="DR246" i="41"/>
  <c r="CR246" i="41" s="1"/>
  <c r="DQ246" i="41"/>
  <c r="CQ246" i="41" s="1"/>
  <c r="DP246" i="41"/>
  <c r="CP246" i="41" s="1"/>
  <c r="DO246" i="41"/>
  <c r="CO246" i="41" s="1"/>
  <c r="DN246" i="41"/>
  <c r="CN246" i="41"/>
  <c r="DM246" i="41"/>
  <c r="CM246" i="41" s="1"/>
  <c r="DL246" i="41"/>
  <c r="CL246" i="41" s="1"/>
  <c r="DK246" i="41"/>
  <c r="CK246" i="41" s="1"/>
  <c r="DJ246" i="41"/>
  <c r="CJ246" i="41" s="1"/>
  <c r="DI246" i="41"/>
  <c r="CI246" i="41" s="1"/>
  <c r="DH246" i="41"/>
  <c r="CH246" i="41" s="1"/>
  <c r="DG246" i="41"/>
  <c r="DY246" i="41"/>
  <c r="CY246" i="41" s="1"/>
  <c r="CG246" i="41"/>
  <c r="DW245" i="41"/>
  <c r="CW245" i="41" s="1"/>
  <c r="DV245" i="41"/>
  <c r="CV245" i="41" s="1"/>
  <c r="DU245" i="41"/>
  <c r="CU245" i="41" s="1"/>
  <c r="DT245" i="41"/>
  <c r="CT245" i="41" s="1"/>
  <c r="DS245" i="41"/>
  <c r="CS245" i="41" s="1"/>
  <c r="DR245" i="41"/>
  <c r="CR245" i="41" s="1"/>
  <c r="DQ245" i="41"/>
  <c r="CQ245" i="41" s="1"/>
  <c r="DP245" i="41"/>
  <c r="CP245" i="41" s="1"/>
  <c r="DO245" i="41"/>
  <c r="CO245" i="41" s="1"/>
  <c r="DN245" i="41"/>
  <c r="CN245" i="41" s="1"/>
  <c r="DM245" i="41"/>
  <c r="CM245" i="41" s="1"/>
  <c r="DL245" i="41"/>
  <c r="CL245" i="41" s="1"/>
  <c r="DK245" i="41"/>
  <c r="CK245" i="41" s="1"/>
  <c r="DJ245" i="41"/>
  <c r="CJ245" i="41" s="1"/>
  <c r="DI245" i="41"/>
  <c r="CI245" i="41" s="1"/>
  <c r="DH245" i="41"/>
  <c r="CH245" i="41" s="1"/>
  <c r="DG245" i="41"/>
  <c r="CF245" i="41"/>
  <c r="DE245" i="41"/>
  <c r="CG245" i="41"/>
  <c r="DY245" i="41"/>
  <c r="CY245" i="41" s="1"/>
  <c r="DW244" i="41"/>
  <c r="CW244" i="41" s="1"/>
  <c r="DV244" i="41"/>
  <c r="CV244" i="41" s="1"/>
  <c r="DU244" i="41"/>
  <c r="DT244" i="41"/>
  <c r="CT244" i="41" s="1"/>
  <c r="DS244" i="41"/>
  <c r="CS244" i="41" s="1"/>
  <c r="DR244" i="41"/>
  <c r="CR244" i="41" s="1"/>
  <c r="DQ244" i="41"/>
  <c r="CQ244" i="41" s="1"/>
  <c r="DP244" i="41"/>
  <c r="CP244" i="41" s="1"/>
  <c r="DO244" i="41"/>
  <c r="CO244" i="41" s="1"/>
  <c r="DN244" i="41"/>
  <c r="CN244" i="41" s="1"/>
  <c r="DM244" i="41"/>
  <c r="CM244" i="41" s="1"/>
  <c r="DL244" i="41"/>
  <c r="CL244" i="41" s="1"/>
  <c r="DK244" i="41"/>
  <c r="CK244" i="41" s="1"/>
  <c r="DJ244" i="41"/>
  <c r="CJ244" i="41" s="1"/>
  <c r="DI244" i="41"/>
  <c r="CI244" i="41" s="1"/>
  <c r="DH244" i="41"/>
  <c r="CH244" i="41" s="1"/>
  <c r="DG244" i="41"/>
  <c r="CU244" i="41"/>
  <c r="CG244" i="41"/>
  <c r="DY243" i="41"/>
  <c r="CY243" i="41" s="1"/>
  <c r="DW243" i="41"/>
  <c r="CW243" i="41" s="1"/>
  <c r="DV243" i="41"/>
  <c r="CV243" i="41" s="1"/>
  <c r="DU243" i="41"/>
  <c r="CU243" i="41" s="1"/>
  <c r="DT243" i="41"/>
  <c r="CT243" i="41" s="1"/>
  <c r="DS243" i="41"/>
  <c r="CS243" i="41" s="1"/>
  <c r="DR243" i="41"/>
  <c r="CR243" i="41" s="1"/>
  <c r="DQ243" i="41"/>
  <c r="CQ243" i="41" s="1"/>
  <c r="DP243" i="41"/>
  <c r="CP243" i="41" s="1"/>
  <c r="DO243" i="41"/>
  <c r="CO243" i="41" s="1"/>
  <c r="DN243" i="41"/>
  <c r="CN243" i="41" s="1"/>
  <c r="DM243" i="41"/>
  <c r="CM243" i="41" s="1"/>
  <c r="DL243" i="41"/>
  <c r="CL243" i="41" s="1"/>
  <c r="DK243" i="41"/>
  <c r="CK243" i="41" s="1"/>
  <c r="DJ243" i="41"/>
  <c r="CJ243" i="41" s="1"/>
  <c r="DI243" i="41"/>
  <c r="CI243" i="41" s="1"/>
  <c r="DH243" i="41"/>
  <c r="CH243" i="41" s="1"/>
  <c r="DG243" i="41"/>
  <c r="DE243" i="41"/>
  <c r="CG243" i="41"/>
  <c r="CD243" i="41"/>
  <c r="DX242" i="41"/>
  <c r="CX242" i="41" s="1"/>
  <c r="DW242" i="41"/>
  <c r="CW242" i="41" s="1"/>
  <c r="DV242" i="41"/>
  <c r="CV242" i="41" s="1"/>
  <c r="DU242" i="41"/>
  <c r="CU242" i="41" s="1"/>
  <c r="DT242" i="41"/>
  <c r="CT242" i="41" s="1"/>
  <c r="DS242" i="41"/>
  <c r="CS242" i="41" s="1"/>
  <c r="DR242" i="41"/>
  <c r="CR242" i="41" s="1"/>
  <c r="DQ242" i="41"/>
  <c r="CQ242" i="41" s="1"/>
  <c r="DP242" i="41"/>
  <c r="CP242" i="41" s="1"/>
  <c r="DO242" i="41"/>
  <c r="CO242" i="41" s="1"/>
  <c r="DN242" i="41"/>
  <c r="CN242" i="41" s="1"/>
  <c r="DM242" i="41"/>
  <c r="CM242" i="41" s="1"/>
  <c r="DL242" i="41"/>
  <c r="CL242" i="41" s="1"/>
  <c r="DK242" i="41"/>
  <c r="CK242" i="41" s="1"/>
  <c r="DJ242" i="41"/>
  <c r="CJ242" i="41" s="1"/>
  <c r="DI242" i="41"/>
  <c r="CI242" i="41" s="1"/>
  <c r="DH242" i="41"/>
  <c r="CH242" i="41" s="1"/>
  <c r="DG242" i="41"/>
  <c r="CG242" i="41"/>
  <c r="DW237" i="41"/>
  <c r="DV237" i="41"/>
  <c r="DU237" i="41"/>
  <c r="DT237" i="41"/>
  <c r="DS237" i="41"/>
  <c r="DR237" i="41"/>
  <c r="DQ237" i="41"/>
  <c r="DP237" i="41"/>
  <c r="DO237" i="41"/>
  <c r="DN237" i="41"/>
  <c r="DM237" i="41"/>
  <c r="DL237" i="41"/>
  <c r="DK237" i="41"/>
  <c r="DJ237" i="41"/>
  <c r="DI237" i="41"/>
  <c r="DH237" i="41"/>
  <c r="DG237" i="41"/>
  <c r="CW237" i="41"/>
  <c r="CV237" i="41"/>
  <c r="CU237" i="41"/>
  <c r="CT237" i="41"/>
  <c r="CS237" i="41"/>
  <c r="CR237" i="41"/>
  <c r="CQ237" i="41"/>
  <c r="CP237" i="41"/>
  <c r="CO237" i="41"/>
  <c r="CN237" i="41"/>
  <c r="CM237" i="41"/>
  <c r="CL237" i="41"/>
  <c r="CK237" i="41"/>
  <c r="CJ237" i="41"/>
  <c r="CI237" i="41"/>
  <c r="CH237" i="41"/>
  <c r="CG237" i="41"/>
  <c r="CF237" i="41"/>
  <c r="CB237" i="41"/>
  <c r="DW236" i="41"/>
  <c r="DV236" i="41"/>
  <c r="DU236" i="41"/>
  <c r="DT236" i="41"/>
  <c r="DS236" i="41"/>
  <c r="DR236" i="41"/>
  <c r="DQ236" i="41"/>
  <c r="DP236" i="41"/>
  <c r="DO236" i="41"/>
  <c r="DN236" i="41"/>
  <c r="DM236" i="41"/>
  <c r="DL236" i="41"/>
  <c r="DK236" i="41"/>
  <c r="DJ236" i="41"/>
  <c r="DI236" i="41"/>
  <c r="DH236" i="41"/>
  <c r="DG236" i="41"/>
  <c r="CW236" i="41"/>
  <c r="CV236" i="41"/>
  <c r="CU236" i="41"/>
  <c r="CT236" i="41"/>
  <c r="CS236" i="41"/>
  <c r="CR236" i="41"/>
  <c r="CQ236" i="41"/>
  <c r="CP236" i="41"/>
  <c r="CO236" i="41"/>
  <c r="CN236" i="41"/>
  <c r="CM236" i="41"/>
  <c r="CL236" i="41"/>
  <c r="CK236" i="41"/>
  <c r="CJ236" i="41"/>
  <c r="CI236" i="41"/>
  <c r="CH236" i="41"/>
  <c r="CG236" i="41"/>
  <c r="DW235" i="41"/>
  <c r="DV235" i="41"/>
  <c r="DU235" i="41"/>
  <c r="DT235" i="41"/>
  <c r="DS235" i="41"/>
  <c r="DR235" i="41"/>
  <c r="DQ235" i="41"/>
  <c r="DP235" i="41"/>
  <c r="DO235" i="41"/>
  <c r="DN235" i="41"/>
  <c r="DM235" i="41"/>
  <c r="DL235" i="41"/>
  <c r="DK235" i="41"/>
  <c r="DJ235" i="41"/>
  <c r="DI235" i="41"/>
  <c r="DH235" i="41"/>
  <c r="DG235" i="41"/>
  <c r="CW235" i="41"/>
  <c r="CV235" i="41"/>
  <c r="CU235" i="41"/>
  <c r="CT235" i="41"/>
  <c r="CS235" i="41"/>
  <c r="CR235" i="41"/>
  <c r="CQ235" i="41"/>
  <c r="CP235" i="41"/>
  <c r="CO235" i="41"/>
  <c r="CN235" i="41"/>
  <c r="CM235" i="41"/>
  <c r="CL235" i="41"/>
  <c r="CK235" i="41"/>
  <c r="CJ235" i="41"/>
  <c r="CI235" i="41"/>
  <c r="CH235" i="41"/>
  <c r="CG235" i="41"/>
  <c r="CD235" i="41"/>
  <c r="DW234" i="41"/>
  <c r="DV234" i="41"/>
  <c r="DU234" i="41"/>
  <c r="DT234" i="41"/>
  <c r="DS234" i="41"/>
  <c r="DR234" i="41"/>
  <c r="DQ234" i="41"/>
  <c r="DP234" i="41"/>
  <c r="DO234" i="41"/>
  <c r="DN234" i="41"/>
  <c r="DM234" i="41"/>
  <c r="DL234" i="41"/>
  <c r="DK234" i="41"/>
  <c r="DJ234" i="41"/>
  <c r="DI234" i="41"/>
  <c r="DH234" i="41"/>
  <c r="DG234" i="41"/>
  <c r="CW234" i="41"/>
  <c r="CV234" i="41"/>
  <c r="CU234" i="41"/>
  <c r="CT234" i="41"/>
  <c r="CS234" i="41"/>
  <c r="CR234" i="41"/>
  <c r="CQ234" i="41"/>
  <c r="CP234" i="41"/>
  <c r="CO234" i="41"/>
  <c r="CN234" i="41"/>
  <c r="CM234" i="41"/>
  <c r="CL234" i="41"/>
  <c r="CK234" i="41"/>
  <c r="CJ234" i="41"/>
  <c r="CI234" i="41"/>
  <c r="CH234" i="41"/>
  <c r="CG234" i="41"/>
  <c r="DW233" i="41"/>
  <c r="DV233" i="41"/>
  <c r="DU233" i="41"/>
  <c r="DT233" i="41"/>
  <c r="DS233" i="41"/>
  <c r="DR233" i="41"/>
  <c r="DQ233" i="41"/>
  <c r="DP233" i="41"/>
  <c r="DO233" i="41"/>
  <c r="DN233" i="41"/>
  <c r="DM233" i="41"/>
  <c r="DL233" i="41"/>
  <c r="DK233" i="41"/>
  <c r="DJ233" i="41"/>
  <c r="DI233" i="41"/>
  <c r="DH233" i="41"/>
  <c r="DG233" i="41"/>
  <c r="CW233" i="41"/>
  <c r="CV233" i="41"/>
  <c r="CU233" i="41"/>
  <c r="CT233" i="41"/>
  <c r="CS233" i="41"/>
  <c r="CR233" i="41"/>
  <c r="CQ233" i="41"/>
  <c r="CP233" i="41"/>
  <c r="CO233" i="41"/>
  <c r="CN233" i="41"/>
  <c r="CM233" i="41"/>
  <c r="CL233" i="41"/>
  <c r="CK233" i="41"/>
  <c r="CJ233" i="41"/>
  <c r="CI233" i="41"/>
  <c r="CH233" i="41"/>
  <c r="CG233" i="41"/>
  <c r="CF233" i="41"/>
  <c r="DW232" i="41"/>
  <c r="DV232" i="41"/>
  <c r="DU232" i="41"/>
  <c r="DT232" i="41"/>
  <c r="DS232" i="41"/>
  <c r="DR232" i="41"/>
  <c r="DQ232" i="41"/>
  <c r="DP232" i="41"/>
  <c r="DO232" i="41"/>
  <c r="DN232" i="41"/>
  <c r="DM232" i="41"/>
  <c r="DL232" i="41"/>
  <c r="DK232" i="41"/>
  <c r="DJ232" i="41"/>
  <c r="DI232" i="41"/>
  <c r="DH232" i="41"/>
  <c r="DG232" i="41"/>
  <c r="CW232" i="41"/>
  <c r="CV232" i="41"/>
  <c r="CU232" i="41"/>
  <c r="CT232" i="41"/>
  <c r="CS232" i="41"/>
  <c r="CR232" i="41"/>
  <c r="CQ232" i="41"/>
  <c r="CP232" i="41"/>
  <c r="CO232" i="41"/>
  <c r="CN232" i="41"/>
  <c r="CM232" i="41"/>
  <c r="CL232" i="41"/>
  <c r="CK232" i="41"/>
  <c r="CJ232" i="41"/>
  <c r="CI232" i="41"/>
  <c r="CH232" i="41"/>
  <c r="CG232" i="41"/>
  <c r="DW231" i="41"/>
  <c r="DV231" i="41"/>
  <c r="DU231" i="41"/>
  <c r="DT231" i="41"/>
  <c r="DS231" i="41"/>
  <c r="DR231" i="41"/>
  <c r="DQ231" i="41"/>
  <c r="DP231" i="41"/>
  <c r="DO231" i="41"/>
  <c r="DN231" i="41"/>
  <c r="DM231" i="41"/>
  <c r="DL231" i="41"/>
  <c r="DK231" i="41"/>
  <c r="DJ231" i="41"/>
  <c r="DI231" i="41"/>
  <c r="DH231" i="41"/>
  <c r="DG231" i="41"/>
  <c r="CW231" i="41"/>
  <c r="CV231" i="41"/>
  <c r="CU231" i="41"/>
  <c r="CT231" i="41"/>
  <c r="CS231" i="41"/>
  <c r="CR231" i="41"/>
  <c r="CQ231" i="41"/>
  <c r="CP231" i="41"/>
  <c r="CO231" i="41"/>
  <c r="CN231" i="41"/>
  <c r="CM231" i="41"/>
  <c r="CL231" i="41"/>
  <c r="CK231" i="41"/>
  <c r="CJ231" i="41"/>
  <c r="CI231" i="41"/>
  <c r="CH231" i="41"/>
  <c r="CG231" i="41"/>
  <c r="CD231" i="41"/>
  <c r="DW226" i="41"/>
  <c r="DV226" i="41"/>
  <c r="DU226" i="41"/>
  <c r="DT226" i="41"/>
  <c r="DS226" i="41"/>
  <c r="DR226" i="41"/>
  <c r="DQ226" i="41"/>
  <c r="DP226" i="41"/>
  <c r="DO226" i="41"/>
  <c r="DN226" i="41"/>
  <c r="DM226" i="41"/>
  <c r="DL226" i="41"/>
  <c r="DK226" i="41"/>
  <c r="DJ226" i="41"/>
  <c r="DI226" i="41"/>
  <c r="DH226" i="41"/>
  <c r="DG226" i="41"/>
  <c r="DD226" i="41"/>
  <c r="CW226" i="41"/>
  <c r="CV226" i="41"/>
  <c r="CU226" i="41"/>
  <c r="CT226" i="41"/>
  <c r="CS226" i="41"/>
  <c r="CR226" i="41"/>
  <c r="CQ226" i="41"/>
  <c r="CP226" i="41"/>
  <c r="CO226" i="41"/>
  <c r="CN226" i="41"/>
  <c r="CM226" i="41"/>
  <c r="CL226" i="41"/>
  <c r="CK226" i="41"/>
  <c r="CJ226" i="41"/>
  <c r="CI226" i="41"/>
  <c r="CH226" i="41"/>
  <c r="CG226" i="41"/>
  <c r="DC226" i="41"/>
  <c r="DW225" i="41"/>
  <c r="DV225" i="41"/>
  <c r="DU225" i="41"/>
  <c r="DT225" i="41"/>
  <c r="DS225" i="41"/>
  <c r="DR225" i="41"/>
  <c r="DQ225" i="41"/>
  <c r="DP225" i="41"/>
  <c r="DO225" i="41"/>
  <c r="DN225" i="41"/>
  <c r="DM225" i="41"/>
  <c r="DL225" i="41"/>
  <c r="DK225" i="41"/>
  <c r="DJ225" i="41"/>
  <c r="DI225" i="41"/>
  <c r="DH225" i="41"/>
  <c r="DG225" i="41"/>
  <c r="DF225" i="41"/>
  <c r="CW225" i="41"/>
  <c r="CV225" i="41"/>
  <c r="CU225" i="41"/>
  <c r="CT225" i="41"/>
  <c r="CS225" i="41"/>
  <c r="CR225" i="41"/>
  <c r="CQ225" i="41"/>
  <c r="CP225" i="41"/>
  <c r="CO225" i="41"/>
  <c r="CN225" i="41"/>
  <c r="CM225" i="41"/>
  <c r="CL225" i="41"/>
  <c r="CK225" i="41"/>
  <c r="CJ225" i="41"/>
  <c r="CI225" i="41"/>
  <c r="CH225" i="41"/>
  <c r="CG225" i="41"/>
  <c r="CD225" i="41"/>
  <c r="DW224" i="41"/>
  <c r="DV224" i="41"/>
  <c r="DU224" i="41"/>
  <c r="DT224" i="41"/>
  <c r="DS224" i="41"/>
  <c r="DR224" i="41"/>
  <c r="DQ224" i="41"/>
  <c r="DP224" i="41"/>
  <c r="DO224" i="41"/>
  <c r="DN224" i="41"/>
  <c r="DM224" i="41"/>
  <c r="DL224" i="41"/>
  <c r="DK224" i="41"/>
  <c r="DJ224" i="41"/>
  <c r="DI224" i="41"/>
  <c r="DH224" i="41"/>
  <c r="DG224" i="41"/>
  <c r="DC224" i="41"/>
  <c r="DD224" i="41"/>
  <c r="CW224" i="41"/>
  <c r="CV224" i="41"/>
  <c r="CU224" i="41"/>
  <c r="CT224" i="41"/>
  <c r="CS224" i="41"/>
  <c r="CR224" i="41"/>
  <c r="CQ224" i="41"/>
  <c r="CP224" i="41"/>
  <c r="CO224" i="41"/>
  <c r="CN224" i="41"/>
  <c r="CM224" i="41"/>
  <c r="CL224" i="41"/>
  <c r="CK224" i="41"/>
  <c r="CJ224" i="41"/>
  <c r="CI224" i="41"/>
  <c r="CH224" i="41"/>
  <c r="CG224" i="41"/>
  <c r="DW223" i="41"/>
  <c r="DV223" i="41"/>
  <c r="DU223" i="41"/>
  <c r="DT223" i="41"/>
  <c r="DS223" i="41"/>
  <c r="DR223" i="41"/>
  <c r="DQ223" i="41"/>
  <c r="DP223" i="41"/>
  <c r="DO223" i="41"/>
  <c r="DN223" i="41"/>
  <c r="DM223" i="41"/>
  <c r="DL223" i="41"/>
  <c r="DK223" i="41"/>
  <c r="DJ223" i="41"/>
  <c r="DI223" i="41"/>
  <c r="DH223" i="41"/>
  <c r="DG223" i="41"/>
  <c r="CD223" i="41"/>
  <c r="CW223" i="41"/>
  <c r="CV223" i="41"/>
  <c r="CU223" i="41"/>
  <c r="CT223" i="41"/>
  <c r="CS223" i="41"/>
  <c r="CR223" i="41"/>
  <c r="CQ223" i="41"/>
  <c r="CP223" i="41"/>
  <c r="CO223" i="41"/>
  <c r="CN223" i="41"/>
  <c r="CM223" i="41"/>
  <c r="CL223" i="41"/>
  <c r="CK223" i="41"/>
  <c r="CJ223" i="41"/>
  <c r="CI223" i="41"/>
  <c r="CH223" i="41"/>
  <c r="CG223" i="41"/>
  <c r="DW222" i="41"/>
  <c r="DV222" i="41"/>
  <c r="DU222" i="41"/>
  <c r="DT222" i="41"/>
  <c r="DS222" i="41"/>
  <c r="DR222" i="41"/>
  <c r="DQ222" i="41"/>
  <c r="DP222" i="41"/>
  <c r="DO222" i="41"/>
  <c r="DN222" i="41"/>
  <c r="DM222" i="41"/>
  <c r="DL222" i="41"/>
  <c r="DK222" i="41"/>
  <c r="DJ222" i="41"/>
  <c r="DI222" i="41"/>
  <c r="DH222" i="41"/>
  <c r="DG222" i="41"/>
  <c r="DD222" i="41"/>
  <c r="CW222" i="41"/>
  <c r="CV222" i="41"/>
  <c r="CU222" i="41"/>
  <c r="CT222" i="41"/>
  <c r="CS222" i="41"/>
  <c r="CR222" i="41"/>
  <c r="CQ222" i="41"/>
  <c r="CP222" i="41"/>
  <c r="CO222" i="41"/>
  <c r="CN222" i="41"/>
  <c r="CM222" i="41"/>
  <c r="CL222" i="41"/>
  <c r="CK222" i="41"/>
  <c r="CJ222" i="41"/>
  <c r="CI222" i="41"/>
  <c r="CH222" i="41"/>
  <c r="CG222" i="41"/>
  <c r="CF222" i="41"/>
  <c r="DC222" i="41"/>
  <c r="DW221" i="41"/>
  <c r="DV221" i="41"/>
  <c r="DU221" i="41"/>
  <c r="DT221" i="41"/>
  <c r="DS221" i="41"/>
  <c r="DR221" i="41"/>
  <c r="DQ221" i="41"/>
  <c r="DP221" i="41"/>
  <c r="DO221" i="41"/>
  <c r="DN221" i="41"/>
  <c r="DM221" i="41"/>
  <c r="DL221" i="41"/>
  <c r="DK221" i="41"/>
  <c r="DJ221" i="41"/>
  <c r="DI221" i="41"/>
  <c r="DH221" i="41"/>
  <c r="DG221" i="41"/>
  <c r="CW221" i="41"/>
  <c r="CV221" i="41"/>
  <c r="CU221" i="41"/>
  <c r="CT221" i="41"/>
  <c r="CS221" i="41"/>
  <c r="CR221" i="41"/>
  <c r="CQ221" i="41"/>
  <c r="CP221" i="41"/>
  <c r="CO221" i="41"/>
  <c r="CN221" i="41"/>
  <c r="CM221" i="41"/>
  <c r="CL221" i="41"/>
  <c r="CK221" i="41"/>
  <c r="CJ221" i="41"/>
  <c r="CI221" i="41"/>
  <c r="CH221" i="41"/>
  <c r="CG221" i="41"/>
  <c r="DW220" i="41"/>
  <c r="DV220" i="41"/>
  <c r="DU220" i="41"/>
  <c r="DT220" i="41"/>
  <c r="DS220" i="41"/>
  <c r="DR220" i="41"/>
  <c r="DQ220" i="41"/>
  <c r="DP220" i="41"/>
  <c r="DO220" i="41"/>
  <c r="DN220" i="41"/>
  <c r="DM220" i="41"/>
  <c r="DL220" i="41"/>
  <c r="DK220" i="41"/>
  <c r="DJ220" i="41"/>
  <c r="DI220" i="41"/>
  <c r="DH220" i="41"/>
  <c r="DG220" i="41"/>
  <c r="CF220" i="41"/>
  <c r="CW220" i="41"/>
  <c r="CV220" i="41"/>
  <c r="CU220" i="41"/>
  <c r="CT220" i="41"/>
  <c r="CS220" i="41"/>
  <c r="CR220" i="41"/>
  <c r="CQ220" i="41"/>
  <c r="CP220" i="41"/>
  <c r="CO220" i="41"/>
  <c r="CN220" i="41"/>
  <c r="CM220" i="41"/>
  <c r="CL220" i="41"/>
  <c r="CK220" i="41"/>
  <c r="CJ220" i="41"/>
  <c r="CI220" i="41"/>
  <c r="CH220" i="41"/>
  <c r="CG220" i="41"/>
  <c r="CB220" i="41"/>
  <c r="DC220" i="41"/>
  <c r="DX209" i="41"/>
  <c r="CX209" i="41" s="1"/>
  <c r="DY209" i="41"/>
  <c r="CY209" i="41" s="1"/>
  <c r="DY208" i="41"/>
  <c r="CY208" i="41" s="1"/>
  <c r="DX208" i="41"/>
  <c r="CX208" i="41" s="1"/>
  <c r="DX207" i="41"/>
  <c r="CX207" i="41" s="1"/>
  <c r="DY207" i="41"/>
  <c r="CY207" i="41" s="1"/>
  <c r="DY206" i="41"/>
  <c r="CY206" i="41" s="1"/>
  <c r="DX206" i="41"/>
  <c r="CX206" i="41" s="1"/>
  <c r="DX205" i="41"/>
  <c r="CX205" i="41" s="1"/>
  <c r="DY205" i="41"/>
  <c r="CY205" i="41" s="1"/>
  <c r="DY204" i="41"/>
  <c r="CY204" i="41" s="1"/>
  <c r="DX204" i="41"/>
  <c r="CX204" i="41" s="1"/>
  <c r="DX203" i="41"/>
  <c r="CX203" i="41" s="1"/>
  <c r="DY203" i="41"/>
  <c r="CY203" i="41" s="1"/>
  <c r="DY202" i="41"/>
  <c r="CY202" i="41" s="1"/>
  <c r="DX202" i="41"/>
  <c r="CX202" i="41" s="1"/>
  <c r="DX201" i="41"/>
  <c r="CX201" i="41" s="1"/>
  <c r="DY201" i="41"/>
  <c r="CY201" i="41" s="1"/>
  <c r="DY200" i="41"/>
  <c r="CY200" i="41" s="1"/>
  <c r="DX200" i="41"/>
  <c r="CX200" i="41" s="1"/>
  <c r="DX199" i="41"/>
  <c r="CX199" i="41" s="1"/>
  <c r="DY199" i="41"/>
  <c r="CY199" i="41" s="1"/>
  <c r="DY198" i="41"/>
  <c r="CY198" i="41" s="1"/>
  <c r="DX198" i="41"/>
  <c r="CX198" i="41" s="1"/>
  <c r="DX197" i="41"/>
  <c r="CX197" i="41" s="1"/>
  <c r="DY197" i="41"/>
  <c r="CY197" i="41" s="1"/>
  <c r="DY196" i="41"/>
  <c r="CY196" i="41" s="1"/>
  <c r="DX196" i="41"/>
  <c r="CX196" i="41" s="1"/>
  <c r="DX195" i="41"/>
  <c r="CX195" i="41" s="1"/>
  <c r="DY195" i="41"/>
  <c r="CY195" i="41" s="1"/>
  <c r="DY194" i="41"/>
  <c r="CY194" i="41" s="1"/>
  <c r="DX194" i="41"/>
  <c r="CX194" i="41" s="1"/>
  <c r="DX193" i="41"/>
  <c r="CX193" i="41" s="1"/>
  <c r="DY193" i="41"/>
  <c r="CY193" i="41" s="1"/>
  <c r="DY192" i="41"/>
  <c r="CY192" i="41" s="1"/>
  <c r="DX192" i="41"/>
  <c r="CX192" i="41" s="1"/>
  <c r="DX191" i="41"/>
  <c r="CX191" i="41" s="1"/>
  <c r="DY191" i="41"/>
  <c r="CY191" i="41" s="1"/>
  <c r="DY190" i="41"/>
  <c r="CY190" i="41" s="1"/>
  <c r="DX190" i="41"/>
  <c r="CX190" i="41" s="1"/>
  <c r="DX189" i="41"/>
  <c r="CX189" i="41" s="1"/>
  <c r="DY189" i="41"/>
  <c r="CY189" i="41" s="1"/>
  <c r="DY188" i="41"/>
  <c r="CY188" i="41" s="1"/>
  <c r="DX188" i="41"/>
  <c r="CX188" i="41" s="1"/>
  <c r="DX187" i="41"/>
  <c r="CX187" i="41" s="1"/>
  <c r="DY187" i="41"/>
  <c r="CY187" i="41" s="1"/>
  <c r="DY182" i="41"/>
  <c r="CY182" i="41" s="1"/>
  <c r="DX182" i="41"/>
  <c r="CX182" i="41" s="1"/>
  <c r="DX181" i="41"/>
  <c r="CX181" i="41" s="1"/>
  <c r="DY181" i="41"/>
  <c r="CY181" i="41" s="1"/>
  <c r="DY180" i="41"/>
  <c r="CY180" i="41" s="1"/>
  <c r="DX180" i="41"/>
  <c r="CX180" i="41" s="1"/>
  <c r="DX179" i="41"/>
  <c r="CX179" i="41" s="1"/>
  <c r="DY179" i="41"/>
  <c r="CY179" i="41" s="1"/>
  <c r="DY178" i="41"/>
  <c r="CY178" i="41" s="1"/>
  <c r="DX178" i="41"/>
  <c r="CX178" i="41" s="1"/>
  <c r="DX177" i="41"/>
  <c r="CX177" i="41" s="1"/>
  <c r="DY177" i="41"/>
  <c r="CY177" i="41" s="1"/>
  <c r="DY176" i="41"/>
  <c r="CY176" i="41" s="1"/>
  <c r="DX176" i="41"/>
  <c r="CX176" i="41" s="1"/>
  <c r="DX175" i="41"/>
  <c r="CX175" i="41" s="1"/>
  <c r="DY175" i="41"/>
  <c r="CY175" i="41" s="1"/>
  <c r="DY174" i="41"/>
  <c r="CY174" i="41" s="1"/>
  <c r="DX174" i="41"/>
  <c r="CX174" i="41" s="1"/>
  <c r="DX173" i="41"/>
  <c r="CX173" i="41" s="1"/>
  <c r="DY173" i="41"/>
  <c r="CY173" i="41" s="1"/>
  <c r="DY172" i="41"/>
  <c r="CY172" i="41" s="1"/>
  <c r="DX172" i="41"/>
  <c r="CX172" i="41" s="1"/>
  <c r="DX171" i="41"/>
  <c r="CX171" i="41" s="1"/>
  <c r="DY171" i="41"/>
  <c r="CY171" i="41" s="1"/>
  <c r="DY170" i="41"/>
  <c r="CY170" i="41" s="1"/>
  <c r="DX170" i="41"/>
  <c r="CX170" i="41" s="1"/>
  <c r="DX169" i="41"/>
  <c r="CX169" i="41" s="1"/>
  <c r="DY169" i="41"/>
  <c r="CY169" i="41" s="1"/>
  <c r="DY168" i="41"/>
  <c r="CY168" i="41" s="1"/>
  <c r="DX168" i="41"/>
  <c r="CX168" i="41" s="1"/>
  <c r="DX167" i="41"/>
  <c r="CX167" i="41" s="1"/>
  <c r="DY167" i="41"/>
  <c r="CY167" i="41" s="1"/>
  <c r="DY166" i="41"/>
  <c r="CY166" i="41" s="1"/>
  <c r="DX166" i="41"/>
  <c r="CX166" i="41" s="1"/>
  <c r="DX165" i="41"/>
  <c r="CX165" i="41" s="1"/>
  <c r="DY165" i="41"/>
  <c r="CY165" i="41" s="1"/>
  <c r="DY164" i="41"/>
  <c r="CY164" i="41" s="1"/>
  <c r="DX164" i="41"/>
  <c r="CX164" i="41" s="1"/>
  <c r="DX163" i="41"/>
  <c r="CX163" i="41" s="1"/>
  <c r="DY163" i="41"/>
  <c r="CY163" i="41" s="1"/>
  <c r="DY162" i="41"/>
  <c r="CY162" i="41" s="1"/>
  <c r="DX162" i="41"/>
  <c r="CX162" i="41" s="1"/>
  <c r="DX161" i="41"/>
  <c r="CX161" i="41" s="1"/>
  <c r="DY161" i="41"/>
  <c r="CY161" i="41" s="1"/>
  <c r="DY160" i="41"/>
  <c r="CY160" i="41" s="1"/>
  <c r="DX160" i="41"/>
  <c r="CX160" i="41" s="1"/>
  <c r="DF155" i="41"/>
  <c r="DE155" i="41"/>
  <c r="DD155" i="41"/>
  <c r="DC155" i="41"/>
  <c r="DB155" i="41"/>
  <c r="CF155" i="41"/>
  <c r="CE155" i="41"/>
  <c r="CD155" i="41"/>
  <c r="CC155" i="41"/>
  <c r="CB155" i="41"/>
  <c r="DF154" i="41"/>
  <c r="DE154" i="41"/>
  <c r="DD154" i="41"/>
  <c r="DC154" i="41"/>
  <c r="DB154" i="41"/>
  <c r="CF154" i="41"/>
  <c r="CE154" i="41"/>
  <c r="CD154" i="41"/>
  <c r="CC154" i="41"/>
  <c r="CB154" i="41"/>
  <c r="DF153" i="41"/>
  <c r="DE153" i="41"/>
  <c r="DD153" i="41"/>
  <c r="DC153" i="41"/>
  <c r="DB153" i="41"/>
  <c r="CF153" i="41"/>
  <c r="CE153" i="41"/>
  <c r="CD153" i="41"/>
  <c r="CC153" i="41"/>
  <c r="CB153" i="41"/>
  <c r="DF152" i="41"/>
  <c r="DE152" i="41"/>
  <c r="DD152" i="41"/>
  <c r="DC152" i="41"/>
  <c r="DB152" i="41"/>
  <c r="CF152" i="41"/>
  <c r="CE152" i="41"/>
  <c r="CD152" i="41"/>
  <c r="CC152" i="41"/>
  <c r="CB152" i="41"/>
  <c r="DF151" i="41"/>
  <c r="DE151" i="41"/>
  <c r="DD151" i="41"/>
  <c r="DC151" i="41"/>
  <c r="DB151" i="41"/>
  <c r="CF151" i="41"/>
  <c r="CE151" i="41"/>
  <c r="CD151" i="41"/>
  <c r="CC151" i="41"/>
  <c r="CB151" i="41"/>
  <c r="DF147" i="41"/>
  <c r="DE147" i="41"/>
  <c r="DD147" i="41"/>
  <c r="DC147" i="41"/>
  <c r="DB147" i="41"/>
  <c r="CF147" i="41"/>
  <c r="CE147" i="41"/>
  <c r="CD147" i="41"/>
  <c r="CC147" i="41"/>
  <c r="CB147" i="41"/>
  <c r="DF146" i="41"/>
  <c r="DE146" i="41"/>
  <c r="DD146" i="41"/>
  <c r="DC146" i="41"/>
  <c r="DB146" i="41"/>
  <c r="CF146" i="41"/>
  <c r="CE146" i="41"/>
  <c r="CD146" i="41"/>
  <c r="CC146" i="41"/>
  <c r="CB146" i="41"/>
  <c r="DF145" i="41"/>
  <c r="DE145" i="41"/>
  <c r="DD145" i="41"/>
  <c r="DC145" i="41"/>
  <c r="DB145" i="41"/>
  <c r="CF145" i="41"/>
  <c r="CE145" i="41"/>
  <c r="CD145" i="41"/>
  <c r="CC145" i="41"/>
  <c r="CB145" i="41"/>
  <c r="DF144" i="41"/>
  <c r="DE144" i="41"/>
  <c r="DD144" i="41"/>
  <c r="DC144" i="41"/>
  <c r="DB144" i="41"/>
  <c r="CF144" i="41"/>
  <c r="CE144" i="41"/>
  <c r="CD144" i="41"/>
  <c r="CC144" i="41"/>
  <c r="CB144" i="41"/>
  <c r="DF143" i="41"/>
  <c r="DE143" i="41"/>
  <c r="DD143" i="41"/>
  <c r="DC143" i="41"/>
  <c r="DB143" i="41"/>
  <c r="CF143" i="41"/>
  <c r="CE143" i="41"/>
  <c r="CD143" i="41"/>
  <c r="CC143" i="41"/>
  <c r="CB143" i="41"/>
  <c r="DZ139" i="41"/>
  <c r="DY139" i="41"/>
  <c r="DX139" i="41"/>
  <c r="DW139" i="41"/>
  <c r="DV139" i="41"/>
  <c r="DU139" i="41"/>
  <c r="DT139" i="41"/>
  <c r="DS139" i="41"/>
  <c r="DR139" i="41"/>
  <c r="DQ139" i="41"/>
  <c r="DP139" i="41"/>
  <c r="DO139" i="41"/>
  <c r="DN139" i="41"/>
  <c r="DM139" i="41"/>
  <c r="DL139" i="41"/>
  <c r="DK139" i="41"/>
  <c r="DJ139" i="41"/>
  <c r="DI139" i="41"/>
  <c r="DH139" i="41"/>
  <c r="DG139" i="41"/>
  <c r="DE139" i="41"/>
  <c r="CZ139" i="41"/>
  <c r="CY139" i="41"/>
  <c r="CX139" i="41"/>
  <c r="CW139" i="41"/>
  <c r="CV139" i="41"/>
  <c r="CU139" i="41"/>
  <c r="CT139" i="41"/>
  <c r="CS139" i="41"/>
  <c r="CR139" i="41"/>
  <c r="CQ139" i="41"/>
  <c r="CP139" i="41"/>
  <c r="CO139" i="41"/>
  <c r="CN139" i="41"/>
  <c r="CM139" i="41"/>
  <c r="CL139" i="41"/>
  <c r="CK139" i="41"/>
  <c r="CJ139" i="41"/>
  <c r="CI139" i="41"/>
  <c r="CH139" i="41"/>
  <c r="CG139" i="41"/>
  <c r="DZ138" i="41"/>
  <c r="DY138" i="41"/>
  <c r="DX138" i="41"/>
  <c r="DW138" i="41"/>
  <c r="DV138" i="41"/>
  <c r="DU138" i="41"/>
  <c r="DT138" i="41"/>
  <c r="DS138" i="41"/>
  <c r="DR138" i="41"/>
  <c r="DQ138" i="41"/>
  <c r="DP138" i="41"/>
  <c r="DO138" i="41"/>
  <c r="DN138" i="41"/>
  <c r="DM138" i="41"/>
  <c r="DL138" i="41"/>
  <c r="DK138" i="41"/>
  <c r="DJ138" i="41"/>
  <c r="DI138" i="41"/>
  <c r="DH138" i="41"/>
  <c r="DG138" i="41"/>
  <c r="CZ138" i="41"/>
  <c r="CY138" i="41"/>
  <c r="CX138" i="41"/>
  <c r="CW138" i="41"/>
  <c r="CV138" i="41"/>
  <c r="CU138" i="41"/>
  <c r="CT138" i="41"/>
  <c r="CS138" i="41"/>
  <c r="CR138" i="41"/>
  <c r="CQ138" i="41"/>
  <c r="CP138" i="41"/>
  <c r="CO138" i="41"/>
  <c r="CN138" i="41"/>
  <c r="CM138" i="41"/>
  <c r="CL138" i="41"/>
  <c r="CK138" i="41"/>
  <c r="CJ138" i="41"/>
  <c r="CI138" i="41"/>
  <c r="CH138" i="41"/>
  <c r="CG138" i="41"/>
  <c r="DZ137" i="41"/>
  <c r="DY137" i="41"/>
  <c r="DX137" i="41"/>
  <c r="DW137" i="41"/>
  <c r="DV137" i="41"/>
  <c r="DU137" i="41"/>
  <c r="DT137" i="41"/>
  <c r="DS137" i="41"/>
  <c r="DR137" i="41"/>
  <c r="DQ137" i="41"/>
  <c r="DP137" i="41"/>
  <c r="DO137" i="41"/>
  <c r="DN137" i="41"/>
  <c r="DM137" i="41"/>
  <c r="DL137" i="41"/>
  <c r="DK137" i="41"/>
  <c r="DJ137" i="41"/>
  <c r="DI137" i="41"/>
  <c r="DH137" i="41"/>
  <c r="DG137" i="41"/>
  <c r="DD137" i="41"/>
  <c r="DF137" i="41"/>
  <c r="CZ137" i="41"/>
  <c r="CY137" i="41"/>
  <c r="CX137" i="41"/>
  <c r="CW137" i="41"/>
  <c r="CV137" i="41"/>
  <c r="CU137" i="41"/>
  <c r="CT137" i="41"/>
  <c r="CS137" i="41"/>
  <c r="CR137" i="41"/>
  <c r="CQ137" i="41"/>
  <c r="CP137" i="41"/>
  <c r="CO137" i="41"/>
  <c r="CN137" i="41"/>
  <c r="CM137" i="41"/>
  <c r="CL137" i="41"/>
  <c r="CK137" i="41"/>
  <c r="CJ137" i="41"/>
  <c r="CI137" i="41"/>
  <c r="CH137" i="41"/>
  <c r="CG137" i="41"/>
  <c r="CF137" i="41"/>
  <c r="CD137" i="41"/>
  <c r="DB137" i="41"/>
  <c r="EA137" i="41"/>
  <c r="DZ136" i="41"/>
  <c r="DY136" i="41"/>
  <c r="DX136" i="41"/>
  <c r="DW136" i="41"/>
  <c r="DV136" i="41"/>
  <c r="DU136" i="41"/>
  <c r="DT136" i="41"/>
  <c r="DS136" i="41"/>
  <c r="DR136" i="41"/>
  <c r="DQ136" i="41"/>
  <c r="DP136" i="41"/>
  <c r="DO136" i="41"/>
  <c r="DN136" i="41"/>
  <c r="DM136" i="41"/>
  <c r="DL136" i="41"/>
  <c r="DK136" i="41"/>
  <c r="DJ136" i="41"/>
  <c r="DI136" i="41"/>
  <c r="DH136" i="41"/>
  <c r="DG136" i="41"/>
  <c r="CZ136" i="41"/>
  <c r="CY136" i="41"/>
  <c r="CX136" i="41"/>
  <c r="CW136" i="41"/>
  <c r="CV136" i="41"/>
  <c r="CU136" i="41"/>
  <c r="CT136" i="41"/>
  <c r="CS136" i="41"/>
  <c r="CR136" i="41"/>
  <c r="CQ136" i="41"/>
  <c r="CP136" i="41"/>
  <c r="CO136" i="41"/>
  <c r="CN136" i="41"/>
  <c r="CM136" i="41"/>
  <c r="CL136" i="41"/>
  <c r="CK136" i="41"/>
  <c r="CJ136" i="41"/>
  <c r="CI136" i="41"/>
  <c r="CH136" i="41"/>
  <c r="CG136" i="41"/>
  <c r="DZ135" i="41"/>
  <c r="DY135" i="41"/>
  <c r="DX135" i="41"/>
  <c r="DW135" i="41"/>
  <c r="DV135" i="41"/>
  <c r="DU135" i="41"/>
  <c r="DT135" i="41"/>
  <c r="DS135" i="41"/>
  <c r="DR135" i="41"/>
  <c r="DQ135" i="41"/>
  <c r="DP135" i="41"/>
  <c r="DO135" i="41"/>
  <c r="DN135" i="41"/>
  <c r="DM135" i="41"/>
  <c r="DL135" i="41"/>
  <c r="DK135" i="41"/>
  <c r="DJ135" i="41"/>
  <c r="DI135" i="41"/>
  <c r="DH135" i="41"/>
  <c r="DG135" i="41"/>
  <c r="CZ135" i="41"/>
  <c r="CY135" i="41"/>
  <c r="CX135" i="41"/>
  <c r="CW135" i="41"/>
  <c r="CV135" i="41"/>
  <c r="CU135" i="41"/>
  <c r="CT135" i="41"/>
  <c r="CS135" i="41"/>
  <c r="CR135" i="41"/>
  <c r="CQ135" i="41"/>
  <c r="CP135" i="41"/>
  <c r="CO135" i="41"/>
  <c r="CN135" i="41"/>
  <c r="CM135" i="41"/>
  <c r="CL135" i="41"/>
  <c r="CK135" i="41"/>
  <c r="CJ135" i="41"/>
  <c r="CI135" i="41"/>
  <c r="CH135" i="41"/>
  <c r="CG135" i="41"/>
  <c r="CD135" i="41"/>
  <c r="DE135" i="41"/>
  <c r="EA134" i="41"/>
  <c r="DZ134" i="41"/>
  <c r="DY134" i="41"/>
  <c r="DX134" i="41"/>
  <c r="DW134" i="41"/>
  <c r="DV134" i="41"/>
  <c r="DU134" i="41"/>
  <c r="DT134" i="41"/>
  <c r="DS134" i="41"/>
  <c r="DR134" i="41"/>
  <c r="DQ134" i="41"/>
  <c r="DP134" i="41"/>
  <c r="DO134" i="41"/>
  <c r="DN134" i="41"/>
  <c r="DM134" i="41"/>
  <c r="DL134" i="41"/>
  <c r="DK134" i="41"/>
  <c r="DJ134" i="41"/>
  <c r="DI134" i="41"/>
  <c r="DH134" i="41"/>
  <c r="DG134" i="41"/>
  <c r="DC134" i="41"/>
  <c r="CZ134" i="41"/>
  <c r="CY134" i="41"/>
  <c r="CX134" i="41"/>
  <c r="CW134" i="41"/>
  <c r="CV134" i="41"/>
  <c r="CU134" i="41"/>
  <c r="CT134" i="41"/>
  <c r="CS134" i="41"/>
  <c r="CR134" i="41"/>
  <c r="CQ134" i="41"/>
  <c r="CP134" i="41"/>
  <c r="CO134" i="41"/>
  <c r="CN134" i="41"/>
  <c r="CM134" i="41"/>
  <c r="CL134" i="41"/>
  <c r="CK134" i="41"/>
  <c r="CJ134" i="41"/>
  <c r="CI134" i="41"/>
  <c r="CH134" i="41"/>
  <c r="CG134" i="41"/>
  <c r="CE134" i="41"/>
  <c r="CD134" i="41"/>
  <c r="DB134" i="41"/>
  <c r="DF134" i="41"/>
  <c r="DZ133" i="41"/>
  <c r="DY133" i="41"/>
  <c r="DX133" i="41"/>
  <c r="DW133" i="41"/>
  <c r="DV133" i="41"/>
  <c r="DU133" i="41"/>
  <c r="DT133" i="41"/>
  <c r="DS133" i="41"/>
  <c r="DR133" i="41"/>
  <c r="DQ133" i="41"/>
  <c r="DP133" i="41"/>
  <c r="DO133" i="41"/>
  <c r="DN133" i="41"/>
  <c r="DM133" i="41"/>
  <c r="DL133" i="41"/>
  <c r="DK133" i="41"/>
  <c r="DJ133" i="41"/>
  <c r="DI133" i="41"/>
  <c r="DH133" i="41"/>
  <c r="DG133" i="41"/>
  <c r="DF133" i="41"/>
  <c r="CZ133" i="41"/>
  <c r="CY133" i="41"/>
  <c r="CX133" i="41"/>
  <c r="CW133" i="41"/>
  <c r="CV133" i="41"/>
  <c r="CU133" i="41"/>
  <c r="CT133" i="41"/>
  <c r="CS133" i="41"/>
  <c r="CR133" i="41"/>
  <c r="CQ133" i="41"/>
  <c r="CP133" i="41"/>
  <c r="CO133" i="41"/>
  <c r="CN133" i="41"/>
  <c r="CM133" i="41"/>
  <c r="CL133" i="41"/>
  <c r="CK133" i="41"/>
  <c r="CJ133" i="41"/>
  <c r="CI133" i="41"/>
  <c r="CH133" i="41"/>
  <c r="CG133" i="41"/>
  <c r="CD133" i="41"/>
  <c r="DB133" i="41"/>
  <c r="DE133" i="41"/>
  <c r="DZ132" i="41"/>
  <c r="DY132" i="41"/>
  <c r="DX132" i="41"/>
  <c r="DW132" i="41"/>
  <c r="DV132" i="41"/>
  <c r="DU132" i="41"/>
  <c r="DT132" i="41"/>
  <c r="DS132" i="41"/>
  <c r="DR132" i="41"/>
  <c r="DQ132" i="41"/>
  <c r="DP132" i="41"/>
  <c r="DO132" i="41"/>
  <c r="DN132" i="41"/>
  <c r="DM132" i="41"/>
  <c r="DL132" i="41"/>
  <c r="DK132" i="41"/>
  <c r="DJ132" i="41"/>
  <c r="DI132" i="41"/>
  <c r="DH132" i="41"/>
  <c r="DG132" i="41"/>
  <c r="CC132" i="41"/>
  <c r="DA132" i="41"/>
  <c r="CZ132" i="41"/>
  <c r="CY132" i="41"/>
  <c r="CX132" i="41"/>
  <c r="CW132" i="41"/>
  <c r="CV132" i="41"/>
  <c r="CU132" i="41"/>
  <c r="CT132" i="41"/>
  <c r="CS132" i="41"/>
  <c r="CR132" i="41"/>
  <c r="CQ132" i="41"/>
  <c r="CP132" i="41"/>
  <c r="CO132" i="41"/>
  <c r="CN132" i="41"/>
  <c r="CM132" i="41"/>
  <c r="CL132" i="41"/>
  <c r="CK132" i="41"/>
  <c r="CJ132" i="41"/>
  <c r="CI132" i="41"/>
  <c r="CH132" i="41"/>
  <c r="CG132" i="41"/>
  <c r="DF131" i="41"/>
  <c r="EA131" i="41"/>
  <c r="DZ131" i="41"/>
  <c r="DY131" i="41"/>
  <c r="DX131" i="41"/>
  <c r="DW131" i="41"/>
  <c r="DV131" i="41"/>
  <c r="DU131" i="41"/>
  <c r="DT131" i="41"/>
  <c r="DS131" i="41"/>
  <c r="DR131" i="41"/>
  <c r="DQ131" i="41"/>
  <c r="DP131" i="41"/>
  <c r="DO131" i="41"/>
  <c r="DN131" i="41"/>
  <c r="DM131" i="41"/>
  <c r="DL131" i="41"/>
  <c r="DK131" i="41"/>
  <c r="DJ131" i="41"/>
  <c r="DI131" i="41"/>
  <c r="DH131" i="41"/>
  <c r="DG131" i="41"/>
  <c r="DD131" i="41"/>
  <c r="DC131" i="41"/>
  <c r="CZ131" i="41"/>
  <c r="CY131" i="41"/>
  <c r="CX131" i="41"/>
  <c r="CW131" i="41"/>
  <c r="CV131" i="41"/>
  <c r="CU131" i="41"/>
  <c r="CT131" i="41"/>
  <c r="CS131" i="41"/>
  <c r="CR131" i="41"/>
  <c r="CQ131" i="41"/>
  <c r="CP131" i="41"/>
  <c r="CO131" i="41"/>
  <c r="CN131" i="41"/>
  <c r="CM131" i="41"/>
  <c r="CL131" i="41"/>
  <c r="CK131" i="41"/>
  <c r="CJ131" i="41"/>
  <c r="CI131" i="41"/>
  <c r="CH131" i="41"/>
  <c r="CG131" i="41"/>
  <c r="CF131" i="41"/>
  <c r="CD131" i="41"/>
  <c r="CB131" i="41"/>
  <c r="DE131" i="41"/>
  <c r="DF130" i="41"/>
  <c r="EA130" i="41"/>
  <c r="DZ130" i="41"/>
  <c r="DY130" i="41"/>
  <c r="DX130" i="41"/>
  <c r="DW130" i="41"/>
  <c r="DV130" i="41"/>
  <c r="DU130" i="41"/>
  <c r="DT130" i="41"/>
  <c r="DS130" i="41"/>
  <c r="DR130" i="41"/>
  <c r="DQ130" i="41"/>
  <c r="DP130" i="41"/>
  <c r="DO130" i="41"/>
  <c r="DN130" i="41"/>
  <c r="DM130" i="41"/>
  <c r="DL130" i="41"/>
  <c r="DK130" i="41"/>
  <c r="DJ130" i="41"/>
  <c r="DI130" i="41"/>
  <c r="DH130" i="41"/>
  <c r="DG130" i="41"/>
  <c r="DC130" i="41"/>
  <c r="CZ130" i="41"/>
  <c r="CY130" i="41"/>
  <c r="CX130" i="41"/>
  <c r="CW130" i="41"/>
  <c r="CV130" i="41"/>
  <c r="CU130" i="41"/>
  <c r="CT130" i="41"/>
  <c r="CS130" i="41"/>
  <c r="CR130" i="41"/>
  <c r="CQ130" i="41"/>
  <c r="CP130" i="41"/>
  <c r="CO130" i="41"/>
  <c r="CN130" i="41"/>
  <c r="CM130" i="41"/>
  <c r="CL130" i="41"/>
  <c r="CK130" i="41"/>
  <c r="CJ130" i="41"/>
  <c r="CI130" i="41"/>
  <c r="CH130" i="41"/>
  <c r="CG130" i="41"/>
  <c r="CE130" i="41"/>
  <c r="CD130" i="41"/>
  <c r="DB130" i="41"/>
  <c r="DE130" i="41"/>
  <c r="DZ129" i="41"/>
  <c r="DY129" i="41"/>
  <c r="DX129" i="41"/>
  <c r="DW129" i="41"/>
  <c r="DV129" i="41"/>
  <c r="DU129" i="41"/>
  <c r="DT129" i="41"/>
  <c r="DS129" i="41"/>
  <c r="DR129" i="41"/>
  <c r="DQ129" i="41"/>
  <c r="DP129" i="41"/>
  <c r="DO129" i="41"/>
  <c r="DN129" i="41"/>
  <c r="DM129" i="41"/>
  <c r="DL129" i="41"/>
  <c r="DK129" i="41"/>
  <c r="DJ129" i="41"/>
  <c r="DI129" i="41"/>
  <c r="DH129" i="41"/>
  <c r="DG129" i="41"/>
  <c r="CZ129" i="41"/>
  <c r="CY129" i="41"/>
  <c r="CX129" i="41"/>
  <c r="CW129" i="41"/>
  <c r="CV129" i="41"/>
  <c r="CU129" i="41"/>
  <c r="CT129" i="41"/>
  <c r="CS129" i="41"/>
  <c r="CR129" i="41"/>
  <c r="CQ129" i="41"/>
  <c r="CP129" i="41"/>
  <c r="CO129" i="41"/>
  <c r="CN129" i="41"/>
  <c r="CM129" i="41"/>
  <c r="CL129" i="41"/>
  <c r="CK129" i="41"/>
  <c r="CJ129" i="41"/>
  <c r="CI129" i="41"/>
  <c r="CH129" i="41"/>
  <c r="CG129" i="41"/>
  <c r="DB129" i="41"/>
  <c r="DZ128" i="41"/>
  <c r="DY128" i="41"/>
  <c r="DX128" i="41"/>
  <c r="DW128" i="41"/>
  <c r="DV128" i="41"/>
  <c r="DU128" i="41"/>
  <c r="DT128" i="41"/>
  <c r="DS128" i="41"/>
  <c r="DR128" i="41"/>
  <c r="DQ128" i="41"/>
  <c r="DP128" i="41"/>
  <c r="DO128" i="41"/>
  <c r="DN128" i="41"/>
  <c r="DM128" i="41"/>
  <c r="DL128" i="41"/>
  <c r="DK128" i="41"/>
  <c r="DJ128" i="41"/>
  <c r="DI128" i="41"/>
  <c r="DH128" i="41"/>
  <c r="DG128" i="41"/>
  <c r="DA128" i="41"/>
  <c r="CZ128" i="41"/>
  <c r="CY128" i="41"/>
  <c r="CX128" i="41"/>
  <c r="CW128" i="41"/>
  <c r="CV128" i="41"/>
  <c r="CU128" i="41"/>
  <c r="CT128" i="41"/>
  <c r="CS128" i="41"/>
  <c r="CR128" i="41"/>
  <c r="CQ128" i="41"/>
  <c r="CP128" i="41"/>
  <c r="CO128" i="41"/>
  <c r="CN128" i="41"/>
  <c r="CM128" i="41"/>
  <c r="CL128" i="41"/>
  <c r="CK128" i="41"/>
  <c r="CJ128" i="41"/>
  <c r="CI128" i="41"/>
  <c r="CH128" i="41"/>
  <c r="CG128" i="41"/>
  <c r="CC128" i="41"/>
  <c r="EA127" i="41"/>
  <c r="DZ127" i="41"/>
  <c r="DY127" i="41"/>
  <c r="DX127" i="41"/>
  <c r="DW127" i="41"/>
  <c r="DV127" i="41"/>
  <c r="DU127" i="41"/>
  <c r="DT127" i="41"/>
  <c r="DS127" i="41"/>
  <c r="DR127" i="41"/>
  <c r="DQ127" i="41"/>
  <c r="DP127" i="41"/>
  <c r="DO127" i="41"/>
  <c r="DN127" i="41"/>
  <c r="DM127" i="41"/>
  <c r="DL127" i="41"/>
  <c r="DK127" i="41"/>
  <c r="DJ127" i="41"/>
  <c r="DI127" i="41"/>
  <c r="DH127" i="41"/>
  <c r="DG127" i="41"/>
  <c r="CZ127" i="41"/>
  <c r="CY127" i="41"/>
  <c r="CX127" i="41"/>
  <c r="CW127" i="41"/>
  <c r="CV127" i="41"/>
  <c r="CU127" i="41"/>
  <c r="CT127" i="41"/>
  <c r="CS127" i="41"/>
  <c r="CR127" i="41"/>
  <c r="CQ127" i="41"/>
  <c r="CP127" i="41"/>
  <c r="CO127" i="41"/>
  <c r="CN127" i="41"/>
  <c r="CM127" i="41"/>
  <c r="CL127" i="41"/>
  <c r="CK127" i="41"/>
  <c r="CJ127" i="41"/>
  <c r="CI127" i="41"/>
  <c r="CH127" i="41"/>
  <c r="CG127" i="41"/>
  <c r="EA126" i="41"/>
  <c r="DZ126" i="41"/>
  <c r="DY126" i="41"/>
  <c r="DX126" i="41"/>
  <c r="DW126" i="41"/>
  <c r="DV126" i="41"/>
  <c r="DU126" i="41"/>
  <c r="DT126" i="41"/>
  <c r="DS126" i="41"/>
  <c r="DR126" i="41"/>
  <c r="DQ126" i="41"/>
  <c r="DP126" i="41"/>
  <c r="DO126" i="41"/>
  <c r="DN126" i="41"/>
  <c r="DM126" i="41"/>
  <c r="DL126" i="41"/>
  <c r="DK126" i="41"/>
  <c r="DJ126" i="41"/>
  <c r="DI126" i="41"/>
  <c r="DH126" i="41"/>
  <c r="DG126" i="41"/>
  <c r="DF126" i="41"/>
  <c r="CZ126" i="41"/>
  <c r="CY126" i="41"/>
  <c r="CX126" i="41"/>
  <c r="CW126" i="41"/>
  <c r="CV126" i="41"/>
  <c r="CU126" i="41"/>
  <c r="CT126" i="41"/>
  <c r="CS126" i="41"/>
  <c r="CR126" i="41"/>
  <c r="CQ126" i="41"/>
  <c r="CP126" i="41"/>
  <c r="CO126" i="41"/>
  <c r="CN126" i="41"/>
  <c r="CM126" i="41"/>
  <c r="CL126" i="41"/>
  <c r="CK126" i="41"/>
  <c r="CJ126" i="41"/>
  <c r="CI126" i="41"/>
  <c r="CH126" i="41"/>
  <c r="CG126" i="41"/>
  <c r="CE126" i="41"/>
  <c r="DE126" i="41"/>
  <c r="DZ125" i="41"/>
  <c r="DY125" i="41"/>
  <c r="DX125" i="41"/>
  <c r="DW125" i="41"/>
  <c r="DV125" i="41"/>
  <c r="DU125" i="41"/>
  <c r="DT125" i="41"/>
  <c r="DS125" i="41"/>
  <c r="DR125" i="41"/>
  <c r="DQ125" i="41"/>
  <c r="DP125" i="41"/>
  <c r="DO125" i="41"/>
  <c r="DN125" i="41"/>
  <c r="DM125" i="41"/>
  <c r="DL125" i="41"/>
  <c r="DK125" i="41"/>
  <c r="DJ125" i="41"/>
  <c r="DI125" i="41"/>
  <c r="DH125" i="41"/>
  <c r="DG125" i="41"/>
  <c r="CD125" i="41"/>
  <c r="DF125" i="41"/>
  <c r="CZ125" i="41"/>
  <c r="CY125" i="41"/>
  <c r="CX125" i="41"/>
  <c r="CW125" i="41"/>
  <c r="CV125" i="41"/>
  <c r="CU125" i="41"/>
  <c r="CT125" i="41"/>
  <c r="CS125" i="41"/>
  <c r="CR125" i="41"/>
  <c r="CQ125" i="41"/>
  <c r="CP125" i="41"/>
  <c r="CO125" i="41"/>
  <c r="CN125" i="41"/>
  <c r="CM125" i="41"/>
  <c r="CL125" i="41"/>
  <c r="CK125" i="41"/>
  <c r="CJ125" i="41"/>
  <c r="CI125" i="41"/>
  <c r="CH125" i="41"/>
  <c r="CG125" i="41"/>
  <c r="DZ124" i="41"/>
  <c r="DY124" i="41"/>
  <c r="DX124" i="41"/>
  <c r="DW124" i="41"/>
  <c r="DV124" i="41"/>
  <c r="DU124" i="41"/>
  <c r="DT124" i="41"/>
  <c r="DS124" i="41"/>
  <c r="DR124" i="41"/>
  <c r="DQ124" i="41"/>
  <c r="DP124" i="41"/>
  <c r="DO124" i="41"/>
  <c r="DN124" i="41"/>
  <c r="DM124" i="41"/>
  <c r="DL124" i="41"/>
  <c r="DK124" i="41"/>
  <c r="DJ124" i="41"/>
  <c r="DI124" i="41"/>
  <c r="DH124" i="41"/>
  <c r="DG124" i="41"/>
  <c r="CC124" i="41"/>
  <c r="DA124" i="41"/>
  <c r="CZ124" i="41"/>
  <c r="CY124" i="41"/>
  <c r="CX124" i="41"/>
  <c r="CW124" i="41"/>
  <c r="CV124" i="41"/>
  <c r="CU124" i="41"/>
  <c r="CT124" i="41"/>
  <c r="CS124" i="41"/>
  <c r="CR124" i="41"/>
  <c r="CQ124" i="41"/>
  <c r="CP124" i="41"/>
  <c r="CO124" i="41"/>
  <c r="CN124" i="41"/>
  <c r="CM124" i="41"/>
  <c r="CL124" i="41"/>
  <c r="CK124" i="41"/>
  <c r="CJ124" i="41"/>
  <c r="CI124" i="41"/>
  <c r="CH124" i="41"/>
  <c r="CG124" i="41"/>
  <c r="DF123" i="41"/>
  <c r="EA123" i="41"/>
  <c r="DZ123" i="41"/>
  <c r="DY123" i="41"/>
  <c r="DX123" i="41"/>
  <c r="DW123" i="41"/>
  <c r="DV123" i="41"/>
  <c r="DU123" i="41"/>
  <c r="DT123" i="41"/>
  <c r="DS123" i="41"/>
  <c r="DR123" i="41"/>
  <c r="DQ123" i="41"/>
  <c r="DP123" i="41"/>
  <c r="DO123" i="41"/>
  <c r="DN123" i="41"/>
  <c r="DM123" i="41"/>
  <c r="DL123" i="41"/>
  <c r="DK123" i="41"/>
  <c r="DJ123" i="41"/>
  <c r="DI123" i="41"/>
  <c r="DH123" i="41"/>
  <c r="DG123" i="41"/>
  <c r="DC123" i="41"/>
  <c r="CZ123" i="41"/>
  <c r="CY123" i="41"/>
  <c r="CX123" i="41"/>
  <c r="CW123" i="41"/>
  <c r="CV123" i="41"/>
  <c r="CU123" i="41"/>
  <c r="CT123" i="41"/>
  <c r="CS123" i="41"/>
  <c r="CR123" i="41"/>
  <c r="CQ123" i="41"/>
  <c r="CP123" i="41"/>
  <c r="CO123" i="41"/>
  <c r="CN123" i="41"/>
  <c r="CM123" i="41"/>
  <c r="CL123" i="41"/>
  <c r="CK123" i="41"/>
  <c r="CJ123" i="41"/>
  <c r="CI123" i="41"/>
  <c r="CH123" i="41"/>
  <c r="CG123" i="41"/>
  <c r="CF123" i="41"/>
  <c r="CB123" i="41"/>
  <c r="DF122" i="41"/>
  <c r="EA122" i="41"/>
  <c r="DZ122" i="41"/>
  <c r="DY122" i="41"/>
  <c r="DX122" i="41"/>
  <c r="DW122" i="41"/>
  <c r="DV122" i="41"/>
  <c r="DU122" i="41"/>
  <c r="DT122" i="41"/>
  <c r="DS122" i="41"/>
  <c r="DR122" i="41"/>
  <c r="DQ122" i="41"/>
  <c r="DP122" i="41"/>
  <c r="DO122" i="41"/>
  <c r="DN122" i="41"/>
  <c r="DM122" i="41"/>
  <c r="DL122" i="41"/>
  <c r="DK122" i="41"/>
  <c r="DJ122" i="41"/>
  <c r="DI122" i="41"/>
  <c r="DH122" i="41"/>
  <c r="DG122" i="41"/>
  <c r="CZ122" i="41"/>
  <c r="CY122" i="41"/>
  <c r="CX122" i="41"/>
  <c r="CW122" i="41"/>
  <c r="CV122" i="41"/>
  <c r="CU122" i="41"/>
  <c r="CT122" i="41"/>
  <c r="CS122" i="41"/>
  <c r="CR122" i="41"/>
  <c r="CQ122" i="41"/>
  <c r="CP122" i="41"/>
  <c r="CO122" i="41"/>
  <c r="CN122" i="41"/>
  <c r="CM122" i="41"/>
  <c r="CL122" i="41"/>
  <c r="CK122" i="41"/>
  <c r="CJ122" i="41"/>
  <c r="CI122" i="41"/>
  <c r="CH122" i="41"/>
  <c r="CG122" i="41"/>
  <c r="CE122" i="41"/>
  <c r="CD122" i="41"/>
  <c r="DE122" i="41"/>
  <c r="DZ117" i="41"/>
  <c r="DY117" i="41"/>
  <c r="DX117" i="41"/>
  <c r="DW117" i="41"/>
  <c r="DV117" i="41"/>
  <c r="DU117" i="41"/>
  <c r="DT117" i="41"/>
  <c r="DS117" i="41"/>
  <c r="DR117" i="41"/>
  <c r="DQ117" i="41"/>
  <c r="DP117" i="41"/>
  <c r="DO117" i="41"/>
  <c r="DN117" i="41"/>
  <c r="DM117" i="41"/>
  <c r="DL117" i="41"/>
  <c r="DK117" i="41"/>
  <c r="DJ117" i="41"/>
  <c r="DI117" i="41"/>
  <c r="DH117" i="41"/>
  <c r="DG117" i="41"/>
  <c r="CZ117" i="41"/>
  <c r="CY117" i="41"/>
  <c r="CX117" i="41"/>
  <c r="CW117" i="41"/>
  <c r="CV117" i="41"/>
  <c r="CU117" i="41"/>
  <c r="CT117" i="41"/>
  <c r="CS117" i="41"/>
  <c r="CR117" i="41"/>
  <c r="CQ117" i="41"/>
  <c r="CP117" i="41"/>
  <c r="CO117" i="41"/>
  <c r="CN117" i="41"/>
  <c r="CM117" i="41"/>
  <c r="CL117" i="41"/>
  <c r="CK117" i="41"/>
  <c r="CJ117" i="41"/>
  <c r="CI117" i="41"/>
  <c r="CH117" i="41"/>
  <c r="CG117" i="41"/>
  <c r="DZ116" i="41"/>
  <c r="DY116" i="41"/>
  <c r="DX116" i="41"/>
  <c r="DW116" i="41"/>
  <c r="DV116" i="41"/>
  <c r="DU116" i="41"/>
  <c r="DT116" i="41"/>
  <c r="DS116" i="41"/>
  <c r="DR116" i="41"/>
  <c r="DQ116" i="41"/>
  <c r="DP116" i="41"/>
  <c r="DO116" i="41"/>
  <c r="DN116" i="41"/>
  <c r="DM116" i="41"/>
  <c r="DL116" i="41"/>
  <c r="DK116" i="41"/>
  <c r="DJ116" i="41"/>
  <c r="DI116" i="41"/>
  <c r="DH116" i="41"/>
  <c r="DG116" i="41"/>
  <c r="CZ116" i="41"/>
  <c r="CY116" i="41"/>
  <c r="CX116" i="41"/>
  <c r="CW116" i="41"/>
  <c r="CV116" i="41"/>
  <c r="CU116" i="41"/>
  <c r="CT116" i="41"/>
  <c r="CS116" i="41"/>
  <c r="CR116" i="41"/>
  <c r="CQ116" i="41"/>
  <c r="CP116" i="41"/>
  <c r="CO116" i="41"/>
  <c r="CN116" i="41"/>
  <c r="CM116" i="41"/>
  <c r="CL116" i="41"/>
  <c r="CK116" i="41"/>
  <c r="CJ116" i="41"/>
  <c r="CI116" i="41"/>
  <c r="CH116" i="41"/>
  <c r="CG116" i="41"/>
  <c r="DZ115" i="41"/>
  <c r="DY115" i="41"/>
  <c r="DX115" i="41"/>
  <c r="DW115" i="41"/>
  <c r="DV115" i="41"/>
  <c r="DU115" i="41"/>
  <c r="DT115" i="41"/>
  <c r="DS115" i="41"/>
  <c r="DR115" i="41"/>
  <c r="DQ115" i="41"/>
  <c r="DP115" i="41"/>
  <c r="DO115" i="41"/>
  <c r="DN115" i="41"/>
  <c r="DM115" i="41"/>
  <c r="DL115" i="41"/>
  <c r="DK115" i="41"/>
  <c r="DJ115" i="41"/>
  <c r="DI115" i="41"/>
  <c r="DH115" i="41"/>
  <c r="DG115" i="41"/>
  <c r="DC115" i="41"/>
  <c r="CZ115" i="41"/>
  <c r="CY115" i="41"/>
  <c r="CX115" i="41"/>
  <c r="CW115" i="41"/>
  <c r="CV115" i="41"/>
  <c r="CU115" i="41"/>
  <c r="CT115" i="41"/>
  <c r="CS115" i="41"/>
  <c r="CR115" i="41"/>
  <c r="CQ115" i="41"/>
  <c r="CP115" i="41"/>
  <c r="CO115" i="41"/>
  <c r="CN115" i="41"/>
  <c r="CM115" i="41"/>
  <c r="CL115" i="41"/>
  <c r="CK115" i="41"/>
  <c r="CJ115" i="41"/>
  <c r="CI115" i="41"/>
  <c r="CH115" i="41"/>
  <c r="CG115" i="41"/>
  <c r="CE114" i="41"/>
  <c r="DZ114" i="41"/>
  <c r="DY114" i="41"/>
  <c r="DX114" i="41"/>
  <c r="DW114" i="41"/>
  <c r="DV114" i="41"/>
  <c r="DU114" i="41"/>
  <c r="DT114" i="41"/>
  <c r="DS114" i="41"/>
  <c r="DR114" i="41"/>
  <c r="DQ114" i="41"/>
  <c r="DP114" i="41"/>
  <c r="DO114" i="41"/>
  <c r="DN114" i="41"/>
  <c r="DM114" i="41"/>
  <c r="DL114" i="41"/>
  <c r="DK114" i="41"/>
  <c r="DJ114" i="41"/>
  <c r="DI114" i="41"/>
  <c r="DH114" i="41"/>
  <c r="DG114" i="41"/>
  <c r="CZ114" i="41"/>
  <c r="CY114" i="41"/>
  <c r="CX114" i="41"/>
  <c r="CW114" i="41"/>
  <c r="CV114" i="41"/>
  <c r="CU114" i="41"/>
  <c r="CT114" i="41"/>
  <c r="CS114" i="41"/>
  <c r="CR114" i="41"/>
  <c r="CQ114" i="41"/>
  <c r="CP114" i="41"/>
  <c r="CO114" i="41"/>
  <c r="CN114" i="41"/>
  <c r="CM114" i="41"/>
  <c r="CL114" i="41"/>
  <c r="CK114" i="41"/>
  <c r="CJ114" i="41"/>
  <c r="CI114" i="41"/>
  <c r="CH114" i="41"/>
  <c r="CG114" i="41"/>
  <c r="DZ113" i="41"/>
  <c r="DY113" i="41"/>
  <c r="DX113" i="41"/>
  <c r="DW113" i="41"/>
  <c r="DV113" i="41"/>
  <c r="DU113" i="41"/>
  <c r="DT113" i="41"/>
  <c r="DS113" i="41"/>
  <c r="DR113" i="41"/>
  <c r="DQ113" i="41"/>
  <c r="DP113" i="41"/>
  <c r="DO113" i="41"/>
  <c r="DN113" i="41"/>
  <c r="DM113" i="41"/>
  <c r="DL113" i="41"/>
  <c r="DK113" i="41"/>
  <c r="DJ113" i="41"/>
  <c r="DI113" i="41"/>
  <c r="DH113" i="41"/>
  <c r="DG113" i="41"/>
  <c r="CD113" i="41"/>
  <c r="DF113" i="41"/>
  <c r="CZ113" i="41"/>
  <c r="CY113" i="41"/>
  <c r="CX113" i="41"/>
  <c r="CW113" i="41"/>
  <c r="CV113" i="41"/>
  <c r="CU113" i="41"/>
  <c r="CT113" i="41"/>
  <c r="CS113" i="41"/>
  <c r="CR113" i="41"/>
  <c r="CQ113" i="41"/>
  <c r="CP113" i="41"/>
  <c r="CO113" i="41"/>
  <c r="CN113" i="41"/>
  <c r="CM113" i="41"/>
  <c r="CL113" i="41"/>
  <c r="CK113" i="41"/>
  <c r="CJ113" i="41"/>
  <c r="CI113" i="41"/>
  <c r="CH113" i="41"/>
  <c r="CG113" i="41"/>
  <c r="DE113" i="41"/>
  <c r="DZ112" i="41"/>
  <c r="DY112" i="41"/>
  <c r="DX112" i="41"/>
  <c r="DW112" i="41"/>
  <c r="DV112" i="41"/>
  <c r="DU112" i="41"/>
  <c r="DT112" i="41"/>
  <c r="DS112" i="41"/>
  <c r="DR112" i="41"/>
  <c r="DQ112" i="41"/>
  <c r="DP112" i="41"/>
  <c r="DO112" i="41"/>
  <c r="DN112" i="41"/>
  <c r="DM112" i="41"/>
  <c r="DL112" i="41"/>
  <c r="DK112" i="41"/>
  <c r="DJ112" i="41"/>
  <c r="DI112" i="41"/>
  <c r="DH112" i="41"/>
  <c r="DG112" i="41"/>
  <c r="CZ112" i="41"/>
  <c r="CY112" i="41"/>
  <c r="CX112" i="41"/>
  <c r="CW112" i="41"/>
  <c r="CV112" i="41"/>
  <c r="CU112" i="41"/>
  <c r="CT112" i="41"/>
  <c r="CS112" i="41"/>
  <c r="CR112" i="41"/>
  <c r="CQ112" i="41"/>
  <c r="CP112" i="41"/>
  <c r="CO112" i="41"/>
  <c r="CN112" i="41"/>
  <c r="CM112" i="41"/>
  <c r="CL112" i="41"/>
  <c r="CK112" i="41"/>
  <c r="CJ112" i="41"/>
  <c r="CI112" i="41"/>
  <c r="CH112" i="41"/>
  <c r="CG112" i="41"/>
  <c r="DZ111" i="41"/>
  <c r="DY111" i="41"/>
  <c r="DX111" i="41"/>
  <c r="DW111" i="41"/>
  <c r="DV111" i="41"/>
  <c r="DU111" i="41"/>
  <c r="DT111" i="41"/>
  <c r="DS111" i="41"/>
  <c r="DR111" i="41"/>
  <c r="DQ111" i="41"/>
  <c r="DP111" i="41"/>
  <c r="DO111" i="41"/>
  <c r="DN111" i="41"/>
  <c r="DM111" i="41"/>
  <c r="DL111" i="41"/>
  <c r="DK111" i="41"/>
  <c r="DJ111" i="41"/>
  <c r="DI111" i="41"/>
  <c r="DH111" i="41"/>
  <c r="DG111" i="41"/>
  <c r="CZ111" i="41"/>
  <c r="CY111" i="41"/>
  <c r="CX111" i="41"/>
  <c r="CW111" i="41"/>
  <c r="CV111" i="41"/>
  <c r="CU111" i="41"/>
  <c r="CT111" i="41"/>
  <c r="CS111" i="41"/>
  <c r="CR111" i="41"/>
  <c r="CQ111" i="41"/>
  <c r="CP111" i="41"/>
  <c r="CO111" i="41"/>
  <c r="CN111" i="41"/>
  <c r="CM111" i="41"/>
  <c r="CL111" i="41"/>
  <c r="CK111" i="41"/>
  <c r="CJ111" i="41"/>
  <c r="CI111" i="41"/>
  <c r="CH111" i="41"/>
  <c r="CG111" i="41"/>
  <c r="DB111" i="41"/>
  <c r="DF110" i="41"/>
  <c r="EA110" i="41"/>
  <c r="DZ110" i="41"/>
  <c r="DY110" i="41"/>
  <c r="DX110" i="41"/>
  <c r="DW110" i="41"/>
  <c r="DV110" i="41"/>
  <c r="DU110" i="41"/>
  <c r="DT110" i="41"/>
  <c r="DS110" i="41"/>
  <c r="DR110" i="41"/>
  <c r="DQ110" i="41"/>
  <c r="DP110" i="41"/>
  <c r="DO110" i="41"/>
  <c r="DN110" i="41"/>
  <c r="DM110" i="41"/>
  <c r="DL110" i="41"/>
  <c r="DK110" i="41"/>
  <c r="DJ110" i="41"/>
  <c r="DI110" i="41"/>
  <c r="DH110" i="41"/>
  <c r="DG110" i="41"/>
  <c r="CZ110" i="41"/>
  <c r="CY110" i="41"/>
  <c r="CX110" i="41"/>
  <c r="CW110" i="41"/>
  <c r="CV110" i="41"/>
  <c r="CU110" i="41"/>
  <c r="CT110" i="41"/>
  <c r="CS110" i="41"/>
  <c r="CR110" i="41"/>
  <c r="CQ110" i="41"/>
  <c r="CP110" i="41"/>
  <c r="CO110" i="41"/>
  <c r="CN110" i="41"/>
  <c r="CM110" i="41"/>
  <c r="CL110" i="41"/>
  <c r="CK110" i="41"/>
  <c r="CJ110" i="41"/>
  <c r="CI110" i="41"/>
  <c r="CH110" i="41"/>
  <c r="CG110" i="41"/>
  <c r="CE110" i="41"/>
  <c r="CD110" i="41"/>
  <c r="DE110" i="41"/>
  <c r="DZ109" i="41"/>
  <c r="DY109" i="41"/>
  <c r="DX109" i="41"/>
  <c r="DW109" i="41"/>
  <c r="DV109" i="41"/>
  <c r="DU109" i="41"/>
  <c r="DT109" i="41"/>
  <c r="DS109" i="41"/>
  <c r="DR109" i="41"/>
  <c r="DQ109" i="41"/>
  <c r="DP109" i="41"/>
  <c r="DO109" i="41"/>
  <c r="DN109" i="41"/>
  <c r="DM109" i="41"/>
  <c r="DL109" i="41"/>
  <c r="DK109" i="41"/>
  <c r="DJ109" i="41"/>
  <c r="DI109" i="41"/>
  <c r="DH109" i="41"/>
  <c r="DG109" i="41"/>
  <c r="CD109" i="41"/>
  <c r="CZ109" i="41"/>
  <c r="CY109" i="41"/>
  <c r="CX109" i="41"/>
  <c r="CW109" i="41"/>
  <c r="CV109" i="41"/>
  <c r="CU109" i="41"/>
  <c r="CT109" i="41"/>
  <c r="CS109" i="41"/>
  <c r="CR109" i="41"/>
  <c r="CQ109" i="41"/>
  <c r="CP109" i="41"/>
  <c r="CO109" i="41"/>
  <c r="CN109" i="41"/>
  <c r="CM109" i="41"/>
  <c r="CL109" i="41"/>
  <c r="CK109" i="41"/>
  <c r="CJ109" i="41"/>
  <c r="CI109" i="41"/>
  <c r="CH109" i="41"/>
  <c r="CG109" i="41"/>
  <c r="DZ108" i="41"/>
  <c r="DY108" i="41"/>
  <c r="DX108" i="41"/>
  <c r="DW108" i="41"/>
  <c r="DV108" i="41"/>
  <c r="DU108" i="41"/>
  <c r="DT108" i="41"/>
  <c r="DS108" i="41"/>
  <c r="DR108" i="41"/>
  <c r="DQ108" i="41"/>
  <c r="DP108" i="41"/>
  <c r="DO108" i="41"/>
  <c r="DN108" i="41"/>
  <c r="DM108" i="41"/>
  <c r="DL108" i="41"/>
  <c r="DK108" i="41"/>
  <c r="DJ108" i="41"/>
  <c r="DI108" i="41"/>
  <c r="DH108" i="41"/>
  <c r="DG108" i="41"/>
  <c r="CZ108" i="41"/>
  <c r="CY108" i="41"/>
  <c r="CX108" i="41"/>
  <c r="CW108" i="41"/>
  <c r="CV108" i="41"/>
  <c r="CU108" i="41"/>
  <c r="CT108" i="41"/>
  <c r="CS108" i="41"/>
  <c r="CR108" i="41"/>
  <c r="CQ108" i="41"/>
  <c r="CP108" i="41"/>
  <c r="CO108" i="41"/>
  <c r="CN108" i="41"/>
  <c r="CM108" i="41"/>
  <c r="CL108" i="41"/>
  <c r="CK108" i="41"/>
  <c r="CJ108" i="41"/>
  <c r="CI108" i="41"/>
  <c r="CH108" i="41"/>
  <c r="CG108" i="41"/>
  <c r="DZ107" i="41"/>
  <c r="DY107" i="41"/>
  <c r="DX107" i="41"/>
  <c r="DW107" i="41"/>
  <c r="DV107" i="41"/>
  <c r="DU107" i="41"/>
  <c r="DT107" i="41"/>
  <c r="DS107" i="41"/>
  <c r="DR107" i="41"/>
  <c r="DQ107" i="41"/>
  <c r="DP107" i="41"/>
  <c r="DO107" i="41"/>
  <c r="DN107" i="41"/>
  <c r="DM107" i="41"/>
  <c r="DL107" i="41"/>
  <c r="DK107" i="41"/>
  <c r="DJ107" i="41"/>
  <c r="DI107" i="41"/>
  <c r="DH107" i="41"/>
  <c r="DG107" i="41"/>
  <c r="CZ107" i="41"/>
  <c r="CY107" i="41"/>
  <c r="CX107" i="41"/>
  <c r="CW107" i="41"/>
  <c r="CV107" i="41"/>
  <c r="CU107" i="41"/>
  <c r="CT107" i="41"/>
  <c r="CS107" i="41"/>
  <c r="CR107" i="41"/>
  <c r="CQ107" i="41"/>
  <c r="CP107" i="41"/>
  <c r="CO107" i="41"/>
  <c r="CN107" i="41"/>
  <c r="CM107" i="41"/>
  <c r="CL107" i="41"/>
  <c r="CK107" i="41"/>
  <c r="CJ107" i="41"/>
  <c r="CI107" i="41"/>
  <c r="CH107" i="41"/>
  <c r="CG107" i="41"/>
  <c r="DF106" i="41"/>
  <c r="EA106" i="41"/>
  <c r="DZ106" i="41"/>
  <c r="DY106" i="41"/>
  <c r="DX106" i="41"/>
  <c r="DW106" i="41"/>
  <c r="DV106" i="41"/>
  <c r="DU106" i="41"/>
  <c r="DT106" i="41"/>
  <c r="DS106" i="41"/>
  <c r="DR106" i="41"/>
  <c r="DQ106" i="41"/>
  <c r="DP106" i="41"/>
  <c r="DO106" i="41"/>
  <c r="DN106" i="41"/>
  <c r="DM106" i="41"/>
  <c r="DL106" i="41"/>
  <c r="DK106" i="41"/>
  <c r="DJ106" i="41"/>
  <c r="DI106" i="41"/>
  <c r="DH106" i="41"/>
  <c r="DG106" i="41"/>
  <c r="CZ106" i="41"/>
  <c r="CY106" i="41"/>
  <c r="CX106" i="41"/>
  <c r="CW106" i="41"/>
  <c r="CV106" i="41"/>
  <c r="CU106" i="41"/>
  <c r="CT106" i="41"/>
  <c r="CS106" i="41"/>
  <c r="CR106" i="41"/>
  <c r="CQ106" i="41"/>
  <c r="CP106" i="41"/>
  <c r="CO106" i="41"/>
  <c r="CN106" i="41"/>
  <c r="CM106" i="41"/>
  <c r="CL106" i="41"/>
  <c r="CK106" i="41"/>
  <c r="CJ106" i="41"/>
  <c r="CI106" i="41"/>
  <c r="CH106" i="41"/>
  <c r="CG106" i="41"/>
  <c r="CE106" i="41"/>
  <c r="CD106" i="41"/>
  <c r="DE106" i="41"/>
  <c r="DZ105" i="41"/>
  <c r="DY105" i="41"/>
  <c r="DX105" i="41"/>
  <c r="DW105" i="41"/>
  <c r="DV105" i="41"/>
  <c r="DU105" i="41"/>
  <c r="DT105" i="41"/>
  <c r="DS105" i="41"/>
  <c r="DR105" i="41"/>
  <c r="DQ105" i="41"/>
  <c r="DP105" i="41"/>
  <c r="DO105" i="41"/>
  <c r="DN105" i="41"/>
  <c r="DM105" i="41"/>
  <c r="DL105" i="41"/>
  <c r="DK105" i="41"/>
  <c r="DJ105" i="41"/>
  <c r="DI105" i="41"/>
  <c r="DH105" i="41"/>
  <c r="DG105" i="41"/>
  <c r="CZ105" i="41"/>
  <c r="CY105" i="41"/>
  <c r="CX105" i="41"/>
  <c r="CW105" i="41"/>
  <c r="CV105" i="41"/>
  <c r="CU105" i="41"/>
  <c r="CT105" i="41"/>
  <c r="CS105" i="41"/>
  <c r="CR105" i="41"/>
  <c r="CQ105" i="41"/>
  <c r="CP105" i="41"/>
  <c r="CO105" i="41"/>
  <c r="CN105" i="41"/>
  <c r="CM105" i="41"/>
  <c r="CL105" i="41"/>
  <c r="CK105" i="41"/>
  <c r="CJ105" i="41"/>
  <c r="CI105" i="41"/>
  <c r="CH105" i="41"/>
  <c r="CG105" i="41"/>
  <c r="DE105" i="41"/>
  <c r="DZ104" i="41"/>
  <c r="DY104" i="41"/>
  <c r="DX104" i="41"/>
  <c r="DW104" i="41"/>
  <c r="DV104" i="41"/>
  <c r="DU104" i="41"/>
  <c r="DT104" i="41"/>
  <c r="DS104" i="41"/>
  <c r="DR104" i="41"/>
  <c r="DQ104" i="41"/>
  <c r="DP104" i="41"/>
  <c r="DO104" i="41"/>
  <c r="DN104" i="41"/>
  <c r="DM104" i="41"/>
  <c r="DL104" i="41"/>
  <c r="DK104" i="41"/>
  <c r="DJ104" i="41"/>
  <c r="DI104" i="41"/>
  <c r="DH104" i="41"/>
  <c r="DG104" i="41"/>
  <c r="CZ104" i="41"/>
  <c r="CY104" i="41"/>
  <c r="CX104" i="41"/>
  <c r="CW104" i="41"/>
  <c r="CV104" i="41"/>
  <c r="CU104" i="41"/>
  <c r="CT104" i="41"/>
  <c r="CS104" i="41"/>
  <c r="CR104" i="41"/>
  <c r="CQ104" i="41"/>
  <c r="CP104" i="41"/>
  <c r="CO104" i="41"/>
  <c r="CN104" i="41"/>
  <c r="CM104" i="41"/>
  <c r="CL104" i="41"/>
  <c r="CK104" i="41"/>
  <c r="CJ104" i="41"/>
  <c r="CI104" i="41"/>
  <c r="CH104" i="41"/>
  <c r="CG104" i="41"/>
  <c r="DZ103" i="41"/>
  <c r="DY103" i="41"/>
  <c r="DX103" i="41"/>
  <c r="DW103" i="41"/>
  <c r="DV103" i="41"/>
  <c r="DU103" i="41"/>
  <c r="DT103" i="41"/>
  <c r="DS103" i="41"/>
  <c r="DR103" i="41"/>
  <c r="DQ103" i="41"/>
  <c r="DP103" i="41"/>
  <c r="DO103" i="41"/>
  <c r="DN103" i="41"/>
  <c r="DM103" i="41"/>
  <c r="DL103" i="41"/>
  <c r="DK103" i="41"/>
  <c r="DJ103" i="41"/>
  <c r="DI103" i="41"/>
  <c r="DH103" i="41"/>
  <c r="DG103" i="41"/>
  <c r="CZ103" i="41"/>
  <c r="CY103" i="41"/>
  <c r="CX103" i="41"/>
  <c r="CW103" i="41"/>
  <c r="CV103" i="41"/>
  <c r="CU103" i="41"/>
  <c r="CT103" i="41"/>
  <c r="CS103" i="41"/>
  <c r="CR103" i="41"/>
  <c r="CQ103" i="41"/>
  <c r="CP103" i="41"/>
  <c r="CO103" i="41"/>
  <c r="CN103" i="41"/>
  <c r="CM103" i="41"/>
  <c r="CL103" i="41"/>
  <c r="CK103" i="41"/>
  <c r="CJ103" i="41"/>
  <c r="CI103" i="41"/>
  <c r="CH103" i="41"/>
  <c r="CG103" i="41"/>
  <c r="DZ102" i="41"/>
  <c r="DY102" i="41"/>
  <c r="DX102" i="41"/>
  <c r="DW102" i="41"/>
  <c r="DV102" i="41"/>
  <c r="DU102" i="41"/>
  <c r="DT102" i="41"/>
  <c r="DS102" i="41"/>
  <c r="DR102" i="41"/>
  <c r="DQ102" i="41"/>
  <c r="DP102" i="41"/>
  <c r="DO102" i="41"/>
  <c r="DN102" i="41"/>
  <c r="DM102" i="41"/>
  <c r="DL102" i="41"/>
  <c r="DK102" i="41"/>
  <c r="DJ102" i="41"/>
  <c r="DI102" i="41"/>
  <c r="DH102" i="41"/>
  <c r="DG102" i="41"/>
  <c r="CZ102" i="41"/>
  <c r="CY102" i="41"/>
  <c r="CX102" i="41"/>
  <c r="CW102" i="41"/>
  <c r="CV102" i="41"/>
  <c r="CU102" i="41"/>
  <c r="CT102" i="41"/>
  <c r="CS102" i="41"/>
  <c r="CR102" i="41"/>
  <c r="CQ102" i="41"/>
  <c r="CP102" i="41"/>
  <c r="CO102" i="41"/>
  <c r="CN102" i="41"/>
  <c r="CM102" i="41"/>
  <c r="CL102" i="41"/>
  <c r="CK102" i="41"/>
  <c r="CJ102" i="41"/>
  <c r="CI102" i="41"/>
  <c r="CH102" i="41"/>
  <c r="CG102" i="41"/>
  <c r="CE102" i="41"/>
  <c r="DE102" i="41"/>
  <c r="DZ101" i="41"/>
  <c r="DY101" i="41"/>
  <c r="DX101" i="41"/>
  <c r="DW101" i="41"/>
  <c r="DV101" i="41"/>
  <c r="DU101" i="41"/>
  <c r="DT101" i="41"/>
  <c r="DS101" i="41"/>
  <c r="DR101" i="41"/>
  <c r="DQ101" i="41"/>
  <c r="DP101" i="41"/>
  <c r="DO101" i="41"/>
  <c r="DN101" i="41"/>
  <c r="DM101" i="41"/>
  <c r="DL101" i="41"/>
  <c r="DK101" i="41"/>
  <c r="DJ101" i="41"/>
  <c r="DI101" i="41"/>
  <c r="DH101" i="41"/>
  <c r="DG101" i="41"/>
  <c r="DF101" i="41"/>
  <c r="DB101" i="41"/>
  <c r="CZ101" i="41"/>
  <c r="CY101" i="41"/>
  <c r="CX101" i="41"/>
  <c r="CW101" i="41"/>
  <c r="CV101" i="41"/>
  <c r="CU101" i="41"/>
  <c r="CT101" i="41"/>
  <c r="CS101" i="41"/>
  <c r="CR101" i="41"/>
  <c r="CQ101" i="41"/>
  <c r="CP101" i="41"/>
  <c r="CO101" i="41"/>
  <c r="CN101" i="41"/>
  <c r="CM101" i="41"/>
  <c r="CL101" i="41"/>
  <c r="CK101" i="41"/>
  <c r="CJ101" i="41"/>
  <c r="CI101" i="41"/>
  <c r="CH101" i="41"/>
  <c r="CG101" i="41"/>
  <c r="CD101" i="41"/>
  <c r="DE101" i="41"/>
  <c r="DZ100" i="41"/>
  <c r="DY100" i="41"/>
  <c r="DX100" i="41"/>
  <c r="DW100" i="41"/>
  <c r="DV100" i="41"/>
  <c r="DU100" i="41"/>
  <c r="DT100" i="41"/>
  <c r="DS100" i="41"/>
  <c r="DR100" i="41"/>
  <c r="DQ100" i="41"/>
  <c r="DP100" i="41"/>
  <c r="DO100" i="41"/>
  <c r="DN100" i="41"/>
  <c r="DM100" i="41"/>
  <c r="DL100" i="41"/>
  <c r="DK100" i="41"/>
  <c r="DJ100" i="41"/>
  <c r="DI100" i="41"/>
  <c r="DH100" i="41"/>
  <c r="DG100" i="41"/>
  <c r="DA100" i="41"/>
  <c r="DE100" i="41"/>
  <c r="CZ100" i="41"/>
  <c r="CY100" i="41"/>
  <c r="CX100" i="41"/>
  <c r="CW100" i="41"/>
  <c r="CV100" i="41"/>
  <c r="CU100" i="41"/>
  <c r="CT100" i="41"/>
  <c r="CS100" i="41"/>
  <c r="CR100" i="41"/>
  <c r="CQ100" i="41"/>
  <c r="CP100" i="41"/>
  <c r="CO100" i="41"/>
  <c r="CN100" i="41"/>
  <c r="CM100" i="41"/>
  <c r="CL100" i="41"/>
  <c r="CK100" i="41"/>
  <c r="CJ100" i="41"/>
  <c r="CI100" i="41"/>
  <c r="CH100" i="41"/>
  <c r="CG100" i="41"/>
  <c r="DB95" i="41"/>
  <c r="EA95" i="41"/>
  <c r="DZ95" i="41"/>
  <c r="DY95" i="41"/>
  <c r="DX95" i="41"/>
  <c r="DW95" i="41"/>
  <c r="DV95" i="41"/>
  <c r="DU95" i="41"/>
  <c r="DT95" i="41"/>
  <c r="DS95" i="41"/>
  <c r="DR95" i="41"/>
  <c r="DQ95" i="41"/>
  <c r="DP95" i="41"/>
  <c r="DO95" i="41"/>
  <c r="DN95" i="41"/>
  <c r="DM95" i="41"/>
  <c r="DL95" i="41"/>
  <c r="DK95" i="41"/>
  <c r="DJ95" i="41"/>
  <c r="DI95" i="41"/>
  <c r="DH95" i="41"/>
  <c r="DG95" i="41"/>
  <c r="DC95" i="41"/>
  <c r="CZ95" i="41"/>
  <c r="CY95" i="41"/>
  <c r="CX95" i="41"/>
  <c r="CW95" i="41"/>
  <c r="CV95" i="41"/>
  <c r="CU95" i="41"/>
  <c r="CT95" i="41"/>
  <c r="CS95" i="41"/>
  <c r="CR95" i="41"/>
  <c r="CQ95" i="41"/>
  <c r="CP95" i="41"/>
  <c r="CO95" i="41"/>
  <c r="CN95" i="41"/>
  <c r="CM95" i="41"/>
  <c r="CL95" i="41"/>
  <c r="CK95" i="41"/>
  <c r="CJ95" i="41"/>
  <c r="CI95" i="41"/>
  <c r="CH95" i="41"/>
  <c r="CG95" i="41"/>
  <c r="CF95" i="41"/>
  <c r="CB95" i="41"/>
  <c r="CE94" i="41"/>
  <c r="EA94" i="41"/>
  <c r="DZ94" i="41"/>
  <c r="DY94" i="41"/>
  <c r="DX94" i="41"/>
  <c r="DW94" i="41"/>
  <c r="DV94" i="41"/>
  <c r="DU94" i="41"/>
  <c r="DT94" i="41"/>
  <c r="DS94" i="41"/>
  <c r="DR94" i="41"/>
  <c r="DQ94" i="41"/>
  <c r="DP94" i="41"/>
  <c r="DO94" i="41"/>
  <c r="DN94" i="41"/>
  <c r="DM94" i="41"/>
  <c r="DL94" i="41"/>
  <c r="DK94" i="41"/>
  <c r="DJ94" i="41"/>
  <c r="DI94" i="41"/>
  <c r="DH94" i="41"/>
  <c r="DG94" i="41"/>
  <c r="CZ94" i="41"/>
  <c r="CY94" i="41"/>
  <c r="CX94" i="41"/>
  <c r="CW94" i="41"/>
  <c r="CV94" i="41"/>
  <c r="CU94" i="41"/>
  <c r="CT94" i="41"/>
  <c r="CS94" i="41"/>
  <c r="CR94" i="41"/>
  <c r="CQ94" i="41"/>
  <c r="CP94" i="41"/>
  <c r="CO94" i="41"/>
  <c r="CN94" i="41"/>
  <c r="CM94" i="41"/>
  <c r="CL94" i="41"/>
  <c r="CK94" i="41"/>
  <c r="CJ94" i="41"/>
  <c r="CI94" i="41"/>
  <c r="CH94" i="41"/>
  <c r="CG94" i="41"/>
  <c r="CD94" i="41"/>
  <c r="DE94" i="41"/>
  <c r="DZ93" i="41"/>
  <c r="DY93" i="41"/>
  <c r="DX93" i="41"/>
  <c r="DW93" i="41"/>
  <c r="DV93" i="41"/>
  <c r="DU93" i="41"/>
  <c r="DT93" i="41"/>
  <c r="DS93" i="41"/>
  <c r="DR93" i="41"/>
  <c r="DQ93" i="41"/>
  <c r="DP93" i="41"/>
  <c r="DO93" i="41"/>
  <c r="DN93" i="41"/>
  <c r="DM93" i="41"/>
  <c r="DL93" i="41"/>
  <c r="DK93" i="41"/>
  <c r="DJ93" i="41"/>
  <c r="DI93" i="41"/>
  <c r="DH93" i="41"/>
  <c r="DG93" i="41"/>
  <c r="CF93" i="41"/>
  <c r="CZ93" i="41"/>
  <c r="CY93" i="41"/>
  <c r="CX93" i="41"/>
  <c r="CW93" i="41"/>
  <c r="CV93" i="41"/>
  <c r="CU93" i="41"/>
  <c r="CT93" i="41"/>
  <c r="CS93" i="41"/>
  <c r="CR93" i="41"/>
  <c r="CQ93" i="41"/>
  <c r="CP93" i="41"/>
  <c r="CO93" i="41"/>
  <c r="CN93" i="41"/>
  <c r="CM93" i="41"/>
  <c r="CL93" i="41"/>
  <c r="CK93" i="41"/>
  <c r="CJ93" i="41"/>
  <c r="CI93" i="41"/>
  <c r="CH93" i="41"/>
  <c r="CG93" i="41"/>
  <c r="CC93" i="41"/>
  <c r="DA92" i="41"/>
  <c r="EA92" i="41"/>
  <c r="DZ92" i="41"/>
  <c r="DY92" i="41"/>
  <c r="DX92" i="41"/>
  <c r="DW92" i="41"/>
  <c r="DV92" i="41"/>
  <c r="DU92" i="41"/>
  <c r="DT92" i="41"/>
  <c r="DS92" i="41"/>
  <c r="DR92" i="41"/>
  <c r="DQ92" i="41"/>
  <c r="DP92" i="41"/>
  <c r="DO92" i="41"/>
  <c r="DN92" i="41"/>
  <c r="DM92" i="41"/>
  <c r="DL92" i="41"/>
  <c r="DK92" i="41"/>
  <c r="DJ92" i="41"/>
  <c r="DI92" i="41"/>
  <c r="DH92" i="41"/>
  <c r="DG92" i="41"/>
  <c r="DD92" i="41"/>
  <c r="CZ92" i="41"/>
  <c r="CY92" i="41"/>
  <c r="CX92" i="41"/>
  <c r="CW92" i="41"/>
  <c r="CV92" i="41"/>
  <c r="CU92" i="41"/>
  <c r="CT92" i="41"/>
  <c r="CS92" i="41"/>
  <c r="CR92" i="41"/>
  <c r="CQ92" i="41"/>
  <c r="CP92" i="41"/>
  <c r="CO92" i="41"/>
  <c r="CN92" i="41"/>
  <c r="CM92" i="41"/>
  <c r="CL92" i="41"/>
  <c r="CK92" i="41"/>
  <c r="CJ92" i="41"/>
  <c r="CI92" i="41"/>
  <c r="CH92" i="41"/>
  <c r="CG92" i="41"/>
  <c r="CE92" i="41"/>
  <c r="CB92" i="41"/>
  <c r="DE92" i="41"/>
  <c r="DD91" i="41"/>
  <c r="EA91" i="41"/>
  <c r="DZ91" i="41"/>
  <c r="DY91" i="41"/>
  <c r="DX91" i="41"/>
  <c r="DW91" i="41"/>
  <c r="DV91" i="41"/>
  <c r="DU91" i="41"/>
  <c r="DT91" i="41"/>
  <c r="DS91" i="41"/>
  <c r="DR91" i="41"/>
  <c r="DQ91" i="41"/>
  <c r="DP91" i="41"/>
  <c r="DO91" i="41"/>
  <c r="DN91" i="41"/>
  <c r="DM91" i="41"/>
  <c r="DL91" i="41"/>
  <c r="DK91" i="41"/>
  <c r="DJ91" i="41"/>
  <c r="DI91" i="41"/>
  <c r="DH91" i="41"/>
  <c r="DG91" i="41"/>
  <c r="DF91" i="41"/>
  <c r="DC91" i="41"/>
  <c r="DB91" i="41"/>
  <c r="CZ91" i="41"/>
  <c r="CY91" i="41"/>
  <c r="CX91" i="41"/>
  <c r="CW91" i="41"/>
  <c r="CV91" i="41"/>
  <c r="CU91" i="41"/>
  <c r="CT91" i="41"/>
  <c r="CS91" i="41"/>
  <c r="CR91" i="41"/>
  <c r="CQ91" i="41"/>
  <c r="CP91" i="41"/>
  <c r="CO91" i="41"/>
  <c r="CN91" i="41"/>
  <c r="CM91" i="41"/>
  <c r="CL91" i="41"/>
  <c r="CK91" i="41"/>
  <c r="CJ91" i="41"/>
  <c r="CI91" i="41"/>
  <c r="CH91" i="41"/>
  <c r="CG91" i="41"/>
  <c r="CF91" i="41"/>
  <c r="CE91" i="41"/>
  <c r="CD91" i="41"/>
  <c r="CB91" i="41"/>
  <c r="DE91" i="41"/>
  <c r="EA90" i="41"/>
  <c r="DZ90" i="41"/>
  <c r="DY90" i="41"/>
  <c r="DX90" i="41"/>
  <c r="DW90" i="41"/>
  <c r="DV90" i="41"/>
  <c r="DU90" i="41"/>
  <c r="DT90" i="41"/>
  <c r="DS90" i="41"/>
  <c r="DR90" i="41"/>
  <c r="DQ90" i="41"/>
  <c r="DP90" i="41"/>
  <c r="DO90" i="41"/>
  <c r="DN90" i="41"/>
  <c r="DM90" i="41"/>
  <c r="DL90" i="41"/>
  <c r="DK90" i="41"/>
  <c r="DJ90" i="41"/>
  <c r="DI90" i="41"/>
  <c r="DH90" i="41"/>
  <c r="DG90" i="41"/>
  <c r="DE90" i="41"/>
  <c r="CZ90" i="41"/>
  <c r="CY90" i="41"/>
  <c r="CX90" i="41"/>
  <c r="CW90" i="41"/>
  <c r="CV90" i="41"/>
  <c r="CU90" i="41"/>
  <c r="CT90" i="41"/>
  <c r="CS90" i="41"/>
  <c r="CR90" i="41"/>
  <c r="CQ90" i="41"/>
  <c r="CP90" i="41"/>
  <c r="CO90" i="41"/>
  <c r="CN90" i="41"/>
  <c r="CM90" i="41"/>
  <c r="CL90" i="41"/>
  <c r="CK90" i="41"/>
  <c r="CJ90" i="41"/>
  <c r="CI90" i="41"/>
  <c r="CH90" i="41"/>
  <c r="CG90" i="41"/>
  <c r="CE90" i="41"/>
  <c r="CC90" i="41"/>
  <c r="DF90" i="41"/>
  <c r="DZ89" i="41"/>
  <c r="DY89" i="41"/>
  <c r="DX89" i="41"/>
  <c r="DW89" i="41"/>
  <c r="DV89" i="41"/>
  <c r="DU89" i="41"/>
  <c r="DT89" i="41"/>
  <c r="DS89" i="41"/>
  <c r="DR89" i="41"/>
  <c r="DQ89" i="41"/>
  <c r="DP89" i="41"/>
  <c r="DO89" i="41"/>
  <c r="DN89" i="41"/>
  <c r="DM89" i="41"/>
  <c r="DL89" i="41"/>
  <c r="DK89" i="41"/>
  <c r="DJ89" i="41"/>
  <c r="DI89" i="41"/>
  <c r="DH89" i="41"/>
  <c r="DG89" i="41"/>
  <c r="DF89" i="41"/>
  <c r="DA89" i="41"/>
  <c r="CZ89" i="41"/>
  <c r="CY89" i="41"/>
  <c r="CX89" i="41"/>
  <c r="CW89" i="41"/>
  <c r="CV89" i="41"/>
  <c r="CU89" i="41"/>
  <c r="CT89" i="41"/>
  <c r="CS89" i="41"/>
  <c r="CR89" i="41"/>
  <c r="CQ89" i="41"/>
  <c r="CP89" i="41"/>
  <c r="CO89" i="41"/>
  <c r="CN89" i="41"/>
  <c r="CM89" i="41"/>
  <c r="CL89" i="41"/>
  <c r="CK89" i="41"/>
  <c r="CJ89" i="41"/>
  <c r="CI89" i="41"/>
  <c r="CH89" i="41"/>
  <c r="CG89" i="41"/>
  <c r="DZ88" i="41"/>
  <c r="DY88" i="41"/>
  <c r="DX88" i="41"/>
  <c r="DW88" i="41"/>
  <c r="DV88" i="41"/>
  <c r="DU88" i="41"/>
  <c r="DT88" i="41"/>
  <c r="DS88" i="41"/>
  <c r="DR88" i="41"/>
  <c r="DQ88" i="41"/>
  <c r="DP88" i="41"/>
  <c r="DO88" i="41"/>
  <c r="DN88" i="41"/>
  <c r="DM88" i="41"/>
  <c r="DL88" i="41"/>
  <c r="DK88" i="41"/>
  <c r="DJ88" i="41"/>
  <c r="DI88" i="41"/>
  <c r="DH88" i="41"/>
  <c r="DG88" i="41"/>
  <c r="CF88" i="41"/>
  <c r="CZ88" i="41"/>
  <c r="CY88" i="41"/>
  <c r="CX88" i="41"/>
  <c r="CW88" i="41"/>
  <c r="CV88" i="41"/>
  <c r="CU88" i="41"/>
  <c r="CT88" i="41"/>
  <c r="CS88" i="41"/>
  <c r="CR88" i="41"/>
  <c r="CQ88" i="41"/>
  <c r="CP88" i="41"/>
  <c r="CO88" i="41"/>
  <c r="CN88" i="41"/>
  <c r="CM88" i="41"/>
  <c r="CL88" i="41"/>
  <c r="CK88" i="41"/>
  <c r="CJ88" i="41"/>
  <c r="CI88" i="41"/>
  <c r="CH88" i="41"/>
  <c r="CG88" i="41"/>
  <c r="EA88" i="41"/>
  <c r="DZ87" i="41"/>
  <c r="DY87" i="41"/>
  <c r="DX87" i="41"/>
  <c r="DW87" i="41"/>
  <c r="DV87" i="41"/>
  <c r="DU87" i="41"/>
  <c r="DT87" i="41"/>
  <c r="DS87" i="41"/>
  <c r="DR87" i="41"/>
  <c r="DQ87" i="41"/>
  <c r="DP87" i="41"/>
  <c r="DO87" i="41"/>
  <c r="DN87" i="41"/>
  <c r="DM87" i="41"/>
  <c r="DL87" i="41"/>
  <c r="DK87" i="41"/>
  <c r="DJ87" i="41"/>
  <c r="DI87" i="41"/>
  <c r="DH87" i="41"/>
  <c r="DG87" i="41"/>
  <c r="DC87" i="41"/>
  <c r="CZ87" i="41"/>
  <c r="CY87" i="41"/>
  <c r="CX87" i="41"/>
  <c r="CW87" i="41"/>
  <c r="CV87" i="41"/>
  <c r="CU87" i="41"/>
  <c r="CT87" i="41"/>
  <c r="CS87" i="41"/>
  <c r="CR87" i="41"/>
  <c r="CQ87" i="41"/>
  <c r="CP87" i="41"/>
  <c r="CO87" i="41"/>
  <c r="CN87" i="41"/>
  <c r="CM87" i="41"/>
  <c r="CL87" i="41"/>
  <c r="CK87" i="41"/>
  <c r="CJ87" i="41"/>
  <c r="CI87" i="41"/>
  <c r="CH87" i="41"/>
  <c r="CG87" i="41"/>
  <c r="CE87" i="41"/>
  <c r="DZ86" i="41"/>
  <c r="DY86" i="41"/>
  <c r="DX86" i="41"/>
  <c r="DW86" i="41"/>
  <c r="DV86" i="41"/>
  <c r="DU86" i="41"/>
  <c r="DT86" i="41"/>
  <c r="DS86" i="41"/>
  <c r="DR86" i="41"/>
  <c r="DQ86" i="41"/>
  <c r="DP86" i="41"/>
  <c r="DO86" i="41"/>
  <c r="DN86" i="41"/>
  <c r="DM86" i="41"/>
  <c r="DL86" i="41"/>
  <c r="DK86" i="41"/>
  <c r="DJ86" i="41"/>
  <c r="DI86" i="41"/>
  <c r="DH86" i="41"/>
  <c r="DG86" i="41"/>
  <c r="CZ86" i="41"/>
  <c r="CY86" i="41"/>
  <c r="CX86" i="41"/>
  <c r="CW86" i="41"/>
  <c r="CV86" i="41"/>
  <c r="CU86" i="41"/>
  <c r="CT86" i="41"/>
  <c r="CS86" i="41"/>
  <c r="CR86" i="41"/>
  <c r="CQ86" i="41"/>
  <c r="CP86" i="41"/>
  <c r="CO86" i="41"/>
  <c r="CN86" i="41"/>
  <c r="CM86" i="41"/>
  <c r="CL86" i="41"/>
  <c r="CK86" i="41"/>
  <c r="CJ86" i="41"/>
  <c r="CI86" i="41"/>
  <c r="CH86" i="41"/>
  <c r="CG86" i="41"/>
  <c r="EA86" i="41"/>
  <c r="DZ85" i="41"/>
  <c r="DY85" i="41"/>
  <c r="DX85" i="41"/>
  <c r="DW85" i="41"/>
  <c r="DV85" i="41"/>
  <c r="DU85" i="41"/>
  <c r="DT85" i="41"/>
  <c r="DS85" i="41"/>
  <c r="DR85" i="41"/>
  <c r="DQ85" i="41"/>
  <c r="DP85" i="41"/>
  <c r="DO85" i="41"/>
  <c r="DN85" i="41"/>
  <c r="DM85" i="41"/>
  <c r="DL85" i="41"/>
  <c r="DK85" i="41"/>
  <c r="DJ85" i="41"/>
  <c r="DI85" i="41"/>
  <c r="DH85" i="41"/>
  <c r="DG85" i="41"/>
  <c r="DF85" i="41"/>
  <c r="DE85" i="41"/>
  <c r="CZ85" i="41"/>
  <c r="CY85" i="41"/>
  <c r="CX85" i="41"/>
  <c r="CW85" i="41"/>
  <c r="CV85" i="41"/>
  <c r="CU85" i="41"/>
  <c r="CT85" i="41"/>
  <c r="CS85" i="41"/>
  <c r="CR85" i="41"/>
  <c r="CQ85" i="41"/>
  <c r="CP85" i="41"/>
  <c r="CO85" i="41"/>
  <c r="CN85" i="41"/>
  <c r="CM85" i="41"/>
  <c r="CL85" i="41"/>
  <c r="CK85" i="41"/>
  <c r="CJ85" i="41"/>
  <c r="CI85" i="41"/>
  <c r="CH85" i="41"/>
  <c r="CG85" i="41"/>
  <c r="CC85" i="41"/>
  <c r="EA84" i="41"/>
  <c r="DZ84" i="41"/>
  <c r="DY84" i="41"/>
  <c r="DX84" i="41"/>
  <c r="DW84" i="41"/>
  <c r="DV84" i="41"/>
  <c r="DU84" i="41"/>
  <c r="DT84" i="41"/>
  <c r="DS84" i="41"/>
  <c r="DR84" i="41"/>
  <c r="DQ84" i="41"/>
  <c r="DP84" i="41"/>
  <c r="DO84" i="41"/>
  <c r="DN84" i="41"/>
  <c r="DM84" i="41"/>
  <c r="DL84" i="41"/>
  <c r="DK84" i="41"/>
  <c r="DJ84" i="41"/>
  <c r="DI84" i="41"/>
  <c r="DH84" i="41"/>
  <c r="DG84" i="41"/>
  <c r="DE84" i="41"/>
  <c r="DD84" i="41"/>
  <c r="CZ84" i="41"/>
  <c r="CY84" i="41"/>
  <c r="CX84" i="41"/>
  <c r="CW84" i="41"/>
  <c r="CV84" i="41"/>
  <c r="CU84" i="41"/>
  <c r="CT84" i="41"/>
  <c r="CS84" i="41"/>
  <c r="CR84" i="41"/>
  <c r="CQ84" i="41"/>
  <c r="CP84" i="41"/>
  <c r="CO84" i="41"/>
  <c r="CN84" i="41"/>
  <c r="CM84" i="41"/>
  <c r="CL84" i="41"/>
  <c r="CK84" i="41"/>
  <c r="CJ84" i="41"/>
  <c r="CI84" i="41"/>
  <c r="CH84" i="41"/>
  <c r="CG84" i="41"/>
  <c r="CE84" i="41"/>
  <c r="CF83" i="41"/>
  <c r="EA83" i="41"/>
  <c r="DZ83" i="41"/>
  <c r="DY83" i="41"/>
  <c r="DX83" i="41"/>
  <c r="DW83" i="41"/>
  <c r="DV83" i="41"/>
  <c r="DU83" i="41"/>
  <c r="DT83" i="41"/>
  <c r="DS83" i="41"/>
  <c r="DR83" i="41"/>
  <c r="DQ83" i="41"/>
  <c r="DP83" i="41"/>
  <c r="DO83" i="41"/>
  <c r="DN83" i="41"/>
  <c r="DM83" i="41"/>
  <c r="DL83" i="41"/>
  <c r="DK83" i="41"/>
  <c r="DJ83" i="41"/>
  <c r="DI83" i="41"/>
  <c r="DH83" i="41"/>
  <c r="DG83" i="41"/>
  <c r="DD83" i="41"/>
  <c r="CZ83" i="41"/>
  <c r="CY83" i="41"/>
  <c r="CX83" i="41"/>
  <c r="CW83" i="41"/>
  <c r="CV83" i="41"/>
  <c r="CU83" i="41"/>
  <c r="CT83" i="41"/>
  <c r="CS83" i="41"/>
  <c r="CR83" i="41"/>
  <c r="CQ83" i="41"/>
  <c r="CP83" i="41"/>
  <c r="CO83" i="41"/>
  <c r="CN83" i="41"/>
  <c r="CM83" i="41"/>
  <c r="CL83" i="41"/>
  <c r="CK83" i="41"/>
  <c r="CJ83" i="41"/>
  <c r="CI83" i="41"/>
  <c r="CH83" i="41"/>
  <c r="CG83" i="41"/>
  <c r="DB83" i="41"/>
  <c r="CB83" i="41"/>
  <c r="DE83" i="41"/>
  <c r="DC82" i="41"/>
  <c r="EA82" i="41"/>
  <c r="DZ82" i="41"/>
  <c r="DY82" i="41"/>
  <c r="DX82" i="41"/>
  <c r="DW82" i="41"/>
  <c r="DV82" i="41"/>
  <c r="DU82" i="41"/>
  <c r="DT82" i="41"/>
  <c r="DS82" i="41"/>
  <c r="DR82" i="41"/>
  <c r="DQ82" i="41"/>
  <c r="DP82" i="41"/>
  <c r="DO82" i="41"/>
  <c r="DN82" i="41"/>
  <c r="DM82" i="41"/>
  <c r="DL82" i="41"/>
  <c r="DK82" i="41"/>
  <c r="DJ82" i="41"/>
  <c r="DI82" i="41"/>
  <c r="DH82" i="41"/>
  <c r="DG82" i="41"/>
  <c r="CZ82" i="41"/>
  <c r="CY82" i="41"/>
  <c r="CX82" i="41"/>
  <c r="CW82" i="41"/>
  <c r="CV82" i="41"/>
  <c r="CU82" i="41"/>
  <c r="CT82" i="41"/>
  <c r="CS82" i="41"/>
  <c r="CR82" i="41"/>
  <c r="CQ82" i="41"/>
  <c r="CP82" i="41"/>
  <c r="CO82" i="41"/>
  <c r="CN82" i="41"/>
  <c r="CM82" i="41"/>
  <c r="CL82" i="41"/>
  <c r="CK82" i="41"/>
  <c r="CJ82" i="41"/>
  <c r="CI82" i="41"/>
  <c r="CH82" i="41"/>
  <c r="CG82" i="41"/>
  <c r="EA81" i="41"/>
  <c r="DZ81" i="41"/>
  <c r="DY81" i="41"/>
  <c r="DX81" i="41"/>
  <c r="DW81" i="41"/>
  <c r="DV81" i="41"/>
  <c r="DU81" i="41"/>
  <c r="DT81" i="41"/>
  <c r="DS81" i="41"/>
  <c r="DR81" i="41"/>
  <c r="DQ81" i="41"/>
  <c r="DP81" i="41"/>
  <c r="DO81" i="41"/>
  <c r="DN81" i="41"/>
  <c r="DM81" i="41"/>
  <c r="DL81" i="41"/>
  <c r="DK81" i="41"/>
  <c r="DJ81" i="41"/>
  <c r="DI81" i="41"/>
  <c r="DH81" i="41"/>
  <c r="DG81" i="41"/>
  <c r="DF81" i="41"/>
  <c r="DD81" i="41"/>
  <c r="DC81" i="41"/>
  <c r="CZ81" i="41"/>
  <c r="CY81" i="41"/>
  <c r="CX81" i="41"/>
  <c r="CW81" i="41"/>
  <c r="CV81" i="41"/>
  <c r="CU81" i="41"/>
  <c r="CT81" i="41"/>
  <c r="CS81" i="41"/>
  <c r="CR81" i="41"/>
  <c r="CQ81" i="41"/>
  <c r="CP81" i="41"/>
  <c r="CO81" i="41"/>
  <c r="CN81" i="41"/>
  <c r="CM81" i="41"/>
  <c r="CL81" i="41"/>
  <c r="CK81" i="41"/>
  <c r="CJ81" i="41"/>
  <c r="CI81" i="41"/>
  <c r="CH81" i="41"/>
  <c r="CG81" i="41"/>
  <c r="CF81" i="41"/>
  <c r="CE81" i="41"/>
  <c r="CD81" i="41"/>
  <c r="CB81" i="41"/>
  <c r="DE81" i="41"/>
  <c r="DZ80" i="41"/>
  <c r="DY80" i="41"/>
  <c r="DX80" i="41"/>
  <c r="DW80" i="41"/>
  <c r="DV80" i="41"/>
  <c r="DU80" i="41"/>
  <c r="DT80" i="41"/>
  <c r="DS80" i="41"/>
  <c r="DR80" i="41"/>
  <c r="DQ80" i="41"/>
  <c r="DP80" i="41"/>
  <c r="DO80" i="41"/>
  <c r="DN80" i="41"/>
  <c r="DM80" i="41"/>
  <c r="DL80" i="41"/>
  <c r="DK80" i="41"/>
  <c r="DJ80" i="41"/>
  <c r="DI80" i="41"/>
  <c r="DH80" i="41"/>
  <c r="DG80" i="41"/>
  <c r="CZ80" i="41"/>
  <c r="CY80" i="41"/>
  <c r="CX80" i="41"/>
  <c r="CW80" i="41"/>
  <c r="CV80" i="41"/>
  <c r="CU80" i="41"/>
  <c r="CT80" i="41"/>
  <c r="CS80" i="41"/>
  <c r="CR80" i="41"/>
  <c r="CQ80" i="41"/>
  <c r="CP80" i="41"/>
  <c r="CO80" i="41"/>
  <c r="CN80" i="41"/>
  <c r="CM80" i="41"/>
  <c r="CL80" i="41"/>
  <c r="CK80" i="41"/>
  <c r="CJ80" i="41"/>
  <c r="CI80" i="41"/>
  <c r="CH80" i="41"/>
  <c r="CG80" i="41"/>
  <c r="EA80" i="41"/>
  <c r="DZ79" i="41"/>
  <c r="DY79" i="41"/>
  <c r="DX79" i="41"/>
  <c r="DW79" i="41"/>
  <c r="DV79" i="41"/>
  <c r="DU79" i="41"/>
  <c r="DT79" i="41"/>
  <c r="DS79" i="41"/>
  <c r="DR79" i="41"/>
  <c r="DQ79" i="41"/>
  <c r="DP79" i="41"/>
  <c r="DO79" i="41"/>
  <c r="DN79" i="41"/>
  <c r="DM79" i="41"/>
  <c r="DL79" i="41"/>
  <c r="DK79" i="41"/>
  <c r="DJ79" i="41"/>
  <c r="DI79" i="41"/>
  <c r="DH79" i="41"/>
  <c r="DG79" i="41"/>
  <c r="DD79" i="41"/>
  <c r="CZ79" i="41"/>
  <c r="CY79" i="41"/>
  <c r="CX79" i="41"/>
  <c r="CW79" i="41"/>
  <c r="CV79" i="41"/>
  <c r="CU79" i="41"/>
  <c r="CT79" i="41"/>
  <c r="CS79" i="41"/>
  <c r="CR79" i="41"/>
  <c r="CQ79" i="41"/>
  <c r="CP79" i="41"/>
  <c r="CO79" i="41"/>
  <c r="CN79" i="41"/>
  <c r="CM79" i="41"/>
  <c r="CL79" i="41"/>
  <c r="CK79" i="41"/>
  <c r="CJ79" i="41"/>
  <c r="CI79" i="41"/>
  <c r="CH79" i="41"/>
  <c r="CG79" i="41"/>
  <c r="CD79" i="41"/>
  <c r="DE79" i="41"/>
  <c r="DZ78" i="41"/>
  <c r="DY78" i="41"/>
  <c r="DX78" i="41"/>
  <c r="DW78" i="41"/>
  <c r="DV78" i="41"/>
  <c r="DU78" i="41"/>
  <c r="DT78" i="41"/>
  <c r="DS78" i="41"/>
  <c r="DR78" i="41"/>
  <c r="DQ78" i="41"/>
  <c r="DP78" i="41"/>
  <c r="DO78" i="41"/>
  <c r="DN78" i="41"/>
  <c r="DM78" i="41"/>
  <c r="DL78" i="41"/>
  <c r="DK78" i="41"/>
  <c r="DJ78" i="41"/>
  <c r="DI78" i="41"/>
  <c r="DH78" i="41"/>
  <c r="DG78" i="41"/>
  <c r="CZ78" i="41"/>
  <c r="CY78" i="41"/>
  <c r="CX78" i="41"/>
  <c r="CW78" i="41"/>
  <c r="CV78" i="41"/>
  <c r="CU78" i="41"/>
  <c r="CT78" i="41"/>
  <c r="CS78" i="41"/>
  <c r="CR78" i="41"/>
  <c r="CQ78" i="41"/>
  <c r="CP78" i="41"/>
  <c r="CO78" i="41"/>
  <c r="CN78" i="41"/>
  <c r="CM78" i="41"/>
  <c r="CL78" i="41"/>
  <c r="CK78" i="41"/>
  <c r="CJ78" i="41"/>
  <c r="CI78" i="41"/>
  <c r="CH78" i="41"/>
  <c r="CG78" i="41"/>
  <c r="DD73" i="41"/>
  <c r="EA73" i="41"/>
  <c r="DZ73" i="41"/>
  <c r="DY73" i="41"/>
  <c r="DX73" i="41"/>
  <c r="DW73" i="41"/>
  <c r="DV73" i="41"/>
  <c r="DU73" i="41"/>
  <c r="DT73" i="41"/>
  <c r="DS73" i="41"/>
  <c r="DR73" i="41"/>
  <c r="DQ73" i="41"/>
  <c r="DP73" i="41"/>
  <c r="DO73" i="41"/>
  <c r="DN73" i="41"/>
  <c r="DM73" i="41"/>
  <c r="DL73" i="41"/>
  <c r="DK73" i="41"/>
  <c r="DJ73" i="41"/>
  <c r="DI73" i="41"/>
  <c r="DH73" i="41"/>
  <c r="DG73" i="41"/>
  <c r="DC73" i="41"/>
  <c r="CZ73" i="41"/>
  <c r="CY73" i="41"/>
  <c r="CX73" i="41"/>
  <c r="CW73" i="41"/>
  <c r="CV73" i="41"/>
  <c r="CU73" i="41"/>
  <c r="CT73" i="41"/>
  <c r="CS73" i="41"/>
  <c r="CR73" i="41"/>
  <c r="CQ73" i="41"/>
  <c r="CP73" i="41"/>
  <c r="CO73" i="41"/>
  <c r="CN73" i="41"/>
  <c r="CM73" i="41"/>
  <c r="CL73" i="41"/>
  <c r="CK73" i="41"/>
  <c r="CJ73" i="41"/>
  <c r="CI73" i="41"/>
  <c r="CH73" i="41"/>
  <c r="CG73" i="41"/>
  <c r="DE73" i="41"/>
  <c r="DZ72" i="41"/>
  <c r="DY72" i="41"/>
  <c r="DX72" i="41"/>
  <c r="DW72" i="41"/>
  <c r="DV72" i="41"/>
  <c r="DU72" i="41"/>
  <c r="DT72" i="41"/>
  <c r="DS72" i="41"/>
  <c r="DR72" i="41"/>
  <c r="DQ72" i="41"/>
  <c r="DP72" i="41"/>
  <c r="DO72" i="41"/>
  <c r="DN72" i="41"/>
  <c r="DM72" i="41"/>
  <c r="DL72" i="41"/>
  <c r="DK72" i="41"/>
  <c r="DJ72" i="41"/>
  <c r="DI72" i="41"/>
  <c r="DH72" i="41"/>
  <c r="DG72" i="41"/>
  <c r="CZ72" i="41"/>
  <c r="CY72" i="41"/>
  <c r="CX72" i="41"/>
  <c r="CW72" i="41"/>
  <c r="CV72" i="41"/>
  <c r="CU72" i="41"/>
  <c r="CT72" i="41"/>
  <c r="CS72" i="41"/>
  <c r="CR72" i="41"/>
  <c r="CQ72" i="41"/>
  <c r="CP72" i="41"/>
  <c r="CO72" i="41"/>
  <c r="CN72" i="41"/>
  <c r="CM72" i="41"/>
  <c r="CL72" i="41"/>
  <c r="CK72" i="41"/>
  <c r="CJ72" i="41"/>
  <c r="CI72" i="41"/>
  <c r="CH72" i="41"/>
  <c r="CG72" i="41"/>
  <c r="DZ71" i="41"/>
  <c r="DY71" i="41"/>
  <c r="DX71" i="41"/>
  <c r="DW71" i="41"/>
  <c r="DV71" i="41"/>
  <c r="DU71" i="41"/>
  <c r="DT71" i="41"/>
  <c r="DS71" i="41"/>
  <c r="DR71" i="41"/>
  <c r="DQ71" i="41"/>
  <c r="DP71" i="41"/>
  <c r="DO71" i="41"/>
  <c r="DN71" i="41"/>
  <c r="DM71" i="41"/>
  <c r="DL71" i="41"/>
  <c r="DK71" i="41"/>
  <c r="DJ71" i="41"/>
  <c r="DI71" i="41"/>
  <c r="DH71" i="41"/>
  <c r="DG71" i="41"/>
  <c r="CD71" i="41"/>
  <c r="CZ71" i="41"/>
  <c r="CY71" i="41"/>
  <c r="CX71" i="41"/>
  <c r="CW71" i="41"/>
  <c r="CV71" i="41"/>
  <c r="CU71" i="41"/>
  <c r="CT71" i="41"/>
  <c r="CS71" i="41"/>
  <c r="CR71" i="41"/>
  <c r="CQ71" i="41"/>
  <c r="CP71" i="41"/>
  <c r="CO71" i="41"/>
  <c r="CN71" i="41"/>
  <c r="CM71" i="41"/>
  <c r="CL71" i="41"/>
  <c r="CK71" i="41"/>
  <c r="CJ71" i="41"/>
  <c r="CI71" i="41"/>
  <c r="CH71" i="41"/>
  <c r="CG71" i="41"/>
  <c r="EA70" i="41"/>
  <c r="DZ70" i="41"/>
  <c r="DY70" i="41"/>
  <c r="DX70" i="41"/>
  <c r="DW70" i="41"/>
  <c r="DV70" i="41"/>
  <c r="DU70" i="41"/>
  <c r="DT70" i="41"/>
  <c r="DS70" i="41"/>
  <c r="DR70" i="41"/>
  <c r="DQ70" i="41"/>
  <c r="DP70" i="41"/>
  <c r="DO70" i="41"/>
  <c r="DN70" i="41"/>
  <c r="DM70" i="41"/>
  <c r="DL70" i="41"/>
  <c r="DK70" i="41"/>
  <c r="DJ70" i="41"/>
  <c r="DI70" i="41"/>
  <c r="DH70" i="41"/>
  <c r="DG70" i="41"/>
  <c r="DC70" i="41"/>
  <c r="CZ70" i="41"/>
  <c r="CY70" i="41"/>
  <c r="CX70" i="41"/>
  <c r="CW70" i="41"/>
  <c r="CV70" i="41"/>
  <c r="CU70" i="41"/>
  <c r="CT70" i="41"/>
  <c r="CS70" i="41"/>
  <c r="CR70" i="41"/>
  <c r="CQ70" i="41"/>
  <c r="CP70" i="41"/>
  <c r="CO70" i="41"/>
  <c r="CN70" i="41"/>
  <c r="CM70" i="41"/>
  <c r="CL70" i="41"/>
  <c r="CK70" i="41"/>
  <c r="CJ70" i="41"/>
  <c r="CI70" i="41"/>
  <c r="CH70" i="41"/>
  <c r="CG70" i="41"/>
  <c r="CE70" i="41"/>
  <c r="DE70" i="41"/>
  <c r="DF69" i="41"/>
  <c r="EA69" i="41"/>
  <c r="DZ69" i="41"/>
  <c r="DY69" i="41"/>
  <c r="DX69" i="41"/>
  <c r="DW69" i="41"/>
  <c r="DV69" i="41"/>
  <c r="DU69" i="41"/>
  <c r="DT69" i="41"/>
  <c r="DS69" i="41"/>
  <c r="DR69" i="41"/>
  <c r="DQ69" i="41"/>
  <c r="DP69" i="41"/>
  <c r="DO69" i="41"/>
  <c r="DN69" i="41"/>
  <c r="DM69" i="41"/>
  <c r="DL69" i="41"/>
  <c r="DK69" i="41"/>
  <c r="DJ69" i="41"/>
  <c r="DI69" i="41"/>
  <c r="DH69" i="41"/>
  <c r="DG69" i="41"/>
  <c r="DC69" i="41"/>
  <c r="CZ69" i="41"/>
  <c r="CY69" i="41"/>
  <c r="CX69" i="41"/>
  <c r="CW69" i="41"/>
  <c r="CV69" i="41"/>
  <c r="CU69" i="41"/>
  <c r="CT69" i="41"/>
  <c r="CS69" i="41"/>
  <c r="CR69" i="41"/>
  <c r="CQ69" i="41"/>
  <c r="CP69" i="41"/>
  <c r="CO69" i="41"/>
  <c r="CN69" i="41"/>
  <c r="CM69" i="41"/>
  <c r="CL69" i="41"/>
  <c r="CK69" i="41"/>
  <c r="CJ69" i="41"/>
  <c r="CI69" i="41"/>
  <c r="CH69" i="41"/>
  <c r="CG69" i="41"/>
  <c r="CD69" i="41"/>
  <c r="DZ68" i="41"/>
  <c r="DY68" i="41"/>
  <c r="DX68" i="41"/>
  <c r="DW68" i="41"/>
  <c r="DV68" i="41"/>
  <c r="DU68" i="41"/>
  <c r="DT68" i="41"/>
  <c r="DS68" i="41"/>
  <c r="DR68" i="41"/>
  <c r="DQ68" i="41"/>
  <c r="DP68" i="41"/>
  <c r="DO68" i="41"/>
  <c r="DN68" i="41"/>
  <c r="DM68" i="41"/>
  <c r="DL68" i="41"/>
  <c r="DK68" i="41"/>
  <c r="DJ68" i="41"/>
  <c r="DI68" i="41"/>
  <c r="DH68" i="41"/>
  <c r="DG68" i="41"/>
  <c r="DC68" i="41"/>
  <c r="CZ68" i="41"/>
  <c r="CY68" i="41"/>
  <c r="CX68" i="41"/>
  <c r="CW68" i="41"/>
  <c r="CV68" i="41"/>
  <c r="CU68" i="41"/>
  <c r="CT68" i="41"/>
  <c r="CS68" i="41"/>
  <c r="CR68" i="41"/>
  <c r="CQ68" i="41"/>
  <c r="CP68" i="41"/>
  <c r="CO68" i="41"/>
  <c r="CN68" i="41"/>
  <c r="CM68" i="41"/>
  <c r="CL68" i="41"/>
  <c r="CK68" i="41"/>
  <c r="CJ68" i="41"/>
  <c r="CI68" i="41"/>
  <c r="CH68" i="41"/>
  <c r="CG68" i="41"/>
  <c r="DZ67" i="41"/>
  <c r="DY67" i="41"/>
  <c r="DX67" i="41"/>
  <c r="DW67" i="41"/>
  <c r="DV67" i="41"/>
  <c r="DU67" i="41"/>
  <c r="DT67" i="41"/>
  <c r="DS67" i="41"/>
  <c r="DR67" i="41"/>
  <c r="DQ67" i="41"/>
  <c r="DP67" i="41"/>
  <c r="DO67" i="41"/>
  <c r="DN67" i="41"/>
  <c r="DM67" i="41"/>
  <c r="DL67" i="41"/>
  <c r="DK67" i="41"/>
  <c r="DJ67" i="41"/>
  <c r="DI67" i="41"/>
  <c r="DH67" i="41"/>
  <c r="DG67" i="41"/>
  <c r="CZ67" i="41"/>
  <c r="CY67" i="41"/>
  <c r="CX67" i="41"/>
  <c r="CW67" i="41"/>
  <c r="CV67" i="41"/>
  <c r="CU67" i="41"/>
  <c r="CT67" i="41"/>
  <c r="CS67" i="41"/>
  <c r="CR67" i="41"/>
  <c r="CQ67" i="41"/>
  <c r="CP67" i="41"/>
  <c r="CO67" i="41"/>
  <c r="CN67" i="41"/>
  <c r="CM67" i="41"/>
  <c r="CL67" i="41"/>
  <c r="CK67" i="41"/>
  <c r="CJ67" i="41"/>
  <c r="CI67" i="41"/>
  <c r="CH67" i="41"/>
  <c r="CG67" i="41"/>
  <c r="DZ66" i="41"/>
  <c r="DY66" i="41"/>
  <c r="DX66" i="41"/>
  <c r="DW66" i="41"/>
  <c r="DV66" i="41"/>
  <c r="DU66" i="41"/>
  <c r="DT66" i="41"/>
  <c r="DS66" i="41"/>
  <c r="DR66" i="41"/>
  <c r="DQ66" i="41"/>
  <c r="DP66" i="41"/>
  <c r="DO66" i="41"/>
  <c r="DN66" i="41"/>
  <c r="DM66" i="41"/>
  <c r="DL66" i="41"/>
  <c r="DK66" i="41"/>
  <c r="DJ66" i="41"/>
  <c r="DI66" i="41"/>
  <c r="DH66" i="41"/>
  <c r="DG66" i="41"/>
  <c r="CZ66" i="41"/>
  <c r="CY66" i="41"/>
  <c r="CX66" i="41"/>
  <c r="CW66" i="41"/>
  <c r="CV66" i="41"/>
  <c r="CU66" i="41"/>
  <c r="CT66" i="41"/>
  <c r="CS66" i="41"/>
  <c r="CR66" i="41"/>
  <c r="CQ66" i="41"/>
  <c r="CP66" i="41"/>
  <c r="CO66" i="41"/>
  <c r="CN66" i="41"/>
  <c r="CM66" i="41"/>
  <c r="CL66" i="41"/>
  <c r="CK66" i="41"/>
  <c r="CJ66" i="41"/>
  <c r="CI66" i="41"/>
  <c r="CH66" i="41"/>
  <c r="CG66" i="41"/>
  <c r="DE66" i="41"/>
  <c r="DC65" i="41"/>
  <c r="DZ65" i="41"/>
  <c r="DY65" i="41"/>
  <c r="DX65" i="41"/>
  <c r="DW65" i="41"/>
  <c r="DV65" i="41"/>
  <c r="DU65" i="41"/>
  <c r="DT65" i="41"/>
  <c r="DS65" i="41"/>
  <c r="DR65" i="41"/>
  <c r="DQ65" i="41"/>
  <c r="DP65" i="41"/>
  <c r="DO65" i="41"/>
  <c r="DN65" i="41"/>
  <c r="DM65" i="41"/>
  <c r="DL65" i="41"/>
  <c r="DK65" i="41"/>
  <c r="DJ65" i="41"/>
  <c r="DI65" i="41"/>
  <c r="DH65" i="41"/>
  <c r="DG65" i="41"/>
  <c r="CZ65" i="41"/>
  <c r="CY65" i="41"/>
  <c r="CX65" i="41"/>
  <c r="CW65" i="41"/>
  <c r="CV65" i="41"/>
  <c r="CU65" i="41"/>
  <c r="CT65" i="41"/>
  <c r="CS65" i="41"/>
  <c r="CR65" i="41"/>
  <c r="CQ65" i="41"/>
  <c r="CP65" i="41"/>
  <c r="CO65" i="41"/>
  <c r="CN65" i="41"/>
  <c r="CM65" i="41"/>
  <c r="CL65" i="41"/>
  <c r="CK65" i="41"/>
  <c r="CJ65" i="41"/>
  <c r="CI65" i="41"/>
  <c r="CH65" i="41"/>
  <c r="CG65" i="41"/>
  <c r="CE65" i="41"/>
  <c r="DZ64" i="41"/>
  <c r="DY64" i="41"/>
  <c r="DX64" i="41"/>
  <c r="DW64" i="41"/>
  <c r="DV64" i="41"/>
  <c r="DU64" i="41"/>
  <c r="DT64" i="41"/>
  <c r="DS64" i="41"/>
  <c r="DR64" i="41"/>
  <c r="DQ64" i="41"/>
  <c r="DP64" i="41"/>
  <c r="DO64" i="41"/>
  <c r="DN64" i="41"/>
  <c r="DM64" i="41"/>
  <c r="DL64" i="41"/>
  <c r="DK64" i="41"/>
  <c r="DJ64" i="41"/>
  <c r="DI64" i="41"/>
  <c r="DH64" i="41"/>
  <c r="DG64" i="41"/>
  <c r="CZ64" i="41"/>
  <c r="CY64" i="41"/>
  <c r="CX64" i="41"/>
  <c r="CW64" i="41"/>
  <c r="CV64" i="41"/>
  <c r="CU64" i="41"/>
  <c r="CT64" i="41"/>
  <c r="CS64" i="41"/>
  <c r="CR64" i="41"/>
  <c r="CQ64" i="41"/>
  <c r="CP64" i="41"/>
  <c r="CO64" i="41"/>
  <c r="CN64" i="41"/>
  <c r="CM64" i="41"/>
  <c r="CL64" i="41"/>
  <c r="CK64" i="41"/>
  <c r="CJ64" i="41"/>
  <c r="CI64" i="41"/>
  <c r="CH64" i="41"/>
  <c r="CG64" i="41"/>
  <c r="DE64" i="41"/>
  <c r="DZ63" i="41"/>
  <c r="DY63" i="41"/>
  <c r="DX63" i="41"/>
  <c r="DW63" i="41"/>
  <c r="DV63" i="41"/>
  <c r="DU63" i="41"/>
  <c r="DT63" i="41"/>
  <c r="DS63" i="41"/>
  <c r="DR63" i="41"/>
  <c r="DQ63" i="41"/>
  <c r="DP63" i="41"/>
  <c r="DO63" i="41"/>
  <c r="DN63" i="41"/>
  <c r="DM63" i="41"/>
  <c r="DL63" i="41"/>
  <c r="DK63" i="41"/>
  <c r="DJ63" i="41"/>
  <c r="DI63" i="41"/>
  <c r="DH63" i="41"/>
  <c r="DG63" i="41"/>
  <c r="CZ63" i="41"/>
  <c r="CY63" i="41"/>
  <c r="CX63" i="41"/>
  <c r="CW63" i="41"/>
  <c r="CV63" i="41"/>
  <c r="CU63" i="41"/>
  <c r="CT63" i="41"/>
  <c r="CS63" i="41"/>
  <c r="CR63" i="41"/>
  <c r="CQ63" i="41"/>
  <c r="CP63" i="41"/>
  <c r="CO63" i="41"/>
  <c r="CN63" i="41"/>
  <c r="CM63" i="41"/>
  <c r="CL63" i="41"/>
  <c r="CK63" i="41"/>
  <c r="CJ63" i="41"/>
  <c r="CI63" i="41"/>
  <c r="CH63" i="41"/>
  <c r="CG63" i="41"/>
  <c r="DD63" i="41"/>
  <c r="CF63" i="41"/>
  <c r="DZ62" i="41"/>
  <c r="DY62" i="41"/>
  <c r="DX62" i="41"/>
  <c r="DW62" i="41"/>
  <c r="DV62" i="41"/>
  <c r="DU62" i="41"/>
  <c r="DT62" i="41"/>
  <c r="DS62" i="41"/>
  <c r="DR62" i="41"/>
  <c r="DQ62" i="41"/>
  <c r="DP62" i="41"/>
  <c r="DO62" i="41"/>
  <c r="DN62" i="41"/>
  <c r="DM62" i="41"/>
  <c r="DL62" i="41"/>
  <c r="DK62" i="41"/>
  <c r="DJ62" i="41"/>
  <c r="DI62" i="41"/>
  <c r="DH62" i="41"/>
  <c r="DG62" i="41"/>
  <c r="CE62" i="41"/>
  <c r="DD62" i="41"/>
  <c r="CZ62" i="41"/>
  <c r="CY62" i="41"/>
  <c r="CX62" i="41"/>
  <c r="CW62" i="41"/>
  <c r="CV62" i="41"/>
  <c r="CU62" i="41"/>
  <c r="CT62" i="41"/>
  <c r="CS62" i="41"/>
  <c r="CR62" i="41"/>
  <c r="CQ62" i="41"/>
  <c r="CP62" i="41"/>
  <c r="CO62" i="41"/>
  <c r="CN62" i="41"/>
  <c r="CM62" i="41"/>
  <c r="CL62" i="41"/>
  <c r="CK62" i="41"/>
  <c r="CJ62" i="41"/>
  <c r="CI62" i="41"/>
  <c r="CH62" i="41"/>
  <c r="CG62" i="41"/>
  <c r="DZ61" i="41"/>
  <c r="DY61" i="41"/>
  <c r="DX61" i="41"/>
  <c r="DW61" i="41"/>
  <c r="DV61" i="41"/>
  <c r="DU61" i="41"/>
  <c r="DT61" i="41"/>
  <c r="DS61" i="41"/>
  <c r="DR61" i="41"/>
  <c r="DQ61" i="41"/>
  <c r="DP61" i="41"/>
  <c r="DO61" i="41"/>
  <c r="DN61" i="41"/>
  <c r="DM61" i="41"/>
  <c r="DL61" i="41"/>
  <c r="DK61" i="41"/>
  <c r="DJ61" i="41"/>
  <c r="DI61" i="41"/>
  <c r="DH61" i="41"/>
  <c r="DG61" i="41"/>
  <c r="CZ61" i="41"/>
  <c r="CY61" i="41"/>
  <c r="CX61" i="41"/>
  <c r="CW61" i="41"/>
  <c r="CV61" i="41"/>
  <c r="CU61" i="41"/>
  <c r="CT61" i="41"/>
  <c r="CS61" i="41"/>
  <c r="CR61" i="41"/>
  <c r="CQ61" i="41"/>
  <c r="CP61" i="41"/>
  <c r="CO61" i="41"/>
  <c r="CN61" i="41"/>
  <c r="CM61" i="41"/>
  <c r="CL61" i="41"/>
  <c r="CK61" i="41"/>
  <c r="CJ61" i="41"/>
  <c r="CI61" i="41"/>
  <c r="CH61" i="41"/>
  <c r="CG61" i="41"/>
  <c r="DZ60" i="41"/>
  <c r="DY60" i="41"/>
  <c r="DX60" i="41"/>
  <c r="DW60" i="41"/>
  <c r="DV60" i="41"/>
  <c r="DU60" i="41"/>
  <c r="DT60" i="41"/>
  <c r="DS60" i="41"/>
  <c r="DR60" i="41"/>
  <c r="DQ60" i="41"/>
  <c r="DP60" i="41"/>
  <c r="DO60" i="41"/>
  <c r="DN60" i="41"/>
  <c r="DM60" i="41"/>
  <c r="DL60" i="41"/>
  <c r="DK60" i="41"/>
  <c r="DJ60" i="41"/>
  <c r="DI60" i="41"/>
  <c r="DH60" i="41"/>
  <c r="DG60" i="41"/>
  <c r="CZ60" i="41"/>
  <c r="CY60" i="41"/>
  <c r="CX60" i="41"/>
  <c r="CW60" i="41"/>
  <c r="CV60" i="41"/>
  <c r="CU60" i="41"/>
  <c r="CT60" i="41"/>
  <c r="CS60" i="41"/>
  <c r="CR60" i="41"/>
  <c r="CQ60" i="41"/>
  <c r="CP60" i="41"/>
  <c r="CO60" i="41"/>
  <c r="CN60" i="41"/>
  <c r="CM60" i="41"/>
  <c r="CL60" i="41"/>
  <c r="CK60" i="41"/>
  <c r="CJ60" i="41"/>
  <c r="CI60" i="41"/>
  <c r="CH60" i="41"/>
  <c r="CG60" i="41"/>
  <c r="DE60" i="41"/>
  <c r="DZ59" i="41"/>
  <c r="DY59" i="41"/>
  <c r="DX59" i="41"/>
  <c r="DW59" i="41"/>
  <c r="DV59" i="41"/>
  <c r="DU59" i="41"/>
  <c r="DT59" i="41"/>
  <c r="DS59" i="41"/>
  <c r="DR59" i="41"/>
  <c r="DQ59" i="41"/>
  <c r="DP59" i="41"/>
  <c r="DO59" i="41"/>
  <c r="DN59" i="41"/>
  <c r="DM59" i="41"/>
  <c r="DL59" i="41"/>
  <c r="DK59" i="41"/>
  <c r="DJ59" i="41"/>
  <c r="DI59" i="41"/>
  <c r="DH59" i="41"/>
  <c r="DG59" i="41"/>
  <c r="CZ59" i="41"/>
  <c r="CY59" i="41"/>
  <c r="CX59" i="41"/>
  <c r="CW59" i="41"/>
  <c r="CV59" i="41"/>
  <c r="CU59" i="41"/>
  <c r="CT59" i="41"/>
  <c r="CS59" i="41"/>
  <c r="CR59" i="41"/>
  <c r="CQ59" i="41"/>
  <c r="CP59" i="41"/>
  <c r="CO59" i="41"/>
  <c r="CN59" i="41"/>
  <c r="CM59" i="41"/>
  <c r="CL59" i="41"/>
  <c r="CK59" i="41"/>
  <c r="CJ59" i="41"/>
  <c r="CI59" i="41"/>
  <c r="CH59" i="41"/>
  <c r="CG59" i="41"/>
  <c r="DC58" i="41"/>
  <c r="DZ58" i="41"/>
  <c r="DY58" i="41"/>
  <c r="DX58" i="41"/>
  <c r="DW58" i="41"/>
  <c r="DV58" i="41"/>
  <c r="DU58" i="41"/>
  <c r="DT58" i="41"/>
  <c r="DS58" i="41"/>
  <c r="DR58" i="41"/>
  <c r="DQ58" i="41"/>
  <c r="DP58" i="41"/>
  <c r="DO58" i="41"/>
  <c r="DN58" i="41"/>
  <c r="DM58" i="41"/>
  <c r="DL58" i="41"/>
  <c r="DK58" i="41"/>
  <c r="DJ58" i="41"/>
  <c r="DI58" i="41"/>
  <c r="DH58" i="41"/>
  <c r="DG58" i="41"/>
  <c r="CZ58" i="41"/>
  <c r="CY58" i="41"/>
  <c r="CX58" i="41"/>
  <c r="CW58" i="41"/>
  <c r="CV58" i="41"/>
  <c r="CU58" i="41"/>
  <c r="CT58" i="41"/>
  <c r="CS58" i="41"/>
  <c r="CR58" i="41"/>
  <c r="CQ58" i="41"/>
  <c r="CP58" i="41"/>
  <c r="CO58" i="41"/>
  <c r="CN58" i="41"/>
  <c r="CM58" i="41"/>
  <c r="CL58" i="41"/>
  <c r="CK58" i="41"/>
  <c r="CJ58" i="41"/>
  <c r="CI58" i="41"/>
  <c r="CH58" i="41"/>
  <c r="CG58" i="41"/>
  <c r="DF58" i="41"/>
  <c r="DZ57" i="41"/>
  <c r="DY57" i="41"/>
  <c r="DX57" i="41"/>
  <c r="DW57" i="41"/>
  <c r="DV57" i="41"/>
  <c r="DU57" i="41"/>
  <c r="DT57" i="41"/>
  <c r="DS57" i="41"/>
  <c r="DR57" i="41"/>
  <c r="DQ57" i="41"/>
  <c r="DP57" i="41"/>
  <c r="DO57" i="41"/>
  <c r="DN57" i="41"/>
  <c r="DM57" i="41"/>
  <c r="DL57" i="41"/>
  <c r="DK57" i="41"/>
  <c r="DJ57" i="41"/>
  <c r="DI57" i="41"/>
  <c r="DH57" i="41"/>
  <c r="DG57" i="41"/>
  <c r="DF57" i="41"/>
  <c r="CZ57" i="41"/>
  <c r="CY57" i="41"/>
  <c r="CX57" i="41"/>
  <c r="CW57" i="41"/>
  <c r="CV57" i="41"/>
  <c r="CU57" i="41"/>
  <c r="CT57" i="41"/>
  <c r="CS57" i="41"/>
  <c r="CR57" i="41"/>
  <c r="CQ57" i="41"/>
  <c r="CP57" i="41"/>
  <c r="CO57" i="41"/>
  <c r="CN57" i="41"/>
  <c r="CM57" i="41"/>
  <c r="CL57" i="41"/>
  <c r="CK57" i="41"/>
  <c r="CJ57" i="41"/>
  <c r="CI57" i="41"/>
  <c r="CH57" i="41"/>
  <c r="CG57" i="41"/>
  <c r="CD57" i="41"/>
  <c r="DE57" i="41"/>
  <c r="DZ56" i="41"/>
  <c r="DY56" i="41"/>
  <c r="DX56" i="41"/>
  <c r="DW56" i="41"/>
  <c r="DV56" i="41"/>
  <c r="DU56" i="41"/>
  <c r="DT56" i="41"/>
  <c r="DS56" i="41"/>
  <c r="DR56" i="41"/>
  <c r="DQ56" i="41"/>
  <c r="DP56" i="41"/>
  <c r="DO56" i="41"/>
  <c r="DN56" i="41"/>
  <c r="DM56" i="41"/>
  <c r="DL56" i="41"/>
  <c r="DK56" i="41"/>
  <c r="DJ56" i="41"/>
  <c r="DI56" i="41"/>
  <c r="DH56" i="41"/>
  <c r="DG56" i="41"/>
  <c r="CZ56" i="41"/>
  <c r="CY56" i="41"/>
  <c r="CX56" i="41"/>
  <c r="CW56" i="41"/>
  <c r="CV56" i="41"/>
  <c r="CU56" i="41"/>
  <c r="CT56" i="41"/>
  <c r="CS56" i="41"/>
  <c r="CR56" i="41"/>
  <c r="CQ56" i="41"/>
  <c r="CP56" i="41"/>
  <c r="CO56" i="41"/>
  <c r="CN56" i="41"/>
  <c r="CM56" i="41"/>
  <c r="CL56" i="41"/>
  <c r="CK56" i="41"/>
  <c r="CJ56" i="41"/>
  <c r="CI56" i="41"/>
  <c r="CH56" i="41"/>
  <c r="CG56" i="41"/>
  <c r="DZ51" i="41"/>
  <c r="DY51" i="41"/>
  <c r="DX51" i="41"/>
  <c r="DW51" i="41"/>
  <c r="DV51" i="41"/>
  <c r="DU51" i="41"/>
  <c r="DT51" i="41"/>
  <c r="DS51" i="41"/>
  <c r="DR51" i="41"/>
  <c r="DQ51" i="41"/>
  <c r="DP51" i="41"/>
  <c r="DO51" i="41"/>
  <c r="DN51" i="41"/>
  <c r="DM51" i="41"/>
  <c r="DL51" i="41"/>
  <c r="DK51" i="41"/>
  <c r="DJ51" i="41"/>
  <c r="DI51" i="41"/>
  <c r="DH51" i="41"/>
  <c r="DG51" i="41"/>
  <c r="CE51" i="41"/>
  <c r="DD51" i="41"/>
  <c r="CZ51" i="41"/>
  <c r="CY51" i="41"/>
  <c r="CX51" i="41"/>
  <c r="CW51" i="41"/>
  <c r="CV51" i="41"/>
  <c r="CU51" i="41"/>
  <c r="CT51" i="41"/>
  <c r="CS51" i="41"/>
  <c r="CR51" i="41"/>
  <c r="CQ51" i="41"/>
  <c r="CP51" i="41"/>
  <c r="CO51" i="41"/>
  <c r="CN51" i="41"/>
  <c r="CM51" i="41"/>
  <c r="CL51" i="41"/>
  <c r="CK51" i="41"/>
  <c r="CJ51" i="41"/>
  <c r="CI51" i="41"/>
  <c r="CH51" i="41"/>
  <c r="CG51" i="41"/>
  <c r="CF51" i="41"/>
  <c r="CB51" i="41"/>
  <c r="EA51" i="41"/>
  <c r="EA50" i="41"/>
  <c r="DZ50" i="41"/>
  <c r="DY50" i="41"/>
  <c r="DX50" i="41"/>
  <c r="DW50" i="41"/>
  <c r="DV50" i="41"/>
  <c r="DU50" i="41"/>
  <c r="DT50" i="41"/>
  <c r="DS50" i="41"/>
  <c r="DR50" i="41"/>
  <c r="DQ50" i="41"/>
  <c r="DP50" i="41"/>
  <c r="DO50" i="41"/>
  <c r="DN50" i="41"/>
  <c r="DM50" i="41"/>
  <c r="DL50" i="41"/>
  <c r="DK50" i="41"/>
  <c r="DJ50" i="41"/>
  <c r="DI50" i="41"/>
  <c r="DH50" i="41"/>
  <c r="DG50" i="41"/>
  <c r="DC50" i="41"/>
  <c r="CZ50" i="41"/>
  <c r="CY50" i="41"/>
  <c r="CX50" i="41"/>
  <c r="CW50" i="41"/>
  <c r="CV50" i="41"/>
  <c r="CU50" i="41"/>
  <c r="CT50" i="41"/>
  <c r="CS50" i="41"/>
  <c r="CR50" i="41"/>
  <c r="CQ50" i="41"/>
  <c r="CP50" i="41"/>
  <c r="CO50" i="41"/>
  <c r="CN50" i="41"/>
  <c r="CM50" i="41"/>
  <c r="CL50" i="41"/>
  <c r="CK50" i="41"/>
  <c r="CJ50" i="41"/>
  <c r="CI50" i="41"/>
  <c r="CH50" i="41"/>
  <c r="CG50" i="41"/>
  <c r="CE50" i="41"/>
  <c r="DF50" i="41"/>
  <c r="DZ49" i="41"/>
  <c r="DY49" i="41"/>
  <c r="DX49" i="41"/>
  <c r="DW49" i="41"/>
  <c r="DV49" i="41"/>
  <c r="DU49" i="41"/>
  <c r="DT49" i="41"/>
  <c r="DS49" i="41"/>
  <c r="DR49" i="41"/>
  <c r="DQ49" i="41"/>
  <c r="DP49" i="41"/>
  <c r="DO49" i="41"/>
  <c r="DN49" i="41"/>
  <c r="DM49" i="41"/>
  <c r="DL49" i="41"/>
  <c r="DK49" i="41"/>
  <c r="DJ49" i="41"/>
  <c r="DI49" i="41"/>
  <c r="DH49" i="41"/>
  <c r="DG49" i="41"/>
  <c r="CD49" i="41"/>
  <c r="DF49" i="41"/>
  <c r="CZ49" i="41"/>
  <c r="CY49" i="41"/>
  <c r="CX49" i="41"/>
  <c r="CW49" i="41"/>
  <c r="CV49" i="41"/>
  <c r="CU49" i="41"/>
  <c r="CT49" i="41"/>
  <c r="CS49" i="41"/>
  <c r="CR49" i="41"/>
  <c r="CQ49" i="41"/>
  <c r="CP49" i="41"/>
  <c r="CO49" i="41"/>
  <c r="CN49" i="41"/>
  <c r="CM49" i="41"/>
  <c r="CL49" i="41"/>
  <c r="CK49" i="41"/>
  <c r="CJ49" i="41"/>
  <c r="CI49" i="41"/>
  <c r="CH49" i="41"/>
  <c r="CG49" i="41"/>
  <c r="DE49" i="41"/>
  <c r="DZ48" i="41"/>
  <c r="DY48" i="41"/>
  <c r="DX48" i="41"/>
  <c r="DW48" i="41"/>
  <c r="DV48" i="41"/>
  <c r="DU48" i="41"/>
  <c r="DT48" i="41"/>
  <c r="DS48" i="41"/>
  <c r="DR48" i="41"/>
  <c r="DQ48" i="41"/>
  <c r="DP48" i="41"/>
  <c r="DO48" i="41"/>
  <c r="DN48" i="41"/>
  <c r="DM48" i="41"/>
  <c r="DL48" i="41"/>
  <c r="DK48" i="41"/>
  <c r="DJ48" i="41"/>
  <c r="DI48" i="41"/>
  <c r="DH48" i="41"/>
  <c r="DG48" i="41"/>
  <c r="CZ48" i="41"/>
  <c r="CY48" i="41"/>
  <c r="CX48" i="41"/>
  <c r="CW48" i="41"/>
  <c r="CV48" i="41"/>
  <c r="CU48" i="41"/>
  <c r="CT48" i="41"/>
  <c r="CS48" i="41"/>
  <c r="CR48" i="41"/>
  <c r="CQ48" i="41"/>
  <c r="CP48" i="41"/>
  <c r="CO48" i="41"/>
  <c r="CN48" i="41"/>
  <c r="CM48" i="41"/>
  <c r="CL48" i="41"/>
  <c r="CK48" i="41"/>
  <c r="CJ48" i="41"/>
  <c r="CI48" i="41"/>
  <c r="CH48" i="41"/>
  <c r="CG48" i="41"/>
  <c r="DE48" i="41"/>
  <c r="DZ47" i="41"/>
  <c r="DY47" i="41"/>
  <c r="DX47" i="41"/>
  <c r="DW47" i="41"/>
  <c r="DV47" i="41"/>
  <c r="DU47" i="41"/>
  <c r="DT47" i="41"/>
  <c r="DS47" i="41"/>
  <c r="DR47" i="41"/>
  <c r="DQ47" i="41"/>
  <c r="DP47" i="41"/>
  <c r="DO47" i="41"/>
  <c r="DN47" i="41"/>
  <c r="DM47" i="41"/>
  <c r="DL47" i="41"/>
  <c r="DK47" i="41"/>
  <c r="DJ47" i="41"/>
  <c r="DI47" i="41"/>
  <c r="DH47" i="41"/>
  <c r="DG47" i="41"/>
  <c r="CZ47" i="41"/>
  <c r="CY47" i="41"/>
  <c r="CX47" i="41"/>
  <c r="CW47" i="41"/>
  <c r="CV47" i="41"/>
  <c r="CU47" i="41"/>
  <c r="CT47" i="41"/>
  <c r="CS47" i="41"/>
  <c r="CR47" i="41"/>
  <c r="CQ47" i="41"/>
  <c r="CP47" i="41"/>
  <c r="CO47" i="41"/>
  <c r="CN47" i="41"/>
  <c r="CM47" i="41"/>
  <c r="CL47" i="41"/>
  <c r="CK47" i="41"/>
  <c r="CJ47" i="41"/>
  <c r="CI47" i="41"/>
  <c r="CH47" i="41"/>
  <c r="CG47" i="41"/>
  <c r="DC46" i="41"/>
  <c r="DZ46" i="41"/>
  <c r="DY46" i="41"/>
  <c r="DX46" i="41"/>
  <c r="DW46" i="41"/>
  <c r="DV46" i="41"/>
  <c r="DU46" i="41"/>
  <c r="DT46" i="41"/>
  <c r="DS46" i="41"/>
  <c r="DR46" i="41"/>
  <c r="DQ46" i="41"/>
  <c r="DP46" i="41"/>
  <c r="DO46" i="41"/>
  <c r="DN46" i="41"/>
  <c r="DM46" i="41"/>
  <c r="DL46" i="41"/>
  <c r="DK46" i="41"/>
  <c r="DJ46" i="41"/>
  <c r="DI46" i="41"/>
  <c r="DH46" i="41"/>
  <c r="DG46" i="41"/>
  <c r="CZ46" i="41"/>
  <c r="CY46" i="41"/>
  <c r="CX46" i="41"/>
  <c r="CW46" i="41"/>
  <c r="CV46" i="41"/>
  <c r="CU46" i="41"/>
  <c r="CT46" i="41"/>
  <c r="CS46" i="41"/>
  <c r="CR46" i="41"/>
  <c r="CQ46" i="41"/>
  <c r="CP46" i="41"/>
  <c r="CO46" i="41"/>
  <c r="CN46" i="41"/>
  <c r="CM46" i="41"/>
  <c r="CL46" i="41"/>
  <c r="CK46" i="41"/>
  <c r="CJ46" i="41"/>
  <c r="CI46" i="41"/>
  <c r="CH46" i="41"/>
  <c r="CG46" i="41"/>
  <c r="DF46" i="41"/>
  <c r="DZ45" i="41"/>
  <c r="DY45" i="41"/>
  <c r="DX45" i="41"/>
  <c r="DW45" i="41"/>
  <c r="DV45" i="41"/>
  <c r="DU45" i="41"/>
  <c r="DT45" i="41"/>
  <c r="DS45" i="41"/>
  <c r="DR45" i="41"/>
  <c r="DQ45" i="41"/>
  <c r="DP45" i="41"/>
  <c r="DO45" i="41"/>
  <c r="DN45" i="41"/>
  <c r="DM45" i="41"/>
  <c r="DL45" i="41"/>
  <c r="DK45" i="41"/>
  <c r="DJ45" i="41"/>
  <c r="DI45" i="41"/>
  <c r="DH45" i="41"/>
  <c r="DG45" i="41"/>
  <c r="DF45" i="41"/>
  <c r="CZ45" i="41"/>
  <c r="CY45" i="41"/>
  <c r="CX45" i="41"/>
  <c r="CW45" i="41"/>
  <c r="CV45" i="41"/>
  <c r="CU45" i="41"/>
  <c r="CT45" i="41"/>
  <c r="CS45" i="41"/>
  <c r="CR45" i="41"/>
  <c r="CQ45" i="41"/>
  <c r="CP45" i="41"/>
  <c r="CO45" i="41"/>
  <c r="CN45" i="41"/>
  <c r="CM45" i="41"/>
  <c r="CL45" i="41"/>
  <c r="CK45" i="41"/>
  <c r="CJ45" i="41"/>
  <c r="CI45" i="41"/>
  <c r="CH45" i="41"/>
  <c r="CG45" i="41"/>
  <c r="CD45" i="41"/>
  <c r="DB45" i="41"/>
  <c r="DE45" i="41"/>
  <c r="DZ44" i="41"/>
  <c r="DY44" i="41"/>
  <c r="DX44" i="41"/>
  <c r="DW44" i="41"/>
  <c r="DV44" i="41"/>
  <c r="DU44" i="41"/>
  <c r="DT44" i="41"/>
  <c r="DS44" i="41"/>
  <c r="DR44" i="41"/>
  <c r="DQ44" i="41"/>
  <c r="DP44" i="41"/>
  <c r="DO44" i="41"/>
  <c r="DN44" i="41"/>
  <c r="DM44" i="41"/>
  <c r="DL44" i="41"/>
  <c r="DK44" i="41"/>
  <c r="DJ44" i="41"/>
  <c r="DI44" i="41"/>
  <c r="DH44" i="41"/>
  <c r="DG44" i="41"/>
  <c r="CZ44" i="41"/>
  <c r="CY44" i="41"/>
  <c r="CX44" i="41"/>
  <c r="CW44" i="41"/>
  <c r="CV44" i="41"/>
  <c r="CU44" i="41"/>
  <c r="CT44" i="41"/>
  <c r="CS44" i="41"/>
  <c r="CR44" i="41"/>
  <c r="CQ44" i="41"/>
  <c r="CP44" i="41"/>
  <c r="CO44" i="41"/>
  <c r="CN44" i="41"/>
  <c r="CM44" i="41"/>
  <c r="CL44" i="41"/>
  <c r="CK44" i="41"/>
  <c r="CJ44" i="41"/>
  <c r="CI44" i="41"/>
  <c r="CH44" i="41"/>
  <c r="CG44" i="41"/>
  <c r="DZ43" i="41"/>
  <c r="DY43" i="41"/>
  <c r="DX43" i="41"/>
  <c r="DW43" i="41"/>
  <c r="DV43" i="41"/>
  <c r="DU43" i="41"/>
  <c r="DT43" i="41"/>
  <c r="DS43" i="41"/>
  <c r="DR43" i="41"/>
  <c r="DQ43" i="41"/>
  <c r="DP43" i="41"/>
  <c r="DO43" i="41"/>
  <c r="DN43" i="41"/>
  <c r="DM43" i="41"/>
  <c r="DL43" i="41"/>
  <c r="DK43" i="41"/>
  <c r="DJ43" i="41"/>
  <c r="DI43" i="41"/>
  <c r="DH43" i="41"/>
  <c r="DG43" i="41"/>
  <c r="CZ43" i="41"/>
  <c r="CY43" i="41"/>
  <c r="CX43" i="41"/>
  <c r="CW43" i="41"/>
  <c r="CV43" i="41"/>
  <c r="CU43" i="41"/>
  <c r="CT43" i="41"/>
  <c r="CS43" i="41"/>
  <c r="CR43" i="41"/>
  <c r="CQ43" i="41"/>
  <c r="CP43" i="41"/>
  <c r="CO43" i="41"/>
  <c r="CN43" i="41"/>
  <c r="CM43" i="41"/>
  <c r="CL43" i="41"/>
  <c r="CK43" i="41"/>
  <c r="CJ43" i="41"/>
  <c r="CI43" i="41"/>
  <c r="CH43" i="41"/>
  <c r="CG43" i="41"/>
  <c r="CD43" i="41"/>
  <c r="DC42" i="41"/>
  <c r="EA42" i="41"/>
  <c r="DZ42" i="41"/>
  <c r="DY42" i="41"/>
  <c r="DX42" i="41"/>
  <c r="DW42" i="41"/>
  <c r="DV42" i="41"/>
  <c r="DU42" i="41"/>
  <c r="DT42" i="41"/>
  <c r="DS42" i="41"/>
  <c r="DR42" i="41"/>
  <c r="DQ42" i="41"/>
  <c r="DP42" i="41"/>
  <c r="DO42" i="41"/>
  <c r="DN42" i="41"/>
  <c r="DM42" i="41"/>
  <c r="DL42" i="41"/>
  <c r="DK42" i="41"/>
  <c r="DJ42" i="41"/>
  <c r="DI42" i="41"/>
  <c r="DH42" i="41"/>
  <c r="DG42" i="41"/>
  <c r="CZ42" i="41"/>
  <c r="CY42" i="41"/>
  <c r="CX42" i="41"/>
  <c r="CW42" i="41"/>
  <c r="CV42" i="41"/>
  <c r="CU42" i="41"/>
  <c r="CT42" i="41"/>
  <c r="CS42" i="41"/>
  <c r="CR42" i="41"/>
  <c r="CQ42" i="41"/>
  <c r="CP42" i="41"/>
  <c r="CO42" i="41"/>
  <c r="CN42" i="41"/>
  <c r="CM42" i="41"/>
  <c r="CL42" i="41"/>
  <c r="CK42" i="41"/>
  <c r="CJ42" i="41"/>
  <c r="CI42" i="41"/>
  <c r="CH42" i="41"/>
  <c r="CG42" i="41"/>
  <c r="CD42" i="41"/>
  <c r="DZ41" i="41"/>
  <c r="DY41" i="41"/>
  <c r="DX41" i="41"/>
  <c r="DW41" i="41"/>
  <c r="DV41" i="41"/>
  <c r="DU41" i="41"/>
  <c r="DT41" i="41"/>
  <c r="DS41" i="41"/>
  <c r="DR41" i="41"/>
  <c r="DQ41" i="41"/>
  <c r="DP41" i="41"/>
  <c r="DO41" i="41"/>
  <c r="DN41" i="41"/>
  <c r="DM41" i="41"/>
  <c r="DL41" i="41"/>
  <c r="DK41" i="41"/>
  <c r="DJ41" i="41"/>
  <c r="DI41" i="41"/>
  <c r="DH41" i="41"/>
  <c r="DG41" i="41"/>
  <c r="CD41" i="41"/>
  <c r="DF41" i="41"/>
  <c r="CZ41" i="41"/>
  <c r="CY41" i="41"/>
  <c r="CX41" i="41"/>
  <c r="CW41" i="41"/>
  <c r="CV41" i="41"/>
  <c r="CU41" i="41"/>
  <c r="CT41" i="41"/>
  <c r="CS41" i="41"/>
  <c r="CR41" i="41"/>
  <c r="CQ41" i="41"/>
  <c r="CP41" i="41"/>
  <c r="CO41" i="41"/>
  <c r="CN41" i="41"/>
  <c r="CM41" i="41"/>
  <c r="CL41" i="41"/>
  <c r="CK41" i="41"/>
  <c r="CJ41" i="41"/>
  <c r="CI41" i="41"/>
  <c r="CH41" i="41"/>
  <c r="CG41" i="41"/>
  <c r="DB41" i="41"/>
  <c r="DE41" i="41"/>
  <c r="DZ40" i="41"/>
  <c r="DY40" i="41"/>
  <c r="DX40" i="41"/>
  <c r="DW40" i="41"/>
  <c r="DV40" i="41"/>
  <c r="DU40" i="41"/>
  <c r="DT40" i="41"/>
  <c r="DS40" i="41"/>
  <c r="DR40" i="41"/>
  <c r="DQ40" i="41"/>
  <c r="DP40" i="41"/>
  <c r="DO40" i="41"/>
  <c r="DN40" i="41"/>
  <c r="DM40" i="41"/>
  <c r="DL40" i="41"/>
  <c r="DK40" i="41"/>
  <c r="DJ40" i="41"/>
  <c r="DI40" i="41"/>
  <c r="DH40" i="41"/>
  <c r="DG40" i="41"/>
  <c r="CZ40" i="41"/>
  <c r="CY40" i="41"/>
  <c r="CX40" i="41"/>
  <c r="CW40" i="41"/>
  <c r="CV40" i="41"/>
  <c r="CU40" i="41"/>
  <c r="CT40" i="41"/>
  <c r="CS40" i="41"/>
  <c r="CR40" i="41"/>
  <c r="CQ40" i="41"/>
  <c r="CP40" i="41"/>
  <c r="CO40" i="41"/>
  <c r="CN40" i="41"/>
  <c r="CM40" i="41"/>
  <c r="CL40" i="41"/>
  <c r="CK40" i="41"/>
  <c r="CJ40" i="41"/>
  <c r="CI40" i="41"/>
  <c r="CH40" i="41"/>
  <c r="CG40" i="41"/>
  <c r="CB40" i="41"/>
  <c r="DE40" i="41"/>
  <c r="DZ39" i="41"/>
  <c r="DY39" i="41"/>
  <c r="DX39" i="41"/>
  <c r="DW39" i="41"/>
  <c r="DV39" i="41"/>
  <c r="DU39" i="41"/>
  <c r="DT39" i="41"/>
  <c r="DS39" i="41"/>
  <c r="DR39" i="41"/>
  <c r="DQ39" i="41"/>
  <c r="DP39" i="41"/>
  <c r="DO39" i="41"/>
  <c r="DN39" i="41"/>
  <c r="DM39" i="41"/>
  <c r="DL39" i="41"/>
  <c r="DK39" i="41"/>
  <c r="DJ39" i="41"/>
  <c r="DI39" i="41"/>
  <c r="DH39" i="41"/>
  <c r="DG39" i="41"/>
  <c r="CZ39" i="41"/>
  <c r="CY39" i="41"/>
  <c r="CX39" i="41"/>
  <c r="CW39" i="41"/>
  <c r="CV39" i="41"/>
  <c r="CU39" i="41"/>
  <c r="CT39" i="41"/>
  <c r="CS39" i="41"/>
  <c r="CR39" i="41"/>
  <c r="CQ39" i="41"/>
  <c r="CP39" i="41"/>
  <c r="CO39" i="41"/>
  <c r="CN39" i="41"/>
  <c r="CM39" i="41"/>
  <c r="CL39" i="41"/>
  <c r="CK39" i="41"/>
  <c r="CJ39" i="41"/>
  <c r="CI39" i="41"/>
  <c r="CH39" i="41"/>
  <c r="CG39" i="41"/>
  <c r="DB39" i="41"/>
  <c r="CB39" i="41"/>
  <c r="CE38" i="41"/>
  <c r="EA38" i="41"/>
  <c r="DZ38" i="41"/>
  <c r="DY38" i="41"/>
  <c r="DX38" i="41"/>
  <c r="DW38" i="41"/>
  <c r="DV38" i="41"/>
  <c r="DU38" i="41"/>
  <c r="DT38" i="41"/>
  <c r="DS38" i="41"/>
  <c r="DR38" i="41"/>
  <c r="DQ38" i="41"/>
  <c r="DP38" i="41"/>
  <c r="DO38" i="41"/>
  <c r="DN38" i="41"/>
  <c r="DM38" i="41"/>
  <c r="DL38" i="41"/>
  <c r="DK38" i="41"/>
  <c r="DJ38" i="41"/>
  <c r="DI38" i="41"/>
  <c r="DH38" i="41"/>
  <c r="DG38" i="41"/>
  <c r="DF38" i="41"/>
  <c r="CZ38" i="41"/>
  <c r="CY38" i="41"/>
  <c r="CX38" i="41"/>
  <c r="CW38" i="41"/>
  <c r="CV38" i="41"/>
  <c r="CU38" i="41"/>
  <c r="CT38" i="41"/>
  <c r="CS38" i="41"/>
  <c r="CR38" i="41"/>
  <c r="CQ38" i="41"/>
  <c r="CP38" i="41"/>
  <c r="CO38" i="41"/>
  <c r="CN38" i="41"/>
  <c r="CM38" i="41"/>
  <c r="CL38" i="41"/>
  <c r="CK38" i="41"/>
  <c r="CJ38" i="41"/>
  <c r="CI38" i="41"/>
  <c r="CH38" i="41"/>
  <c r="CG38" i="41"/>
  <c r="CD38" i="41"/>
  <c r="DE38" i="41"/>
  <c r="DZ37" i="41"/>
  <c r="DY37" i="41"/>
  <c r="DX37" i="41"/>
  <c r="DW37" i="41"/>
  <c r="DV37" i="41"/>
  <c r="DU37" i="41"/>
  <c r="DT37" i="41"/>
  <c r="DS37" i="41"/>
  <c r="DR37" i="41"/>
  <c r="DQ37" i="41"/>
  <c r="DP37" i="41"/>
  <c r="DO37" i="41"/>
  <c r="DN37" i="41"/>
  <c r="DM37" i="41"/>
  <c r="DL37" i="41"/>
  <c r="DK37" i="41"/>
  <c r="DJ37" i="41"/>
  <c r="DI37" i="41"/>
  <c r="DH37" i="41"/>
  <c r="DG37" i="41"/>
  <c r="DF37" i="41"/>
  <c r="CZ37" i="41"/>
  <c r="CY37" i="41"/>
  <c r="CX37" i="41"/>
  <c r="CW37" i="41"/>
  <c r="CV37" i="41"/>
  <c r="CU37" i="41"/>
  <c r="CT37" i="41"/>
  <c r="CS37" i="41"/>
  <c r="CR37" i="41"/>
  <c r="CQ37" i="41"/>
  <c r="CP37" i="41"/>
  <c r="CO37" i="41"/>
  <c r="CN37" i="41"/>
  <c r="CM37" i="41"/>
  <c r="CL37" i="41"/>
  <c r="CK37" i="41"/>
  <c r="CJ37" i="41"/>
  <c r="CI37" i="41"/>
  <c r="CH37" i="41"/>
  <c r="CG37" i="41"/>
  <c r="DB37" i="41"/>
  <c r="DE37" i="41"/>
  <c r="DZ36" i="41"/>
  <c r="DY36" i="41"/>
  <c r="DX36" i="41"/>
  <c r="DW36" i="41"/>
  <c r="DV36" i="41"/>
  <c r="DU36" i="41"/>
  <c r="DT36" i="41"/>
  <c r="DS36" i="41"/>
  <c r="DR36" i="41"/>
  <c r="DQ36" i="41"/>
  <c r="DP36" i="41"/>
  <c r="DO36" i="41"/>
  <c r="DN36" i="41"/>
  <c r="DM36" i="41"/>
  <c r="DL36" i="41"/>
  <c r="DK36" i="41"/>
  <c r="DJ36" i="41"/>
  <c r="DI36" i="41"/>
  <c r="DH36" i="41"/>
  <c r="DG36" i="41"/>
  <c r="CZ36" i="41"/>
  <c r="CY36" i="41"/>
  <c r="CX36" i="41"/>
  <c r="CW36" i="41"/>
  <c r="CV36" i="41"/>
  <c r="CU36" i="41"/>
  <c r="CT36" i="41"/>
  <c r="CS36" i="41"/>
  <c r="CR36" i="41"/>
  <c r="CQ36" i="41"/>
  <c r="CP36" i="41"/>
  <c r="CO36" i="41"/>
  <c r="CN36" i="41"/>
  <c r="CM36" i="41"/>
  <c r="CL36" i="41"/>
  <c r="CK36" i="41"/>
  <c r="CJ36" i="41"/>
  <c r="CI36" i="41"/>
  <c r="CH36" i="41"/>
  <c r="CG36" i="41"/>
  <c r="DE36" i="41"/>
  <c r="DD35" i="41"/>
  <c r="DZ35" i="41"/>
  <c r="DY35" i="41"/>
  <c r="DX35" i="41"/>
  <c r="DW35" i="41"/>
  <c r="DV35" i="41"/>
  <c r="DU35" i="41"/>
  <c r="DT35" i="41"/>
  <c r="DS35" i="41"/>
  <c r="DR35" i="41"/>
  <c r="DQ35" i="41"/>
  <c r="DP35" i="41"/>
  <c r="DO35" i="41"/>
  <c r="DN35" i="41"/>
  <c r="DM35" i="41"/>
  <c r="DL35" i="41"/>
  <c r="DK35" i="41"/>
  <c r="DJ35" i="41"/>
  <c r="DI35" i="41"/>
  <c r="DH35" i="41"/>
  <c r="DG35" i="41"/>
  <c r="CZ35" i="41"/>
  <c r="CY35" i="41"/>
  <c r="CX35" i="41"/>
  <c r="CW35" i="41"/>
  <c r="CV35" i="41"/>
  <c r="CU35" i="41"/>
  <c r="CT35" i="41"/>
  <c r="CS35" i="41"/>
  <c r="CR35" i="41"/>
  <c r="CQ35" i="41"/>
  <c r="CP35" i="41"/>
  <c r="CO35" i="41"/>
  <c r="CN35" i="41"/>
  <c r="CM35" i="41"/>
  <c r="CL35" i="41"/>
  <c r="CK35" i="41"/>
  <c r="CJ35" i="41"/>
  <c r="CI35" i="41"/>
  <c r="CH35" i="41"/>
  <c r="CG35" i="41"/>
  <c r="CF35" i="41"/>
  <c r="CE35" i="41"/>
  <c r="DF35" i="41"/>
  <c r="CE34" i="41"/>
  <c r="DZ34" i="41"/>
  <c r="DY34" i="41"/>
  <c r="DX34" i="41"/>
  <c r="DW34" i="41"/>
  <c r="DV34" i="41"/>
  <c r="DU34" i="41"/>
  <c r="DT34" i="41"/>
  <c r="DS34" i="41"/>
  <c r="DR34" i="41"/>
  <c r="DQ34" i="41"/>
  <c r="DP34" i="41"/>
  <c r="DO34" i="41"/>
  <c r="DN34" i="41"/>
  <c r="DM34" i="41"/>
  <c r="DL34" i="41"/>
  <c r="DK34" i="41"/>
  <c r="DJ34" i="41"/>
  <c r="DI34" i="41"/>
  <c r="DH34" i="41"/>
  <c r="DG34" i="41"/>
  <c r="CZ34" i="41"/>
  <c r="CY34" i="41"/>
  <c r="CX34" i="41"/>
  <c r="CW34" i="41"/>
  <c r="CV34" i="41"/>
  <c r="CU34" i="41"/>
  <c r="CT34" i="41"/>
  <c r="CS34" i="41"/>
  <c r="CR34" i="41"/>
  <c r="CQ34" i="41"/>
  <c r="CP34" i="41"/>
  <c r="CO34" i="41"/>
  <c r="CN34" i="41"/>
  <c r="CM34" i="41"/>
  <c r="CL34" i="41"/>
  <c r="CK34" i="41"/>
  <c r="CJ34" i="41"/>
  <c r="CI34" i="41"/>
  <c r="CH34" i="41"/>
  <c r="CG34" i="41"/>
  <c r="DE34" i="41"/>
  <c r="DZ29" i="41"/>
  <c r="DY29" i="41"/>
  <c r="DX29" i="41"/>
  <c r="DW29" i="41"/>
  <c r="DV29" i="41"/>
  <c r="DU29" i="41"/>
  <c r="DT29" i="41"/>
  <c r="DS29" i="41"/>
  <c r="DR29" i="41"/>
  <c r="DQ29" i="41"/>
  <c r="DP29" i="41"/>
  <c r="DO29" i="41"/>
  <c r="DN29" i="41"/>
  <c r="DM29" i="41"/>
  <c r="DL29" i="41"/>
  <c r="DK29" i="41"/>
  <c r="DJ29" i="41"/>
  <c r="DI29" i="41"/>
  <c r="DH29" i="41"/>
  <c r="DG29" i="41"/>
  <c r="CZ29" i="41"/>
  <c r="CY29" i="41"/>
  <c r="CX29" i="41"/>
  <c r="CW29" i="41"/>
  <c r="CV29" i="41"/>
  <c r="CU29" i="41"/>
  <c r="CT29" i="41"/>
  <c r="CS29" i="41"/>
  <c r="CR29" i="41"/>
  <c r="CQ29" i="41"/>
  <c r="CP29" i="41"/>
  <c r="CO29" i="41"/>
  <c r="CN29" i="41"/>
  <c r="CM29" i="41"/>
  <c r="CL29" i="41"/>
  <c r="CK29" i="41"/>
  <c r="CJ29" i="41"/>
  <c r="CI29" i="41"/>
  <c r="CH29" i="41"/>
  <c r="CG29" i="41"/>
  <c r="DZ28" i="41"/>
  <c r="DY28" i="41"/>
  <c r="DX28" i="41"/>
  <c r="DW28" i="41"/>
  <c r="DV28" i="41"/>
  <c r="DU28" i="41"/>
  <c r="DT28" i="41"/>
  <c r="DS28" i="41"/>
  <c r="DR28" i="41"/>
  <c r="DQ28" i="41"/>
  <c r="DP28" i="41"/>
  <c r="DO28" i="41"/>
  <c r="DN28" i="41"/>
  <c r="DM28" i="41"/>
  <c r="DL28" i="41"/>
  <c r="DK28" i="41"/>
  <c r="DJ28" i="41"/>
  <c r="DI28" i="41"/>
  <c r="DH28" i="41"/>
  <c r="DG28" i="41"/>
  <c r="CZ28" i="41"/>
  <c r="CY28" i="41"/>
  <c r="CX28" i="41"/>
  <c r="CW28" i="41"/>
  <c r="CV28" i="41"/>
  <c r="CU28" i="41"/>
  <c r="CT28" i="41"/>
  <c r="CS28" i="41"/>
  <c r="CR28" i="41"/>
  <c r="CQ28" i="41"/>
  <c r="CP28" i="41"/>
  <c r="CO28" i="41"/>
  <c r="CN28" i="41"/>
  <c r="CM28" i="41"/>
  <c r="CL28" i="41"/>
  <c r="CK28" i="41"/>
  <c r="CJ28" i="41"/>
  <c r="CI28" i="41"/>
  <c r="CH28" i="41"/>
  <c r="CG28" i="41"/>
  <c r="DE28" i="41"/>
  <c r="DD27" i="41"/>
  <c r="EA27" i="41"/>
  <c r="DZ27" i="41"/>
  <c r="DY27" i="41"/>
  <c r="DX27" i="41"/>
  <c r="DW27" i="41"/>
  <c r="DV27" i="41"/>
  <c r="DU27" i="41"/>
  <c r="DT27" i="41"/>
  <c r="DS27" i="41"/>
  <c r="DR27" i="41"/>
  <c r="DQ27" i="41"/>
  <c r="DP27" i="41"/>
  <c r="DO27" i="41"/>
  <c r="DN27" i="41"/>
  <c r="DM27" i="41"/>
  <c r="DL27" i="41"/>
  <c r="DK27" i="41"/>
  <c r="DJ27" i="41"/>
  <c r="DI27" i="41"/>
  <c r="DH27" i="41"/>
  <c r="DG27" i="41"/>
  <c r="CZ27" i="41"/>
  <c r="CY27" i="41"/>
  <c r="CX27" i="41"/>
  <c r="CW27" i="41"/>
  <c r="CV27" i="41"/>
  <c r="CU27" i="41"/>
  <c r="CT27" i="41"/>
  <c r="CS27" i="41"/>
  <c r="CR27" i="41"/>
  <c r="CQ27" i="41"/>
  <c r="CP27" i="41"/>
  <c r="CO27" i="41"/>
  <c r="CN27" i="41"/>
  <c r="CM27" i="41"/>
  <c r="CL27" i="41"/>
  <c r="CK27" i="41"/>
  <c r="CJ27" i="41"/>
  <c r="CI27" i="41"/>
  <c r="CH27" i="41"/>
  <c r="CG27" i="41"/>
  <c r="CF27" i="41"/>
  <c r="CE27" i="41"/>
  <c r="DF27" i="41"/>
  <c r="DD26" i="41"/>
  <c r="DZ26" i="41"/>
  <c r="DY26" i="41"/>
  <c r="DX26" i="41"/>
  <c r="DW26" i="41"/>
  <c r="DV26" i="41"/>
  <c r="DU26" i="41"/>
  <c r="DT26" i="41"/>
  <c r="DS26" i="41"/>
  <c r="DR26" i="41"/>
  <c r="DQ26" i="41"/>
  <c r="DP26" i="41"/>
  <c r="DO26" i="41"/>
  <c r="DN26" i="41"/>
  <c r="DM26" i="41"/>
  <c r="DL26" i="41"/>
  <c r="DK26" i="41"/>
  <c r="DJ26" i="41"/>
  <c r="DI26" i="41"/>
  <c r="DH26" i="41"/>
  <c r="DG26" i="41"/>
  <c r="CZ26" i="41"/>
  <c r="CY26" i="41"/>
  <c r="CX26" i="41"/>
  <c r="CW26" i="41"/>
  <c r="CV26" i="41"/>
  <c r="CU26" i="41"/>
  <c r="CT26" i="41"/>
  <c r="CS26" i="41"/>
  <c r="CR26" i="41"/>
  <c r="CQ26" i="41"/>
  <c r="CP26" i="41"/>
  <c r="CO26" i="41"/>
  <c r="CN26" i="41"/>
  <c r="CM26" i="41"/>
  <c r="CL26" i="41"/>
  <c r="CK26" i="41"/>
  <c r="CJ26" i="41"/>
  <c r="CI26" i="41"/>
  <c r="CH26" i="41"/>
  <c r="CG26" i="41"/>
  <c r="DZ25" i="41"/>
  <c r="DY25" i="41"/>
  <c r="DX25" i="41"/>
  <c r="DW25" i="41"/>
  <c r="DV25" i="41"/>
  <c r="DU25" i="41"/>
  <c r="DT25" i="41"/>
  <c r="DS25" i="41"/>
  <c r="DR25" i="41"/>
  <c r="DQ25" i="41"/>
  <c r="DP25" i="41"/>
  <c r="DO25" i="41"/>
  <c r="DN25" i="41"/>
  <c r="DM25" i="41"/>
  <c r="DL25" i="41"/>
  <c r="DK25" i="41"/>
  <c r="DJ25" i="41"/>
  <c r="DI25" i="41"/>
  <c r="DH25" i="41"/>
  <c r="DG25" i="41"/>
  <c r="CZ25" i="41"/>
  <c r="CY25" i="41"/>
  <c r="CX25" i="41"/>
  <c r="CW25" i="41"/>
  <c r="CV25" i="41"/>
  <c r="CU25" i="41"/>
  <c r="CT25" i="41"/>
  <c r="CS25" i="41"/>
  <c r="CR25" i="41"/>
  <c r="CQ25" i="41"/>
  <c r="CP25" i="41"/>
  <c r="CO25" i="41"/>
  <c r="CN25" i="41"/>
  <c r="CM25" i="41"/>
  <c r="CL25" i="41"/>
  <c r="CK25" i="41"/>
  <c r="CJ25" i="41"/>
  <c r="CI25" i="41"/>
  <c r="CH25" i="41"/>
  <c r="CG25" i="41"/>
  <c r="DZ24" i="41"/>
  <c r="DY24" i="41"/>
  <c r="DX24" i="41"/>
  <c r="DW24" i="41"/>
  <c r="DV24" i="41"/>
  <c r="DU24" i="41"/>
  <c r="DT24" i="41"/>
  <c r="DS24" i="41"/>
  <c r="DR24" i="41"/>
  <c r="DQ24" i="41"/>
  <c r="DP24" i="41"/>
  <c r="DO24" i="41"/>
  <c r="DN24" i="41"/>
  <c r="DM24" i="41"/>
  <c r="DL24" i="41"/>
  <c r="DK24" i="41"/>
  <c r="DJ24" i="41"/>
  <c r="DI24" i="41"/>
  <c r="DH24" i="41"/>
  <c r="DG24" i="41"/>
  <c r="CZ24" i="41"/>
  <c r="CY24" i="41"/>
  <c r="CX24" i="41"/>
  <c r="CW24" i="41"/>
  <c r="CV24" i="41"/>
  <c r="CU24" i="41"/>
  <c r="CT24" i="41"/>
  <c r="CS24" i="41"/>
  <c r="CR24" i="41"/>
  <c r="CQ24" i="41"/>
  <c r="CP24" i="41"/>
  <c r="CO24" i="41"/>
  <c r="CN24" i="41"/>
  <c r="CM24" i="41"/>
  <c r="CL24" i="41"/>
  <c r="CK24" i="41"/>
  <c r="CJ24" i="41"/>
  <c r="CI24" i="41"/>
  <c r="CH24" i="41"/>
  <c r="CG24" i="41"/>
  <c r="DC23" i="41"/>
  <c r="EA23" i="41"/>
  <c r="DZ23" i="41"/>
  <c r="DY23" i="41"/>
  <c r="DX23" i="41"/>
  <c r="DW23" i="41"/>
  <c r="DV23" i="41"/>
  <c r="DU23" i="41"/>
  <c r="DT23" i="41"/>
  <c r="DS23" i="41"/>
  <c r="DR23" i="41"/>
  <c r="DQ23" i="41"/>
  <c r="DP23" i="41"/>
  <c r="DO23" i="41"/>
  <c r="DN23" i="41"/>
  <c r="DM23" i="41"/>
  <c r="DL23" i="41"/>
  <c r="DK23" i="41"/>
  <c r="DJ23" i="41"/>
  <c r="DI23" i="41"/>
  <c r="DH23" i="41"/>
  <c r="DG23" i="41"/>
  <c r="CZ23" i="41"/>
  <c r="CY23" i="41"/>
  <c r="CX23" i="41"/>
  <c r="CW23" i="41"/>
  <c r="CV23" i="41"/>
  <c r="CU23" i="41"/>
  <c r="CT23" i="41"/>
  <c r="CS23" i="41"/>
  <c r="CR23" i="41"/>
  <c r="CQ23" i="41"/>
  <c r="CP23" i="41"/>
  <c r="CO23" i="41"/>
  <c r="CN23" i="41"/>
  <c r="CM23" i="41"/>
  <c r="CL23" i="41"/>
  <c r="CK23" i="41"/>
  <c r="CJ23" i="41"/>
  <c r="CI23" i="41"/>
  <c r="CH23" i="41"/>
  <c r="CG23" i="41"/>
  <c r="CE23" i="41"/>
  <c r="DB23" i="41"/>
  <c r="CE22" i="41"/>
  <c r="EA22" i="41"/>
  <c r="DZ22" i="41"/>
  <c r="DY22" i="41"/>
  <c r="DX22" i="41"/>
  <c r="DW22" i="41"/>
  <c r="DV22" i="41"/>
  <c r="DU22" i="41"/>
  <c r="DT22" i="41"/>
  <c r="DS22" i="41"/>
  <c r="DR22" i="41"/>
  <c r="DQ22" i="41"/>
  <c r="DP22" i="41"/>
  <c r="DO22" i="41"/>
  <c r="DN22" i="41"/>
  <c r="DM22" i="41"/>
  <c r="DL22" i="41"/>
  <c r="DK22" i="41"/>
  <c r="DJ22" i="41"/>
  <c r="DI22" i="41"/>
  <c r="DH22" i="41"/>
  <c r="DG22" i="41"/>
  <c r="CZ22" i="41"/>
  <c r="CY22" i="41"/>
  <c r="CX22" i="41"/>
  <c r="CW22" i="41"/>
  <c r="CV22" i="41"/>
  <c r="CU22" i="41"/>
  <c r="CT22" i="41"/>
  <c r="CS22" i="41"/>
  <c r="CR22" i="41"/>
  <c r="CQ22" i="41"/>
  <c r="CP22" i="41"/>
  <c r="CO22" i="41"/>
  <c r="CN22" i="41"/>
  <c r="CM22" i="41"/>
  <c r="CL22" i="41"/>
  <c r="CK22" i="41"/>
  <c r="CJ22" i="41"/>
  <c r="CI22" i="41"/>
  <c r="CH22" i="41"/>
  <c r="CG22" i="41"/>
  <c r="CD22" i="41"/>
  <c r="CB22" i="41"/>
  <c r="DE22" i="41"/>
  <c r="DZ21" i="41"/>
  <c r="DY21" i="41"/>
  <c r="DX21" i="41"/>
  <c r="DW21" i="41"/>
  <c r="DV21" i="41"/>
  <c r="DU21" i="41"/>
  <c r="DT21" i="41"/>
  <c r="DS21" i="41"/>
  <c r="DR21" i="41"/>
  <c r="DQ21" i="41"/>
  <c r="DP21" i="41"/>
  <c r="DO21" i="41"/>
  <c r="DN21" i="41"/>
  <c r="DM21" i="41"/>
  <c r="DL21" i="41"/>
  <c r="DK21" i="41"/>
  <c r="DJ21" i="41"/>
  <c r="DI21" i="41"/>
  <c r="DH21" i="41"/>
  <c r="DG21" i="41"/>
  <c r="CZ21" i="41"/>
  <c r="CY21" i="41"/>
  <c r="CX21" i="41"/>
  <c r="CW21" i="41"/>
  <c r="CV21" i="41"/>
  <c r="CU21" i="41"/>
  <c r="CT21" i="41"/>
  <c r="CS21" i="41"/>
  <c r="CR21" i="41"/>
  <c r="CQ21" i="41"/>
  <c r="CP21" i="41"/>
  <c r="CO21" i="41"/>
  <c r="CN21" i="41"/>
  <c r="CM21" i="41"/>
  <c r="CL21" i="41"/>
  <c r="CK21" i="41"/>
  <c r="CJ21" i="41"/>
  <c r="CI21" i="41"/>
  <c r="CH21" i="41"/>
  <c r="CG21" i="41"/>
  <c r="DZ20" i="41"/>
  <c r="DY20" i="41"/>
  <c r="DX20" i="41"/>
  <c r="DW20" i="41"/>
  <c r="DV20" i="41"/>
  <c r="DU20" i="41"/>
  <c r="DT20" i="41"/>
  <c r="DS20" i="41"/>
  <c r="DR20" i="41"/>
  <c r="DQ20" i="41"/>
  <c r="DP20" i="41"/>
  <c r="DO20" i="41"/>
  <c r="DN20" i="41"/>
  <c r="DM20" i="41"/>
  <c r="DL20" i="41"/>
  <c r="DK20" i="41"/>
  <c r="DJ20" i="41"/>
  <c r="DI20" i="41"/>
  <c r="DH20" i="41"/>
  <c r="DG20" i="41"/>
  <c r="CZ20" i="41"/>
  <c r="CY20" i="41"/>
  <c r="CX20" i="41"/>
  <c r="CW20" i="41"/>
  <c r="CV20" i="41"/>
  <c r="CU20" i="41"/>
  <c r="CT20" i="41"/>
  <c r="CS20" i="41"/>
  <c r="CR20" i="41"/>
  <c r="CQ20" i="41"/>
  <c r="CP20" i="41"/>
  <c r="CO20" i="41"/>
  <c r="CN20" i="41"/>
  <c r="CM20" i="41"/>
  <c r="CL20" i="41"/>
  <c r="CK20" i="41"/>
  <c r="CJ20" i="41"/>
  <c r="CI20" i="41"/>
  <c r="CH20" i="41"/>
  <c r="CG20" i="41"/>
  <c r="DE20" i="41"/>
  <c r="EA19" i="41"/>
  <c r="DZ19" i="41"/>
  <c r="DY19" i="41"/>
  <c r="DX19" i="41"/>
  <c r="DW19" i="41"/>
  <c r="DV19" i="41"/>
  <c r="DU19" i="41"/>
  <c r="DT19" i="41"/>
  <c r="DS19" i="41"/>
  <c r="DR19" i="41"/>
  <c r="DQ19" i="41"/>
  <c r="DP19" i="41"/>
  <c r="DO19" i="41"/>
  <c r="DN19" i="41"/>
  <c r="DM19" i="41"/>
  <c r="DL19" i="41"/>
  <c r="DK19" i="41"/>
  <c r="DJ19" i="41"/>
  <c r="DI19" i="41"/>
  <c r="DH19" i="41"/>
  <c r="DG19" i="41"/>
  <c r="CZ19" i="41"/>
  <c r="CY19" i="41"/>
  <c r="CX19" i="41"/>
  <c r="CW19" i="41"/>
  <c r="CV19" i="41"/>
  <c r="CU19" i="41"/>
  <c r="CT19" i="41"/>
  <c r="CS19" i="41"/>
  <c r="CR19" i="41"/>
  <c r="CQ19" i="41"/>
  <c r="CP19" i="41"/>
  <c r="CO19" i="41"/>
  <c r="CN19" i="41"/>
  <c r="CM19" i="41"/>
  <c r="CL19" i="41"/>
  <c r="CK19" i="41"/>
  <c r="CJ19" i="41"/>
  <c r="CI19" i="41"/>
  <c r="CH19" i="41"/>
  <c r="CG19" i="41"/>
  <c r="CF19" i="41"/>
  <c r="CE18" i="41"/>
  <c r="DZ18" i="41"/>
  <c r="DY18" i="41"/>
  <c r="DX18" i="41"/>
  <c r="DW18" i="41"/>
  <c r="DV18" i="41"/>
  <c r="DU18" i="41"/>
  <c r="DT18" i="41"/>
  <c r="DS18" i="41"/>
  <c r="DR18" i="41"/>
  <c r="DQ18" i="41"/>
  <c r="DP18" i="41"/>
  <c r="DO18" i="41"/>
  <c r="DN18" i="41"/>
  <c r="DM18" i="41"/>
  <c r="DL18" i="41"/>
  <c r="DK18" i="41"/>
  <c r="DJ18" i="41"/>
  <c r="DI18" i="41"/>
  <c r="DH18" i="41"/>
  <c r="DG18" i="41"/>
  <c r="CZ18" i="41"/>
  <c r="CY18" i="41"/>
  <c r="CX18" i="41"/>
  <c r="CW18" i="41"/>
  <c r="CV18" i="41"/>
  <c r="CU18" i="41"/>
  <c r="CT18" i="41"/>
  <c r="CS18" i="41"/>
  <c r="CR18" i="41"/>
  <c r="CQ18" i="41"/>
  <c r="CP18" i="41"/>
  <c r="CO18" i="41"/>
  <c r="CN18" i="41"/>
  <c r="CM18" i="41"/>
  <c r="CL18" i="41"/>
  <c r="CK18" i="41"/>
  <c r="CJ18" i="41"/>
  <c r="CI18" i="41"/>
  <c r="CH18" i="41"/>
  <c r="CG18" i="41"/>
  <c r="DZ17" i="41"/>
  <c r="DY17" i="41"/>
  <c r="DX17" i="41"/>
  <c r="DW17" i="41"/>
  <c r="DV17" i="41"/>
  <c r="DU17" i="41"/>
  <c r="DT17" i="41"/>
  <c r="DS17" i="41"/>
  <c r="DR17" i="41"/>
  <c r="DQ17" i="41"/>
  <c r="DP17" i="41"/>
  <c r="DO17" i="41"/>
  <c r="DN17" i="41"/>
  <c r="DM17" i="41"/>
  <c r="DL17" i="41"/>
  <c r="DK17" i="41"/>
  <c r="DJ17" i="41"/>
  <c r="DI17" i="41"/>
  <c r="DH17" i="41"/>
  <c r="DG17" i="41"/>
  <c r="CZ17" i="41"/>
  <c r="CY17" i="41"/>
  <c r="CX17" i="41"/>
  <c r="CW17" i="41"/>
  <c r="CV17" i="41"/>
  <c r="CU17" i="41"/>
  <c r="CT17" i="41"/>
  <c r="CS17" i="41"/>
  <c r="CR17" i="41"/>
  <c r="CQ17" i="41"/>
  <c r="CP17" i="41"/>
  <c r="CO17" i="41"/>
  <c r="CN17" i="41"/>
  <c r="CM17" i="41"/>
  <c r="CL17" i="41"/>
  <c r="CK17" i="41"/>
  <c r="CJ17" i="41"/>
  <c r="CI17" i="41"/>
  <c r="CH17" i="41"/>
  <c r="CG17" i="41"/>
  <c r="DZ16" i="41"/>
  <c r="DY16" i="41"/>
  <c r="DX16" i="41"/>
  <c r="DW16" i="41"/>
  <c r="DV16" i="41"/>
  <c r="DU16" i="41"/>
  <c r="DT16" i="41"/>
  <c r="DS16" i="41"/>
  <c r="DR16" i="41"/>
  <c r="DQ16" i="41"/>
  <c r="DP16" i="41"/>
  <c r="DO16" i="41"/>
  <c r="DN16" i="41"/>
  <c r="DM16" i="41"/>
  <c r="DL16" i="41"/>
  <c r="DK16" i="41"/>
  <c r="DJ16" i="41"/>
  <c r="DI16" i="41"/>
  <c r="DH16" i="41"/>
  <c r="DG16" i="41"/>
  <c r="CZ16" i="41"/>
  <c r="CY16" i="41"/>
  <c r="CX16" i="41"/>
  <c r="CW16" i="41"/>
  <c r="CV16" i="41"/>
  <c r="CU16" i="41"/>
  <c r="CT16" i="41"/>
  <c r="CS16" i="41"/>
  <c r="CR16" i="41"/>
  <c r="CQ16" i="41"/>
  <c r="CP16" i="41"/>
  <c r="CO16" i="41"/>
  <c r="CN16" i="41"/>
  <c r="CM16" i="41"/>
  <c r="CL16" i="41"/>
  <c r="CK16" i="41"/>
  <c r="CJ16" i="41"/>
  <c r="CI16" i="41"/>
  <c r="CH16" i="41"/>
  <c r="CG16" i="41"/>
  <c r="DA16" i="41"/>
  <c r="CB15" i="41"/>
  <c r="DZ15" i="41"/>
  <c r="DY15" i="41"/>
  <c r="DX15" i="41"/>
  <c r="DW15" i="41"/>
  <c r="DV15" i="41"/>
  <c r="DU15" i="41"/>
  <c r="DT15" i="41"/>
  <c r="DS15" i="41"/>
  <c r="DR15" i="41"/>
  <c r="DQ15" i="41"/>
  <c r="DP15" i="41"/>
  <c r="DO15" i="41"/>
  <c r="DN15" i="41"/>
  <c r="DM15" i="41"/>
  <c r="DL15" i="41"/>
  <c r="DK15" i="41"/>
  <c r="DJ15" i="41"/>
  <c r="DI15" i="41"/>
  <c r="DH15" i="41"/>
  <c r="DG15" i="41"/>
  <c r="CZ15" i="41"/>
  <c r="CY15" i="41"/>
  <c r="CX15" i="41"/>
  <c r="CW15" i="41"/>
  <c r="CV15" i="41"/>
  <c r="CU15" i="41"/>
  <c r="CT15" i="41"/>
  <c r="CS15" i="41"/>
  <c r="CR15" i="41"/>
  <c r="CQ15" i="41"/>
  <c r="CP15" i="41"/>
  <c r="CO15" i="41"/>
  <c r="CN15" i="41"/>
  <c r="CM15" i="41"/>
  <c r="CL15" i="41"/>
  <c r="CK15" i="41"/>
  <c r="CJ15" i="41"/>
  <c r="CI15" i="41"/>
  <c r="CH15" i="41"/>
  <c r="CG15" i="41"/>
  <c r="EA14" i="41"/>
  <c r="DZ14" i="41"/>
  <c r="DY14" i="41"/>
  <c r="DX14" i="41"/>
  <c r="DW14" i="41"/>
  <c r="DV14" i="41"/>
  <c r="DU14" i="41"/>
  <c r="DT14" i="41"/>
  <c r="DS14" i="41"/>
  <c r="DR14" i="41"/>
  <c r="DQ14" i="41"/>
  <c r="DP14" i="41"/>
  <c r="DO14" i="41"/>
  <c r="DN14" i="41"/>
  <c r="DM14" i="41"/>
  <c r="DL14" i="41"/>
  <c r="DK14" i="41"/>
  <c r="DJ14" i="41"/>
  <c r="DI14" i="41"/>
  <c r="DH14" i="41"/>
  <c r="DG14" i="41"/>
  <c r="DF14" i="41"/>
  <c r="DC14" i="41"/>
  <c r="CZ14" i="41"/>
  <c r="CY14" i="41"/>
  <c r="CX14" i="41"/>
  <c r="CW14" i="41"/>
  <c r="CV14" i="41"/>
  <c r="CU14" i="41"/>
  <c r="CT14" i="41"/>
  <c r="CS14" i="41"/>
  <c r="CR14" i="41"/>
  <c r="CQ14" i="41"/>
  <c r="CP14" i="41"/>
  <c r="CO14" i="41"/>
  <c r="CN14" i="41"/>
  <c r="CM14" i="41"/>
  <c r="CL14" i="41"/>
  <c r="CK14" i="41"/>
  <c r="CJ14" i="41"/>
  <c r="CI14" i="41"/>
  <c r="CH14" i="41"/>
  <c r="CG14" i="41"/>
  <c r="CE14" i="41"/>
  <c r="CD14" i="41"/>
  <c r="DE14" i="41"/>
  <c r="DZ13" i="41"/>
  <c r="DY13" i="41"/>
  <c r="DX13" i="41"/>
  <c r="DW13" i="41"/>
  <c r="DV13" i="41"/>
  <c r="DU13" i="41"/>
  <c r="DT13" i="41"/>
  <c r="DS13" i="41"/>
  <c r="DR13" i="41"/>
  <c r="DQ13" i="41"/>
  <c r="DP13" i="41"/>
  <c r="DO13" i="41"/>
  <c r="DN13" i="41"/>
  <c r="DM13" i="41"/>
  <c r="DL13" i="41"/>
  <c r="DK13" i="41"/>
  <c r="DJ13" i="41"/>
  <c r="DI13" i="41"/>
  <c r="DH13" i="41"/>
  <c r="DG13" i="41"/>
  <c r="CB13" i="41"/>
  <c r="CZ13" i="41"/>
  <c r="CY13" i="41"/>
  <c r="CX13" i="41"/>
  <c r="CW13" i="41"/>
  <c r="CV13" i="41"/>
  <c r="CU13" i="41"/>
  <c r="CT13" i="41"/>
  <c r="CS13" i="41"/>
  <c r="CR13" i="41"/>
  <c r="CQ13" i="41"/>
  <c r="CP13" i="41"/>
  <c r="CO13" i="41"/>
  <c r="CN13" i="41"/>
  <c r="CM13" i="41"/>
  <c r="CL13" i="41"/>
  <c r="CK13" i="41"/>
  <c r="CJ13" i="41"/>
  <c r="CI13" i="41"/>
  <c r="CH13" i="41"/>
  <c r="CG13" i="41"/>
  <c r="DZ12" i="41"/>
  <c r="DY12" i="41"/>
  <c r="DX12" i="41"/>
  <c r="DW12" i="41"/>
  <c r="DV12" i="41"/>
  <c r="DU12" i="41"/>
  <c r="DT12" i="41"/>
  <c r="DS12" i="41"/>
  <c r="DR12" i="41"/>
  <c r="DQ12" i="41"/>
  <c r="DP12" i="41"/>
  <c r="DO12" i="41"/>
  <c r="DN12" i="41"/>
  <c r="DM12" i="41"/>
  <c r="DL12" i="41"/>
  <c r="DK12" i="41"/>
  <c r="DJ12" i="41"/>
  <c r="DI12" i="41"/>
  <c r="DH12" i="41"/>
  <c r="DG12" i="41"/>
  <c r="CZ12" i="41"/>
  <c r="CY12" i="41"/>
  <c r="CX12" i="41"/>
  <c r="CW12" i="41"/>
  <c r="CV12" i="41"/>
  <c r="CU12" i="41"/>
  <c r="CT12" i="41"/>
  <c r="CS12" i="41"/>
  <c r="CR12" i="41"/>
  <c r="CQ12" i="41"/>
  <c r="CP12" i="41"/>
  <c r="CO12" i="41"/>
  <c r="CN12" i="41"/>
  <c r="CM12" i="41"/>
  <c r="CL12" i="41"/>
  <c r="CK12" i="41"/>
  <c r="CJ12" i="41"/>
  <c r="CI12" i="41"/>
  <c r="CH12" i="41"/>
  <c r="CG12" i="41"/>
  <c r="E21" i="40"/>
  <c r="G28" i="44"/>
  <c r="E24" i="43"/>
  <c r="E70" i="43"/>
  <c r="E88" i="43"/>
  <c r="CC27" i="41"/>
  <c r="DE16" i="41"/>
  <c r="CD12" i="41"/>
  <c r="DF12" i="41"/>
  <c r="CF14" i="41"/>
  <c r="DD14" i="41"/>
  <c r="CD16" i="41"/>
  <c r="DB16" i="41"/>
  <c r="DF16" i="41"/>
  <c r="CF18" i="41"/>
  <c r="CD19" i="41"/>
  <c r="DA19" i="41"/>
  <c r="DE19" i="41"/>
  <c r="DF20" i="41"/>
  <c r="CE21" i="41"/>
  <c r="CF22" i="41"/>
  <c r="CC23" i="41"/>
  <c r="CD23" i="41"/>
  <c r="DA23" i="41"/>
  <c r="DE23" i="41"/>
  <c r="CD24" i="41"/>
  <c r="DB24" i="41"/>
  <c r="DE27" i="41"/>
  <c r="CD28" i="41"/>
  <c r="DF28" i="41"/>
  <c r="CE29" i="41"/>
  <c r="DC29" i="41"/>
  <c r="CF34" i="41"/>
  <c r="DA35" i="41"/>
  <c r="CD36" i="41"/>
  <c r="DB36" i="41"/>
  <c r="DF36" i="41"/>
  <c r="EA37" i="41"/>
  <c r="CB38" i="41"/>
  <c r="CF38" i="41"/>
  <c r="DD38" i="41"/>
  <c r="CC39" i="41"/>
  <c r="DA39" i="41"/>
  <c r="CD40" i="41"/>
  <c r="DF40" i="41"/>
  <c r="CE41" i="41"/>
  <c r="DC41" i="41"/>
  <c r="EA41" i="41"/>
  <c r="DD42" i="41"/>
  <c r="CC43" i="41"/>
  <c r="DA43" i="41"/>
  <c r="DE43" i="41"/>
  <c r="CE45" i="41"/>
  <c r="DC45" i="41"/>
  <c r="EA45" i="41"/>
  <c r="CF46" i="41"/>
  <c r="DD46" i="41"/>
  <c r="DA47" i="41"/>
  <c r="CD48" i="41"/>
  <c r="DF48" i="41"/>
  <c r="EA49" i="41"/>
  <c r="CB50" i="41"/>
  <c r="CF50" i="41"/>
  <c r="DD50" i="41"/>
  <c r="CC51" i="41"/>
  <c r="CD51" i="41"/>
  <c r="DA51" i="41"/>
  <c r="DE51" i="41"/>
  <c r="CD56" i="41"/>
  <c r="CE57" i="41"/>
  <c r="DC57" i="41"/>
  <c r="EA57" i="41"/>
  <c r="CB58" i="41"/>
  <c r="CF58" i="41"/>
  <c r="DD58" i="41"/>
  <c r="CD60" i="41"/>
  <c r="DB60" i="41"/>
  <c r="DF60" i="41"/>
  <c r="CF62" i="41"/>
  <c r="DE62" i="41"/>
  <c r="CB63" i="41"/>
  <c r="DB63" i="41"/>
  <c r="DA64" i="41"/>
  <c r="DA66" i="41"/>
  <c r="DF68" i="41"/>
  <c r="DB68" i="41"/>
  <c r="CD68" i="41"/>
  <c r="DD68" i="41"/>
  <c r="CF68" i="41"/>
  <c r="CB68" i="41"/>
  <c r="CE68" i="41"/>
  <c r="DA68" i="41"/>
  <c r="EA68" i="41"/>
  <c r="CC84" i="41"/>
  <c r="CD84" i="41"/>
  <c r="DE12" i="41"/>
  <c r="CC16" i="41"/>
  <c r="CE12" i="41"/>
  <c r="DC12" i="41"/>
  <c r="EA12" i="41"/>
  <c r="CC14" i="41"/>
  <c r="DA14" i="41"/>
  <c r="DB15" i="41"/>
  <c r="CE16" i="41"/>
  <c r="DC16" i="41"/>
  <c r="EA16" i="41"/>
  <c r="CC18" i="41"/>
  <c r="DC20" i="41"/>
  <c r="DD21" i="41"/>
  <c r="CC22" i="41"/>
  <c r="CE24" i="41"/>
  <c r="DC24" i="41"/>
  <c r="CC26" i="41"/>
  <c r="CE28" i="41"/>
  <c r="DC28" i="41"/>
  <c r="EA28" i="41"/>
  <c r="CF29" i="41"/>
  <c r="DD29" i="41"/>
  <c r="DA34" i="41"/>
  <c r="CE36" i="41"/>
  <c r="DC36" i="41"/>
  <c r="EA36" i="41"/>
  <c r="CB37" i="41"/>
  <c r="CF37" i="41"/>
  <c r="DD37" i="41"/>
  <c r="CC38" i="41"/>
  <c r="DA38" i="41"/>
  <c r="CE40" i="41"/>
  <c r="DC40" i="41"/>
  <c r="EA40" i="41"/>
  <c r="CB41" i="41"/>
  <c r="CF41" i="41"/>
  <c r="DD41" i="41"/>
  <c r="CC42" i="41"/>
  <c r="DA42" i="41"/>
  <c r="DF43" i="41"/>
  <c r="CE44" i="41"/>
  <c r="CB45" i="41"/>
  <c r="CF45" i="41"/>
  <c r="DD45" i="41"/>
  <c r="DA46" i="41"/>
  <c r="DE46" i="41"/>
  <c r="CE48" i="41"/>
  <c r="DC48" i="41"/>
  <c r="EA48" i="41"/>
  <c r="CF49" i="41"/>
  <c r="DD49" i="41"/>
  <c r="CC50" i="41"/>
  <c r="DA50" i="41"/>
  <c r="DE50" i="41"/>
  <c r="DB51" i="41"/>
  <c r="DF51" i="41"/>
  <c r="DC56" i="41"/>
  <c r="EA56" i="41"/>
  <c r="CF57" i="41"/>
  <c r="DD57" i="41"/>
  <c r="CC58" i="41"/>
  <c r="DA58" i="41"/>
  <c r="DE58" i="41"/>
  <c r="DF59" i="41"/>
  <c r="CE60" i="41"/>
  <c r="DC60" i="41"/>
  <c r="EA60" i="41"/>
  <c r="CB62" i="41"/>
  <c r="DA62" i="41"/>
  <c r="CC63" i="41"/>
  <c r="DC64" i="41"/>
  <c r="DC66" i="41"/>
  <c r="EA72" i="41"/>
  <c r="CB72" i="41"/>
  <c r="DA12" i="41"/>
  <c r="CF12" i="41"/>
  <c r="DD12" i="41"/>
  <c r="CB16" i="41"/>
  <c r="CF16" i="41"/>
  <c r="DD16" i="41"/>
  <c r="DD20" i="41"/>
  <c r="CF24" i="41"/>
  <c r="DD24" i="41"/>
  <c r="CF28" i="41"/>
  <c r="DD28" i="41"/>
  <c r="CC29" i="41"/>
  <c r="DA29" i="41"/>
  <c r="CC36" i="41"/>
  <c r="CF36" i="41"/>
  <c r="DA36" i="41"/>
  <c r="DD36" i="41"/>
  <c r="CC37" i="41"/>
  <c r="DA37" i="41"/>
  <c r="CF40" i="41"/>
  <c r="DD40" i="41"/>
  <c r="CC41" i="41"/>
  <c r="DA41" i="41"/>
  <c r="DB42" i="41"/>
  <c r="CB44" i="41"/>
  <c r="CC45" i="41"/>
  <c r="DA45" i="41"/>
  <c r="DC47" i="41"/>
  <c r="CF48" i="41"/>
  <c r="DD48" i="41"/>
  <c r="CC49" i="41"/>
  <c r="DA49" i="41"/>
  <c r="CD50" i="41"/>
  <c r="DB50" i="41"/>
  <c r="DC51" i="41"/>
  <c r="CB56" i="41"/>
  <c r="CC57" i="41"/>
  <c r="DA57" i="41"/>
  <c r="CD58" i="41"/>
  <c r="DB58" i="41"/>
  <c r="DC59" i="41"/>
  <c r="CB60" i="41"/>
  <c r="CF60" i="41"/>
  <c r="DD60" i="41"/>
  <c r="DE61" i="41"/>
  <c r="DF62" i="41"/>
  <c r="DB62" i="41"/>
  <c r="CD62" i="41"/>
  <c r="CC62" i="41"/>
  <c r="DC62" i="41"/>
  <c r="DE63" i="41"/>
  <c r="DA63" i="41"/>
  <c r="EA63" i="41"/>
  <c r="DC63" i="41"/>
  <c r="CE63" i="41"/>
  <c r="CD63" i="41"/>
  <c r="DF63" i="41"/>
  <c r="CC64" i="41"/>
  <c r="CC66" i="41"/>
  <c r="CC81" i="41"/>
  <c r="DA81" i="41"/>
  <c r="CC12" i="41"/>
  <c r="CC24" i="41"/>
  <c r="DA24" i="41"/>
  <c r="CC28" i="41"/>
  <c r="DA28" i="41"/>
  <c r="CC40" i="41"/>
  <c r="DA40" i="41"/>
  <c r="CC48" i="41"/>
  <c r="DA48" i="41"/>
  <c r="CC60" i="41"/>
  <c r="DA60" i="41"/>
  <c r="DF64" i="41"/>
  <c r="CD64" i="41"/>
  <c r="DD64" i="41"/>
  <c r="CF64" i="41"/>
  <c r="CE64" i="41"/>
  <c r="EA64" i="41"/>
  <c r="DD66" i="41"/>
  <c r="CF66" i="41"/>
  <c r="CB66" i="41"/>
  <c r="DF66" i="41"/>
  <c r="DB66" i="41"/>
  <c r="CD66" i="41"/>
  <c r="CE66" i="41"/>
  <c r="EA66" i="41"/>
  <c r="CB73" i="41"/>
  <c r="DB73" i="41"/>
  <c r="CC69" i="41"/>
  <c r="DA69" i="41"/>
  <c r="CD70" i="41"/>
  <c r="DB70" i="41"/>
  <c r="DF70" i="41"/>
  <c r="EA71" i="41"/>
  <c r="CC73" i="41"/>
  <c r="DA73" i="41"/>
  <c r="CE79" i="41"/>
  <c r="DC79" i="41"/>
  <c r="EA79" i="41"/>
  <c r="CB80" i="41"/>
  <c r="CF80" i="41"/>
  <c r="DD80" i="41"/>
  <c r="CD82" i="41"/>
  <c r="DB82" i="41"/>
  <c r="DF82" i="41"/>
  <c r="CE83" i="41"/>
  <c r="DC83" i="41"/>
  <c r="DF84" i="41"/>
  <c r="DC84" i="41"/>
  <c r="EA85" i="41"/>
  <c r="DC85" i="41"/>
  <c r="CE85" i="41"/>
  <c r="CD85" i="41"/>
  <c r="DD85" i="41"/>
  <c r="CE86" i="41"/>
  <c r="CE88" i="41"/>
  <c r="DD88" i="41"/>
  <c r="CF89" i="41"/>
  <c r="DE89" i="41"/>
  <c r="DA90" i="41"/>
  <c r="CF92" i="41"/>
  <c r="DD100" i="41"/>
  <c r="EA100" i="41"/>
  <c r="DC100" i="41"/>
  <c r="CE100" i="41"/>
  <c r="DF100" i="41"/>
  <c r="DB100" i="41"/>
  <c r="CD100" i="41"/>
  <c r="CF100" i="41"/>
  <c r="CC80" i="41"/>
  <c r="DA80" i="41"/>
  <c r="DE80" i="41"/>
  <c r="DB81" i="41"/>
  <c r="CB70" i="41"/>
  <c r="CF70" i="41"/>
  <c r="DD70" i="41"/>
  <c r="CC71" i="41"/>
  <c r="DA71" i="41"/>
  <c r="CF78" i="41"/>
  <c r="CC79" i="41"/>
  <c r="DA79" i="41"/>
  <c r="CD80" i="41"/>
  <c r="DF80" i="41"/>
  <c r="CB82" i="41"/>
  <c r="CF82" i="41"/>
  <c r="DD82" i="41"/>
  <c r="CC83" i="41"/>
  <c r="DA83" i="41"/>
  <c r="DF83" i="41"/>
  <c r="CB85" i="41"/>
  <c r="CC86" i="41"/>
  <c r="DB86" i="41"/>
  <c r="CB88" i="41"/>
  <c r="DA88" i="41"/>
  <c r="CC89" i="41"/>
  <c r="CD89" i="41"/>
  <c r="CE89" i="41"/>
  <c r="DD90" i="41"/>
  <c r="CF90" i="41"/>
  <c r="CD90" i="41"/>
  <c r="DC90" i="41"/>
  <c r="DF92" i="41"/>
  <c r="DB92" i="41"/>
  <c r="CD92" i="41"/>
  <c r="CC92" i="41"/>
  <c r="DC92" i="41"/>
  <c r="DD93" i="41"/>
  <c r="EA93" i="41"/>
  <c r="DC93" i="41"/>
  <c r="CE93" i="41"/>
  <c r="CD93" i="41"/>
  <c r="DE93" i="41"/>
  <c r="CB104" i="41"/>
  <c r="CD104" i="41"/>
  <c r="DC104" i="41"/>
  <c r="DE104" i="41"/>
  <c r="DD108" i="41"/>
  <c r="CF108" i="41"/>
  <c r="CB108" i="41"/>
  <c r="EA108" i="41"/>
  <c r="DC108" i="41"/>
  <c r="CE108" i="41"/>
  <c r="DF108" i="41"/>
  <c r="DB108" i="41"/>
  <c r="CD108" i="41"/>
  <c r="DE108" i="41"/>
  <c r="DC112" i="41"/>
  <c r="DD116" i="41"/>
  <c r="CF116" i="41"/>
  <c r="CB116" i="41"/>
  <c r="EA116" i="41"/>
  <c r="DC116" i="41"/>
  <c r="CE116" i="41"/>
  <c r="DF116" i="41"/>
  <c r="DB116" i="41"/>
  <c r="CD116" i="41"/>
  <c r="DE116" i="41"/>
  <c r="DD124" i="41"/>
  <c r="CF124" i="41"/>
  <c r="CB124" i="41"/>
  <c r="CD124" i="41"/>
  <c r="CE124" i="41"/>
  <c r="EA124" i="41"/>
  <c r="DC124" i="41"/>
  <c r="DF124" i="41"/>
  <c r="DB124" i="41"/>
  <c r="DE124" i="41"/>
  <c r="DD128" i="41"/>
  <c r="CF128" i="41"/>
  <c r="CB128" i="41"/>
  <c r="CD128" i="41"/>
  <c r="CE128" i="41"/>
  <c r="EA128" i="41"/>
  <c r="DC128" i="41"/>
  <c r="DF128" i="41"/>
  <c r="DB128" i="41"/>
  <c r="DE128" i="41"/>
  <c r="DD132" i="41"/>
  <c r="CF132" i="41"/>
  <c r="CB132" i="41"/>
  <c r="EA132" i="41"/>
  <c r="DC132" i="41"/>
  <c r="CE132" i="41"/>
  <c r="DF132" i="41"/>
  <c r="DB132" i="41"/>
  <c r="CD132" i="41"/>
  <c r="DE132" i="41"/>
  <c r="DF136" i="41"/>
  <c r="DB136" i="41"/>
  <c r="CD136" i="41"/>
  <c r="DD136" i="41"/>
  <c r="CF136" i="41"/>
  <c r="CB136" i="41"/>
  <c r="DE136" i="41"/>
  <c r="CC136" i="41"/>
  <c r="DC136" i="41"/>
  <c r="DA136" i="41"/>
  <c r="DY242" i="41"/>
  <c r="CY242" i="41" s="1"/>
  <c r="DD242" i="41"/>
  <c r="CE242" i="41"/>
  <c r="CC70" i="41"/>
  <c r="DA70" i="41"/>
  <c r="CE80" i="41"/>
  <c r="DC80" i="41"/>
  <c r="CC82" i="41"/>
  <c r="DA82" i="41"/>
  <c r="CB86" i="41"/>
  <c r="CD86" i="41"/>
  <c r="DF88" i="41"/>
  <c r="DB88" i="41"/>
  <c r="CD88" i="41"/>
  <c r="CC88" i="41"/>
  <c r="DC88" i="41"/>
  <c r="EA89" i="41"/>
  <c r="DC89" i="41"/>
  <c r="DD89" i="41"/>
  <c r="CD248" i="41"/>
  <c r="CF248" i="41"/>
  <c r="DY250" i="41"/>
  <c r="CY250" i="41" s="1"/>
  <c r="CD250" i="41"/>
  <c r="DF250" i="41"/>
  <c r="DE250" i="41"/>
  <c r="DA87" i="41"/>
  <c r="CC91" i="41"/>
  <c r="DA91" i="41"/>
  <c r="CB94" i="41"/>
  <c r="CF94" i="41"/>
  <c r="DD94" i="41"/>
  <c r="CC95" i="41"/>
  <c r="DA95" i="41"/>
  <c r="CE101" i="41"/>
  <c r="DC101" i="41"/>
  <c r="EA101" i="41"/>
  <c r="CB102" i="41"/>
  <c r="DA103" i="41"/>
  <c r="CE105" i="41"/>
  <c r="DC105" i="41"/>
  <c r="EA105" i="41"/>
  <c r="CB106" i="41"/>
  <c r="CF106" i="41"/>
  <c r="DD106" i="41"/>
  <c r="CE109" i="41"/>
  <c r="DC109" i="41"/>
  <c r="EA109" i="41"/>
  <c r="CB110" i="41"/>
  <c r="CF110" i="41"/>
  <c r="DD110" i="41"/>
  <c r="CC111" i="41"/>
  <c r="DA111" i="41"/>
  <c r="CE113" i="41"/>
  <c r="DC113" i="41"/>
  <c r="EA113" i="41"/>
  <c r="CB114" i="41"/>
  <c r="CF114" i="41"/>
  <c r="DD114" i="41"/>
  <c r="CC115" i="41"/>
  <c r="DA115" i="41"/>
  <c r="CE117" i="41"/>
  <c r="DC117" i="41"/>
  <c r="EA117" i="41"/>
  <c r="CB122" i="41"/>
  <c r="CF122" i="41"/>
  <c r="DD122" i="41"/>
  <c r="CC123" i="41"/>
  <c r="DA123" i="41"/>
  <c r="CE125" i="41"/>
  <c r="DC125" i="41"/>
  <c r="EA125" i="41"/>
  <c r="CB126" i="41"/>
  <c r="CF126" i="41"/>
  <c r="DD126" i="41"/>
  <c r="CC127" i="41"/>
  <c r="DA127" i="41"/>
  <c r="CE129" i="41"/>
  <c r="DC129" i="41"/>
  <c r="EA129" i="41"/>
  <c r="CB130" i="41"/>
  <c r="CF130" i="41"/>
  <c r="DD130" i="41"/>
  <c r="CC131" i="41"/>
  <c r="DA131" i="41"/>
  <c r="CE133" i="41"/>
  <c r="DC133" i="41"/>
  <c r="EA133" i="41"/>
  <c r="CB134" i="41"/>
  <c r="CF134" i="41"/>
  <c r="DD134" i="41"/>
  <c r="DD138" i="41"/>
  <c r="CF138" i="41"/>
  <c r="CB138" i="41"/>
  <c r="DF138" i="41"/>
  <c r="DB138" i="41"/>
  <c r="CD138" i="41"/>
  <c r="CE138" i="41"/>
  <c r="EA138" i="41"/>
  <c r="AZ181" i="41"/>
  <c r="AZ199" i="41"/>
  <c r="DE223" i="41"/>
  <c r="CC223" i="41"/>
  <c r="DD223" i="41"/>
  <c r="CF223" i="41"/>
  <c r="CB223" i="41"/>
  <c r="DC223" i="41"/>
  <c r="CE223" i="41"/>
  <c r="DB223" i="41"/>
  <c r="CC231" i="41"/>
  <c r="CF231" i="41"/>
  <c r="CB231" i="41"/>
  <c r="CE231" i="41"/>
  <c r="CC235" i="41"/>
  <c r="CF235" i="41"/>
  <c r="CB235" i="41"/>
  <c r="CE235" i="41"/>
  <c r="DB246" i="41"/>
  <c r="CB246" i="41" s="1"/>
  <c r="CF246" i="41"/>
  <c r="CD246" i="41"/>
  <c r="DF246" i="41"/>
  <c r="DE246" i="41"/>
  <c r="DX253" i="41"/>
  <c r="CX253" i="41" s="1"/>
  <c r="DD253" i="41"/>
  <c r="DB253" i="41"/>
  <c r="CB253" i="41" s="1"/>
  <c r="CF253" i="41"/>
  <c r="CE253" i="41"/>
  <c r="DE253" i="41"/>
  <c r="CD253" i="41"/>
  <c r="CD258" i="41"/>
  <c r="DF258" i="41"/>
  <c r="DE258" i="41"/>
  <c r="CC94" i="41"/>
  <c r="DA94" i="41"/>
  <c r="CB101" i="41"/>
  <c r="CF101" i="41"/>
  <c r="DD101" i="41"/>
  <c r="DA102" i="41"/>
  <c r="CB105" i="41"/>
  <c r="CF105" i="41"/>
  <c r="DD105" i="41"/>
  <c r="CC106" i="41"/>
  <c r="DA106" i="41"/>
  <c r="CF109" i="41"/>
  <c r="DD109" i="41"/>
  <c r="CC110" i="41"/>
  <c r="DA110" i="41"/>
  <c r="CB113" i="41"/>
  <c r="CF113" i="41"/>
  <c r="DD113" i="41"/>
  <c r="CC114" i="41"/>
  <c r="DA114" i="41"/>
  <c r="CB117" i="41"/>
  <c r="CF117" i="41"/>
  <c r="DD117" i="41"/>
  <c r="CC122" i="41"/>
  <c r="DA122" i="41"/>
  <c r="CB125" i="41"/>
  <c r="CF125" i="41"/>
  <c r="DD125" i="41"/>
  <c r="CC126" i="41"/>
  <c r="DA126" i="41"/>
  <c r="CB129" i="41"/>
  <c r="CF129" i="41"/>
  <c r="DD129" i="41"/>
  <c r="CC130" i="41"/>
  <c r="DA130" i="41"/>
  <c r="CB133" i="41"/>
  <c r="CF133" i="41"/>
  <c r="DD133" i="41"/>
  <c r="CC134" i="41"/>
  <c r="DA134" i="41"/>
  <c r="DE134" i="41"/>
  <c r="CC101" i="41"/>
  <c r="DA101" i="41"/>
  <c r="CC105" i="41"/>
  <c r="DA105" i="41"/>
  <c r="CC109" i="41"/>
  <c r="DA109" i="41"/>
  <c r="CC113" i="41"/>
  <c r="DA113" i="41"/>
  <c r="CC117" i="41"/>
  <c r="DA117" i="41"/>
  <c r="CC125" i="41"/>
  <c r="DA125" i="41"/>
  <c r="CC129" i="41"/>
  <c r="DA129" i="41"/>
  <c r="CC133" i="41"/>
  <c r="DA133" i="41"/>
  <c r="DE221" i="41"/>
  <c r="CC221" i="41"/>
  <c r="DD221" i="41"/>
  <c r="CF221" i="41"/>
  <c r="CB221" i="41"/>
  <c r="DC221" i="41"/>
  <c r="CE221" i="41"/>
  <c r="DB221" i="41"/>
  <c r="DE225" i="41"/>
  <c r="CC225" i="41"/>
  <c r="DD225" i="41"/>
  <c r="CF225" i="41"/>
  <c r="CB225" i="41"/>
  <c r="DC225" i="41"/>
  <c r="CE225" i="41"/>
  <c r="DB225" i="41"/>
  <c r="DE242" i="41"/>
  <c r="DX243" i="41"/>
  <c r="CX243" i="41" s="1"/>
  <c r="DD243" i="41"/>
  <c r="DB243" i="41"/>
  <c r="CB243" i="41" s="1"/>
  <c r="CF243" i="41"/>
  <c r="CE243" i="41"/>
  <c r="CE135" i="41"/>
  <c r="CC135" i="41"/>
  <c r="DA135" i="41"/>
  <c r="DC135" i="41"/>
  <c r="EA135" i="41"/>
  <c r="CC137" i="41"/>
  <c r="CE137" i="41"/>
  <c r="DA137" i="41"/>
  <c r="DE137" i="41"/>
  <c r="CE139" i="41"/>
  <c r="DC139" i="41"/>
  <c r="EA139" i="41"/>
  <c r="CC220" i="41"/>
  <c r="DE220" i="41"/>
  <c r="CC222" i="41"/>
  <c r="DE222" i="41"/>
  <c r="CC224" i="41"/>
  <c r="DE224" i="41"/>
  <c r="CC226" i="41"/>
  <c r="DE226" i="41"/>
  <c r="CC233" i="41"/>
  <c r="CB234" i="41"/>
  <c r="CF234" i="41"/>
  <c r="CC237" i="41"/>
  <c r="CF242" i="41"/>
  <c r="DB242" i="41"/>
  <c r="CB242" i="41" s="1"/>
  <c r="CD244" i="41"/>
  <c r="DY244" i="41"/>
  <c r="CY244" i="41" s="1"/>
  <c r="DF245" i="41"/>
  <c r="DD248" i="41"/>
  <c r="DX249" i="41"/>
  <c r="CX249" i="41" s="1"/>
  <c r="DD249" i="41"/>
  <c r="CE249" i="41"/>
  <c r="DY252" i="41"/>
  <c r="CY252" i="41" s="1"/>
  <c r="DD252" i="41"/>
  <c r="DF252" i="41"/>
  <c r="DF253" i="41"/>
  <c r="DB254" i="41"/>
  <c r="CB254" i="41" s="1"/>
  <c r="CF254" i="41"/>
  <c r="CD254" i="41"/>
  <c r="DF254" i="41"/>
  <c r="DE254" i="41"/>
  <c r="DB260" i="41"/>
  <c r="CB260" i="41" s="1"/>
  <c r="CF260" i="41"/>
  <c r="DY260" i="41"/>
  <c r="CY260" i="41" s="1"/>
  <c r="DF260" i="41"/>
  <c r="CE260" i="41"/>
  <c r="DD260" i="41"/>
  <c r="CD220" i="41"/>
  <c r="DB220" i="41"/>
  <c r="DF220" i="41"/>
  <c r="CD222" i="41"/>
  <c r="DB222" i="41"/>
  <c r="DF222" i="41"/>
  <c r="CD224" i="41"/>
  <c r="DB224" i="41"/>
  <c r="DF224" i="41"/>
  <c r="CD226" i="41"/>
  <c r="DB226" i="41"/>
  <c r="DF226" i="41"/>
  <c r="CD233" i="41"/>
  <c r="CD237" i="41"/>
  <c r="CE244" i="41"/>
  <c r="CF244" i="41"/>
  <c r="DF244" i="41"/>
  <c r="DX245" i="41"/>
  <c r="CX245" i="41" s="1"/>
  <c r="DD245" i="41"/>
  <c r="CD245" i="41"/>
  <c r="CD247" i="41"/>
  <c r="DB247" i="41"/>
  <c r="CB247" i="41" s="1"/>
  <c r="DX247" i="41"/>
  <c r="CX247" i="41" s="1"/>
  <c r="CF249" i="41"/>
  <c r="DB249" i="41"/>
  <c r="CB249" i="41" s="1"/>
  <c r="DY249" i="41"/>
  <c r="CY249" i="41" s="1"/>
  <c r="DC137" i="41"/>
  <c r="CC139" i="41"/>
  <c r="DA139" i="41"/>
  <c r="CE220" i="41"/>
  <c r="CE222" i="41"/>
  <c r="CE224" i="41"/>
  <c r="CE226" i="41"/>
  <c r="CD242" i="41"/>
  <c r="CE245" i="41"/>
  <c r="DB245" i="41"/>
  <c r="CB245" i="41" s="1"/>
  <c r="DF247" i="41"/>
  <c r="CF247" i="41"/>
  <c r="DD247" i="41"/>
  <c r="DB250" i="41"/>
  <c r="CB250" i="41" s="1"/>
  <c r="CF250" i="41"/>
  <c r="CE250" i="41"/>
  <c r="DD250" i="41"/>
  <c r="DX250" i="41"/>
  <c r="CX250" i="41" s="1"/>
  <c r="DD251" i="41"/>
  <c r="DX251" i="41"/>
  <c r="CX251" i="41" s="1"/>
  <c r="CF252" i="41"/>
  <c r="DB252" i="41"/>
  <c r="CB252" i="41" s="1"/>
  <c r="CF256" i="41"/>
  <c r="DD256" i="41"/>
  <c r="DX257" i="41"/>
  <c r="CX257" i="41" s="1"/>
  <c r="DD257" i="41"/>
  <c r="CE257" i="41"/>
  <c r="CD259" i="41"/>
  <c r="DB259" i="41"/>
  <c r="CB259" i="41" s="1"/>
  <c r="DX259" i="41"/>
  <c r="CX259" i="41" s="1"/>
  <c r="CD261" i="41"/>
  <c r="DE262" i="41"/>
  <c r="CD251" i="41"/>
  <c r="DE251" i="41"/>
  <c r="CD255" i="41"/>
  <c r="DB255" i="41"/>
  <c r="CB255" i="41" s="1"/>
  <c r="DX255" i="41"/>
  <c r="CX255" i="41" s="1"/>
  <c r="CF257" i="41"/>
  <c r="DB257" i="41"/>
  <c r="CB257" i="41" s="1"/>
  <c r="DY257" i="41"/>
  <c r="CY257" i="41" s="1"/>
  <c r="CE261" i="41"/>
  <c r="DX261" i="41"/>
  <c r="CX261" i="41" s="1"/>
  <c r="DD261" i="41"/>
  <c r="CF261" i="41"/>
  <c r="DE261" i="41"/>
  <c r="CD252" i="41"/>
  <c r="DF255" i="41"/>
  <c r="CF255" i="41"/>
  <c r="DD255" i="41"/>
  <c r="DB258" i="41"/>
  <c r="CB258" i="41" s="1"/>
  <c r="CF258" i="41"/>
  <c r="CE258" i="41"/>
  <c r="DD258" i="41"/>
  <c r="DX258" i="41"/>
  <c r="CX258" i="41" s="1"/>
  <c r="DE260" i="41"/>
  <c r="DF261" i="41"/>
  <c r="DD262" i="41"/>
  <c r="DX263" i="41"/>
  <c r="CX263" i="41" s="1"/>
  <c r="DD263" i="41"/>
  <c r="DB263" i="41"/>
  <c r="CB263" i="41" s="1"/>
  <c r="CE263" i="41"/>
  <c r="CF263" i="41"/>
  <c r="CD256" i="41"/>
  <c r="CD260" i="41"/>
  <c r="CF262" i="41"/>
  <c r="DB262" i="41"/>
  <c r="CB262" i="41" s="1"/>
  <c r="CD264" i="41"/>
  <c r="CE264" i="41"/>
  <c r="CF264" i="41"/>
  <c r="DY264" i="41"/>
  <c r="CY264" i="41" s="1"/>
  <c r="DF264" i="41"/>
  <c r="CD262" i="41"/>
  <c r="AX71" i="8"/>
  <c r="CE39" i="39"/>
  <c r="CB39" i="39" s="1"/>
  <c r="Q39" i="39" s="1"/>
  <c r="CE42" i="39"/>
  <c r="CB42" i="39" s="1"/>
  <c r="Q42" i="39" s="1"/>
  <c r="CE45" i="39"/>
  <c r="CB45" i="39" s="1"/>
  <c r="Q45" i="39" s="1"/>
  <c r="CE51" i="39"/>
  <c r="CB51" i="39" s="1"/>
  <c r="Q51" i="39" s="1"/>
  <c r="CE55" i="39"/>
  <c r="CB55" i="39" s="1"/>
  <c r="Q55" i="39" s="1"/>
  <c r="CE59" i="39"/>
  <c r="CB59" i="39" s="1"/>
  <c r="Q59" i="39" s="1"/>
  <c r="AY71" i="8"/>
  <c r="AW71" i="8"/>
  <c r="AL71" i="8"/>
  <c r="AN71" i="8"/>
  <c r="C17" i="38"/>
  <c r="D17" i="38"/>
  <c r="E17" i="38"/>
  <c r="F17" i="38"/>
  <c r="G17" i="38"/>
  <c r="H17" i="38"/>
  <c r="I17" i="38"/>
  <c r="J17" i="38"/>
  <c r="O17" i="38"/>
  <c r="P17" i="38"/>
  <c r="Q17" i="38"/>
  <c r="R17" i="38"/>
  <c r="S17" i="38"/>
  <c r="T17" i="38"/>
  <c r="U17" i="38"/>
  <c r="V17" i="38"/>
  <c r="W17" i="38"/>
  <c r="X17" i="38"/>
  <c r="Y17" i="38"/>
  <c r="Z17" i="38"/>
  <c r="AA17" i="38"/>
  <c r="AB17" i="38"/>
  <c r="C90" i="38"/>
  <c r="D90" i="38"/>
  <c r="E90" i="38"/>
  <c r="F90" i="38"/>
  <c r="G90" i="38"/>
  <c r="H90" i="38"/>
  <c r="I90" i="38"/>
  <c r="J90" i="38"/>
  <c r="K90" i="38"/>
  <c r="L90" i="38"/>
  <c r="M90" i="38"/>
  <c r="N90" i="38"/>
  <c r="O90" i="38"/>
  <c r="P90" i="38"/>
  <c r="C108" i="38"/>
  <c r="D108" i="38"/>
  <c r="E108" i="38"/>
  <c r="F108" i="38"/>
  <c r="G108" i="38"/>
  <c r="H108" i="38"/>
  <c r="I108" i="38"/>
  <c r="J108" i="38"/>
  <c r="O108" i="38"/>
  <c r="P108" i="38"/>
  <c r="Q108" i="38"/>
  <c r="R108" i="38"/>
  <c r="S108" i="38"/>
  <c r="T108" i="38"/>
  <c r="U108" i="38"/>
  <c r="C125" i="38"/>
  <c r="D125" i="38"/>
  <c r="E125" i="38"/>
  <c r="F125" i="38"/>
  <c r="G125" i="38"/>
  <c r="H125" i="38"/>
  <c r="I125" i="38"/>
  <c r="J125" i="38"/>
  <c r="K125" i="38"/>
  <c r="L125" i="38"/>
  <c r="M125" i="38"/>
  <c r="M108" i="38"/>
  <c r="CH13" i="37"/>
  <c r="CH14" i="37"/>
  <c r="CB14" i="37" s="1"/>
  <c r="AW14" i="37" s="1"/>
  <c r="CH17" i="37"/>
  <c r="CB17" i="37" s="1"/>
  <c r="AW17" i="37" s="1"/>
  <c r="G21" i="37"/>
  <c r="H21" i="37"/>
  <c r="I21" i="37"/>
  <c r="J21" i="37"/>
  <c r="K21" i="37"/>
  <c r="L21" i="37"/>
  <c r="M21" i="37"/>
  <c r="N21" i="37"/>
  <c r="O21" i="37"/>
  <c r="P21" i="37"/>
  <c r="Q21" i="37"/>
  <c r="R21" i="37"/>
  <c r="S21" i="37"/>
  <c r="T21" i="37"/>
  <c r="U21" i="37"/>
  <c r="V21" i="37"/>
  <c r="W21" i="37"/>
  <c r="X21" i="37"/>
  <c r="Y21" i="37"/>
  <c r="Z21" i="37"/>
  <c r="AA21" i="37"/>
  <c r="AB21" i="37"/>
  <c r="AC21" i="37"/>
  <c r="AD21" i="37"/>
  <c r="AE21" i="37"/>
  <c r="AF21" i="37"/>
  <c r="AG21" i="37"/>
  <c r="AH21" i="37"/>
  <c r="AI21" i="37"/>
  <c r="AJ21" i="37"/>
  <c r="AK21" i="37"/>
  <c r="AL21" i="37"/>
  <c r="AM21" i="37"/>
  <c r="AN21" i="37"/>
  <c r="AO21" i="37"/>
  <c r="AP21" i="37"/>
  <c r="AQ21" i="37"/>
  <c r="AR21" i="37"/>
  <c r="AS21" i="37"/>
  <c r="AT21" i="37"/>
  <c r="AU21" i="37"/>
  <c r="AV21" i="37"/>
  <c r="CH22" i="37"/>
  <c r="CB22" i="37" s="1"/>
  <c r="AW22" i="37" s="1"/>
  <c r="CH26" i="37"/>
  <c r="CB26" i="37" s="1"/>
  <c r="AW26" i="37" s="1"/>
  <c r="CI31" i="37"/>
  <c r="CC31" i="37" s="1"/>
  <c r="CJ31" i="37"/>
  <c r="CD31" i="37" s="1"/>
  <c r="CK31" i="37"/>
  <c r="CE31" i="37" s="1"/>
  <c r="CL31" i="37"/>
  <c r="CF31" i="37" s="1"/>
  <c r="CM31" i="37"/>
  <c r="CG31" i="37" s="1"/>
  <c r="D66" i="37"/>
  <c r="E66" i="37"/>
  <c r="F66" i="37"/>
  <c r="G66" i="37"/>
  <c r="H66" i="37"/>
  <c r="C109" i="37"/>
  <c r="D109" i="37"/>
  <c r="E109" i="37"/>
  <c r="F109" i="37"/>
  <c r="G109" i="37"/>
  <c r="C117" i="37"/>
  <c r="D117" i="37"/>
  <c r="E117" i="37"/>
  <c r="F117" i="37"/>
  <c r="G117" i="37"/>
  <c r="C125" i="37"/>
  <c r="D125" i="37"/>
  <c r="E125" i="37"/>
  <c r="F125" i="37"/>
  <c r="G125" i="37"/>
  <c r="CH139" i="37"/>
  <c r="CB139" i="37" s="1"/>
  <c r="N139" i="37" s="1"/>
  <c r="CH140" i="37"/>
  <c r="CB140" i="37" s="1"/>
  <c r="N140" i="37" s="1"/>
  <c r="CH141" i="37"/>
  <c r="CB141" i="37" s="1"/>
  <c r="N141" i="37" s="1"/>
  <c r="CH170" i="37"/>
  <c r="CB170" i="37" s="1"/>
  <c r="AU170" i="37" s="1"/>
  <c r="CH174" i="37"/>
  <c r="CB174" i="37" s="1"/>
  <c r="AU174" i="37" s="1"/>
  <c r="CH179" i="37"/>
  <c r="CB179" i="37" s="1"/>
  <c r="AU179" i="37" s="1"/>
  <c r="CH187" i="37"/>
  <c r="CB187" i="37" s="1"/>
  <c r="AU187" i="37" s="1"/>
  <c r="CH192" i="37"/>
  <c r="CB192" i="37" s="1"/>
  <c r="AU192" i="37" s="1"/>
  <c r="F193" i="37"/>
  <c r="G193" i="37"/>
  <c r="H193" i="37"/>
  <c r="I193" i="37"/>
  <c r="J193" i="37"/>
  <c r="K193" i="37"/>
  <c r="L193" i="37"/>
  <c r="M193" i="37"/>
  <c r="N193" i="37"/>
  <c r="O193" i="37"/>
  <c r="P193" i="37"/>
  <c r="Q193" i="37"/>
  <c r="R193" i="37"/>
  <c r="S193" i="37"/>
  <c r="T193" i="37"/>
  <c r="U193" i="37"/>
  <c r="V193" i="37"/>
  <c r="W193" i="37"/>
  <c r="X193" i="37"/>
  <c r="Y193" i="37"/>
  <c r="Z193" i="37"/>
  <c r="AA193" i="37"/>
  <c r="AB193" i="37"/>
  <c r="AC193" i="37"/>
  <c r="AD193" i="37"/>
  <c r="AE193" i="37"/>
  <c r="AF193" i="37"/>
  <c r="AG193" i="37"/>
  <c r="AH193" i="37"/>
  <c r="AI193" i="37"/>
  <c r="AJ193" i="37"/>
  <c r="AK193" i="37"/>
  <c r="AL193" i="37"/>
  <c r="AM193" i="37"/>
  <c r="AN193" i="37"/>
  <c r="AO193" i="37"/>
  <c r="AP193" i="37"/>
  <c r="AQ193" i="37"/>
  <c r="AR193" i="37"/>
  <c r="AS193" i="37"/>
  <c r="AT193" i="37"/>
  <c r="D209" i="37"/>
  <c r="C217" i="37"/>
  <c r="C224" i="37"/>
  <c r="C266" i="37"/>
  <c r="CH176" i="37"/>
  <c r="CB176" i="37" s="1"/>
  <c r="AU176" i="37" s="1"/>
  <c r="CH24" i="37"/>
  <c r="CB24" i="37" s="1"/>
  <c r="AW24" i="37" s="1"/>
  <c r="CH19" i="37"/>
  <c r="CB19" i="37" s="1"/>
  <c r="AW19" i="37" s="1"/>
  <c r="CH23" i="37"/>
  <c r="CB23" i="37" s="1"/>
  <c r="AW23" i="37" s="1"/>
  <c r="CH172" i="37"/>
  <c r="CB172" i="37" s="1"/>
  <c r="AU172" i="37" s="1"/>
  <c r="CH16" i="37"/>
  <c r="CB16" i="37" s="1"/>
  <c r="AW16" i="37" s="1"/>
  <c r="CH173" i="37"/>
  <c r="CB173" i="37" s="1"/>
  <c r="AU173" i="37" s="1"/>
  <c r="CH183" i="37"/>
  <c r="CB183" i="37" s="1"/>
  <c r="AU183" i="37" s="1"/>
  <c r="CH25" i="37"/>
  <c r="CB25" i="37" s="1"/>
  <c r="AW25" i="37" s="1"/>
  <c r="E209" i="37"/>
  <c r="CH20" i="37"/>
  <c r="CB20" i="37" s="1"/>
  <c r="AW20" i="37" s="1"/>
  <c r="CH186" i="37"/>
  <c r="CB186" i="37" s="1"/>
  <c r="AU186" i="37" s="1"/>
  <c r="V86" i="36"/>
  <c r="U86" i="36"/>
  <c r="S86" i="36"/>
  <c r="R86" i="36"/>
  <c r="Q86" i="36"/>
  <c r="P86" i="36"/>
  <c r="O86" i="36"/>
  <c r="N86" i="36"/>
  <c r="M86" i="36"/>
  <c r="L86" i="36"/>
  <c r="K86" i="36"/>
  <c r="J86" i="36"/>
  <c r="I86" i="36"/>
  <c r="H86" i="36"/>
  <c r="G86" i="36"/>
  <c r="F86" i="36"/>
  <c r="D86" i="36"/>
  <c r="AH67" i="36"/>
  <c r="AG67" i="36"/>
  <c r="AF67" i="36"/>
  <c r="AE67" i="36"/>
  <c r="AD67" i="36"/>
  <c r="AC67" i="36"/>
  <c r="AB67" i="36"/>
  <c r="AA67" i="36"/>
  <c r="Z67" i="36"/>
  <c r="Y67" i="36"/>
  <c r="X67" i="36"/>
  <c r="W67" i="36"/>
  <c r="V67" i="36"/>
  <c r="U67" i="36"/>
  <c r="T67" i="36"/>
  <c r="S67" i="36"/>
  <c r="R67" i="36"/>
  <c r="Q67" i="36"/>
  <c r="P67" i="36"/>
  <c r="O67" i="36"/>
  <c r="N67" i="36"/>
  <c r="M67" i="36"/>
  <c r="L67" i="36"/>
  <c r="K67" i="36"/>
  <c r="J67" i="36"/>
  <c r="I67" i="36"/>
  <c r="H67" i="36"/>
  <c r="G67" i="36"/>
  <c r="F67" i="36"/>
  <c r="E67" i="36"/>
  <c r="AG47" i="36"/>
  <c r="AF47" i="36"/>
  <c r="AE47" i="36"/>
  <c r="AD47" i="36"/>
  <c r="AC47" i="36"/>
  <c r="AB47" i="36"/>
  <c r="AA47" i="36"/>
  <c r="Z47" i="36"/>
  <c r="Y47" i="36"/>
  <c r="X47" i="36"/>
  <c r="W47" i="36"/>
  <c r="V47" i="36"/>
  <c r="U47" i="36"/>
  <c r="T47" i="36"/>
  <c r="S47" i="36"/>
  <c r="R47" i="36"/>
  <c r="Q47" i="36"/>
  <c r="P47" i="36"/>
  <c r="O47" i="36"/>
  <c r="N47" i="36"/>
  <c r="M47" i="36"/>
  <c r="L47" i="36"/>
  <c r="K47" i="36"/>
  <c r="J47" i="36"/>
  <c r="I47" i="36"/>
  <c r="H47" i="36"/>
  <c r="G47" i="36"/>
  <c r="F47" i="36"/>
  <c r="E47" i="36"/>
  <c r="D47" i="36"/>
  <c r="C47" i="36"/>
  <c r="AX29" i="36"/>
  <c r="AW29" i="36"/>
  <c r="AU29" i="36"/>
  <c r="AT29" i="36"/>
  <c r="AS29" i="36"/>
  <c r="AR29" i="36"/>
  <c r="AQ29" i="36"/>
  <c r="AP29" i="36"/>
  <c r="AO29" i="36"/>
  <c r="AN29" i="36"/>
  <c r="AM29" i="36"/>
  <c r="AL29" i="36"/>
  <c r="AK29" i="36"/>
  <c r="AJ29" i="36"/>
  <c r="AI29" i="36"/>
  <c r="AH29" i="36"/>
  <c r="AG29" i="36"/>
  <c r="AF29" i="36"/>
  <c r="AE29" i="36"/>
  <c r="AD29" i="36"/>
  <c r="AC29" i="36"/>
  <c r="AB29" i="36"/>
  <c r="AA29" i="36"/>
  <c r="Z29" i="36"/>
  <c r="Y29" i="36"/>
  <c r="X29" i="36"/>
  <c r="W29" i="36"/>
  <c r="V29" i="36"/>
  <c r="U29" i="36"/>
  <c r="T29" i="36"/>
  <c r="S29" i="36"/>
  <c r="R29" i="36"/>
  <c r="Q29" i="36"/>
  <c r="P29" i="36"/>
  <c r="O29" i="36"/>
  <c r="N29" i="36"/>
  <c r="M29" i="36"/>
  <c r="L29" i="36"/>
  <c r="K29" i="36"/>
  <c r="J29" i="36"/>
  <c r="I29" i="36"/>
  <c r="H29" i="36"/>
  <c r="G29" i="36"/>
  <c r="CH26" i="36"/>
  <c r="CB26" i="36" s="1"/>
  <c r="CH20" i="36"/>
  <c r="CB20" i="36" s="1"/>
  <c r="CH19" i="36"/>
  <c r="CB19" i="36" s="1"/>
  <c r="CH18" i="36"/>
  <c r="CB18" i="36" s="1"/>
  <c r="CH16" i="36"/>
  <c r="CB16" i="36" s="1"/>
  <c r="CI14" i="36"/>
  <c r="CC14" i="36" s="1"/>
  <c r="CH116" i="33"/>
  <c r="CB116" i="33"/>
  <c r="F116" i="33" s="1"/>
  <c r="CH115" i="33"/>
  <c r="CB115" i="33"/>
  <c r="F115" i="33" s="1"/>
  <c r="CH114" i="33"/>
  <c r="CB114" i="33"/>
  <c r="F114" i="33" s="1"/>
  <c r="CH113" i="33"/>
  <c r="CB113" i="33"/>
  <c r="F113" i="33" s="1"/>
  <c r="CH110" i="33"/>
  <c r="CB110" i="33"/>
  <c r="F110" i="33" s="1"/>
  <c r="CH109" i="33"/>
  <c r="CB109" i="33"/>
  <c r="F109" i="33" s="1"/>
  <c r="CH108" i="33"/>
  <c r="CB108" i="33"/>
  <c r="F108" i="33" s="1"/>
  <c r="CI101" i="33"/>
  <c r="CC101" i="33" s="1"/>
  <c r="CI94" i="33"/>
  <c r="CC94" i="33" s="1"/>
  <c r="CK89" i="33"/>
  <c r="CE89" i="33" s="1"/>
  <c r="CK88" i="33"/>
  <c r="CE88" i="33" s="1"/>
  <c r="CK87" i="33"/>
  <c r="CE87" i="33" s="1"/>
  <c r="CK86" i="33"/>
  <c r="CE86" i="33" s="1"/>
  <c r="CK85" i="33"/>
  <c r="CE85" i="33" s="1"/>
  <c r="CK84" i="33"/>
  <c r="CE84" i="33" s="1"/>
  <c r="CK83" i="33"/>
  <c r="CE83" i="33" s="1"/>
  <c r="CK82" i="33"/>
  <c r="CE82" i="33" s="1"/>
  <c r="CK80" i="33"/>
  <c r="CE80" i="33" s="1"/>
  <c r="CJ80" i="33"/>
  <c r="CD80" i="33" s="1"/>
  <c r="CK79" i="33"/>
  <c r="CE79" i="33" s="1"/>
  <c r="CK78" i="33"/>
  <c r="CE78" i="33" s="1"/>
  <c r="CK77" i="33"/>
  <c r="CE77" i="33" s="1"/>
  <c r="CJ77" i="33"/>
  <c r="CD77" i="33" s="1"/>
  <c r="CK76" i="33"/>
  <c r="CE76" i="33" s="1"/>
  <c r="CK75" i="33"/>
  <c r="CE75" i="33" s="1"/>
  <c r="CK74" i="33"/>
  <c r="CE74" i="33" s="1"/>
  <c r="CK73" i="33"/>
  <c r="CE73" i="33" s="1"/>
  <c r="CK72" i="33"/>
  <c r="CE72" i="33" s="1"/>
  <c r="CK71" i="33"/>
  <c r="CE71" i="33" s="1"/>
  <c r="CK70" i="33"/>
  <c r="CE70" i="33" s="1"/>
  <c r="CK69" i="33"/>
  <c r="CE69" i="33" s="1"/>
  <c r="CK68" i="33"/>
  <c r="CE68" i="33" s="1"/>
  <c r="CK67" i="33"/>
  <c r="CE67" i="33" s="1"/>
  <c r="CK66" i="33"/>
  <c r="CE66" i="33" s="1"/>
  <c r="CK65" i="33"/>
  <c r="CE65" i="33" s="1"/>
  <c r="CK64" i="33"/>
  <c r="CE64" i="33" s="1"/>
  <c r="CK63" i="33"/>
  <c r="CE63" i="33" s="1"/>
  <c r="CK62" i="33"/>
  <c r="CE62" i="33" s="1"/>
  <c r="CK61" i="33"/>
  <c r="CE61" i="33" s="1"/>
  <c r="CH61" i="33"/>
  <c r="CB61" i="33" s="1"/>
  <c r="CK60" i="33"/>
  <c r="CE60" i="33" s="1"/>
  <c r="CK59" i="33"/>
  <c r="CE59" i="33" s="1"/>
  <c r="CK58" i="33"/>
  <c r="CE58" i="33" s="1"/>
  <c r="CK57" i="33"/>
  <c r="CE57" i="33" s="1"/>
  <c r="CK56" i="33"/>
  <c r="CE56" i="33" s="1"/>
  <c r="CH56" i="33"/>
  <c r="CB56" i="33" s="1"/>
  <c r="CK55" i="33"/>
  <c r="CE55" i="33" s="1"/>
  <c r="CJ55" i="33"/>
  <c r="CD55" i="33" s="1"/>
  <c r="CK54" i="33"/>
  <c r="CE54" i="33" s="1"/>
  <c r="CK53" i="33"/>
  <c r="CE53" i="33" s="1"/>
  <c r="CK52" i="33"/>
  <c r="CE52" i="33" s="1"/>
  <c r="CK51" i="33"/>
  <c r="CE51" i="33" s="1"/>
  <c r="CK50" i="33"/>
  <c r="CE50" i="33" s="1"/>
  <c r="CH50" i="33"/>
  <c r="CB50" i="33" s="1"/>
  <c r="CK49" i="33"/>
  <c r="CE49" i="33" s="1"/>
  <c r="CH49" i="33"/>
  <c r="CB49" i="33" s="1"/>
  <c r="CK48" i="33"/>
  <c r="CE48" i="33" s="1"/>
  <c r="CK47" i="33"/>
  <c r="CE47" i="33" s="1"/>
  <c r="CK46" i="33"/>
  <c r="CE46" i="33" s="1"/>
  <c r="CK45" i="33"/>
  <c r="CE45" i="33" s="1"/>
  <c r="CK44" i="33"/>
  <c r="CE44" i="33" s="1"/>
  <c r="CK43" i="33"/>
  <c r="CE43" i="33" s="1"/>
  <c r="CK42" i="33"/>
  <c r="CE42" i="33" s="1"/>
  <c r="CK41" i="33"/>
  <c r="CE41" i="33" s="1"/>
  <c r="CK40" i="33"/>
  <c r="CE40" i="33" s="1"/>
  <c r="CK39" i="33"/>
  <c r="CE39" i="33" s="1"/>
  <c r="CK38" i="33"/>
  <c r="CE38" i="33" s="1"/>
  <c r="CK37" i="33"/>
  <c r="CE37" i="33" s="1"/>
  <c r="CJ37" i="33"/>
  <c r="CD37" i="33" s="1"/>
  <c r="CK36" i="33"/>
  <c r="CE36" i="33" s="1"/>
  <c r="CH36" i="33"/>
  <c r="CB36" i="33" s="1"/>
  <c r="CK35" i="33"/>
  <c r="CE35" i="33" s="1"/>
  <c r="CK34" i="33"/>
  <c r="CE34" i="33" s="1"/>
  <c r="CJ34" i="33"/>
  <c r="CD34" i="33" s="1"/>
  <c r="CK33" i="33"/>
  <c r="CE33" i="33" s="1"/>
  <c r="CK32" i="33"/>
  <c r="CE32" i="33" s="1"/>
  <c r="CK31" i="33"/>
  <c r="CE31" i="33" s="1"/>
  <c r="CK30" i="33"/>
  <c r="CE30" i="33" s="1"/>
  <c r="CJ30" i="33"/>
  <c r="CD30" i="33" s="1"/>
  <c r="CK29" i="33"/>
  <c r="CE29" i="33" s="1"/>
  <c r="CK28" i="33"/>
  <c r="CE28" i="33" s="1"/>
  <c r="CK27" i="33"/>
  <c r="CE27" i="33" s="1"/>
  <c r="CK26" i="33"/>
  <c r="CE26" i="33" s="1"/>
  <c r="CK25" i="33"/>
  <c r="CE25" i="33" s="1"/>
  <c r="CK24" i="33"/>
  <c r="CE24" i="33" s="1"/>
  <c r="CK23" i="33"/>
  <c r="CE23" i="33" s="1"/>
  <c r="CK22" i="33"/>
  <c r="CE22" i="33" s="1"/>
  <c r="CK21" i="33"/>
  <c r="CE21" i="33" s="1"/>
  <c r="CK20" i="33"/>
  <c r="CE20" i="33" s="1"/>
  <c r="CK19" i="33"/>
  <c r="CE19" i="33" s="1"/>
  <c r="CK18" i="33"/>
  <c r="CE18" i="33" s="1"/>
  <c r="CH18" i="33"/>
  <c r="CB18" i="33" s="1"/>
  <c r="CK17" i="33"/>
  <c r="CE17" i="33" s="1"/>
  <c r="CK16" i="33"/>
  <c r="CE16" i="33" s="1"/>
  <c r="CK15" i="33"/>
  <c r="CE15" i="33" s="1"/>
  <c r="CK14" i="33"/>
  <c r="CE14" i="33"/>
  <c r="CI84" i="33"/>
  <c r="CC84" i="33" s="1"/>
  <c r="CI96" i="33"/>
  <c r="CC96" i="33" s="1"/>
  <c r="CI78" i="33"/>
  <c r="CC78" i="33" s="1"/>
  <c r="CH88" i="33"/>
  <c r="CB88" i="33" s="1"/>
  <c r="CI74" i="33"/>
  <c r="CC74" i="33" s="1"/>
  <c r="CH70" i="33"/>
  <c r="CB70" i="33" s="1"/>
  <c r="CJ70" i="33"/>
  <c r="CD70" i="33" s="1"/>
  <c r="CI70" i="33"/>
  <c r="CC70" i="33" s="1"/>
  <c r="CJ74" i="33"/>
  <c r="CD74" i="33" s="1"/>
  <c r="CH55" i="33"/>
  <c r="CB55" i="33" s="1"/>
  <c r="CJ69" i="33"/>
  <c r="CD69" i="33" s="1"/>
  <c r="CJ83" i="33"/>
  <c r="CD83" i="33" s="1"/>
  <c r="CH68" i="33"/>
  <c r="CB68" i="33" s="1"/>
  <c r="CH78" i="33"/>
  <c r="CB78" i="33" s="1"/>
  <c r="CJ78" i="33"/>
  <c r="CD78" i="33" s="1"/>
  <c r="CH101" i="33"/>
  <c r="CB101" i="33" s="1"/>
  <c r="CI73" i="33"/>
  <c r="CC73" i="33" s="1"/>
  <c r="CH96" i="33"/>
  <c r="CB96" i="33" s="1"/>
  <c r="CJ36" i="33"/>
  <c r="CD36" i="33" s="1"/>
  <c r="CI32" i="33"/>
  <c r="CC32" i="33" s="1"/>
  <c r="CI68" i="33"/>
  <c r="CC68" i="33" s="1"/>
  <c r="CJ68" i="33"/>
  <c r="CD68" i="33" s="1"/>
  <c r="CH77" i="33"/>
  <c r="CB77" i="33" s="1"/>
  <c r="CI77" i="33"/>
  <c r="CC77" i="33" s="1"/>
  <c r="CH46" i="33"/>
  <c r="CB46" i="33" s="1"/>
  <c r="CI30" i="33"/>
  <c r="CC30" i="33" s="1"/>
  <c r="CI86" i="33"/>
  <c r="CC86" i="33" s="1"/>
  <c r="CH86" i="33"/>
  <c r="CB86" i="33" s="1"/>
  <c r="CJ86" i="33"/>
  <c r="CD86" i="33" s="1"/>
  <c r="CH80" i="33"/>
  <c r="CB80" i="33" s="1"/>
  <c r="CI80" i="33"/>
  <c r="CC80" i="33" s="1"/>
  <c r="CH73" i="33"/>
  <c r="CB73" i="33" s="1"/>
  <c r="CJ73" i="33"/>
  <c r="CD73" i="33" s="1"/>
  <c r="CH34" i="33"/>
  <c r="CB34" i="33" s="1"/>
  <c r="CI34" i="33"/>
  <c r="CC34" i="33" s="1"/>
  <c r="CH94" i="33"/>
  <c r="CB94" i="33" s="1"/>
  <c r="CH72" i="33"/>
  <c r="CB72" i="33" s="1"/>
  <c r="CJ72" i="33"/>
  <c r="CD72" i="33" s="1"/>
  <c r="CI72" i="33"/>
  <c r="CC72" i="33" s="1"/>
  <c r="CJ64" i="33"/>
  <c r="CD64" i="33" s="1"/>
  <c r="K101" i="32"/>
  <c r="J101" i="32"/>
  <c r="I101" i="32"/>
  <c r="H101" i="32"/>
  <c r="CJ64" i="32"/>
  <c r="CI64" i="32"/>
  <c r="CH64" i="32"/>
  <c r="CJ63" i="32"/>
  <c r="CI63" i="32"/>
  <c r="CH63" i="32"/>
  <c r="E12" i="32"/>
  <c r="AT12" i="32"/>
  <c r="AS12" i="32"/>
  <c r="AR12" i="32"/>
  <c r="AQ12" i="32"/>
  <c r="AP12" i="32"/>
  <c r="AO12" i="32"/>
  <c r="AN12" i="32"/>
  <c r="AM12" i="32"/>
  <c r="AL12" i="32"/>
  <c r="AK12" i="32"/>
  <c r="AJ12" i="32"/>
  <c r="AI12" i="32"/>
  <c r="AH12" i="32"/>
  <c r="AG12" i="32"/>
  <c r="AF12" i="32"/>
  <c r="AE12" i="32"/>
  <c r="AD12" i="32"/>
  <c r="AC12" i="32"/>
  <c r="AB12" i="32"/>
  <c r="AA12" i="32"/>
  <c r="Z12" i="32"/>
  <c r="Y12" i="32"/>
  <c r="X12" i="32"/>
  <c r="W12" i="32"/>
  <c r="V12" i="32"/>
  <c r="U12" i="32"/>
  <c r="T12" i="32"/>
  <c r="S12" i="32"/>
  <c r="R12" i="32"/>
  <c r="Q12" i="32"/>
  <c r="P12" i="32"/>
  <c r="O12" i="32"/>
  <c r="N12" i="32"/>
  <c r="M12" i="32"/>
  <c r="L12" i="32"/>
  <c r="K12" i="32"/>
  <c r="J12" i="32"/>
  <c r="I12" i="32"/>
  <c r="H12" i="32"/>
  <c r="G12" i="32"/>
  <c r="F12" i="32"/>
  <c r="CK133" i="31"/>
  <c r="CE133" i="31" s="1"/>
  <c r="CJ133" i="31"/>
  <c r="CD133" i="31" s="1"/>
  <c r="CI133" i="31"/>
  <c r="CC133" i="31" s="1"/>
  <c r="CH133" i="31"/>
  <c r="CB133" i="31" s="1"/>
  <c r="CK129" i="31"/>
  <c r="CE129" i="31" s="1"/>
  <c r="CJ129" i="31"/>
  <c r="CD129" i="31" s="1"/>
  <c r="CI129" i="31"/>
  <c r="CC129" i="31" s="1"/>
  <c r="CH129" i="31"/>
  <c r="CB129" i="31" s="1"/>
  <c r="CH112" i="31"/>
  <c r="CB112" i="31" s="1"/>
  <c r="N112" i="31" s="1"/>
  <c r="CH111" i="31"/>
  <c r="CB111" i="31" s="1"/>
  <c r="N111" i="31" s="1"/>
  <c r="CH110" i="31"/>
  <c r="CB110" i="31" s="1"/>
  <c r="N110" i="31" s="1"/>
  <c r="CH109" i="31"/>
  <c r="CB109" i="31" s="1"/>
  <c r="N109" i="31" s="1"/>
  <c r="CH108" i="31"/>
  <c r="CB108" i="31" s="1"/>
  <c r="N108" i="31" s="1"/>
  <c r="CH107" i="31"/>
  <c r="CB107" i="31" s="1"/>
  <c r="N107" i="31" s="1"/>
  <c r="CH106" i="31"/>
  <c r="CB106" i="31" s="1"/>
  <c r="N106" i="31" s="1"/>
  <c r="CH105" i="31"/>
  <c r="CB105" i="31" s="1"/>
  <c r="N105" i="31" s="1"/>
  <c r="CH104" i="31"/>
  <c r="CB104" i="31" s="1"/>
  <c r="N104" i="31" s="1"/>
  <c r="CH100" i="31"/>
  <c r="CB100" i="31" s="1"/>
  <c r="Y100" i="31" s="1"/>
  <c r="CH99" i="31"/>
  <c r="CB99" i="31" s="1"/>
  <c r="Y99" i="31" s="1"/>
  <c r="CH98" i="31"/>
  <c r="CB98" i="31" s="1"/>
  <c r="Y98" i="31" s="1"/>
  <c r="I83" i="31"/>
  <c r="H83" i="31"/>
  <c r="G83" i="31"/>
  <c r="F83" i="31"/>
  <c r="J76" i="31"/>
  <c r="I76" i="31"/>
  <c r="H76" i="31"/>
  <c r="G76" i="31"/>
  <c r="F76" i="31"/>
  <c r="CH72" i="31"/>
  <c r="CB72" i="31" s="1"/>
  <c r="K72" i="31" s="1"/>
  <c r="CH70" i="31"/>
  <c r="CB70" i="31" s="1"/>
  <c r="K70" i="31" s="1"/>
  <c r="CH66" i="31"/>
  <c r="CB66" i="31" s="1"/>
  <c r="K66" i="31" s="1"/>
  <c r="CH65" i="31"/>
  <c r="CB65" i="31" s="1"/>
  <c r="K65" i="31" s="1"/>
  <c r="CH64" i="31"/>
  <c r="CB64" i="31" s="1"/>
  <c r="K64" i="31" s="1"/>
  <c r="CH57" i="31"/>
  <c r="CB57" i="31" s="1"/>
  <c r="K57" i="31" s="1"/>
  <c r="CH56" i="31"/>
  <c r="CB56" i="31" s="1"/>
  <c r="K56" i="31" s="1"/>
  <c r="AD42" i="31"/>
  <c r="AC42" i="31"/>
  <c r="AB42" i="31"/>
  <c r="AA42" i="31"/>
  <c r="Z42" i="31"/>
  <c r="Y42" i="31"/>
  <c r="X42" i="31"/>
  <c r="W42" i="31"/>
  <c r="V42" i="31"/>
  <c r="U42" i="31"/>
  <c r="T42" i="31"/>
  <c r="S42" i="31"/>
  <c r="R42" i="31"/>
  <c r="Q42" i="31"/>
  <c r="P42" i="31"/>
  <c r="O42" i="31"/>
  <c r="N42" i="31"/>
  <c r="M42" i="31"/>
  <c r="L42" i="31"/>
  <c r="K42" i="31"/>
  <c r="J42" i="31"/>
  <c r="I42" i="31"/>
  <c r="H42" i="31"/>
  <c r="G42" i="31"/>
  <c r="F42" i="31"/>
  <c r="CH75" i="31"/>
  <c r="CB75" i="31" s="1"/>
  <c r="K75" i="31" s="1"/>
  <c r="CH73" i="31"/>
  <c r="CB73" i="31" s="1"/>
  <c r="K73" i="31" s="1"/>
  <c r="CH36" i="31"/>
  <c r="CB36" i="31" s="1"/>
  <c r="AE36" i="31" s="1"/>
  <c r="CH35" i="31"/>
  <c r="CB35" i="31" s="1"/>
  <c r="AE35" i="31" s="1"/>
  <c r="CH33" i="31"/>
  <c r="CB33" i="31" s="1"/>
  <c r="AE33" i="31" s="1"/>
  <c r="CH32" i="31"/>
  <c r="CB32" i="31" s="1"/>
  <c r="AE32" i="31" s="1"/>
  <c r="CH31" i="31"/>
  <c r="CB31" i="31" s="1"/>
  <c r="AE31" i="31" s="1"/>
  <c r="CH30" i="31"/>
  <c r="CB30" i="31" s="1"/>
  <c r="AE30" i="31" s="1"/>
  <c r="CH29" i="31"/>
  <c r="CB29" i="31" s="1"/>
  <c r="AE29" i="31" s="1"/>
  <c r="CH28" i="31"/>
  <c r="CB28" i="31" s="1"/>
  <c r="AE28" i="31" s="1"/>
  <c r="CH27" i="31"/>
  <c r="CB27" i="31" s="1"/>
  <c r="AE27" i="31" s="1"/>
  <c r="CH25" i="31"/>
  <c r="CB25" i="31" s="1"/>
  <c r="AE25" i="31" s="1"/>
  <c r="CH24" i="31"/>
  <c r="CB24" i="31" s="1"/>
  <c r="AE24" i="31" s="1"/>
  <c r="CH23" i="31"/>
  <c r="CB23" i="31" s="1"/>
  <c r="AE23" i="31" s="1"/>
  <c r="CH22" i="31"/>
  <c r="CB22" i="31" s="1"/>
  <c r="AE22" i="31" s="1"/>
  <c r="CH20" i="31"/>
  <c r="CB20" i="31" s="1"/>
  <c r="AE20" i="31" s="1"/>
  <c r="CH19" i="31"/>
  <c r="CB19" i="31" s="1"/>
  <c r="AE19" i="31" s="1"/>
  <c r="CH18" i="31"/>
  <c r="CB18" i="31" s="1"/>
  <c r="AE18" i="31" s="1"/>
  <c r="CH51" i="31"/>
  <c r="CB51" i="31" s="1"/>
  <c r="K51" i="31" s="1"/>
  <c r="CH50" i="31"/>
  <c r="CB50" i="31" s="1"/>
  <c r="K50" i="31" s="1"/>
  <c r="CH49" i="31"/>
  <c r="CB49" i="31" s="1"/>
  <c r="K49" i="31" s="1"/>
  <c r="CH13" i="31"/>
  <c r="CB13" i="31" s="1"/>
  <c r="AE13" i="31" s="1"/>
  <c r="CH12" i="31"/>
  <c r="CB12" i="31" s="1"/>
  <c r="AE12" i="31" s="1"/>
  <c r="CH45" i="31"/>
  <c r="CB45" i="31" s="1"/>
  <c r="K45" i="31" s="1"/>
  <c r="CH54" i="31"/>
  <c r="CB54" i="31" s="1"/>
  <c r="K54" i="31" s="1"/>
  <c r="CH74" i="31"/>
  <c r="CB74" i="31" s="1"/>
  <c r="K74" i="31" s="1"/>
  <c r="CH63" i="31"/>
  <c r="CB63" i="31" s="1"/>
  <c r="K63" i="31" s="1"/>
  <c r="CH69" i="31"/>
  <c r="CB69" i="31" s="1"/>
  <c r="K69" i="31" s="1"/>
  <c r="CH46" i="31"/>
  <c r="CB46" i="31" s="1"/>
  <c r="K46" i="31" s="1"/>
  <c r="CH58" i="31"/>
  <c r="CB58" i="31" s="1"/>
  <c r="K58" i="31" s="1"/>
  <c r="CH62" i="31"/>
  <c r="CB62" i="31" s="1"/>
  <c r="K62" i="31" s="1"/>
  <c r="CH53" i="31"/>
  <c r="CB53" i="31" s="1"/>
  <c r="K53" i="31" s="1"/>
  <c r="AS23" i="7"/>
  <c r="AR151" i="7"/>
  <c r="AQ151" i="7"/>
  <c r="AP151" i="7"/>
  <c r="AO151" i="7"/>
  <c r="AN151" i="7"/>
  <c r="AM151" i="7"/>
  <c r="AL151" i="7"/>
  <c r="AK151" i="7"/>
  <c r="AJ151" i="7"/>
  <c r="AI151" i="7"/>
  <c r="AH151" i="7"/>
  <c r="AG151" i="7"/>
  <c r="AF151" i="7"/>
  <c r="AE151" i="7"/>
  <c r="AD151" i="7"/>
  <c r="AC151" i="7"/>
  <c r="AB151" i="7"/>
  <c r="AA151" i="7"/>
  <c r="Z151" i="7"/>
  <c r="Y151" i="7"/>
  <c r="X151" i="7"/>
  <c r="W151" i="7"/>
  <c r="V151" i="7"/>
  <c r="U151" i="7"/>
  <c r="T151" i="7"/>
  <c r="S151" i="7"/>
  <c r="R151" i="7"/>
  <c r="Q151" i="7"/>
  <c r="P151" i="7"/>
  <c r="O151" i="7"/>
  <c r="N151" i="7"/>
  <c r="M151" i="7"/>
  <c r="L151" i="7"/>
  <c r="K151" i="7"/>
  <c r="J151" i="7"/>
  <c r="I151" i="7"/>
  <c r="H151" i="7"/>
  <c r="G151" i="7"/>
  <c r="AR141" i="7"/>
  <c r="AQ141" i="7"/>
  <c r="AP141" i="7"/>
  <c r="AO141" i="7"/>
  <c r="AN141" i="7"/>
  <c r="AM141" i="7"/>
  <c r="AL141" i="7"/>
  <c r="AK141" i="7"/>
  <c r="AJ141" i="7"/>
  <c r="AI141" i="7"/>
  <c r="AH141" i="7"/>
  <c r="AG141" i="7"/>
  <c r="AF141" i="7"/>
  <c r="AE141" i="7"/>
  <c r="AD141" i="7"/>
  <c r="AC141" i="7"/>
  <c r="AB141" i="7"/>
  <c r="AA141" i="7"/>
  <c r="Z141" i="7"/>
  <c r="Y141" i="7"/>
  <c r="X141" i="7"/>
  <c r="W141" i="7"/>
  <c r="V141" i="7"/>
  <c r="U141" i="7"/>
  <c r="T141" i="7"/>
  <c r="S141" i="7"/>
  <c r="R141" i="7"/>
  <c r="Q141" i="7"/>
  <c r="P141" i="7"/>
  <c r="O141" i="7"/>
  <c r="N141" i="7"/>
  <c r="M141" i="7"/>
  <c r="L141" i="7"/>
  <c r="K141" i="7"/>
  <c r="J141" i="7"/>
  <c r="I141" i="7"/>
  <c r="H141" i="7"/>
  <c r="G141" i="7"/>
  <c r="AR23" i="7"/>
  <c r="CK23" i="7" s="1"/>
  <c r="CE23" i="7" s="1"/>
  <c r="AQ23" i="7"/>
  <c r="CJ23" i="7" s="1"/>
  <c r="CD23" i="7" s="1"/>
  <c r="CH42" i="16"/>
  <c r="CB42" i="16" s="1"/>
  <c r="D42" i="16" s="1"/>
  <c r="N33" i="6"/>
  <c r="M33" i="6"/>
  <c r="L33" i="6"/>
  <c r="K33" i="6"/>
  <c r="J33" i="6"/>
  <c r="I33" i="6"/>
  <c r="H33" i="6"/>
  <c r="G33" i="6"/>
  <c r="E85" i="2"/>
  <c r="D85" i="2"/>
  <c r="H85" i="2"/>
  <c r="G85" i="2"/>
  <c r="F85" i="2"/>
  <c r="C74" i="2"/>
  <c r="H11" i="16"/>
  <c r="G88" i="8"/>
  <c r="D71" i="8"/>
  <c r="CI195" i="6"/>
  <c r="CC195" i="6" s="1"/>
  <c r="CH47" i="6"/>
  <c r="CB47" i="6" s="1"/>
  <c r="P47" i="6" s="1"/>
  <c r="CH45" i="6"/>
  <c r="CB45" i="6" s="1"/>
  <c r="P45" i="6" s="1"/>
  <c r="CH52" i="6"/>
  <c r="CB52" i="6" s="1"/>
  <c r="P52" i="6" s="1"/>
  <c r="CH51" i="6"/>
  <c r="CB51" i="6" s="1"/>
  <c r="P51" i="6" s="1"/>
  <c r="CH50" i="6"/>
  <c r="CB50" i="6" s="1"/>
  <c r="P50" i="6" s="1"/>
  <c r="CH49" i="6"/>
  <c r="CB49" i="6" s="1"/>
  <c r="P49" i="6" s="1"/>
  <c r="CH48" i="6"/>
  <c r="CB48" i="6" s="1"/>
  <c r="P48" i="6" s="1"/>
  <c r="CH46" i="6"/>
  <c r="CB46" i="6" s="1"/>
  <c r="P46" i="6" s="1"/>
  <c r="CH44" i="6"/>
  <c r="CB44" i="6" s="1"/>
  <c r="P44" i="6" s="1"/>
  <c r="CH43" i="6"/>
  <c r="CB43" i="6" s="1"/>
  <c r="P43" i="6" s="1"/>
  <c r="CH42" i="6"/>
  <c r="CB42" i="6" s="1"/>
  <c r="P42" i="6" s="1"/>
  <c r="CH41" i="6"/>
  <c r="CB41" i="6" s="1"/>
  <c r="P41" i="6" s="1"/>
  <c r="CC32" i="16"/>
  <c r="CB32" i="16"/>
  <c r="CI31" i="16"/>
  <c r="CH31" i="16"/>
  <c r="CC31" i="16"/>
  <c r="CB31" i="16"/>
  <c r="CM53" i="2"/>
  <c r="CL53" i="2"/>
  <c r="CK53" i="2"/>
  <c r="CJ53" i="2"/>
  <c r="CI53" i="2"/>
  <c r="CH53" i="2"/>
  <c r="C198" i="2" s="1"/>
  <c r="D20" i="28" s="1"/>
  <c r="CG53" i="2"/>
  <c r="CF53" i="2"/>
  <c r="CE53" i="2"/>
  <c r="CD53" i="2"/>
  <c r="CC53" i="2"/>
  <c r="CB53" i="2"/>
  <c r="B251" i="4"/>
  <c r="F10" i="28" s="1"/>
  <c r="C251" i="4"/>
  <c r="D10" i="28" s="1"/>
  <c r="C186" i="1"/>
  <c r="D8" i="28" s="1"/>
  <c r="V19" i="16"/>
  <c r="V17" i="16"/>
  <c r="V20" i="16"/>
  <c r="CH68" i="16"/>
  <c r="CB68" i="16" s="1"/>
  <c r="CI68" i="16"/>
  <c r="CC68" i="16" s="1"/>
  <c r="CH69" i="16"/>
  <c r="CB69" i="16"/>
  <c r="CI69" i="16"/>
  <c r="CC69" i="16" s="1"/>
  <c r="CI67" i="16"/>
  <c r="CC67" i="16"/>
  <c r="CH67" i="16"/>
  <c r="CB67" i="16" s="1"/>
  <c r="F67" i="16" s="1"/>
  <c r="CB55" i="16"/>
  <c r="CI55" i="16"/>
  <c r="CH55" i="16"/>
  <c r="CC55" i="16"/>
  <c r="CM13" i="16"/>
  <c r="CM14" i="16"/>
  <c r="CM15" i="16"/>
  <c r="CM12" i="16"/>
  <c r="CG13" i="16"/>
  <c r="CG14" i="16"/>
  <c r="CG15" i="16"/>
  <c r="CG12" i="16"/>
  <c r="CG18" i="16"/>
  <c r="V18" i="16" s="1"/>
  <c r="CM18" i="16"/>
  <c r="CL16" i="16"/>
  <c r="CF16" i="16"/>
  <c r="V16" i="16" s="1"/>
  <c r="CB13" i="16"/>
  <c r="CC13" i="16"/>
  <c r="CD13" i="16"/>
  <c r="CE13" i="16"/>
  <c r="CF13" i="16"/>
  <c r="CH13" i="16"/>
  <c r="CI13" i="16"/>
  <c r="CJ13" i="16"/>
  <c r="CK13" i="16"/>
  <c r="CL13" i="16"/>
  <c r="CB14" i="16"/>
  <c r="CC14" i="16"/>
  <c r="CD14" i="16"/>
  <c r="CE14" i="16"/>
  <c r="CF14" i="16"/>
  <c r="CH14" i="16"/>
  <c r="CI14" i="16"/>
  <c r="CJ14" i="16"/>
  <c r="CK14" i="16"/>
  <c r="CL14" i="16"/>
  <c r="CB15" i="16"/>
  <c r="CC15" i="16"/>
  <c r="CD15" i="16"/>
  <c r="CE15" i="16"/>
  <c r="CF15" i="16"/>
  <c r="CH15" i="16"/>
  <c r="CI15" i="16"/>
  <c r="CJ15" i="16"/>
  <c r="CK15" i="16"/>
  <c r="CL15" i="16"/>
  <c r="CL12" i="16"/>
  <c r="CK12" i="16"/>
  <c r="CJ12" i="16"/>
  <c r="CI12" i="16"/>
  <c r="CH12" i="16"/>
  <c r="CF12" i="16"/>
  <c r="CE12" i="16"/>
  <c r="CD12" i="16"/>
  <c r="CC12" i="16"/>
  <c r="CB12" i="16"/>
  <c r="CK70" i="8"/>
  <c r="CE70" i="8" s="1"/>
  <c r="CK69" i="8"/>
  <c r="CE69" i="8" s="1"/>
  <c r="CK68" i="8"/>
  <c r="CE68" i="8" s="1"/>
  <c r="CK67" i="8"/>
  <c r="CE67" i="8" s="1"/>
  <c r="CK66" i="8"/>
  <c r="CE66" i="8" s="1"/>
  <c r="CJ66" i="8"/>
  <c r="CD66" i="8" s="1"/>
  <c r="CC66" i="8"/>
  <c r="CB66" i="8"/>
  <c r="CG66" i="8"/>
  <c r="CA66" i="8" s="1"/>
  <c r="CK65" i="8"/>
  <c r="CE65" i="8" s="1"/>
  <c r="CK64" i="8"/>
  <c r="CE64" i="8" s="1"/>
  <c r="CK63" i="8"/>
  <c r="CE63" i="8" s="1"/>
  <c r="CK62" i="8"/>
  <c r="CE62" i="8" s="1"/>
  <c r="CK61" i="8"/>
  <c r="CE61" i="8" s="1"/>
  <c r="CK60" i="8"/>
  <c r="CE60" i="8" s="1"/>
  <c r="CK59" i="8"/>
  <c r="CE59" i="8" s="1"/>
  <c r="CK58" i="8"/>
  <c r="CE58" i="8" s="1"/>
  <c r="CK57" i="8"/>
  <c r="CE57" i="8" s="1"/>
  <c r="CK56" i="8"/>
  <c r="CE56" i="8" s="1"/>
  <c r="CK55" i="8"/>
  <c r="CE55" i="8" s="1"/>
  <c r="CK54" i="8"/>
  <c r="CE54" i="8" s="1"/>
  <c r="CK53" i="8"/>
  <c r="CE53" i="8" s="1"/>
  <c r="CK52" i="8"/>
  <c r="CE52" i="8" s="1"/>
  <c r="CK51" i="8"/>
  <c r="CE51" i="8" s="1"/>
  <c r="CK50" i="8"/>
  <c r="CE50" i="8" s="1"/>
  <c r="CK49" i="8"/>
  <c r="CE49" i="8" s="1"/>
  <c r="CK48" i="8"/>
  <c r="CE48" i="8" s="1"/>
  <c r="CK47" i="8"/>
  <c r="CE47" i="8" s="1"/>
  <c r="CK46" i="8"/>
  <c r="CE46" i="8" s="1"/>
  <c r="CK45" i="8"/>
  <c r="CE45" i="8" s="1"/>
  <c r="CK44" i="8"/>
  <c r="CE44" i="8" s="1"/>
  <c r="CK43" i="8"/>
  <c r="CE43" i="8" s="1"/>
  <c r="CK42" i="8"/>
  <c r="CE42" i="8" s="1"/>
  <c r="CK41" i="8"/>
  <c r="CE41" i="8" s="1"/>
  <c r="CK40" i="8"/>
  <c r="CE40" i="8" s="1"/>
  <c r="CK39" i="8"/>
  <c r="CE39" i="8" s="1"/>
  <c r="CK38" i="8"/>
  <c r="CE38" i="8" s="1"/>
  <c r="CK37" i="8"/>
  <c r="CE37" i="8" s="1"/>
  <c r="CK36" i="8"/>
  <c r="CE36" i="8" s="1"/>
  <c r="CK35" i="8"/>
  <c r="CE35" i="8" s="1"/>
  <c r="CK34" i="8"/>
  <c r="CE34" i="8" s="1"/>
  <c r="CK33" i="8"/>
  <c r="CE33" i="8"/>
  <c r="CK32" i="8"/>
  <c r="CE32" i="8" s="1"/>
  <c r="CK31" i="8"/>
  <c r="CE31" i="8" s="1"/>
  <c r="CK30" i="8"/>
  <c r="CE30" i="8" s="1"/>
  <c r="CK29" i="8"/>
  <c r="CE29" i="8" s="1"/>
  <c r="CK28" i="8"/>
  <c r="CE28" i="8" s="1"/>
  <c r="CK27" i="8"/>
  <c r="CE27" i="8" s="1"/>
  <c r="CK26" i="8"/>
  <c r="CE26" i="8" s="1"/>
  <c r="CK25" i="8"/>
  <c r="CE25" i="8" s="1"/>
  <c r="CK24" i="8"/>
  <c r="CE24" i="8" s="1"/>
  <c r="CK23" i="8"/>
  <c r="CE23" i="8" s="1"/>
  <c r="CK22" i="8"/>
  <c r="CE22" i="8" s="1"/>
  <c r="CK21" i="8"/>
  <c r="CE21" i="8" s="1"/>
  <c r="CK20" i="8"/>
  <c r="CE20" i="8" s="1"/>
  <c r="CK19" i="8"/>
  <c r="CE19" i="8" s="1"/>
  <c r="CK18" i="8"/>
  <c r="CE18" i="8" s="1"/>
  <c r="CK17" i="8"/>
  <c r="CE17" i="8"/>
  <c r="CK16" i="8"/>
  <c r="CE16" i="8" s="1"/>
  <c r="CK15" i="8"/>
  <c r="CE15" i="8" s="1"/>
  <c r="CK14" i="8"/>
  <c r="CE14" i="8" s="1"/>
  <c r="CK12" i="8"/>
  <c r="CE12" i="8" s="1"/>
  <c r="CK13" i="8"/>
  <c r="CE13" i="8" s="1"/>
  <c r="CK11" i="8"/>
  <c r="CE11" i="8" s="1"/>
  <c r="CH253" i="6"/>
  <c r="CB253" i="6" s="1"/>
  <c r="CH254" i="6"/>
  <c r="CB254" i="6" s="1"/>
  <c r="CH255" i="6"/>
  <c r="CB255" i="6" s="1"/>
  <c r="CH256" i="6"/>
  <c r="CB256" i="6" s="1"/>
  <c r="CH257" i="6"/>
  <c r="CB257" i="6" s="1"/>
  <c r="CH258" i="6"/>
  <c r="CB258" i="6" s="1"/>
  <c r="CH259" i="6"/>
  <c r="CB259" i="6" s="1"/>
  <c r="CH260" i="6"/>
  <c r="CB260" i="6" s="1"/>
  <c r="CH261" i="6"/>
  <c r="CB261" i="6" s="1"/>
  <c r="CH262" i="6"/>
  <c r="CB262" i="6" s="1"/>
  <c r="CH263" i="6"/>
  <c r="CB263" i="6" s="1"/>
  <c r="CH264" i="6"/>
  <c r="CB264" i="6" s="1"/>
  <c r="CH265" i="6"/>
  <c r="CB265" i="6" s="1"/>
  <c r="CH266" i="6"/>
  <c r="CB266" i="6" s="1"/>
  <c r="CH267" i="6"/>
  <c r="CB267" i="6" s="1"/>
  <c r="CH268" i="6"/>
  <c r="CB268" i="6" s="1"/>
  <c r="CH269" i="6"/>
  <c r="CB269" i="6" s="1"/>
  <c r="CH252" i="6"/>
  <c r="CB252" i="6" s="1"/>
  <c r="S11" i="16"/>
  <c r="W12" i="2"/>
  <c r="V12" i="2"/>
  <c r="Z12" i="2"/>
  <c r="Y12" i="2"/>
  <c r="X12" i="2"/>
  <c r="U12" i="2"/>
  <c r="T12" i="2"/>
  <c r="S12" i="2"/>
  <c r="R12" i="2"/>
  <c r="C11" i="16"/>
  <c r="D11" i="16"/>
  <c r="G11" i="16"/>
  <c r="F11" i="16"/>
  <c r="E11" i="16"/>
  <c r="CH43" i="16"/>
  <c r="CB43" i="16" s="1"/>
  <c r="D43" i="16" s="1"/>
  <c r="E71" i="8"/>
  <c r="CJ281" i="6"/>
  <c r="CG188" i="6"/>
  <c r="CA188" i="6" s="1"/>
  <c r="CG156" i="6"/>
  <c r="CA156" i="6" s="1"/>
  <c r="CH40" i="6"/>
  <c r="CB40" i="6" s="1"/>
  <c r="P40" i="6" s="1"/>
  <c r="CH38" i="6"/>
  <c r="CB38" i="6" s="1"/>
  <c r="P38" i="6" s="1"/>
  <c r="CH37" i="6"/>
  <c r="CB37" i="6" s="1"/>
  <c r="P37" i="6" s="1"/>
  <c r="CH34" i="6"/>
  <c r="CB34" i="6" s="1"/>
  <c r="P34" i="6" s="1"/>
  <c r="H71" i="8"/>
  <c r="W71" i="8"/>
  <c r="U71" i="8"/>
  <c r="T71" i="8"/>
  <c r="S71" i="8"/>
  <c r="R71" i="8"/>
  <c r="Q71" i="8"/>
  <c r="P71" i="8"/>
  <c r="O71" i="8"/>
  <c r="N71" i="8"/>
  <c r="M71" i="8"/>
  <c r="L71" i="8"/>
  <c r="K71" i="8"/>
  <c r="J71" i="8"/>
  <c r="I71" i="8"/>
  <c r="G71" i="8"/>
  <c r="F71" i="8"/>
  <c r="AA71" i="8"/>
  <c r="Z71" i="8"/>
  <c r="Y71" i="8"/>
  <c r="AR71" i="8"/>
  <c r="AQ71" i="8"/>
  <c r="AP71" i="8"/>
  <c r="AO71" i="8"/>
  <c r="AM71" i="8"/>
  <c r="AK71" i="8"/>
  <c r="AJ71" i="8"/>
  <c r="AI71" i="8"/>
  <c r="AH71" i="8"/>
  <c r="AG71" i="8"/>
  <c r="AF71" i="8"/>
  <c r="AE71" i="8"/>
  <c r="AD71" i="8"/>
  <c r="AC71" i="8"/>
  <c r="AV71" i="8"/>
  <c r="AU71" i="8"/>
  <c r="AT71" i="8"/>
  <c r="AS71" i="8"/>
  <c r="CG157" i="6"/>
  <c r="CA157" i="6" s="1"/>
  <c r="CG179" i="6"/>
  <c r="CA179" i="6" s="1"/>
  <c r="CG178" i="6"/>
  <c r="CA178" i="6" s="1"/>
  <c r="CG177" i="6"/>
  <c r="CA177" i="6" s="1"/>
  <c r="CG176" i="6"/>
  <c r="CA176" i="6" s="1"/>
  <c r="CH39" i="6"/>
  <c r="CB39" i="6" s="1"/>
  <c r="P39" i="6" s="1"/>
  <c r="CH36" i="6"/>
  <c r="CB36" i="6" s="1"/>
  <c r="P36" i="6" s="1"/>
  <c r="CH35" i="6"/>
  <c r="CB35" i="6" s="1"/>
  <c r="P35" i="6" s="1"/>
  <c r="CJ201" i="6"/>
  <c r="CD201" i="6" s="1"/>
  <c r="CL201" i="6"/>
  <c r="CF201" i="6" s="1"/>
  <c r="CI156" i="6"/>
  <c r="CC156" i="6" s="1"/>
  <c r="CJ179" i="6"/>
  <c r="CD179" i="6" s="1"/>
  <c r="CK177" i="6"/>
  <c r="CE177" i="6" s="1"/>
  <c r="CJ177" i="6"/>
  <c r="CD177" i="6" s="1"/>
  <c r="CH215" i="6"/>
  <c r="CB215" i="6" s="1"/>
  <c r="CI215" i="6"/>
  <c r="CC215" i="6" s="1"/>
  <c r="CI227" i="6"/>
  <c r="CC227" i="6" s="1"/>
  <c r="CH227" i="6"/>
  <c r="CB227" i="6" s="1"/>
  <c r="CH196" i="6"/>
  <c r="CB196" i="6" s="1"/>
  <c r="CI196" i="6"/>
  <c r="CC196" i="6" s="1"/>
  <c r="CG175" i="6"/>
  <c r="CA175" i="6" s="1"/>
  <c r="CK274" i="6"/>
  <c r="CE274" i="6" s="1"/>
  <c r="CJ274" i="6"/>
  <c r="CD274" i="6" s="1"/>
  <c r="CI274" i="6"/>
  <c r="CC274" i="6" s="1"/>
  <c r="CH274" i="6"/>
  <c r="CB274" i="6" s="1"/>
  <c r="CH214" i="6"/>
  <c r="CB214" i="6" s="1"/>
  <c r="CI214" i="6"/>
  <c r="CC214" i="6" s="1"/>
  <c r="CH195" i="6"/>
  <c r="CB195" i="6" s="1"/>
  <c r="CI218" i="6"/>
  <c r="CC218" i="6" s="1"/>
  <c r="CH218" i="6"/>
  <c r="CB218" i="6" s="1"/>
  <c r="CI201" i="6"/>
  <c r="CC201" i="6" s="1"/>
  <c r="CH201" i="6"/>
  <c r="CB201" i="6" s="1"/>
  <c r="CC70" i="8"/>
  <c r="CB70" i="8"/>
  <c r="CG70" i="8"/>
  <c r="CA70" i="8" s="1"/>
  <c r="CL215" i="6"/>
  <c r="CF215" i="6" s="1"/>
  <c r="CB24" i="7"/>
  <c r="CH275" i="6"/>
  <c r="CB275" i="6" s="1"/>
  <c r="CH177" i="6"/>
  <c r="CB177" i="6" s="1"/>
  <c r="CI177" i="6"/>
  <c r="CC177" i="6" s="1"/>
  <c r="CL179" i="6"/>
  <c r="CF179" i="6" s="1"/>
  <c r="CK156" i="6"/>
  <c r="CE156" i="6" s="1"/>
  <c r="CL156" i="6"/>
  <c r="CF156" i="6" s="1"/>
  <c r="CJ156" i="6"/>
  <c r="CD156" i="6" s="1"/>
  <c r="CH156" i="6"/>
  <c r="CB156" i="6" s="1"/>
  <c r="CL177" i="6"/>
  <c r="CF177" i="6" s="1"/>
  <c r="CI176" i="6"/>
  <c r="CC176" i="6" s="1"/>
  <c r="CJ196" i="6"/>
  <c r="CD196" i="6" s="1"/>
  <c r="CK275" i="6"/>
  <c r="CE275" i="6" s="1"/>
  <c r="CJ275" i="6"/>
  <c r="CD275" i="6" s="1"/>
  <c r="CI275" i="6"/>
  <c r="CC275" i="6" s="1"/>
  <c r="CJ178" i="6"/>
  <c r="CD178" i="6" s="1"/>
  <c r="CK178" i="6"/>
  <c r="CE178" i="6" s="1"/>
  <c r="CL178" i="6"/>
  <c r="CF178" i="6" s="1"/>
  <c r="CH178" i="6"/>
  <c r="CB178" i="6" s="1"/>
  <c r="CI178" i="6"/>
  <c r="CC178" i="6" s="1"/>
  <c r="CC24" i="7"/>
  <c r="CL175" i="6"/>
  <c r="CF175" i="6" s="1"/>
  <c r="CH175" i="6"/>
  <c r="CB175" i="6" s="1"/>
  <c r="CJ175" i="6"/>
  <c r="CD175" i="6" s="1"/>
  <c r="CK175" i="6"/>
  <c r="CE175" i="6" s="1"/>
  <c r="CI175" i="6"/>
  <c r="CC175" i="6" s="1"/>
  <c r="B5" i="1"/>
  <c r="CG174" i="6"/>
  <c r="CA174" i="6" s="1"/>
  <c r="U25" i="16"/>
  <c r="T25" i="16"/>
  <c r="CI255" i="6"/>
  <c r="CC255" i="6" s="1"/>
  <c r="CI256" i="6"/>
  <c r="CC256" i="6" s="1"/>
  <c r="CH280" i="6"/>
  <c r="CB280" i="6" s="1"/>
  <c r="P25" i="16"/>
  <c r="O25" i="16"/>
  <c r="N25" i="16"/>
  <c r="E25" i="16"/>
  <c r="S25" i="16"/>
  <c r="R25" i="16"/>
  <c r="Q25" i="16"/>
  <c r="G25" i="16"/>
  <c r="H25" i="16"/>
  <c r="I25" i="16"/>
  <c r="J25" i="16"/>
  <c r="K25" i="16"/>
  <c r="L25" i="16"/>
  <c r="M25" i="16"/>
  <c r="F25" i="16"/>
  <c r="D25" i="16"/>
  <c r="U11" i="16"/>
  <c r="T11" i="16"/>
  <c r="R11" i="16"/>
  <c r="CH37" i="16" s="1"/>
  <c r="CB37" i="16" s="1"/>
  <c r="Q11" i="16"/>
  <c r="CI37" i="16" s="1"/>
  <c r="CC37" i="16" s="1"/>
  <c r="P11" i="16"/>
  <c r="O11" i="16"/>
  <c r="M11" i="16"/>
  <c r="L11" i="16"/>
  <c r="K11" i="16"/>
  <c r="J11" i="16"/>
  <c r="F12" i="2"/>
  <c r="D12" i="2"/>
  <c r="CJ35" i="8"/>
  <c r="CD35" i="8" s="1"/>
  <c r="CJ34" i="8"/>
  <c r="CD34" i="8" s="1"/>
  <c r="CJ27" i="8"/>
  <c r="CD27" i="8" s="1"/>
  <c r="CJ26" i="8"/>
  <c r="CD26" i="8" s="1"/>
  <c r="CJ18" i="8"/>
  <c r="CD18" i="8" s="1"/>
  <c r="CB15" i="7"/>
  <c r="CJ267" i="6"/>
  <c r="CD267" i="6" s="1"/>
  <c r="CH212" i="6"/>
  <c r="CB212" i="6" s="1"/>
  <c r="CI190" i="6"/>
  <c r="CC190" i="6" s="1"/>
  <c r="CG189" i="6"/>
  <c r="CA189" i="6" s="1"/>
  <c r="CG187" i="6"/>
  <c r="CA187" i="6" s="1"/>
  <c r="CG186" i="6"/>
  <c r="CA186" i="6" s="1"/>
  <c r="CG185" i="6"/>
  <c r="CA185" i="6" s="1"/>
  <c r="CG184" i="6"/>
  <c r="CA184" i="6" s="1"/>
  <c r="CG183" i="6"/>
  <c r="CA183" i="6" s="1"/>
  <c r="CG173" i="6"/>
  <c r="CA173" i="6" s="1"/>
  <c r="CG171" i="6"/>
  <c r="CA171" i="6" s="1"/>
  <c r="CG170" i="6"/>
  <c r="CA170" i="6" s="1"/>
  <c r="CG169" i="6"/>
  <c r="CA169" i="6" s="1"/>
  <c r="CG168" i="6"/>
  <c r="CA168" i="6" s="1"/>
  <c r="CG153" i="6"/>
  <c r="CA153" i="6" s="1"/>
  <c r="CG154" i="6"/>
  <c r="CA154" i="6" s="1"/>
  <c r="CG155" i="6"/>
  <c r="CA155" i="6" s="1"/>
  <c r="CG166" i="6"/>
  <c r="CA166" i="6" s="1"/>
  <c r="CG165" i="6"/>
  <c r="CA165" i="6" s="1"/>
  <c r="CG164" i="6"/>
  <c r="CA164" i="6" s="1"/>
  <c r="CG163" i="6"/>
  <c r="CA163" i="6" s="1"/>
  <c r="CG161" i="6"/>
  <c r="CA161" i="6" s="1"/>
  <c r="CG160" i="6"/>
  <c r="CA160" i="6" s="1"/>
  <c r="CG159" i="6"/>
  <c r="CA159" i="6" s="1"/>
  <c r="CG158" i="6"/>
  <c r="CA158" i="6" s="1"/>
  <c r="CG167" i="6"/>
  <c r="CA167" i="6" s="1"/>
  <c r="CH93" i="8"/>
  <c r="CB93" i="8" s="1"/>
  <c r="T88" i="8"/>
  <c r="S88" i="8"/>
  <c r="R88" i="8"/>
  <c r="Q88" i="8"/>
  <c r="P88" i="8"/>
  <c r="O88" i="8"/>
  <c r="N88" i="8"/>
  <c r="M88" i="8"/>
  <c r="L88" i="8"/>
  <c r="K88" i="8"/>
  <c r="J88" i="8"/>
  <c r="I88" i="8"/>
  <c r="H88" i="8"/>
  <c r="F88" i="8"/>
  <c r="E88" i="8"/>
  <c r="D88" i="8"/>
  <c r="CJ62" i="8"/>
  <c r="CD62" i="8" s="1"/>
  <c r="CB59" i="8"/>
  <c r="CJ57" i="8"/>
  <c r="CD57" i="8" s="1"/>
  <c r="CJ54" i="8"/>
  <c r="CD54" i="8" s="1"/>
  <c r="CJ46" i="8"/>
  <c r="CD46" i="8" s="1"/>
  <c r="CJ45" i="8"/>
  <c r="CD45" i="8" s="1"/>
  <c r="H12" i="2"/>
  <c r="P12" i="2"/>
  <c r="O12" i="2"/>
  <c r="N12" i="2"/>
  <c r="M12" i="2"/>
  <c r="K12" i="2"/>
  <c r="J12" i="2"/>
  <c r="I12" i="2"/>
  <c r="E12" i="2"/>
  <c r="C12" i="2"/>
  <c r="G12" i="2"/>
  <c r="CI72" i="7"/>
  <c r="CC72" i="7" s="1"/>
  <c r="CH68" i="7"/>
  <c r="CB68" i="7" s="1"/>
  <c r="CI67" i="7"/>
  <c r="CC67" i="7" s="1"/>
  <c r="CI56" i="7"/>
  <c r="CC56" i="7" s="1"/>
  <c r="E100" i="7"/>
  <c r="D100" i="7"/>
  <c r="C100" i="7"/>
  <c r="CJ41" i="8"/>
  <c r="CD41" i="8" s="1"/>
  <c r="N120" i="6"/>
  <c r="N121" i="6" s="1"/>
  <c r="M120" i="6"/>
  <c r="M121" i="6" s="1"/>
  <c r="L120" i="6"/>
  <c r="L121" i="6" s="1"/>
  <c r="K120" i="6"/>
  <c r="J120" i="6"/>
  <c r="J121" i="6" s="1"/>
  <c r="I120" i="6"/>
  <c r="I121" i="6" s="1"/>
  <c r="H120" i="6"/>
  <c r="H121" i="6" s="1"/>
  <c r="G120" i="6"/>
  <c r="G121" i="6" s="1"/>
  <c r="J74" i="2"/>
  <c r="H74" i="2"/>
  <c r="G74" i="2"/>
  <c r="F74" i="2"/>
  <c r="E74" i="2"/>
  <c r="D74" i="2"/>
  <c r="C85" i="2"/>
  <c r="Q133" i="6"/>
  <c r="Q134" i="6" s="1"/>
  <c r="P133" i="6"/>
  <c r="P134" i="6" s="1"/>
  <c r="O133" i="6"/>
  <c r="O134" i="6" s="1"/>
  <c r="N133" i="6"/>
  <c r="N134" i="6" s="1"/>
  <c r="M133" i="6"/>
  <c r="M134" i="6" s="1"/>
  <c r="L133" i="6"/>
  <c r="L134" i="6" s="1"/>
  <c r="K133" i="6"/>
  <c r="K134" i="6" s="1"/>
  <c r="J133" i="6"/>
  <c r="J134" i="6" s="1"/>
  <c r="I133" i="6"/>
  <c r="H133" i="6"/>
  <c r="H134" i="6" s="1"/>
  <c r="G133" i="6"/>
  <c r="G134" i="6" s="1"/>
  <c r="B3" i="1"/>
  <c r="B2" i="1"/>
  <c r="B4" i="1"/>
  <c r="A3" i="29"/>
  <c r="I2" i="27"/>
  <c r="AG2" i="27" s="1"/>
  <c r="I3" i="27"/>
  <c r="C5" i="28" s="1"/>
  <c r="I4" i="27"/>
  <c r="AG4" i="27"/>
  <c r="I5" i="27"/>
  <c r="AG5" i="27" s="1"/>
  <c r="I6" i="27"/>
  <c r="AG6" i="27" s="1"/>
  <c r="CB58" i="6"/>
  <c r="CB53" i="6"/>
  <c r="CJ261" i="6"/>
  <c r="CD261" i="6" s="1"/>
  <c r="CG162" i="6"/>
  <c r="CA162" i="6" s="1"/>
  <c r="CJ257" i="6"/>
  <c r="CD257" i="6" s="1"/>
  <c r="CI257" i="6"/>
  <c r="CC257" i="6" s="1"/>
  <c r="CJ252" i="6"/>
  <c r="CD252" i="6" s="1"/>
  <c r="CI252" i="6"/>
  <c r="CC252" i="6" s="1"/>
  <c r="CI260" i="6"/>
  <c r="CC260" i="6" s="1"/>
  <c r="CJ260" i="6"/>
  <c r="CD260" i="6" s="1"/>
  <c r="CI253" i="6"/>
  <c r="CC253" i="6" s="1"/>
  <c r="CJ253" i="6"/>
  <c r="CD253" i="6" s="1"/>
  <c r="CI254" i="6"/>
  <c r="CC254" i="6" s="1"/>
  <c r="CJ254" i="6"/>
  <c r="CD254" i="6" s="1"/>
  <c r="CG172" i="6"/>
  <c r="CA172" i="6" s="1"/>
  <c r="CH94" i="8"/>
  <c r="CB94" i="8" s="1"/>
  <c r="CK94" i="8"/>
  <c r="CE94" i="8" s="1"/>
  <c r="CJ94" i="8"/>
  <c r="CD94" i="8" s="1"/>
  <c r="CI94" i="8"/>
  <c r="CC94" i="8" s="1"/>
  <c r="CH108" i="8"/>
  <c r="CB108" i="8" s="1"/>
  <c r="CI269" i="6"/>
  <c r="CC269" i="6" s="1"/>
  <c r="CG14" i="8"/>
  <c r="CA14" i="8" s="1"/>
  <c r="CB14" i="8"/>
  <c r="CC14" i="8"/>
  <c r="CC38" i="8"/>
  <c r="CB38" i="8"/>
  <c r="CG38" i="8"/>
  <c r="CA38" i="8" s="1"/>
  <c r="CJ38" i="8"/>
  <c r="CD38" i="8" s="1"/>
  <c r="CC41" i="8"/>
  <c r="CB41" i="8"/>
  <c r="CG41" i="8"/>
  <c r="CA41" i="8" s="1"/>
  <c r="CG44" i="8"/>
  <c r="CA44" i="8" s="1"/>
  <c r="CJ44" i="8"/>
  <c r="CD44" i="8" s="1"/>
  <c r="CC44" i="8"/>
  <c r="CB44" i="8"/>
  <c r="CJ52" i="8"/>
  <c r="CD52" i="8" s="1"/>
  <c r="CC52" i="8"/>
  <c r="CB52" i="8"/>
  <c r="CG52" i="8"/>
  <c r="CA52" i="8" s="1"/>
  <c r="CC19" i="8"/>
  <c r="CB19" i="8"/>
  <c r="CG19" i="8"/>
  <c r="CA19" i="8" s="1"/>
  <c r="CC27" i="8"/>
  <c r="CB27" i="8"/>
  <c r="CG27" i="8"/>
  <c r="CA27" i="8" s="1"/>
  <c r="CG35" i="8"/>
  <c r="CA35" i="8" s="1"/>
  <c r="CB35" i="8"/>
  <c r="CC35" i="8"/>
  <c r="CJ39" i="8"/>
  <c r="CD39" i="8" s="1"/>
  <c r="CC39" i="8"/>
  <c r="CB39" i="8"/>
  <c r="CG39" i="8"/>
  <c r="CA39" i="8" s="1"/>
  <c r="CJ42" i="8"/>
  <c r="CD42" i="8" s="1"/>
  <c r="CC42" i="8"/>
  <c r="CB42" i="8"/>
  <c r="CG42" i="8"/>
  <c r="CA42" i="8" s="1"/>
  <c r="CJ50" i="8"/>
  <c r="CD50" i="8" s="1"/>
  <c r="CC50" i="8"/>
  <c r="CB50" i="8"/>
  <c r="CG50" i="8"/>
  <c r="CA50" i="8" s="1"/>
  <c r="CB58" i="8"/>
  <c r="CG58" i="8"/>
  <c r="CA58" i="8" s="1"/>
  <c r="CJ58" i="8"/>
  <c r="CD58" i="8" s="1"/>
  <c r="CC58" i="8"/>
  <c r="CJ17" i="8"/>
  <c r="CD17" i="8" s="1"/>
  <c r="CC17" i="8"/>
  <c r="CB17" i="8"/>
  <c r="CG17" i="8"/>
  <c r="CA17" i="8" s="1"/>
  <c r="CB25" i="8"/>
  <c r="CG25" i="8"/>
  <c r="CA25" i="8" s="1"/>
  <c r="CJ25" i="8"/>
  <c r="CD25" i="8" s="1"/>
  <c r="CC25" i="8"/>
  <c r="CJ33" i="8"/>
  <c r="CD33" i="8" s="1"/>
  <c r="CC33" i="8"/>
  <c r="CB33" i="8"/>
  <c r="CG33" i="8"/>
  <c r="CA33" i="8" s="1"/>
  <c r="CI28" i="16"/>
  <c r="CC28" i="16" s="1"/>
  <c r="CJ28" i="16"/>
  <c r="CD28" i="16" s="1"/>
  <c r="CH28" i="16"/>
  <c r="CB28" i="16" s="1"/>
  <c r="CB47" i="8"/>
  <c r="CG47" i="8"/>
  <c r="CA47" i="8" s="1"/>
  <c r="CJ47" i="8"/>
  <c r="CD47" i="8" s="1"/>
  <c r="CC47" i="8"/>
  <c r="CH194" i="6"/>
  <c r="CB194" i="6" s="1"/>
  <c r="CI194" i="6"/>
  <c r="CC194" i="6" s="1"/>
  <c r="CH209" i="6"/>
  <c r="CB209" i="6" s="1"/>
  <c r="CI209" i="6"/>
  <c r="CC209" i="6" s="1"/>
  <c r="CJ30" i="8"/>
  <c r="CD30" i="8" s="1"/>
  <c r="CC30" i="8"/>
  <c r="CB30" i="8"/>
  <c r="CG30" i="8"/>
  <c r="CA30" i="8" s="1"/>
  <c r="CG45" i="8"/>
  <c r="CA45" i="8" s="1"/>
  <c r="CB45" i="8"/>
  <c r="CC45" i="8"/>
  <c r="CJ53" i="8"/>
  <c r="CD53" i="8" s="1"/>
  <c r="CC53" i="8"/>
  <c r="CB53" i="8"/>
  <c r="CG53" i="8"/>
  <c r="CA53" i="8" s="1"/>
  <c r="CJ61" i="8"/>
  <c r="CD61" i="8" s="1"/>
  <c r="CC61" i="8"/>
  <c r="CB61" i="8"/>
  <c r="CG61" i="8"/>
  <c r="CA61" i="8" s="1"/>
  <c r="CH190" i="6"/>
  <c r="CB190" i="6" s="1"/>
  <c r="CH197" i="6"/>
  <c r="CB197" i="6" s="1"/>
  <c r="CI197" i="6"/>
  <c r="CC197" i="6" s="1"/>
  <c r="CH202" i="6"/>
  <c r="CB202" i="6" s="1"/>
  <c r="CI202" i="6"/>
  <c r="CC202" i="6" s="1"/>
  <c r="CH206" i="6"/>
  <c r="CB206" i="6" s="1"/>
  <c r="CI206" i="6"/>
  <c r="CC206" i="6" s="1"/>
  <c r="CH210" i="6"/>
  <c r="CB210" i="6" s="1"/>
  <c r="CI210" i="6"/>
  <c r="CC210" i="6" s="1"/>
  <c r="CI220" i="6"/>
  <c r="CC220" i="6" s="1"/>
  <c r="CH220" i="6"/>
  <c r="CB220" i="6" s="1"/>
  <c r="CJ20" i="8"/>
  <c r="CD20" i="8" s="1"/>
  <c r="CC20" i="8"/>
  <c r="CB20" i="8"/>
  <c r="CG20" i="8"/>
  <c r="CA20" i="8" s="1"/>
  <c r="CJ28" i="8"/>
  <c r="CD28" i="8" s="1"/>
  <c r="CC28" i="8"/>
  <c r="CB28" i="8"/>
  <c r="CG28" i="8"/>
  <c r="CA28" i="8" s="1"/>
  <c r="CC36" i="8"/>
  <c r="CB36" i="8"/>
  <c r="CG36" i="8"/>
  <c r="CA36" i="8" s="1"/>
  <c r="CJ36" i="8"/>
  <c r="CD36" i="8" s="1"/>
  <c r="CJ27" i="16"/>
  <c r="CD27" i="16" s="1"/>
  <c r="CH27" i="16"/>
  <c r="CB27" i="16" s="1"/>
  <c r="CI27" i="16"/>
  <c r="CC27" i="16" s="1"/>
  <c r="CC55" i="8"/>
  <c r="CG55" i="8"/>
  <c r="CA55" i="8" s="1"/>
  <c r="CB55" i="8"/>
  <c r="CI223" i="6"/>
  <c r="CC223" i="6" s="1"/>
  <c r="CH223" i="6"/>
  <c r="CB223" i="6" s="1"/>
  <c r="CH26" i="16"/>
  <c r="CB26" i="16" s="1"/>
  <c r="CJ26" i="16"/>
  <c r="CD26" i="16" s="1"/>
  <c r="CI26" i="16"/>
  <c r="CC26" i="16" s="1"/>
  <c r="CJ48" i="8"/>
  <c r="CD48" i="8" s="1"/>
  <c r="CC48" i="8"/>
  <c r="CB48" i="8"/>
  <c r="CG48" i="8"/>
  <c r="CA48" i="8" s="1"/>
  <c r="CB56" i="8"/>
  <c r="CG56" i="8"/>
  <c r="CA56" i="8" s="1"/>
  <c r="CJ56" i="8"/>
  <c r="CD56" i="8" s="1"/>
  <c r="CC56" i="8"/>
  <c r="CJ64" i="8"/>
  <c r="CD64" i="8" s="1"/>
  <c r="CC64" i="8"/>
  <c r="CB64" i="8"/>
  <c r="CG64" i="8"/>
  <c r="CA64" i="8" s="1"/>
  <c r="CJ11" i="8"/>
  <c r="CD11" i="8" s="1"/>
  <c r="CC11" i="8"/>
  <c r="CB11" i="8"/>
  <c r="CG11" i="8"/>
  <c r="CA11" i="8" s="1"/>
  <c r="CB15" i="8"/>
  <c r="CG15" i="8"/>
  <c r="CA15" i="8" s="1"/>
  <c r="CC15" i="8"/>
  <c r="CC23" i="8"/>
  <c r="CB23" i="8"/>
  <c r="CG23" i="8"/>
  <c r="CA23" i="8" s="1"/>
  <c r="CC31" i="8"/>
  <c r="CB31" i="8"/>
  <c r="CG31" i="8"/>
  <c r="CA31" i="8" s="1"/>
  <c r="CJ22" i="8"/>
  <c r="CD22" i="8" s="1"/>
  <c r="CC22" i="8"/>
  <c r="CB22" i="8"/>
  <c r="CG22" i="8"/>
  <c r="CA22" i="8" s="1"/>
  <c r="CC40" i="8"/>
  <c r="CB40" i="8"/>
  <c r="CG40" i="8"/>
  <c r="CA40" i="8" s="1"/>
  <c r="CC43" i="8"/>
  <c r="CB43" i="8"/>
  <c r="CG43" i="8"/>
  <c r="CA43" i="8" s="1"/>
  <c r="CC51" i="8"/>
  <c r="CB51" i="8"/>
  <c r="CG51" i="8"/>
  <c r="CA51" i="8" s="1"/>
  <c r="CH192" i="6"/>
  <c r="CB192" i="6" s="1"/>
  <c r="CI192" i="6"/>
  <c r="CC192" i="6" s="1"/>
  <c r="CI207" i="6"/>
  <c r="CC207" i="6" s="1"/>
  <c r="CH207" i="6"/>
  <c r="CB207" i="6" s="1"/>
  <c r="CH211" i="6"/>
  <c r="CB211" i="6" s="1"/>
  <c r="CI211" i="6"/>
  <c r="CC211" i="6" s="1"/>
  <c r="CI225" i="6"/>
  <c r="CC225" i="6" s="1"/>
  <c r="CH225" i="6"/>
  <c r="CB225" i="6" s="1"/>
  <c r="CG12" i="8"/>
  <c r="CA12" i="8" s="1"/>
  <c r="CB12" i="8"/>
  <c r="CC12" i="8"/>
  <c r="CC18" i="8"/>
  <c r="CB18" i="8"/>
  <c r="CG18" i="8"/>
  <c r="CA18" i="8" s="1"/>
  <c r="CB26" i="8"/>
  <c r="CG26" i="8"/>
  <c r="CA26" i="8" s="1"/>
  <c r="CC26" i="8"/>
  <c r="CC34" i="8"/>
  <c r="CB34" i="8"/>
  <c r="CG34" i="8"/>
  <c r="CA34" i="8" s="1"/>
  <c r="CG46" i="8"/>
  <c r="CA46" i="8" s="1"/>
  <c r="CC46" i="8"/>
  <c r="CB46" i="8"/>
  <c r="CC54" i="8"/>
  <c r="CB54" i="8"/>
  <c r="CG54" i="8"/>
  <c r="CA54" i="8" s="1"/>
  <c r="CC62" i="8"/>
  <c r="CB62" i="8"/>
  <c r="CG62" i="8"/>
  <c r="CA62" i="8" s="1"/>
  <c r="CJ21" i="8"/>
  <c r="CD21" i="8" s="1"/>
  <c r="CC21" i="8"/>
  <c r="CB21" i="8"/>
  <c r="CG21" i="8"/>
  <c r="CA21" i="8" s="1"/>
  <c r="CJ29" i="8"/>
  <c r="CD29" i="8" s="1"/>
  <c r="CC29" i="8"/>
  <c r="CB29" i="8"/>
  <c r="CG29" i="8"/>
  <c r="CA29" i="8" s="1"/>
  <c r="CC37" i="8"/>
  <c r="CB37" i="8"/>
  <c r="CG37" i="8"/>
  <c r="CA37" i="8" s="1"/>
  <c r="CJ37" i="8"/>
  <c r="CD37" i="8" s="1"/>
  <c r="CJ63" i="8"/>
  <c r="CD63" i="8" s="1"/>
  <c r="CC63" i="8"/>
  <c r="CB63" i="8"/>
  <c r="CG63" i="8"/>
  <c r="CA63" i="8" s="1"/>
  <c r="CI228" i="6"/>
  <c r="CC228" i="6" s="1"/>
  <c r="CH228" i="6"/>
  <c r="CB228" i="6" s="1"/>
  <c r="CB57" i="8"/>
  <c r="CG57" i="8"/>
  <c r="CA57" i="8" s="1"/>
  <c r="CC57" i="8"/>
  <c r="CJ65" i="8"/>
  <c r="CD65" i="8" s="1"/>
  <c r="CC65" i="8"/>
  <c r="CB65" i="8"/>
  <c r="CG65" i="8"/>
  <c r="CA65" i="8" s="1"/>
  <c r="CK110" i="8"/>
  <c r="CE110" i="8" s="1"/>
  <c r="CH193" i="6"/>
  <c r="CB193" i="6" s="1"/>
  <c r="CI193" i="6"/>
  <c r="CC193" i="6" s="1"/>
  <c r="CI199" i="6"/>
  <c r="CC199" i="6" s="1"/>
  <c r="CH199" i="6"/>
  <c r="CB199" i="6" s="1"/>
  <c r="CH204" i="6"/>
  <c r="CB204" i="6" s="1"/>
  <c r="CI204" i="6"/>
  <c r="CC204" i="6" s="1"/>
  <c r="CI212" i="6"/>
  <c r="CC212" i="6" s="1"/>
  <c r="CI222" i="6"/>
  <c r="CC222" i="6" s="1"/>
  <c r="CH222" i="6"/>
  <c r="CB222" i="6" s="1"/>
  <c r="CI226" i="6"/>
  <c r="CC226" i="6" s="1"/>
  <c r="CH226" i="6"/>
  <c r="CB226" i="6" s="1"/>
  <c r="CJ13" i="8"/>
  <c r="CD13" i="8" s="1"/>
  <c r="CG13" i="8"/>
  <c r="CA13" i="8" s="1"/>
  <c r="CB13" i="8"/>
  <c r="CC13" i="8"/>
  <c r="CJ16" i="8"/>
  <c r="CD16" i="8" s="1"/>
  <c r="CC16" i="8"/>
  <c r="CB16" i="8"/>
  <c r="CG16" i="8"/>
  <c r="CA16" i="8" s="1"/>
  <c r="CB24" i="8"/>
  <c r="CG24" i="8"/>
  <c r="CA24" i="8" s="1"/>
  <c r="CJ24" i="8"/>
  <c r="CD24" i="8" s="1"/>
  <c r="CC24" i="8"/>
  <c r="CJ32" i="8"/>
  <c r="CD32" i="8" s="1"/>
  <c r="CC32" i="8"/>
  <c r="CB32" i="8"/>
  <c r="CG32" i="8"/>
  <c r="CA32" i="8" s="1"/>
  <c r="CH70" i="7"/>
  <c r="CB70" i="7" s="1"/>
  <c r="CH71" i="7"/>
  <c r="CH277" i="6"/>
  <c r="CB277" i="6" s="1"/>
  <c r="CI69" i="7"/>
  <c r="CC69" i="7" s="1"/>
  <c r="N11" i="16"/>
  <c r="CK205" i="6"/>
  <c r="CE205" i="6" s="1"/>
  <c r="CJ211" i="6"/>
  <c r="CD211" i="6" s="1"/>
  <c r="CB105" i="6"/>
  <c r="CB21" i="7"/>
  <c r="CB26" i="7"/>
  <c r="CB44" i="4"/>
  <c r="S44" i="4" s="1"/>
  <c r="CB46" i="4"/>
  <c r="S46" i="4" s="1"/>
  <c r="CI160" i="6"/>
  <c r="CC160" i="6" s="1"/>
  <c r="I134" i="6"/>
  <c r="CI264" i="6"/>
  <c r="CC264" i="6" s="1"/>
  <c r="CJ194" i="6"/>
  <c r="CD194" i="6" s="1"/>
  <c r="CM206" i="6"/>
  <c r="CG206" i="6" s="1"/>
  <c r="CJ163" i="6"/>
  <c r="CD163" i="6" s="1"/>
  <c r="CI168" i="6"/>
  <c r="CC168" i="6" s="1"/>
  <c r="CL170" i="6"/>
  <c r="CF170" i="6" s="1"/>
  <c r="CL182" i="6"/>
  <c r="CF182" i="6" s="1"/>
  <c r="CK186" i="6"/>
  <c r="CE186" i="6" s="1"/>
  <c r="CJ189" i="6"/>
  <c r="CD189" i="6" s="1"/>
  <c r="CI164" i="6"/>
  <c r="CC164" i="6" s="1"/>
  <c r="CH154" i="6"/>
  <c r="CB154" i="6" s="1"/>
  <c r="CJ169" i="6"/>
  <c r="CD169" i="6" s="1"/>
  <c r="CJ171" i="6"/>
  <c r="CD171" i="6" s="1"/>
  <c r="CI181" i="6"/>
  <c r="CC181" i="6" s="1"/>
  <c r="CL190" i="6"/>
  <c r="CF190" i="6" s="1"/>
  <c r="CL193" i="6"/>
  <c r="CF193" i="6" s="1"/>
  <c r="CL202" i="6"/>
  <c r="CF202" i="6" s="1"/>
  <c r="CL224" i="6"/>
  <c r="CF224" i="6" s="1"/>
  <c r="CI62" i="7"/>
  <c r="CC62" i="7" s="1"/>
  <c r="CH74" i="7"/>
  <c r="CB74" i="7" s="1"/>
  <c r="CB25" i="7"/>
  <c r="CI66" i="7"/>
  <c r="CC66" i="7" s="1"/>
  <c r="CH53" i="7"/>
  <c r="CB53" i="7" s="1"/>
  <c r="CK161" i="6"/>
  <c r="CE161" i="6" s="1"/>
  <c r="CK204" i="6"/>
  <c r="CE204" i="6" s="1"/>
  <c r="F133" i="6"/>
  <c r="F134" i="6" s="1"/>
  <c r="F120" i="6"/>
  <c r="F121" i="6" s="1"/>
  <c r="E133" i="6"/>
  <c r="E134" i="6" s="1"/>
  <c r="CH47" i="7"/>
  <c r="CB47" i="7" s="1"/>
  <c r="CK115" i="8"/>
  <c r="CE115" i="8" s="1"/>
  <c r="I11" i="16"/>
  <c r="CH61" i="16"/>
  <c r="C25" i="16"/>
  <c r="CJ108" i="8"/>
  <c r="CD108" i="8" s="1"/>
  <c r="CH67" i="7"/>
  <c r="CB67" i="7" s="1"/>
  <c r="CJ98" i="8"/>
  <c r="CD98" i="8" s="1"/>
  <c r="CH162" i="6"/>
  <c r="CB162" i="6" s="1"/>
  <c r="CI162" i="6"/>
  <c r="CC162" i="6" s="1"/>
  <c r="CJ162" i="6"/>
  <c r="CD162" i="6" s="1"/>
  <c r="CK162" i="6"/>
  <c r="CE162" i="6" s="1"/>
  <c r="CL162" i="6"/>
  <c r="CF162" i="6" s="1"/>
  <c r="CH98" i="8"/>
  <c r="CB98" i="8" s="1"/>
  <c r="CJ269" i="6"/>
  <c r="CD269" i="6" s="1"/>
  <c r="CM208" i="6"/>
  <c r="CG208" i="6" s="1"/>
  <c r="CH66" i="7"/>
  <c r="CB66" i="7" s="1"/>
  <c r="CH185" i="6"/>
  <c r="CB185" i="6" s="1"/>
  <c r="CJ185" i="6"/>
  <c r="CD185" i="6" s="1"/>
  <c r="CL185" i="6"/>
  <c r="CF185" i="6" s="1"/>
  <c r="CI276" i="6"/>
  <c r="CC276" i="6" s="1"/>
  <c r="CK276" i="6"/>
  <c r="CE276" i="6" s="1"/>
  <c r="CI71" i="7"/>
  <c r="CC71" i="7" s="1"/>
  <c r="CB71" i="7"/>
  <c r="CJ224" i="6"/>
  <c r="CD224" i="6" s="1"/>
  <c r="CK224" i="6"/>
  <c r="CE224" i="6" s="1"/>
  <c r="CM224" i="6"/>
  <c r="CG224" i="6" s="1"/>
  <c r="CM192" i="6"/>
  <c r="CG192" i="6" s="1"/>
  <c r="CL161" i="6"/>
  <c r="CF161" i="6" s="1"/>
  <c r="CI161" i="6"/>
  <c r="CC161" i="6" s="1"/>
  <c r="CH161" i="6"/>
  <c r="CB161" i="6" s="1"/>
  <c r="CC27" i="7"/>
  <c r="CB27" i="7"/>
  <c r="CL220" i="6"/>
  <c r="CF220" i="6" s="1"/>
  <c r="CM220" i="6"/>
  <c r="CG220" i="6" s="1"/>
  <c r="CJ220" i="6"/>
  <c r="CD220" i="6" s="1"/>
  <c r="CK220" i="6"/>
  <c r="CE220" i="6" s="1"/>
  <c r="CI183" i="6"/>
  <c r="CC183" i="6" s="1"/>
  <c r="CJ164" i="6"/>
  <c r="CD164" i="6" s="1"/>
  <c r="CK164" i="6"/>
  <c r="CE164" i="6" s="1"/>
  <c r="CL164" i="6"/>
  <c r="CF164" i="6" s="1"/>
  <c r="CH164" i="6"/>
  <c r="CB164" i="6" s="1"/>
  <c r="CI170" i="6"/>
  <c r="CC170" i="6" s="1"/>
  <c r="CJ206" i="6"/>
  <c r="CD206" i="6" s="1"/>
  <c r="CC21" i="7"/>
  <c r="CL211" i="6"/>
  <c r="CF211" i="6" s="1"/>
  <c r="CM211" i="6"/>
  <c r="CG211" i="6" s="1"/>
  <c r="CK211" i="6"/>
  <c r="CE211" i="6" s="1"/>
  <c r="CH279" i="6"/>
  <c r="CB279" i="6" s="1"/>
  <c r="CH73" i="7"/>
  <c r="CB73" i="7" s="1"/>
  <c r="CI73" i="7"/>
  <c r="CC73" i="7" s="1"/>
  <c r="CH63" i="7"/>
  <c r="CB63" i="7" s="1"/>
  <c r="CI63" i="7"/>
  <c r="CC63" i="7" s="1"/>
  <c r="CC15" i="7"/>
  <c r="CH69" i="7"/>
  <c r="CB69" i="7" s="1"/>
  <c r="CH59" i="7"/>
  <c r="CB59" i="7" s="1"/>
  <c r="CI59" i="7"/>
  <c r="CC59" i="7" s="1"/>
  <c r="CL187" i="6"/>
  <c r="CF187" i="6" s="1"/>
  <c r="CH187" i="6"/>
  <c r="CB187" i="6" s="1"/>
  <c r="CJ187" i="6"/>
  <c r="CD187" i="6" s="1"/>
  <c r="CI187" i="6"/>
  <c r="CC187" i="6" s="1"/>
  <c r="CK187" i="6"/>
  <c r="CE187" i="6" s="1"/>
  <c r="CB19" i="7"/>
  <c r="CL209" i="6"/>
  <c r="CF209" i="6" s="1"/>
  <c r="CM209" i="6"/>
  <c r="CG209" i="6" s="1"/>
  <c r="CK209" i="6"/>
  <c r="CE209" i="6" s="1"/>
  <c r="CJ209" i="6"/>
  <c r="CD209" i="6" s="1"/>
  <c r="CJ199" i="6"/>
  <c r="CD199" i="6" s="1"/>
  <c r="CK199" i="6"/>
  <c r="CE199" i="6" s="1"/>
  <c r="CL199" i="6"/>
  <c r="CF199" i="6" s="1"/>
  <c r="CM199" i="6"/>
  <c r="CG199" i="6" s="1"/>
  <c r="CK173" i="6"/>
  <c r="CE173" i="6" s="1"/>
  <c r="CJ262" i="6"/>
  <c r="CD262" i="6" s="1"/>
  <c r="CI262" i="6"/>
  <c r="CC262" i="6" s="1"/>
  <c r="CI62" i="16"/>
  <c r="CC62" i="16" s="1"/>
  <c r="CH62" i="16"/>
  <c r="CB62" i="16" s="1"/>
  <c r="CM207" i="6"/>
  <c r="CG207" i="6" s="1"/>
  <c r="CJ207" i="6"/>
  <c r="CD207" i="6" s="1"/>
  <c r="CL207" i="6"/>
  <c r="CF207" i="6" s="1"/>
  <c r="CK207" i="6"/>
  <c r="CE207" i="6" s="1"/>
  <c r="CH64" i="16"/>
  <c r="CB64" i="16" s="1"/>
  <c r="CI64" i="16"/>
  <c r="CC64" i="16" s="1"/>
  <c r="CH65" i="7"/>
  <c r="CB65" i="7" s="1"/>
  <c r="CI65" i="7"/>
  <c r="CC65" i="7" s="1"/>
  <c r="CI277" i="6"/>
  <c r="CC277" i="6" s="1"/>
  <c r="CK277" i="6"/>
  <c r="CE277" i="6" s="1"/>
  <c r="CH55" i="7"/>
  <c r="CB55" i="7" s="1"/>
  <c r="CI55" i="7"/>
  <c r="CC55" i="7" s="1"/>
  <c r="CJ110" i="8"/>
  <c r="CD110" i="8" s="1"/>
  <c r="CJ174" i="6"/>
  <c r="CD174" i="6" s="1"/>
  <c r="CK174" i="6"/>
  <c r="CE174" i="6" s="1"/>
  <c r="CL174" i="6"/>
  <c r="CF174" i="6" s="1"/>
  <c r="CH174" i="6"/>
  <c r="CB174" i="6" s="1"/>
  <c r="CI174" i="6"/>
  <c r="CC174" i="6" s="1"/>
  <c r="CI261" i="6"/>
  <c r="CC261" i="6" s="1"/>
  <c r="CB14" i="7"/>
  <c r="CC14" i="7"/>
  <c r="CJ181" i="6"/>
  <c r="CD181" i="6" s="1"/>
  <c r="CK181" i="6"/>
  <c r="CE181" i="6" s="1"/>
  <c r="CJ200" i="6"/>
  <c r="CD200" i="6" s="1"/>
  <c r="CK200" i="6"/>
  <c r="CE200" i="6" s="1"/>
  <c r="CL200" i="6"/>
  <c r="CF200" i="6" s="1"/>
  <c r="CM200" i="6"/>
  <c r="CG200" i="6" s="1"/>
  <c r="CK189" i="6"/>
  <c r="CE189" i="6" s="1"/>
  <c r="CH61" i="7"/>
  <c r="CB61" i="7" s="1"/>
  <c r="CI61" i="7"/>
  <c r="CC61" i="7" s="1"/>
  <c r="CI70" i="7"/>
  <c r="CC70" i="7" s="1"/>
  <c r="CK100" i="8"/>
  <c r="CE100" i="8" s="1"/>
  <c r="CH100" i="8"/>
  <c r="CB100" i="8" s="1"/>
  <c r="CI100" i="8"/>
  <c r="CC100" i="8" s="1"/>
  <c r="CJ100" i="8"/>
  <c r="CD100" i="8" s="1"/>
  <c r="CI68" i="7"/>
  <c r="CC68" i="7" s="1"/>
  <c r="CI154" i="6"/>
  <c r="CC154" i="6" s="1"/>
  <c r="CJ154" i="6"/>
  <c r="CD154" i="6" s="1"/>
  <c r="CI159" i="6"/>
  <c r="CC159" i="6" s="1"/>
  <c r="CJ159" i="6"/>
  <c r="CD159" i="6" s="1"/>
  <c r="CK159" i="6"/>
  <c r="CE159" i="6" s="1"/>
  <c r="CL159" i="6"/>
  <c r="CF159" i="6" s="1"/>
  <c r="CH159" i="6"/>
  <c r="CB159" i="6" s="1"/>
  <c r="CL167" i="6"/>
  <c r="CF167" i="6" s="1"/>
  <c r="CH167" i="6"/>
  <c r="CB167" i="6" s="1"/>
  <c r="CJ167" i="6"/>
  <c r="CD167" i="6" s="1"/>
  <c r="CI167" i="6"/>
  <c r="CC167" i="6" s="1"/>
  <c r="CK167" i="6"/>
  <c r="CE167" i="6" s="1"/>
  <c r="CH56" i="7"/>
  <c r="CB56" i="7" s="1"/>
  <c r="CJ268" i="6"/>
  <c r="CD268" i="6" s="1"/>
  <c r="CI268" i="6"/>
  <c r="CC268" i="6" s="1"/>
  <c r="CL210" i="6"/>
  <c r="CF210" i="6" s="1"/>
  <c r="CM210" i="6"/>
  <c r="CG210" i="6" s="1"/>
  <c r="CK210" i="6"/>
  <c r="CE210" i="6" s="1"/>
  <c r="CJ210" i="6"/>
  <c r="CD210" i="6" s="1"/>
  <c r="CC20" i="7"/>
  <c r="CB20" i="7"/>
  <c r="CK197" i="6"/>
  <c r="CE197" i="6" s="1"/>
  <c r="CL197" i="6"/>
  <c r="CF197" i="6" s="1"/>
  <c r="CM197" i="6"/>
  <c r="CG197" i="6" s="1"/>
  <c r="CJ197" i="6"/>
  <c r="CD197" i="6" s="1"/>
  <c r="CJ155" i="6"/>
  <c r="CD155" i="6" s="1"/>
  <c r="CK155" i="6"/>
  <c r="CE155" i="6" s="1"/>
  <c r="CL155" i="6"/>
  <c r="CF155" i="6" s="1"/>
  <c r="CH155" i="6"/>
  <c r="CB155" i="6" s="1"/>
  <c r="CI155" i="6"/>
  <c r="CC155" i="6" s="1"/>
  <c r="CI280" i="6"/>
  <c r="CJ280" i="6"/>
  <c r="CE280" i="6"/>
  <c r="CH278" i="6"/>
  <c r="CB278" i="6" s="1"/>
  <c r="CI278" i="6"/>
  <c r="CC278" i="6" s="1"/>
  <c r="CK278" i="6"/>
  <c r="CE278" i="6" s="1"/>
  <c r="CJ278" i="6"/>
  <c r="CD278" i="6" s="1"/>
  <c r="CM222" i="6"/>
  <c r="CG222" i="6" s="1"/>
  <c r="CJ222" i="6"/>
  <c r="CD222" i="6" s="1"/>
  <c r="CK222" i="6"/>
  <c r="CE222" i="6" s="1"/>
  <c r="CL222" i="6"/>
  <c r="CF222" i="6" s="1"/>
  <c r="CI265" i="6"/>
  <c r="CC265" i="6" s="1"/>
  <c r="CJ265" i="6"/>
  <c r="CD265" i="6" s="1"/>
  <c r="CC13" i="7"/>
  <c r="CB13" i="7"/>
  <c r="CB18" i="7"/>
  <c r="CC18" i="7"/>
  <c r="CH169" i="6"/>
  <c r="CB169" i="6" s="1"/>
  <c r="CJ186" i="6"/>
  <c r="CD186" i="6" s="1"/>
  <c r="CL186" i="6"/>
  <c r="CF186" i="6" s="1"/>
  <c r="CH186" i="6"/>
  <c r="CB186" i="6" s="1"/>
  <c r="CI186" i="6"/>
  <c r="CC186" i="6" s="1"/>
  <c r="CK165" i="6"/>
  <c r="CE165" i="6" s="1"/>
  <c r="CL165" i="6"/>
  <c r="CF165" i="6" s="1"/>
  <c r="CI165" i="6"/>
  <c r="CC165" i="6" s="1"/>
  <c r="CJ165" i="6"/>
  <c r="CD165" i="6" s="1"/>
  <c r="CH165" i="6"/>
  <c r="CB165" i="6" s="1"/>
  <c r="CJ266" i="6"/>
  <c r="CD266" i="6" s="1"/>
  <c r="CI266" i="6"/>
  <c r="CC266" i="6" s="1"/>
  <c r="CH57" i="7"/>
  <c r="CB57" i="7" s="1"/>
  <c r="CI57" i="7"/>
  <c r="CC57" i="7" s="1"/>
  <c r="CI93" i="8"/>
  <c r="CC93" i="8" s="1"/>
  <c r="CJ93" i="8"/>
  <c r="CD93" i="8" s="1"/>
  <c r="CJ226" i="6"/>
  <c r="CD226" i="6" s="1"/>
  <c r="CK226" i="6"/>
  <c r="CE226" i="6" s="1"/>
  <c r="CL226" i="6"/>
  <c r="CF226" i="6" s="1"/>
  <c r="CM226" i="6"/>
  <c r="CG226" i="6" s="1"/>
  <c r="CL212" i="6"/>
  <c r="CF212" i="6" s="1"/>
  <c r="CM212" i="6"/>
  <c r="CG212" i="6" s="1"/>
  <c r="CJ212" i="6"/>
  <c r="CD212" i="6" s="1"/>
  <c r="CK212" i="6"/>
  <c r="CE212" i="6" s="1"/>
  <c r="CI263" i="6"/>
  <c r="CC263" i="6" s="1"/>
  <c r="CJ263" i="6"/>
  <c r="CD263" i="6" s="1"/>
  <c r="CJ153" i="6"/>
  <c r="CD153" i="6" s="1"/>
  <c r="CL153" i="6"/>
  <c r="CF153" i="6" s="1"/>
  <c r="CI153" i="6"/>
  <c r="CC153" i="6" s="1"/>
  <c r="CH153" i="6"/>
  <c r="CB153" i="6" s="1"/>
  <c r="CK153" i="6"/>
  <c r="CE153" i="6" s="1"/>
  <c r="CJ182" i="6"/>
  <c r="CD182" i="6" s="1"/>
  <c r="CK182" i="6"/>
  <c r="CE182" i="6" s="1"/>
  <c r="CI182" i="6"/>
  <c r="CC182" i="6" s="1"/>
  <c r="CH163" i="6"/>
  <c r="CB163" i="6" s="1"/>
  <c r="CI163" i="6"/>
  <c r="CC163" i="6" s="1"/>
  <c r="CK163" i="6"/>
  <c r="CE163" i="6" s="1"/>
  <c r="CL163" i="6"/>
  <c r="CF163" i="6" s="1"/>
  <c r="CJ264" i="6"/>
  <c r="CD264" i="6" s="1"/>
  <c r="CB16" i="7"/>
  <c r="CC16" i="7"/>
  <c r="CJ225" i="6"/>
  <c r="CD225" i="6" s="1"/>
  <c r="CK225" i="6"/>
  <c r="CE225" i="6" s="1"/>
  <c r="CL225" i="6"/>
  <c r="CF225" i="6" s="1"/>
  <c r="CM225" i="6"/>
  <c r="CG225" i="6" s="1"/>
  <c r="CI281" i="6"/>
  <c r="CE281" i="6"/>
  <c r="CH281" i="6"/>
  <c r="CB281" i="6" s="1"/>
  <c r="CI48" i="7"/>
  <c r="CC48" i="7" s="1"/>
  <c r="CH48" i="7"/>
  <c r="CB48" i="7" s="1"/>
  <c r="CH63" i="16"/>
  <c r="CB63" i="16" s="1"/>
  <c r="CI63" i="16"/>
  <c r="CC63" i="16" s="1"/>
  <c r="CH184" i="6"/>
  <c r="CB184" i="6" s="1"/>
  <c r="CJ184" i="6"/>
  <c r="CD184" i="6" s="1"/>
  <c r="CL184" i="6"/>
  <c r="CF184" i="6" s="1"/>
  <c r="CI184" i="6"/>
  <c r="CC184" i="6" s="1"/>
  <c r="CK184" i="6"/>
  <c r="CE184" i="6" s="1"/>
  <c r="CH58" i="7"/>
  <c r="CB58" i="7" s="1"/>
  <c r="CI58" i="7"/>
  <c r="CC58" i="7" s="1"/>
  <c r="CC22" i="7"/>
  <c r="CI158" i="6"/>
  <c r="CC158" i="6" s="1"/>
  <c r="CJ158" i="6"/>
  <c r="CD158" i="6" s="1"/>
  <c r="CK158" i="6"/>
  <c r="CE158" i="6" s="1"/>
  <c r="CL158" i="6"/>
  <c r="CF158" i="6" s="1"/>
  <c r="CH158" i="6"/>
  <c r="CB158" i="6" s="1"/>
  <c r="CH166" i="6"/>
  <c r="CB166" i="6" s="1"/>
  <c r="CI166" i="6"/>
  <c r="CC166" i="6" s="1"/>
  <c r="CJ166" i="6"/>
  <c r="CD166" i="6" s="1"/>
  <c r="CK166" i="6"/>
  <c r="CE166" i="6" s="1"/>
  <c r="CL166" i="6"/>
  <c r="CF166" i="6" s="1"/>
  <c r="F16" i="28"/>
  <c r="CB22" i="7"/>
  <c r="AZ201" i="41" l="1"/>
  <c r="AV77" i="33"/>
  <c r="AZ204" i="41"/>
  <c r="V28" i="16"/>
  <c r="AG3" i="27"/>
  <c r="AY81" i="41"/>
  <c r="R144" i="41"/>
  <c r="C193" i="8"/>
  <c r="D14" i="28" s="1"/>
  <c r="AZ172" i="41"/>
  <c r="AZ208" i="41"/>
  <c r="V27" i="16"/>
  <c r="V26" i="16"/>
  <c r="AV34" i="33"/>
  <c r="AP56" i="7"/>
  <c r="F151" i="7"/>
  <c r="AT27" i="7"/>
  <c r="AP61" i="7"/>
  <c r="AP69" i="7"/>
  <c r="E151" i="7"/>
  <c r="AW253" i="6"/>
  <c r="AX229" i="6"/>
  <c r="AW252" i="6"/>
  <c r="AW263" i="6"/>
  <c r="AW261" i="6"/>
  <c r="AU175" i="6"/>
  <c r="D33" i="6"/>
  <c r="E86" i="36"/>
  <c r="E193" i="37"/>
  <c r="CH166" i="37"/>
  <c r="CB166" i="37" s="1"/>
  <c r="AU166" i="37" s="1"/>
  <c r="CH189" i="37"/>
  <c r="CB189" i="37" s="1"/>
  <c r="AU189" i="37" s="1"/>
  <c r="CH185" i="37"/>
  <c r="CB185" i="37" s="1"/>
  <c r="AU185" i="37" s="1"/>
  <c r="CH181" i="37"/>
  <c r="CB181" i="37" s="1"/>
  <c r="AU181" i="37" s="1"/>
  <c r="CH177" i="37"/>
  <c r="CB177" i="37" s="1"/>
  <c r="AU177" i="37" s="1"/>
  <c r="CH168" i="37"/>
  <c r="CB168" i="37" s="1"/>
  <c r="AU168" i="37" s="1"/>
  <c r="CH190" i="37"/>
  <c r="CB190" i="37" s="1"/>
  <c r="AU190" i="37" s="1"/>
  <c r="CH188" i="37"/>
  <c r="CB188" i="37" s="1"/>
  <c r="AU188" i="37" s="1"/>
  <c r="CH184" i="37"/>
  <c r="CB184" i="37" s="1"/>
  <c r="AU184" i="37" s="1"/>
  <c r="CH182" i="37"/>
  <c r="CB182" i="37" s="1"/>
  <c r="AU182" i="37" s="1"/>
  <c r="CH180" i="37"/>
  <c r="CB180" i="37" s="1"/>
  <c r="AU180" i="37" s="1"/>
  <c r="CH171" i="37"/>
  <c r="CB171" i="37" s="1"/>
  <c r="AU171" i="37" s="1"/>
  <c r="CH167" i="37"/>
  <c r="CB167" i="37" s="1"/>
  <c r="AU167" i="37" s="1"/>
  <c r="CB13" i="37"/>
  <c r="AW13" i="37" s="1"/>
  <c r="E83" i="31"/>
  <c r="E76" i="31"/>
  <c r="E42" i="31"/>
  <c r="CH47" i="31"/>
  <c r="CB47" i="31" s="1"/>
  <c r="K47" i="31" s="1"/>
  <c r="CH15" i="31"/>
  <c r="CB15" i="31" s="1"/>
  <c r="AE15" i="31" s="1"/>
  <c r="S63" i="16"/>
  <c r="AT96" i="33"/>
  <c r="AT94" i="33"/>
  <c r="AT101" i="33"/>
  <c r="AV72" i="33"/>
  <c r="AV68" i="33"/>
  <c r="AZ258" i="41"/>
  <c r="AZ248" i="41"/>
  <c r="AZ243" i="41"/>
  <c r="AZ242" i="41"/>
  <c r="AZ188" i="41"/>
  <c r="AZ198" i="41"/>
  <c r="AZ200" i="41"/>
  <c r="AZ202" i="41"/>
  <c r="AZ189" i="41"/>
  <c r="AZ168" i="41"/>
  <c r="AZ162" i="41"/>
  <c r="AZ163" i="41"/>
  <c r="AZ167" i="41"/>
  <c r="AZ178" i="41"/>
  <c r="R151" i="41"/>
  <c r="R153" i="41"/>
  <c r="R155" i="41"/>
  <c r="R146" i="41"/>
  <c r="AY124" i="41"/>
  <c r="AY101" i="41"/>
  <c r="AY91" i="41"/>
  <c r="AY60" i="41"/>
  <c r="AY45" i="41"/>
  <c r="AY50" i="41"/>
  <c r="CK114" i="8"/>
  <c r="CE114" i="8" s="1"/>
  <c r="CM114" i="8"/>
  <c r="CG114" i="8" s="1"/>
  <c r="CL114" i="8"/>
  <c r="CF114" i="8" s="1"/>
  <c r="CJ114" i="8"/>
  <c r="CD114" i="8" s="1"/>
  <c r="CI114" i="8"/>
  <c r="CC114" i="8" s="1"/>
  <c r="CH114" i="8"/>
  <c r="CB114" i="8" s="1"/>
  <c r="CK93" i="8"/>
  <c r="CE93" i="8" s="1"/>
  <c r="AS93" i="8" s="1"/>
  <c r="CI110" i="8"/>
  <c r="CC110" i="8" s="1"/>
  <c r="CH110" i="8"/>
  <c r="CB110" i="8" s="1"/>
  <c r="AU110" i="8" s="1"/>
  <c r="CM110" i="8"/>
  <c r="CG110" i="8" s="1"/>
  <c r="C88" i="8"/>
  <c r="CL110" i="8"/>
  <c r="CF110" i="8" s="1"/>
  <c r="F141" i="7"/>
  <c r="AP68" i="7"/>
  <c r="AP67" i="7"/>
  <c r="AP73" i="7"/>
  <c r="AP66" i="7"/>
  <c r="AT24" i="7"/>
  <c r="AT14" i="7"/>
  <c r="AT22" i="7"/>
  <c r="AT16" i="7"/>
  <c r="AT18" i="7"/>
  <c r="AT21" i="7"/>
  <c r="AT15" i="7"/>
  <c r="AT13" i="7"/>
  <c r="AT20" i="7"/>
  <c r="AW257" i="6"/>
  <c r="AW266" i="6"/>
  <c r="AX213" i="6"/>
  <c r="AU182" i="6"/>
  <c r="AU178" i="6"/>
  <c r="AU153" i="6"/>
  <c r="W72" i="36"/>
  <c r="CM23" i="7"/>
  <c r="CG23" i="7" s="1"/>
  <c r="CL23" i="7"/>
  <c r="CF23" i="7" s="1"/>
  <c r="CD75" i="4"/>
  <c r="CL14" i="6"/>
  <c r="CE14" i="6" s="1"/>
  <c r="R14" i="6" s="1"/>
  <c r="CK11" i="6"/>
  <c r="CD11" i="6" s="1"/>
  <c r="CL15" i="6"/>
  <c r="CE15" i="6" s="1"/>
  <c r="R15" i="6" s="1"/>
  <c r="CC11" i="6"/>
  <c r="CL12" i="6"/>
  <c r="CE12" i="6" s="1"/>
  <c r="R12" i="6" s="1"/>
  <c r="CL11" i="6"/>
  <c r="CE11" i="6" s="1"/>
  <c r="CI11" i="6"/>
  <c r="CB11" i="6" s="1"/>
  <c r="CL13" i="6"/>
  <c r="CE13" i="6" s="1"/>
  <c r="R13" i="6" s="1"/>
  <c r="AX215" i="6"/>
  <c r="AP57" i="7"/>
  <c r="AG7" i="27"/>
  <c r="D7" i="28" s="1"/>
  <c r="CC17" i="7"/>
  <c r="CI171" i="6"/>
  <c r="CC171" i="6" s="1"/>
  <c r="AP65" i="7"/>
  <c r="CK170" i="6"/>
  <c r="CE170" i="6" s="1"/>
  <c r="CH160" i="6"/>
  <c r="CB160" i="6" s="1"/>
  <c r="CL169" i="6"/>
  <c r="CF169" i="6" s="1"/>
  <c r="CK193" i="6"/>
  <c r="CE193" i="6" s="1"/>
  <c r="CJ170" i="6"/>
  <c r="CD170" i="6" s="1"/>
  <c r="CI54" i="7"/>
  <c r="CC54" i="7" s="1"/>
  <c r="CH54" i="7"/>
  <c r="CB54" i="7" s="1"/>
  <c r="CK227" i="6"/>
  <c r="CE227" i="6" s="1"/>
  <c r="CM227" i="6"/>
  <c r="CG227" i="6" s="1"/>
  <c r="CJ69" i="8"/>
  <c r="CD69" i="8" s="1"/>
  <c r="CC69" i="8"/>
  <c r="CG69" i="8"/>
  <c r="CA69" i="8" s="1"/>
  <c r="CB69" i="8"/>
  <c r="CK180" i="6"/>
  <c r="CE180" i="6" s="1"/>
  <c r="CJ180" i="6"/>
  <c r="CD180" i="6" s="1"/>
  <c r="CL180" i="6"/>
  <c r="CF180" i="6" s="1"/>
  <c r="CI279" i="6"/>
  <c r="CC279" i="6" s="1"/>
  <c r="CJ279" i="6"/>
  <c r="CD279" i="6" s="1"/>
  <c r="CK279" i="6"/>
  <c r="CE279" i="6" s="1"/>
  <c r="CM223" i="6"/>
  <c r="CG223" i="6" s="1"/>
  <c r="CJ223" i="6"/>
  <c r="CD223" i="6" s="1"/>
  <c r="CK223" i="6"/>
  <c r="CE223" i="6" s="1"/>
  <c r="S62" i="16"/>
  <c r="CL194" i="6"/>
  <c r="CF194" i="6" s="1"/>
  <c r="CM194" i="6"/>
  <c r="CG194" i="6" s="1"/>
  <c r="AU186" i="6"/>
  <c r="CH60" i="7"/>
  <c r="CB60" i="7" s="1"/>
  <c r="CI60" i="7"/>
  <c r="CC60" i="7" s="1"/>
  <c r="CI64" i="7"/>
  <c r="CC64" i="7" s="1"/>
  <c r="CH64" i="7"/>
  <c r="CB64" i="7" s="1"/>
  <c r="CJ49" i="8"/>
  <c r="CD49" i="8" s="1"/>
  <c r="C71" i="8"/>
  <c r="CC49" i="8"/>
  <c r="CG49" i="8"/>
  <c r="CA49" i="8" s="1"/>
  <c r="CJ60" i="8"/>
  <c r="CD60" i="8" s="1"/>
  <c r="CC60" i="8"/>
  <c r="CB60" i="8"/>
  <c r="CG60" i="8"/>
  <c r="CA60" i="8" s="1"/>
  <c r="CJ67" i="8"/>
  <c r="CD67" i="8" s="1"/>
  <c r="CB67" i="8"/>
  <c r="CG67" i="8"/>
  <c r="CA67" i="8" s="1"/>
  <c r="CC67" i="8"/>
  <c r="CL109" i="8"/>
  <c r="CF109" i="8" s="1"/>
  <c r="CK109" i="8"/>
  <c r="CE109" i="8" s="1"/>
  <c r="CM109" i="8"/>
  <c r="CG109" i="8" s="1"/>
  <c r="CL173" i="6"/>
  <c r="CF173" i="6" s="1"/>
  <c r="CI173" i="6"/>
  <c r="CC173" i="6" s="1"/>
  <c r="CJ173" i="6"/>
  <c r="CD173" i="6" s="1"/>
  <c r="CK183" i="6"/>
  <c r="CE183" i="6" s="1"/>
  <c r="CL183" i="6"/>
  <c r="CF183" i="6" s="1"/>
  <c r="CH183" i="6"/>
  <c r="CB183" i="6" s="1"/>
  <c r="CJ183" i="6"/>
  <c r="CD183" i="6" s="1"/>
  <c r="CI208" i="6"/>
  <c r="CC208" i="6" s="1"/>
  <c r="CH208" i="6"/>
  <c r="CB208" i="6" s="1"/>
  <c r="CL219" i="6"/>
  <c r="CF219" i="6" s="1"/>
  <c r="CI219" i="6"/>
  <c r="CC219" i="6" s="1"/>
  <c r="CH219" i="6"/>
  <c r="CB219" i="6" s="1"/>
  <c r="CC19" i="7"/>
  <c r="AT19" i="7" s="1"/>
  <c r="CL160" i="6"/>
  <c r="CF160" i="6" s="1"/>
  <c r="AU167" i="6"/>
  <c r="CK169" i="6"/>
  <c r="CE169" i="6" s="1"/>
  <c r="AX223" i="6"/>
  <c r="CK208" i="6"/>
  <c r="CE208" i="6" s="1"/>
  <c r="CJ208" i="6"/>
  <c r="CD208" i="6" s="1"/>
  <c r="CK194" i="6"/>
  <c r="CE194" i="6" s="1"/>
  <c r="AP58" i="7"/>
  <c r="CK160" i="6"/>
  <c r="CE160" i="6" s="1"/>
  <c r="AU184" i="6"/>
  <c r="AU163" i="6"/>
  <c r="AW268" i="6"/>
  <c r="CI189" i="6"/>
  <c r="CC189" i="6" s="1"/>
  <c r="CH62" i="7"/>
  <c r="CB62" i="7" s="1"/>
  <c r="AP62" i="7" s="1"/>
  <c r="CL223" i="6"/>
  <c r="CF223" i="6" s="1"/>
  <c r="CL208" i="6"/>
  <c r="CF208" i="6" s="1"/>
  <c r="CL181" i="6"/>
  <c r="CF181" i="6" s="1"/>
  <c r="AU181" i="6" s="1"/>
  <c r="AX225" i="6"/>
  <c r="CL171" i="6"/>
  <c r="CF171" i="6" s="1"/>
  <c r="CK171" i="6"/>
  <c r="CE171" i="6" s="1"/>
  <c r="AU165" i="6"/>
  <c r="AW265" i="6"/>
  <c r="AX200" i="6"/>
  <c r="CJ193" i="6"/>
  <c r="CD193" i="6" s="1"/>
  <c r="CJ160" i="6"/>
  <c r="CD160" i="6" s="1"/>
  <c r="AP48" i="7"/>
  <c r="CB17" i="7"/>
  <c r="CI169" i="6"/>
  <c r="CC169" i="6" s="1"/>
  <c r="CM193" i="6"/>
  <c r="CG193" i="6" s="1"/>
  <c r="CH189" i="6"/>
  <c r="CB189" i="6" s="1"/>
  <c r="AW262" i="6"/>
  <c r="CJ192" i="6"/>
  <c r="CD192" i="6" s="1"/>
  <c r="CL192" i="6"/>
  <c r="CF192" i="6" s="1"/>
  <c r="CK192" i="6"/>
  <c r="CE192" i="6" s="1"/>
  <c r="CJ276" i="6"/>
  <c r="CD276" i="6" s="1"/>
  <c r="CL278" i="6"/>
  <c r="CF278" i="6" s="1"/>
  <c r="CH276" i="6"/>
  <c r="CB276" i="6" s="1"/>
  <c r="CB49" i="8"/>
  <c r="S64" i="16"/>
  <c r="AU164" i="6"/>
  <c r="B200" i="16"/>
  <c r="F22" i="28" s="1"/>
  <c r="CK188" i="6"/>
  <c r="CE188" i="6" s="1"/>
  <c r="CI188" i="6"/>
  <c r="CC188" i="6" s="1"/>
  <c r="AS100" i="8"/>
  <c r="AP63" i="7"/>
  <c r="CJ161" i="6"/>
  <c r="CD161" i="6" s="1"/>
  <c r="AU161" i="6" s="1"/>
  <c r="AU162" i="6"/>
  <c r="AP55" i="7"/>
  <c r="CC26" i="7"/>
  <c r="AT26" i="7" s="1"/>
  <c r="CK185" i="6"/>
  <c r="CE185" i="6" s="1"/>
  <c r="CI185" i="6"/>
  <c r="CC185" i="6" s="1"/>
  <c r="CL214" i="6"/>
  <c r="CF214" i="6" s="1"/>
  <c r="CM214" i="6"/>
  <c r="CG214" i="6" s="1"/>
  <c r="CJ214" i="6"/>
  <c r="CD214" i="6" s="1"/>
  <c r="CK214" i="6"/>
  <c r="CE214" i="6" s="1"/>
  <c r="AP71" i="7"/>
  <c r="CK206" i="6"/>
  <c r="CE206" i="6" s="1"/>
  <c r="CL206" i="6"/>
  <c r="CF206" i="6" s="1"/>
  <c r="CI98" i="8"/>
  <c r="CC98" i="8" s="1"/>
  <c r="CK98" i="8"/>
  <c r="CE98" i="8" s="1"/>
  <c r="AW254" i="6"/>
  <c r="CI224" i="6"/>
  <c r="CC224" i="6" s="1"/>
  <c r="CH224" i="6"/>
  <c r="CB224" i="6" s="1"/>
  <c r="CH26" i="31"/>
  <c r="CB26" i="31" s="1"/>
  <c r="AE26" i="31" s="1"/>
  <c r="CH60" i="31"/>
  <c r="CB60" i="31" s="1"/>
  <c r="K60" i="31" s="1"/>
  <c r="K121" i="6"/>
  <c r="CM217" i="6"/>
  <c r="CG217" i="6" s="1"/>
  <c r="CK217" i="6"/>
  <c r="CE217" i="6" s="1"/>
  <c r="CK179" i="6"/>
  <c r="CE179" i="6" s="1"/>
  <c r="CH179" i="6"/>
  <c r="CB179" i="6" s="1"/>
  <c r="CI179" i="6"/>
  <c r="CC179" i="6" s="1"/>
  <c r="CI216" i="6"/>
  <c r="CC216" i="6" s="1"/>
  <c r="CH216" i="6"/>
  <c r="CB216" i="6" s="1"/>
  <c r="CL213" i="6"/>
  <c r="CF213" i="6" s="1"/>
  <c r="CM213" i="6"/>
  <c r="CG213" i="6" s="1"/>
  <c r="CK213" i="6"/>
  <c r="CE213" i="6" s="1"/>
  <c r="CJ213" i="6"/>
  <c r="CD213" i="6" s="1"/>
  <c r="J133" i="31"/>
  <c r="CI66" i="33"/>
  <c r="CC66" i="33" s="1"/>
  <c r="CH66" i="33"/>
  <c r="CB66" i="33" s="1"/>
  <c r="CJ66" i="33"/>
  <c r="CD66" i="33" s="1"/>
  <c r="CH75" i="33"/>
  <c r="CB75" i="33" s="1"/>
  <c r="CJ75" i="33"/>
  <c r="CD75" i="33" s="1"/>
  <c r="CI75" i="33"/>
  <c r="CC75" i="33" s="1"/>
  <c r="AZ257" i="41"/>
  <c r="CJ255" i="6"/>
  <c r="CD255" i="6" s="1"/>
  <c r="AW255" i="6" s="1"/>
  <c r="V13" i="16"/>
  <c r="CK196" i="6"/>
  <c r="CE196" i="6" s="1"/>
  <c r="CM196" i="6"/>
  <c r="CG196" i="6" s="1"/>
  <c r="CL196" i="6"/>
  <c r="CF196" i="6" s="1"/>
  <c r="CK176" i="6"/>
  <c r="CE176" i="6" s="1"/>
  <c r="CH176" i="6"/>
  <c r="CB176" i="6" s="1"/>
  <c r="CL176" i="6"/>
  <c r="CF176" i="6" s="1"/>
  <c r="CJ176" i="6"/>
  <c r="CD176" i="6" s="1"/>
  <c r="CI217" i="6"/>
  <c r="CC217" i="6" s="1"/>
  <c r="CH217" i="6"/>
  <c r="CB217" i="6" s="1"/>
  <c r="CH213" i="6"/>
  <c r="CB213" i="6" s="1"/>
  <c r="CI213" i="6"/>
  <c r="CC213" i="6" s="1"/>
  <c r="CH34" i="31"/>
  <c r="CB34" i="31" s="1"/>
  <c r="AE34" i="31" s="1"/>
  <c r="CH68" i="31"/>
  <c r="CB68" i="31" s="1"/>
  <c r="K68" i="31" s="1"/>
  <c r="AS94" i="8"/>
  <c r="AW260" i="6"/>
  <c r="AU177" i="6"/>
  <c r="E120" i="6"/>
  <c r="E121" i="6" s="1"/>
  <c r="D133" i="6"/>
  <c r="D134" i="6" s="1"/>
  <c r="F68" i="16"/>
  <c r="C208" i="32"/>
  <c r="D11" i="28" s="1"/>
  <c r="CJ40" i="8"/>
  <c r="CD40" i="8" s="1"/>
  <c r="CJ43" i="8"/>
  <c r="CD43" i="8" s="1"/>
  <c r="CJ51" i="8"/>
  <c r="CD51" i="8" s="1"/>
  <c r="V14" i="16"/>
  <c r="E55" i="16"/>
  <c r="AV80" i="33"/>
  <c r="AZ260" i="41"/>
  <c r="DB13" i="41"/>
  <c r="CJ15" i="8"/>
  <c r="CD15" i="8" s="1"/>
  <c r="CJ23" i="8"/>
  <c r="CD23" i="8" s="1"/>
  <c r="CJ31" i="8"/>
  <c r="CD31" i="8" s="1"/>
  <c r="CH16" i="31"/>
  <c r="CB16" i="31" s="1"/>
  <c r="AE16" i="31" s="1"/>
  <c r="CH71" i="33"/>
  <c r="CB71" i="33" s="1"/>
  <c r="CI71" i="33"/>
  <c r="CC71" i="33" s="1"/>
  <c r="CJ71" i="33"/>
  <c r="CD71" i="33" s="1"/>
  <c r="CI26" i="36"/>
  <c r="CC26" i="36" s="1"/>
  <c r="AY26" i="36" s="1"/>
  <c r="CC112" i="41"/>
  <c r="DA112" i="41"/>
  <c r="CE112" i="41"/>
  <c r="DF112" i="41"/>
  <c r="DB112" i="41"/>
  <c r="DD112" i="41"/>
  <c r="CD112" i="41"/>
  <c r="CF112" i="41"/>
  <c r="DE112" i="41"/>
  <c r="CB112" i="41"/>
  <c r="EA112" i="41"/>
  <c r="CB45" i="4"/>
  <c r="S45" i="4" s="1"/>
  <c r="CK215" i="6"/>
  <c r="CE215" i="6" s="1"/>
  <c r="O129" i="31"/>
  <c r="CI64" i="33"/>
  <c r="CC64" i="33" s="1"/>
  <c r="CH64" i="33"/>
  <c r="CB64" i="33" s="1"/>
  <c r="CI69" i="33"/>
  <c r="CC69" i="33" s="1"/>
  <c r="CH69" i="33"/>
  <c r="CB69" i="33" s="1"/>
  <c r="AV69" i="33" s="1"/>
  <c r="CI97" i="33"/>
  <c r="CC97" i="33" s="1"/>
  <c r="CH97" i="33"/>
  <c r="CB97" i="33" s="1"/>
  <c r="AT97" i="33" s="1"/>
  <c r="AY133" i="41"/>
  <c r="CB35" i="41"/>
  <c r="DB35" i="41"/>
  <c r="CB48" i="41"/>
  <c r="DB48" i="41"/>
  <c r="CJ215" i="6"/>
  <c r="CD215" i="6" s="1"/>
  <c r="CH67" i="31"/>
  <c r="CB67" i="31" s="1"/>
  <c r="K67" i="31" s="1"/>
  <c r="CH59" i="31"/>
  <c r="CB59" i="31" s="1"/>
  <c r="K59" i="31" s="1"/>
  <c r="CH17" i="31"/>
  <c r="CB17" i="31" s="1"/>
  <c r="AE17" i="31" s="1"/>
  <c r="AY106" i="41"/>
  <c r="CJ55" i="8"/>
  <c r="CD55" i="8" s="1"/>
  <c r="CM215" i="6"/>
  <c r="CG215" i="6" s="1"/>
  <c r="CH48" i="31"/>
  <c r="CB48" i="31" s="1"/>
  <c r="K48" i="31" s="1"/>
  <c r="CH71" i="31"/>
  <c r="CB71" i="31" s="1"/>
  <c r="K71" i="31" s="1"/>
  <c r="AY130" i="41"/>
  <c r="DB29" i="41"/>
  <c r="CB29" i="41"/>
  <c r="L12" i="2"/>
  <c r="B198" i="2" s="1"/>
  <c r="F20" i="28" s="1"/>
  <c r="CJ107" i="8"/>
  <c r="CD107" i="8" s="1"/>
  <c r="CJ14" i="8"/>
  <c r="CD14" i="8" s="1"/>
  <c r="CJ19" i="8"/>
  <c r="CD19" i="8" s="1"/>
  <c r="CJ70" i="8"/>
  <c r="CD70" i="8" s="1"/>
  <c r="V15" i="16"/>
  <c r="E141" i="7"/>
  <c r="D12" i="32"/>
  <c r="CJ84" i="33"/>
  <c r="CD84" i="33" s="1"/>
  <c r="CH84" i="33"/>
  <c r="CB84" i="33" s="1"/>
  <c r="CI79" i="33"/>
  <c r="CC79" i="33" s="1"/>
  <c r="CJ79" i="33"/>
  <c r="CD79" i="33" s="1"/>
  <c r="D21" i="37"/>
  <c r="AZ254" i="41"/>
  <c r="CD25" i="41"/>
  <c r="DF25" i="41"/>
  <c r="DC25" i="41"/>
  <c r="EA25" i="41"/>
  <c r="CC25" i="41"/>
  <c r="CF25" i="41"/>
  <c r="CE25" i="41"/>
  <c r="DA25" i="41"/>
  <c r="DD25" i="41"/>
  <c r="DE25" i="41"/>
  <c r="CH31" i="37"/>
  <c r="CB31" i="37" s="1"/>
  <c r="DC13" i="41"/>
  <c r="DF13" i="41"/>
  <c r="DE13" i="41"/>
  <c r="CF13" i="41"/>
  <c r="DD13" i="41"/>
  <c r="CE13" i="41"/>
  <c r="CD13" i="41"/>
  <c r="EA13" i="41"/>
  <c r="CC13" i="41"/>
  <c r="DA13" i="41"/>
  <c r="CI23" i="33"/>
  <c r="CC23" i="33" s="1"/>
  <c r="CI25" i="33"/>
  <c r="CC25" i="33" s="1"/>
  <c r="CH33" i="33"/>
  <c r="CB33" i="33" s="1"/>
  <c r="CJ35" i="33"/>
  <c r="CD35" i="33" s="1"/>
  <c r="CI39" i="33"/>
  <c r="CC39" i="33" s="1"/>
  <c r="CJ41" i="33"/>
  <c r="CD41" i="33" s="1"/>
  <c r="CH43" i="33"/>
  <c r="CB43" i="33" s="1"/>
  <c r="CH18" i="37"/>
  <c r="CB18" i="37" s="1"/>
  <c r="AW18" i="37" s="1"/>
  <c r="AY125" i="41"/>
  <c r="AY88" i="41"/>
  <c r="DC19" i="41"/>
  <c r="CE19" i="41"/>
  <c r="DD19" i="41"/>
  <c r="CC19" i="41"/>
  <c r="DB105" i="41"/>
  <c r="CD105" i="41"/>
  <c r="AY105" i="41" s="1"/>
  <c r="DF105" i="41"/>
  <c r="CH52" i="33"/>
  <c r="CB52" i="33" s="1"/>
  <c r="AY122" i="41"/>
  <c r="AZ253" i="41"/>
  <c r="DC17" i="41"/>
  <c r="DF17" i="41"/>
  <c r="CF111" i="41"/>
  <c r="DF111" i="41"/>
  <c r="CE111" i="41"/>
  <c r="DD111" i="41"/>
  <c r="CD111" i="41"/>
  <c r="EA111" i="41"/>
  <c r="CB111" i="41"/>
  <c r="DE111" i="41"/>
  <c r="AZ245" i="41"/>
  <c r="AY48" i="41"/>
  <c r="AY62" i="41"/>
  <c r="DE17" i="41"/>
  <c r="DC18" i="41"/>
  <c r="EA18" i="41"/>
  <c r="CD18" i="41"/>
  <c r="DD18" i="41"/>
  <c r="DA138" i="41"/>
  <c r="DE138" i="41"/>
  <c r="DC138" i="41"/>
  <c r="AZ250" i="41"/>
  <c r="AY134" i="41"/>
  <c r="AY110" i="41"/>
  <c r="AY132" i="41"/>
  <c r="AY80" i="41"/>
  <c r="DA17" i="41"/>
  <c r="CC34" i="41"/>
  <c r="EA17" i="41"/>
  <c r="DB17" i="41"/>
  <c r="DF19" i="41"/>
  <c r="CD34" i="41"/>
  <c r="DD39" i="41"/>
  <c r="CE39" i="41"/>
  <c r="DF39" i="41"/>
  <c r="EA39" i="41"/>
  <c r="CF39" i="41"/>
  <c r="E28" i="44"/>
  <c r="F28" i="44"/>
  <c r="E29" i="36"/>
  <c r="CC17" i="41"/>
  <c r="DA18" i="41"/>
  <c r="DD34" i="41"/>
  <c r="CB19" i="41"/>
  <c r="CD29" i="41"/>
  <c r="DF29" i="41"/>
  <c r="DE29" i="41"/>
  <c r="EA29" i="41"/>
  <c r="DC111" i="41"/>
  <c r="DF117" i="41"/>
  <c r="CD117" i="41"/>
  <c r="AY117" i="41" s="1"/>
  <c r="DB117" i="41"/>
  <c r="AV86" i="33"/>
  <c r="CN31" i="37"/>
  <c r="CV31" i="37" s="1"/>
  <c r="AZ249" i="41"/>
  <c r="CB14" i="41"/>
  <c r="AY14" i="41" s="1"/>
  <c r="DB14" i="41"/>
  <c r="DF18" i="41"/>
  <c r="DE26" i="41"/>
  <c r="CE26" i="41"/>
  <c r="DF34" i="41"/>
  <c r="DC34" i="41"/>
  <c r="DB34" i="41"/>
  <c r="EA34" i="41"/>
  <c r="CB34" i="41"/>
  <c r="CC138" i="41"/>
  <c r="AZ174" i="41"/>
  <c r="CE246" i="41"/>
  <c r="DX246" i="41"/>
  <c r="CX246" i="41" s="1"/>
  <c r="CH74" i="33"/>
  <c r="CB74" i="33" s="1"/>
  <c r="AV74" i="33" s="1"/>
  <c r="CH62" i="33"/>
  <c r="CB62" i="33" s="1"/>
  <c r="CH14" i="36"/>
  <c r="CB14" i="36" s="1"/>
  <c r="AY14" i="36" s="1"/>
  <c r="CH15" i="37"/>
  <c r="CB15" i="37" s="1"/>
  <c r="AW15" i="37" s="1"/>
  <c r="K17" i="38"/>
  <c r="N17" i="38"/>
  <c r="AY92" i="41"/>
  <c r="CB17" i="41"/>
  <c r="AY38" i="41"/>
  <c r="CF15" i="41"/>
  <c r="DC15" i="41"/>
  <c r="DF15" i="41"/>
  <c r="CD15" i="41"/>
  <c r="DA15" i="41"/>
  <c r="DE18" i="41"/>
  <c r="CE37" i="41"/>
  <c r="CD37" i="41"/>
  <c r="DC37" i="41"/>
  <c r="AY40" i="41"/>
  <c r="CF43" i="41"/>
  <c r="CE43" i="41"/>
  <c r="DD43" i="41"/>
  <c r="DC43" i="41"/>
  <c r="EA43" i="41"/>
  <c r="DF221" i="41"/>
  <c r="CD221" i="41"/>
  <c r="CD234" i="41"/>
  <c r="CE234" i="41"/>
  <c r="CC234" i="41"/>
  <c r="DX244" i="41"/>
  <c r="CX244" i="41" s="1"/>
  <c r="DB244" i="41"/>
  <c r="CB244" i="41" s="1"/>
  <c r="CB18" i="41"/>
  <c r="DB19" i="41"/>
  <c r="EA35" i="41"/>
  <c r="EA46" i="41"/>
  <c r="DB49" i="41"/>
  <c r="EA58" i="41"/>
  <c r="DE68" i="41"/>
  <c r="CE73" i="41"/>
  <c r="DF73" i="41"/>
  <c r="DF79" i="41"/>
  <c r="CD83" i="41"/>
  <c r="AY83" i="41" s="1"/>
  <c r="DE88" i="41"/>
  <c r="AY94" i="41"/>
  <c r="CD95" i="41"/>
  <c r="DD95" i="41"/>
  <c r="CB100" i="41"/>
  <c r="DB106" i="41"/>
  <c r="DC106" i="41"/>
  <c r="DB110" i="41"/>
  <c r="DC110" i="41"/>
  <c r="DB113" i="41"/>
  <c r="DB122" i="41"/>
  <c r="DC122" i="41"/>
  <c r="DE123" i="41"/>
  <c r="DE125" i="41"/>
  <c r="DC127" i="41"/>
  <c r="R145" i="41"/>
  <c r="AZ160" i="41"/>
  <c r="AZ173" i="41"/>
  <c r="AZ187" i="41"/>
  <c r="AZ195" i="41"/>
  <c r="AZ206" i="41"/>
  <c r="AZ207" i="41"/>
  <c r="CE233" i="41"/>
  <c r="DX252" i="41"/>
  <c r="CX252" i="41" s="1"/>
  <c r="CE259" i="41"/>
  <c r="DE259" i="41"/>
  <c r="DY262" i="41"/>
  <c r="CY262" i="41" s="1"/>
  <c r="DF23" i="41"/>
  <c r="DD23" i="41"/>
  <c r="DB43" i="41"/>
  <c r="EA62" i="41"/>
  <c r="CF73" i="41"/>
  <c r="DE82" i="41"/>
  <c r="CE95" i="41"/>
  <c r="DF95" i="41"/>
  <c r="CB109" i="41"/>
  <c r="AY109" i="41" s="1"/>
  <c r="DB123" i="41"/>
  <c r="DB125" i="41"/>
  <c r="DB127" i="41"/>
  <c r="DF127" i="41"/>
  <c r="CD139" i="41"/>
  <c r="AZ196" i="41"/>
  <c r="CB233" i="41"/>
  <c r="CE255" i="41"/>
  <c r="AZ255" i="41" s="1"/>
  <c r="CF259" i="41"/>
  <c r="DD259" i="41"/>
  <c r="F130" i="43"/>
  <c r="D133" i="44"/>
  <c r="B195" i="44" s="1"/>
  <c r="F23" i="28" s="1"/>
  <c r="CE127" i="41"/>
  <c r="R143" i="41"/>
  <c r="R147" i="41"/>
  <c r="AZ170" i="41"/>
  <c r="AZ179" i="41"/>
  <c r="AZ182" i="41"/>
  <c r="AZ191" i="41"/>
  <c r="AZ194" i="41"/>
  <c r="CF23" i="41"/>
  <c r="CB36" i="41"/>
  <c r="AY36" i="41" s="1"/>
  <c r="DB38" i="41"/>
  <c r="DC38" i="41"/>
  <c r="DA84" i="41"/>
  <c r="DB85" i="41"/>
  <c r="DA85" i="41"/>
  <c r="CB93" i="41"/>
  <c r="DB94" i="41"/>
  <c r="DC94" i="41"/>
  <c r="DE95" i="41"/>
  <c r="CD123" i="41"/>
  <c r="DD123" i="41"/>
  <c r="R154" i="41"/>
  <c r="DD220" i="41"/>
  <c r="DF223" i="41"/>
  <c r="CF226" i="41"/>
  <c r="CE262" i="41"/>
  <c r="DA93" i="41"/>
  <c r="DF93" i="41"/>
  <c r="DF94" i="41"/>
  <c r="CE123" i="41"/>
  <c r="AZ165" i="41"/>
  <c r="AZ192" i="41"/>
  <c r="CE237" i="41"/>
  <c r="DF243" i="41"/>
  <c r="CE252" i="41"/>
  <c r="CE256" i="41"/>
  <c r="DE264" i="41"/>
  <c r="D95" i="43"/>
  <c r="AY63" i="41"/>
  <c r="AY70" i="41"/>
  <c r="AZ161" i="41"/>
  <c r="AZ177" i="41"/>
  <c r="DB264" i="41"/>
  <c r="CB264" i="41" s="1"/>
  <c r="AZ264" i="41" s="1"/>
  <c r="CE69" i="41"/>
  <c r="CD73" i="41"/>
  <c r="DB80" i="41"/>
  <c r="CF84" i="41"/>
  <c r="CF85" i="41"/>
  <c r="R152" i="41"/>
  <c r="AZ180" i="41"/>
  <c r="AZ203" i="41"/>
  <c r="AZ205" i="41"/>
  <c r="AZ209" i="41"/>
  <c r="CB224" i="41"/>
  <c r="B195" i="42"/>
  <c r="F19" i="28" s="1"/>
  <c r="B186" i="1"/>
  <c r="F8" i="28" s="1"/>
  <c r="AU166" i="6"/>
  <c r="AX212" i="6"/>
  <c r="AP59" i="7"/>
  <c r="AX214" i="6"/>
  <c r="AX202" i="6"/>
  <c r="AX228" i="6"/>
  <c r="AW269" i="6"/>
  <c r="CB61" i="16"/>
  <c r="AW264" i="6"/>
  <c r="AU155" i="6"/>
  <c r="AU158" i="6"/>
  <c r="AU159" i="6"/>
  <c r="CB99" i="6"/>
  <c r="AP70" i="7"/>
  <c r="AX210" i="6"/>
  <c r="CB107" i="8"/>
  <c r="CM107" i="8"/>
  <c r="CG107" i="8" s="1"/>
  <c r="CL111" i="8"/>
  <c r="CF111" i="8" s="1"/>
  <c r="CI111" i="8"/>
  <c r="CC111" i="8" s="1"/>
  <c r="CM111" i="8"/>
  <c r="CG111" i="8" s="1"/>
  <c r="CK111" i="8"/>
  <c r="CE111" i="8" s="1"/>
  <c r="CH111" i="8"/>
  <c r="CB111" i="8" s="1"/>
  <c r="CJ111" i="8"/>
  <c r="CD111" i="8" s="1"/>
  <c r="CK113" i="8"/>
  <c r="CE113" i="8" s="1"/>
  <c r="CL113" i="8"/>
  <c r="CF113" i="8" s="1"/>
  <c r="CJ113" i="8"/>
  <c r="CD113" i="8" s="1"/>
  <c r="CI113" i="8"/>
  <c r="CC113" i="8" s="1"/>
  <c r="CH113" i="8"/>
  <c r="CB113" i="8" s="1"/>
  <c r="CM113" i="8"/>
  <c r="CG113" i="8" s="1"/>
  <c r="CM117" i="8"/>
  <c r="CG117" i="8" s="1"/>
  <c r="CK117" i="8"/>
  <c r="CE117" i="8" s="1"/>
  <c r="CL117" i="8"/>
  <c r="CF117" i="8" s="1"/>
  <c r="CJ117" i="8"/>
  <c r="CD117" i="8" s="1"/>
  <c r="CH117" i="8"/>
  <c r="CB117" i="8" s="1"/>
  <c r="CI117" i="8"/>
  <c r="CC117" i="8" s="1"/>
  <c r="AU187" i="6"/>
  <c r="AU174" i="6"/>
  <c r="N37" i="16"/>
  <c r="CJ259" i="6"/>
  <c r="CD259" i="6" s="1"/>
  <c r="CI259" i="6"/>
  <c r="CC259" i="6" s="1"/>
  <c r="CL218" i="6"/>
  <c r="CF218" i="6" s="1"/>
  <c r="CK218" i="6"/>
  <c r="CE218" i="6" s="1"/>
  <c r="CJ218" i="6"/>
  <c r="CD218" i="6" s="1"/>
  <c r="CM218" i="6"/>
  <c r="CG218" i="6" s="1"/>
  <c r="CJ190" i="6"/>
  <c r="CD190" i="6" s="1"/>
  <c r="CK190" i="6"/>
  <c r="CE190" i="6" s="1"/>
  <c r="CM190" i="6"/>
  <c r="CG190" i="6" s="1"/>
  <c r="CI267" i="6"/>
  <c r="CC267" i="6" s="1"/>
  <c r="AW267" i="6" s="1"/>
  <c r="CH72" i="7"/>
  <c r="CB72" i="7" s="1"/>
  <c r="AP72" i="7" s="1"/>
  <c r="CI53" i="7"/>
  <c r="CC53" i="7" s="1"/>
  <c r="AP53" i="7" s="1"/>
  <c r="CM205" i="6"/>
  <c r="CG205" i="6" s="1"/>
  <c r="CL205" i="6"/>
  <c r="CF205" i="6" s="1"/>
  <c r="CM115" i="8"/>
  <c r="CG115" i="8" s="1"/>
  <c r="CI115" i="8"/>
  <c r="CC115" i="8" s="1"/>
  <c r="CH115" i="8"/>
  <c r="CB115" i="8" s="1"/>
  <c r="CC25" i="7"/>
  <c r="AT25" i="7" s="1"/>
  <c r="CH96" i="8"/>
  <c r="CB96" i="8" s="1"/>
  <c r="CJ96" i="8"/>
  <c r="CD96" i="8" s="1"/>
  <c r="CK168" i="6"/>
  <c r="CE168" i="6" s="1"/>
  <c r="CJ168" i="6"/>
  <c r="CD168" i="6" s="1"/>
  <c r="CH168" i="6"/>
  <c r="CB168" i="6" s="1"/>
  <c r="CM202" i="6"/>
  <c r="CG202" i="6" s="1"/>
  <c r="CJ202" i="6"/>
  <c r="CD202" i="6" s="1"/>
  <c r="CI61" i="16"/>
  <c r="CC61" i="16" s="1"/>
  <c r="CK219" i="6"/>
  <c r="CE219" i="6" s="1"/>
  <c r="CM219" i="6"/>
  <c r="CG219" i="6" s="1"/>
  <c r="CM204" i="6"/>
  <c r="CG204" i="6" s="1"/>
  <c r="CL204" i="6"/>
  <c r="CF204" i="6" s="1"/>
  <c r="CI47" i="7"/>
  <c r="CC47" i="7" s="1"/>
  <c r="AP47" i="7" s="1"/>
  <c r="B176" i="7"/>
  <c r="F13" i="28" s="1"/>
  <c r="D121" i="6"/>
  <c r="CJ109" i="8"/>
  <c r="CD109" i="8" s="1"/>
  <c r="CJ256" i="6"/>
  <c r="CD256" i="6" s="1"/>
  <c r="AW256" i="6" s="1"/>
  <c r="CG151" i="6"/>
  <c r="CA151" i="6" s="1"/>
  <c r="CI198" i="6"/>
  <c r="CC198" i="6" s="1"/>
  <c r="CH198" i="6"/>
  <c r="CB198" i="6" s="1"/>
  <c r="CI200" i="6"/>
  <c r="CC200" i="6" s="1"/>
  <c r="CH200" i="6"/>
  <c r="CB200" i="6" s="1"/>
  <c r="CH203" i="6"/>
  <c r="CB203" i="6" s="1"/>
  <c r="CI203" i="6"/>
  <c r="CC203" i="6" s="1"/>
  <c r="CH205" i="6"/>
  <c r="CB205" i="6" s="1"/>
  <c r="CI205" i="6"/>
  <c r="CC205" i="6" s="1"/>
  <c r="CI221" i="6"/>
  <c r="CC221" i="6" s="1"/>
  <c r="CH221" i="6"/>
  <c r="CB221" i="6" s="1"/>
  <c r="AU156" i="6"/>
  <c r="Q12" i="2"/>
  <c r="CK99" i="8"/>
  <c r="CE99" i="8" s="1"/>
  <c r="CK154" i="6"/>
  <c r="CE154" i="6" s="1"/>
  <c r="CL154" i="6"/>
  <c r="CF154" i="6" s="1"/>
  <c r="CL189" i="6"/>
  <c r="CF189" i="6" s="1"/>
  <c r="CL277" i="6"/>
  <c r="CF277" i="6" s="1"/>
  <c r="CJ277" i="6"/>
  <c r="CD277" i="6" s="1"/>
  <c r="CI180" i="6"/>
  <c r="CC180" i="6" s="1"/>
  <c r="AU180" i="6" s="1"/>
  <c r="CI109" i="8"/>
  <c r="CC109" i="8" s="1"/>
  <c r="X71" i="8"/>
  <c r="CJ12" i="8"/>
  <c r="CD12" i="8" s="1"/>
  <c r="AB71" i="8"/>
  <c r="CL217" i="6"/>
  <c r="CF217" i="6" s="1"/>
  <c r="CJ217" i="6"/>
  <c r="CD217" i="6" s="1"/>
  <c r="CK157" i="6"/>
  <c r="CE157" i="6" s="1"/>
  <c r="CI157" i="6"/>
  <c r="CC157" i="6" s="1"/>
  <c r="CH157" i="6"/>
  <c r="CB157" i="6" s="1"/>
  <c r="CL157" i="6"/>
  <c r="CF157" i="6" s="1"/>
  <c r="CJ157" i="6"/>
  <c r="CD157" i="6" s="1"/>
  <c r="CI74" i="7"/>
  <c r="CC74" i="7" s="1"/>
  <c r="AP74" i="7" s="1"/>
  <c r="CN190" i="6"/>
  <c r="CP190" i="6" s="1"/>
  <c r="CJ205" i="6"/>
  <c r="CD205" i="6" s="1"/>
  <c r="CJ115" i="8"/>
  <c r="CD115" i="8" s="1"/>
  <c r="CL115" i="8"/>
  <c r="CF115" i="8" s="1"/>
  <c r="CI96" i="8"/>
  <c r="CC96" i="8" s="1"/>
  <c r="CK96" i="8"/>
  <c r="CE96" i="8" s="1"/>
  <c r="CL168" i="6"/>
  <c r="CF168" i="6" s="1"/>
  <c r="CK202" i="6"/>
  <c r="CE202" i="6" s="1"/>
  <c r="CJ219" i="6"/>
  <c r="CD219" i="6" s="1"/>
  <c r="CJ204" i="6"/>
  <c r="CD204" i="6" s="1"/>
  <c r="CK108" i="8"/>
  <c r="CE108" i="8" s="1"/>
  <c r="CM108" i="8"/>
  <c r="CG108" i="8" s="1"/>
  <c r="CL108" i="8"/>
  <c r="CF108" i="8" s="1"/>
  <c r="CI108" i="8"/>
  <c r="CC108" i="8" s="1"/>
  <c r="CH109" i="8"/>
  <c r="CB109" i="8" s="1"/>
  <c r="CJ258" i="6"/>
  <c r="CD258" i="6" s="1"/>
  <c r="CI258" i="6"/>
  <c r="CC258" i="6" s="1"/>
  <c r="CJ227" i="6"/>
  <c r="CD227" i="6" s="1"/>
  <c r="CL227" i="6"/>
  <c r="CF227" i="6" s="1"/>
  <c r="CM201" i="6"/>
  <c r="CG201" i="6" s="1"/>
  <c r="CK201" i="6"/>
  <c r="CE201" i="6" s="1"/>
  <c r="CC68" i="8"/>
  <c r="CG68" i="8"/>
  <c r="CA68" i="8" s="1"/>
  <c r="CJ68" i="8"/>
  <c r="CD68" i="8" s="1"/>
  <c r="CB68" i="8"/>
  <c r="CG59" i="8"/>
  <c r="CA59" i="8" s="1"/>
  <c r="CC59" i="8"/>
  <c r="CH188" i="6"/>
  <c r="CB188" i="6" s="1"/>
  <c r="CJ188" i="6"/>
  <c r="CD188" i="6" s="1"/>
  <c r="F69" i="16"/>
  <c r="CH17" i="33"/>
  <c r="CB17" i="33" s="1"/>
  <c r="CI17" i="33"/>
  <c r="CC17" i="33" s="1"/>
  <c r="CJ17" i="33"/>
  <c r="CD17" i="33" s="1"/>
  <c r="CJ25" i="33"/>
  <c r="CD25" i="33" s="1"/>
  <c r="CJ59" i="8"/>
  <c r="CD59" i="8" s="1"/>
  <c r="CL188" i="6"/>
  <c r="CF188" i="6" s="1"/>
  <c r="V12" i="16"/>
  <c r="CH52" i="31"/>
  <c r="CB52" i="31" s="1"/>
  <c r="K52" i="31" s="1"/>
  <c r="CH30" i="33"/>
  <c r="CB30" i="33" s="1"/>
  <c r="AV30" i="33" s="1"/>
  <c r="CH37" i="33"/>
  <c r="CB37" i="33" s="1"/>
  <c r="AV78" i="33"/>
  <c r="CI18" i="33"/>
  <c r="CC18" i="33" s="1"/>
  <c r="CJ63" i="33"/>
  <c r="CD63" i="33" s="1"/>
  <c r="CI63" i="33"/>
  <c r="CC63" i="33" s="1"/>
  <c r="CH63" i="33"/>
  <c r="CB63" i="33" s="1"/>
  <c r="CH61" i="31"/>
  <c r="CB61" i="31" s="1"/>
  <c r="K61" i="31" s="1"/>
  <c r="CH14" i="31"/>
  <c r="CB14" i="31" s="1"/>
  <c r="AE14" i="31" s="1"/>
  <c r="C12" i="32"/>
  <c r="CI36" i="33"/>
  <c r="CC36" i="33" s="1"/>
  <c r="AV36" i="33" s="1"/>
  <c r="CJ18" i="33"/>
  <c r="CD18" i="33" s="1"/>
  <c r="CI14" i="33"/>
  <c r="CC14" i="33" s="1"/>
  <c r="CJ14" i="33"/>
  <c r="CD14" i="33" s="1"/>
  <c r="CH14" i="33"/>
  <c r="CJ48" i="33"/>
  <c r="CD48" i="33" s="1"/>
  <c r="CI48" i="33"/>
  <c r="CC48" i="33" s="1"/>
  <c r="CH48" i="33"/>
  <c r="CB48" i="33" s="1"/>
  <c r="CH16" i="33"/>
  <c r="CB16" i="33" s="1"/>
  <c r="CJ16" i="33"/>
  <c r="CD16" i="33" s="1"/>
  <c r="CI16" i="33"/>
  <c r="CC16" i="33" s="1"/>
  <c r="CH19" i="33"/>
  <c r="CB19" i="33" s="1"/>
  <c r="CI19" i="33"/>
  <c r="CC19" i="33" s="1"/>
  <c r="CJ19" i="33"/>
  <c r="CD19" i="33" s="1"/>
  <c r="CH20" i="33"/>
  <c r="CB20" i="33" s="1"/>
  <c r="CJ20" i="33"/>
  <c r="CD20" i="33" s="1"/>
  <c r="CI21" i="33"/>
  <c r="CC21" i="33" s="1"/>
  <c r="CH21" i="33"/>
  <c r="CB21" i="33" s="1"/>
  <c r="CJ21" i="33"/>
  <c r="CD21" i="33" s="1"/>
  <c r="CI22" i="33"/>
  <c r="CC22" i="33" s="1"/>
  <c r="CH22" i="33"/>
  <c r="CB22" i="33" s="1"/>
  <c r="CJ22" i="33"/>
  <c r="CD22" i="33" s="1"/>
  <c r="CJ24" i="33"/>
  <c r="CD24" i="33" s="1"/>
  <c r="CI24" i="33"/>
  <c r="CC24" i="33" s="1"/>
  <c r="CH24" i="33"/>
  <c r="CB24" i="33" s="1"/>
  <c r="CH26" i="33"/>
  <c r="CB26" i="33" s="1"/>
  <c r="CI26" i="33"/>
  <c r="CC26" i="33" s="1"/>
  <c r="CJ26" i="33"/>
  <c r="CD26" i="33" s="1"/>
  <c r="CJ27" i="33"/>
  <c r="CD27" i="33" s="1"/>
  <c r="CH27" i="33"/>
  <c r="CB27" i="33" s="1"/>
  <c r="CI27" i="33"/>
  <c r="CC27" i="33" s="1"/>
  <c r="CJ28" i="33"/>
  <c r="CD28" i="33" s="1"/>
  <c r="CH28" i="33"/>
  <c r="CB28" i="33" s="1"/>
  <c r="CI28" i="33"/>
  <c r="CC28" i="33" s="1"/>
  <c r="CJ29" i="33"/>
  <c r="CD29" i="33" s="1"/>
  <c r="CI29" i="33"/>
  <c r="CC29" i="33" s="1"/>
  <c r="CH29" i="33"/>
  <c r="CB29" i="33" s="1"/>
  <c r="CJ31" i="33"/>
  <c r="CD31" i="33" s="1"/>
  <c r="CH31" i="33"/>
  <c r="CB31" i="33" s="1"/>
  <c r="CI31" i="33"/>
  <c r="CC31" i="33" s="1"/>
  <c r="CH32" i="33"/>
  <c r="CB32" i="33" s="1"/>
  <c r="CJ32" i="33"/>
  <c r="CD32" i="33" s="1"/>
  <c r="CJ33" i="33"/>
  <c r="CD33" i="33" s="1"/>
  <c r="CI33" i="33"/>
  <c r="CC33" i="33" s="1"/>
  <c r="CH35" i="33"/>
  <c r="CB35" i="33" s="1"/>
  <c r="CI35" i="33"/>
  <c r="CC35" i="33" s="1"/>
  <c r="CH38" i="33"/>
  <c r="CB38" i="33" s="1"/>
  <c r="CI38" i="33"/>
  <c r="CC38" i="33" s="1"/>
  <c r="CJ38" i="33"/>
  <c r="CD38" i="33" s="1"/>
  <c r="CJ39" i="33"/>
  <c r="CD39" i="33" s="1"/>
  <c r="CH39" i="33"/>
  <c r="CB39" i="33" s="1"/>
  <c r="CI40" i="33"/>
  <c r="CC40" i="33" s="1"/>
  <c r="CJ40" i="33"/>
  <c r="CD40" i="33" s="1"/>
  <c r="CH40" i="33"/>
  <c r="CB40" i="33" s="1"/>
  <c r="CI41" i="33"/>
  <c r="CC41" i="33" s="1"/>
  <c r="CH41" i="33"/>
  <c r="CB41" i="33" s="1"/>
  <c r="CH42" i="33"/>
  <c r="CB42" i="33" s="1"/>
  <c r="CI42" i="33"/>
  <c r="CC42" i="33" s="1"/>
  <c r="CJ42" i="33"/>
  <c r="CD42" i="33" s="1"/>
  <c r="CH44" i="33"/>
  <c r="CB44" i="33" s="1"/>
  <c r="CI44" i="33"/>
  <c r="CC44" i="33" s="1"/>
  <c r="CJ44" i="33"/>
  <c r="CD44" i="33" s="1"/>
  <c r="CJ46" i="33"/>
  <c r="CD46" i="33" s="1"/>
  <c r="CI46" i="33"/>
  <c r="CC46" i="33" s="1"/>
  <c r="CI47" i="33"/>
  <c r="CC47" i="33" s="1"/>
  <c r="CH47" i="33"/>
  <c r="CB47" i="33" s="1"/>
  <c r="CJ47" i="33"/>
  <c r="CD47" i="33" s="1"/>
  <c r="CH13" i="36"/>
  <c r="CI13" i="36"/>
  <c r="CC13" i="36" s="1"/>
  <c r="CI17" i="36"/>
  <c r="CC17" i="36" s="1"/>
  <c r="CH17" i="36"/>
  <c r="CB17" i="36" s="1"/>
  <c r="CI37" i="33"/>
  <c r="CC37" i="33" s="1"/>
  <c r="CJ50" i="33"/>
  <c r="CD50" i="33" s="1"/>
  <c r="CI50" i="33"/>
  <c r="CC50" i="33" s="1"/>
  <c r="CI20" i="33"/>
  <c r="CC20" i="33" s="1"/>
  <c r="CH57" i="33"/>
  <c r="CB57" i="33" s="1"/>
  <c r="CI57" i="33"/>
  <c r="CC57" i="33" s="1"/>
  <c r="CJ57" i="33"/>
  <c r="CD57" i="33" s="1"/>
  <c r="CI83" i="33"/>
  <c r="CC83" i="33" s="1"/>
  <c r="CH83" i="33"/>
  <c r="CB83" i="33" s="1"/>
  <c r="AV70" i="33"/>
  <c r="CH65" i="33"/>
  <c r="CB65" i="33" s="1"/>
  <c r="CJ65" i="33"/>
  <c r="CD65" i="33" s="1"/>
  <c r="CI104" i="33"/>
  <c r="CC104" i="33" s="1"/>
  <c r="CH104" i="33"/>
  <c r="CB104" i="33" s="1"/>
  <c r="CI51" i="33"/>
  <c r="CC51" i="33" s="1"/>
  <c r="CH51" i="33"/>
  <c r="CB51" i="33" s="1"/>
  <c r="CH15" i="33"/>
  <c r="CB15" i="33" s="1"/>
  <c r="CI15" i="33"/>
  <c r="CC15" i="33" s="1"/>
  <c r="CJ60" i="33"/>
  <c r="CD60" i="33" s="1"/>
  <c r="CI60" i="33"/>
  <c r="CC60" i="33" s="1"/>
  <c r="CH60" i="33"/>
  <c r="CB60" i="33" s="1"/>
  <c r="CJ67" i="33"/>
  <c r="CD67" i="33" s="1"/>
  <c r="CI67" i="33"/>
  <c r="CC67" i="33" s="1"/>
  <c r="CH99" i="33"/>
  <c r="CB99" i="33" s="1"/>
  <c r="CI99" i="33"/>
  <c r="CC99" i="33" s="1"/>
  <c r="CI102" i="33"/>
  <c r="CC102" i="33" s="1"/>
  <c r="CH102" i="33"/>
  <c r="CB102" i="33" s="1"/>
  <c r="CH21" i="36"/>
  <c r="CB21" i="36" s="1"/>
  <c r="CI21" i="36"/>
  <c r="CC21" i="36" s="1"/>
  <c r="CI15" i="36"/>
  <c r="CC15" i="36" s="1"/>
  <c r="CH15" i="36"/>
  <c r="CB15" i="36" s="1"/>
  <c r="CI23" i="36"/>
  <c r="CC23" i="36" s="1"/>
  <c r="CH23" i="36"/>
  <c r="CB23" i="36" s="1"/>
  <c r="D67" i="36"/>
  <c r="CE31" i="39"/>
  <c r="EA107" i="41"/>
  <c r="DD107" i="41"/>
  <c r="CD107" i="41"/>
  <c r="DF107" i="41"/>
  <c r="DA107" i="41"/>
  <c r="DC107" i="41"/>
  <c r="CB107" i="41"/>
  <c r="CF107" i="41"/>
  <c r="DB107" i="41"/>
  <c r="CE107" i="41"/>
  <c r="DE107" i="41"/>
  <c r="CC107" i="41"/>
  <c r="CI65" i="33"/>
  <c r="CC65" i="33" s="1"/>
  <c r="CJ51" i="33"/>
  <c r="CD51" i="33" s="1"/>
  <c r="CI55" i="33"/>
  <c r="CC55" i="33" s="1"/>
  <c r="AV55" i="33" s="1"/>
  <c r="CJ15" i="33"/>
  <c r="CD15" i="33" s="1"/>
  <c r="CJ49" i="33"/>
  <c r="CD49" i="33" s="1"/>
  <c r="CJ88" i="33"/>
  <c r="CD88" i="33" s="1"/>
  <c r="CI88" i="33"/>
  <c r="CC88" i="33" s="1"/>
  <c r="CI49" i="33"/>
  <c r="CC49" i="33" s="1"/>
  <c r="AV49" i="33" s="1"/>
  <c r="CH79" i="33"/>
  <c r="CB79" i="33" s="1"/>
  <c r="AV79" i="33" s="1"/>
  <c r="CI103" i="33"/>
  <c r="CC103" i="33" s="1"/>
  <c r="CH103" i="33"/>
  <c r="CB103" i="33" s="1"/>
  <c r="CI105" i="33"/>
  <c r="CC105" i="33" s="1"/>
  <c r="CH105" i="33"/>
  <c r="CB105" i="33" s="1"/>
  <c r="CI18" i="36"/>
  <c r="CC18" i="36" s="1"/>
  <c r="AY18" i="36" s="1"/>
  <c r="CI25" i="36"/>
  <c r="CC25" i="36" s="1"/>
  <c r="CH25" i="36"/>
  <c r="CB25" i="36" s="1"/>
  <c r="K108" i="38"/>
  <c r="N108" i="38"/>
  <c r="L17" i="38"/>
  <c r="AV73" i="33"/>
  <c r="CJ61" i="33"/>
  <c r="CD61" i="33" s="1"/>
  <c r="CI61" i="33"/>
  <c r="CC61" i="33" s="1"/>
  <c r="CH67" i="33"/>
  <c r="CB67" i="33" s="1"/>
  <c r="CJ53" i="33"/>
  <c r="CD53" i="33" s="1"/>
  <c r="CH53" i="33"/>
  <c r="CB53" i="33" s="1"/>
  <c r="CI53" i="33"/>
  <c r="CC53" i="33" s="1"/>
  <c r="CI20" i="36"/>
  <c r="CC20" i="36" s="1"/>
  <c r="AY20" i="36" s="1"/>
  <c r="CI16" i="36"/>
  <c r="CC16" i="36" s="1"/>
  <c r="AY16" i="36" s="1"/>
  <c r="CH22" i="36"/>
  <c r="CB22" i="36" s="1"/>
  <c r="CI22" i="36"/>
  <c r="CC22" i="36" s="1"/>
  <c r="C193" i="37"/>
  <c r="D193" i="37"/>
  <c r="DB40" i="41"/>
  <c r="CI19" i="36"/>
  <c r="CC19" i="36" s="1"/>
  <c r="AY19" i="36" s="1"/>
  <c r="CH28" i="36"/>
  <c r="CB28" i="36" s="1"/>
  <c r="CI28" i="36"/>
  <c r="CC28" i="36" s="1"/>
  <c r="DF67" i="41"/>
  <c r="DC67" i="41"/>
  <c r="CC67" i="41"/>
  <c r="DD67" i="41"/>
  <c r="CB67" i="41"/>
  <c r="EA67" i="41"/>
  <c r="DA67" i="41"/>
  <c r="CF67" i="41"/>
  <c r="DB67" i="41"/>
  <c r="CD67" i="41"/>
  <c r="CE67" i="41"/>
  <c r="DE67" i="41"/>
  <c r="CJ52" i="33"/>
  <c r="CD52" i="33" s="1"/>
  <c r="CI52" i="33"/>
  <c r="CC52" i="33" s="1"/>
  <c r="CJ56" i="33"/>
  <c r="CD56" i="33" s="1"/>
  <c r="CI56" i="33"/>
  <c r="CC56" i="33" s="1"/>
  <c r="F29" i="36"/>
  <c r="CH178" i="37"/>
  <c r="CB178" i="37" s="1"/>
  <c r="AU178" i="37" s="1"/>
  <c r="CH169" i="37"/>
  <c r="CB169" i="37" s="1"/>
  <c r="AU169" i="37" s="1"/>
  <c r="M17" i="38"/>
  <c r="AY41" i="41"/>
  <c r="EA103" i="41"/>
  <c r="CF103" i="41"/>
  <c r="CB103" i="41"/>
  <c r="DF103" i="41"/>
  <c r="CE103" i="41"/>
  <c r="DB103" i="41"/>
  <c r="DD103" i="41"/>
  <c r="CD103" i="41"/>
  <c r="DE103" i="41"/>
  <c r="DC103" i="41"/>
  <c r="CC103" i="41"/>
  <c r="L108" i="38"/>
  <c r="AZ263" i="41"/>
  <c r="DD61" i="41"/>
  <c r="CF61" i="41"/>
  <c r="DB61" i="41"/>
  <c r="CC61" i="41"/>
  <c r="CE61" i="41"/>
  <c r="DF61" i="41"/>
  <c r="CD61" i="41"/>
  <c r="DA61" i="41"/>
  <c r="EA61" i="41"/>
  <c r="CB61" i="41"/>
  <c r="DC61" i="41"/>
  <c r="CC72" i="41"/>
  <c r="CE72" i="41"/>
  <c r="DD72" i="41"/>
  <c r="DF72" i="41"/>
  <c r="CF72" i="41"/>
  <c r="DA72" i="41"/>
  <c r="DC72" i="41"/>
  <c r="DE72" i="41"/>
  <c r="DB72" i="41"/>
  <c r="CD72" i="41"/>
  <c r="EA78" i="41"/>
  <c r="DE78" i="41"/>
  <c r="DC78" i="41"/>
  <c r="CD78" i="41"/>
  <c r="CB78" i="41"/>
  <c r="CE78" i="41"/>
  <c r="DD78" i="41"/>
  <c r="DB78" i="41"/>
  <c r="CC78" i="41"/>
  <c r="DF78" i="41"/>
  <c r="DA78" i="41"/>
  <c r="AY128" i="41"/>
  <c r="AY16" i="41"/>
  <c r="AY37" i="41"/>
  <c r="CD20" i="41"/>
  <c r="CB20" i="41"/>
  <c r="CC20" i="41"/>
  <c r="DB20" i="41"/>
  <c r="CE20" i="41"/>
  <c r="CF20" i="41"/>
  <c r="DA20" i="41"/>
  <c r="DF21" i="41"/>
  <c r="DE21" i="41"/>
  <c r="DC21" i="41"/>
  <c r="CB21" i="41"/>
  <c r="DA21" i="41"/>
  <c r="CD21" i="41"/>
  <c r="EA21" i="41"/>
  <c r="CF21" i="41"/>
  <c r="EA26" i="41"/>
  <c r="CD26" i="41"/>
  <c r="CB26" i="41"/>
  <c r="DA26" i="41"/>
  <c r="DF26" i="41"/>
  <c r="CF26" i="41"/>
  <c r="DC26" i="41"/>
  <c r="DB26" i="41"/>
  <c r="DB64" i="41"/>
  <c r="CB64" i="41"/>
  <c r="AY64" i="41" s="1"/>
  <c r="EA65" i="41"/>
  <c r="CD65" i="41"/>
  <c r="CC65" i="41"/>
  <c r="DF65" i="41"/>
  <c r="DB65" i="41"/>
  <c r="CB65" i="41"/>
  <c r="DA65" i="41"/>
  <c r="DD65" i="41"/>
  <c r="CF65" i="41"/>
  <c r="DE65" i="41"/>
  <c r="CB84" i="41"/>
  <c r="DB84" i="41"/>
  <c r="DF86" i="41"/>
  <c r="DE86" i="41"/>
  <c r="DD86" i="41"/>
  <c r="DC86" i="41"/>
  <c r="DA86" i="41"/>
  <c r="CF86" i="41"/>
  <c r="EA87" i="41"/>
  <c r="CD87" i="41"/>
  <c r="DF87" i="41"/>
  <c r="DB87" i="41"/>
  <c r="CB87" i="41"/>
  <c r="CC87" i="41"/>
  <c r="DD87" i="41"/>
  <c r="CF87" i="41"/>
  <c r="DE87" i="41"/>
  <c r="DB90" i="41"/>
  <c r="CB90" i="41"/>
  <c r="AY90" i="41" s="1"/>
  <c r="EA102" i="41"/>
  <c r="CD102" i="41"/>
  <c r="CF102" i="41"/>
  <c r="DF102" i="41"/>
  <c r="DD102" i="41"/>
  <c r="CC102" i="41"/>
  <c r="DC102" i="41"/>
  <c r="DB102" i="41"/>
  <c r="DB12" i="41"/>
  <c r="CB12" i="41"/>
  <c r="AY12" i="41" s="1"/>
  <c r="DB25" i="41"/>
  <c r="CB25" i="41"/>
  <c r="CB28" i="41"/>
  <c r="AY28" i="41" s="1"/>
  <c r="DB28" i="41"/>
  <c r="DE44" i="41"/>
  <c r="DB44" i="41"/>
  <c r="DC44" i="41"/>
  <c r="CF44" i="41"/>
  <c r="CC44" i="41"/>
  <c r="DF44" i="41"/>
  <c r="EA44" i="41"/>
  <c r="DD44" i="41"/>
  <c r="DA44" i="41"/>
  <c r="DD47" i="41"/>
  <c r="CB47" i="41"/>
  <c r="CC47" i="41"/>
  <c r="DE47" i="41"/>
  <c r="DB47" i="41"/>
  <c r="CF47" i="41"/>
  <c r="EA47" i="41"/>
  <c r="CD47" i="41"/>
  <c r="DF47" i="41"/>
  <c r="CE47" i="41"/>
  <c r="AY51" i="41"/>
  <c r="DB57" i="41"/>
  <c r="CB57" i="41"/>
  <c r="AY57" i="41" s="1"/>
  <c r="DD59" i="41"/>
  <c r="CB59" i="41"/>
  <c r="CD59" i="41"/>
  <c r="DE59" i="41"/>
  <c r="CF59" i="41"/>
  <c r="EA59" i="41"/>
  <c r="DA59" i="41"/>
  <c r="CE59" i="41"/>
  <c r="DF71" i="41"/>
  <c r="CE71" i="41"/>
  <c r="DD71" i="41"/>
  <c r="CB71" i="41"/>
  <c r="DC71" i="41"/>
  <c r="CF71" i="41"/>
  <c r="DB71" i="41"/>
  <c r="CB89" i="41"/>
  <c r="AY89" i="41" s="1"/>
  <c r="DB89" i="41"/>
  <c r="DB93" i="41"/>
  <c r="DA104" i="41"/>
  <c r="DD104" i="41"/>
  <c r="CE104" i="41"/>
  <c r="DF104" i="41"/>
  <c r="CF104" i="41"/>
  <c r="DB104" i="41"/>
  <c r="CC104" i="41"/>
  <c r="AY113" i="41"/>
  <c r="EA104" i="41"/>
  <c r="AY66" i="41"/>
  <c r="CC21" i="41"/>
  <c r="DB59" i="41"/>
  <c r="EA20" i="41"/>
  <c r="CD44" i="41"/>
  <c r="CC59" i="41"/>
  <c r="EA15" i="41"/>
  <c r="CE15" i="41"/>
  <c r="DD15" i="41"/>
  <c r="B283" i="41"/>
  <c r="F17" i="28" s="1"/>
  <c r="CC15" i="41"/>
  <c r="DE15" i="41"/>
  <c r="CD17" i="41"/>
  <c r="CF17" i="41"/>
  <c r="CE17" i="41"/>
  <c r="DD17" i="41"/>
  <c r="DB21" i="41"/>
  <c r="DF22" i="41"/>
  <c r="DD22" i="41"/>
  <c r="DA22" i="41"/>
  <c r="AY22" i="41" s="1"/>
  <c r="DC22" i="41"/>
  <c r="DB22" i="41"/>
  <c r="DE24" i="41"/>
  <c r="DF24" i="41"/>
  <c r="EA24" i="41"/>
  <c r="CB24" i="41"/>
  <c r="AY24" i="41" s="1"/>
  <c r="DE56" i="41"/>
  <c r="DB56" i="41"/>
  <c r="CF56" i="41"/>
  <c r="CC56" i="41"/>
  <c r="DF56" i="41"/>
  <c r="CE56" i="41"/>
  <c r="DD56" i="41"/>
  <c r="DA56" i="41"/>
  <c r="DE71" i="41"/>
  <c r="DB109" i="41"/>
  <c r="DF109" i="41"/>
  <c r="DE109" i="41"/>
  <c r="DD115" i="41"/>
  <c r="CD115" i="41"/>
  <c r="DE115" i="41"/>
  <c r="EA115" i="41"/>
  <c r="CF115" i="41"/>
  <c r="CB115" i="41"/>
  <c r="DF115" i="41"/>
  <c r="CE115" i="41"/>
  <c r="DB115" i="41"/>
  <c r="DF129" i="41"/>
  <c r="DE129" i="41"/>
  <c r="CD129" i="41"/>
  <c r="AY129" i="41" s="1"/>
  <c r="CF135" i="41"/>
  <c r="DB135" i="41"/>
  <c r="DF135" i="41"/>
  <c r="DD135" i="41"/>
  <c r="CB135" i="41"/>
  <c r="AZ166" i="41"/>
  <c r="AZ169" i="41"/>
  <c r="AZ193" i="41"/>
  <c r="AZ197" i="41"/>
  <c r="DB46" i="41"/>
  <c r="CB49" i="41"/>
  <c r="CC46" i="41"/>
  <c r="DB27" i="41"/>
  <c r="DC49" i="41"/>
  <c r="CB46" i="41"/>
  <c r="CF42" i="41"/>
  <c r="DE39" i="41"/>
  <c r="CC35" i="41"/>
  <c r="DA27" i="41"/>
  <c r="CB27" i="41"/>
  <c r="DC27" i="41"/>
  <c r="DC35" i="41"/>
  <c r="DC39" i="41"/>
  <c r="CE42" i="41"/>
  <c r="CE46" i="41"/>
  <c r="CE58" i="41"/>
  <c r="AY58" i="41" s="1"/>
  <c r="CC68" i="41"/>
  <c r="AY68" i="41" s="1"/>
  <c r="DE69" i="41"/>
  <c r="CF69" i="41"/>
  <c r="DD69" i="41"/>
  <c r="DB79" i="41"/>
  <c r="CF79" i="41"/>
  <c r="CE82" i="41"/>
  <c r="AY82" i="41" s="1"/>
  <c r="CC100" i="41"/>
  <c r="DA108" i="41"/>
  <c r="CC108" i="41"/>
  <c r="DC114" i="41"/>
  <c r="DB114" i="41"/>
  <c r="EA114" i="41"/>
  <c r="CD114" i="41"/>
  <c r="AY114" i="41" s="1"/>
  <c r="DF114" i="41"/>
  <c r="AZ164" i="41"/>
  <c r="AZ171" i="41"/>
  <c r="AZ175" i="41"/>
  <c r="AZ190" i="41"/>
  <c r="CD46" i="41"/>
  <c r="DE42" i="41"/>
  <c r="CE49" i="41"/>
  <c r="CB42" i="41"/>
  <c r="DE35" i="41"/>
  <c r="CD27" i="41"/>
  <c r="DB18" i="41"/>
  <c r="CB23" i="41"/>
  <c r="CD35" i="41"/>
  <c r="CD39" i="41"/>
  <c r="DF42" i="41"/>
  <c r="CB43" i="41"/>
  <c r="CB69" i="41"/>
  <c r="DB69" i="41"/>
  <c r="CB79" i="41"/>
  <c r="DE114" i="41"/>
  <c r="DA116" i="41"/>
  <c r="CC116" i="41"/>
  <c r="EA136" i="41"/>
  <c r="CE136" i="41"/>
  <c r="AY136" i="41" s="1"/>
  <c r="CF139" i="41"/>
  <c r="DB139" i="41"/>
  <c r="DF139" i="41"/>
  <c r="DD139" i="41"/>
  <c r="CB139" i="41"/>
  <c r="AZ176" i="41"/>
  <c r="DF242" i="41"/>
  <c r="DY251" i="41"/>
  <c r="CY251" i="41" s="1"/>
  <c r="DF251" i="41"/>
  <c r="DB126" i="41"/>
  <c r="DC126" i="41"/>
  <c r="DE127" i="41"/>
  <c r="CD127" i="41"/>
  <c r="DD127" i="41"/>
  <c r="DB131" i="41"/>
  <c r="CE131" i="41"/>
  <c r="AY131" i="41" s="1"/>
  <c r="CB137" i="41"/>
  <c r="AY137" i="41" s="1"/>
  <c r="CF232" i="41"/>
  <c r="CB232" i="41"/>
  <c r="CE232" i="41"/>
  <c r="CD232" i="41"/>
  <c r="CC232" i="41"/>
  <c r="CF236" i="41"/>
  <c r="CB236" i="41"/>
  <c r="CE236" i="41"/>
  <c r="CD236" i="41"/>
  <c r="CC236" i="41"/>
  <c r="DE249" i="41"/>
  <c r="DF249" i="41"/>
  <c r="DB251" i="41"/>
  <c r="CB251" i="41" s="1"/>
  <c r="CE251" i="41"/>
  <c r="DE117" i="41"/>
  <c r="CD126" i="41"/>
  <c r="AY126" i="41" s="1"/>
  <c r="CB127" i="41"/>
  <c r="CF127" i="41"/>
  <c r="C275" i="37"/>
  <c r="F70" i="43"/>
  <c r="C209" i="37"/>
  <c r="CB222" i="41"/>
  <c r="CF224" i="41"/>
  <c r="CB226" i="41"/>
  <c r="DE244" i="41"/>
  <c r="DD244" i="41"/>
  <c r="CE247" i="41"/>
  <c r="AZ247" i="41" s="1"/>
  <c r="DE248" i="41"/>
  <c r="DE257" i="41"/>
  <c r="DF257" i="41"/>
  <c r="E77" i="43"/>
  <c r="D77" i="43"/>
  <c r="F88" i="43"/>
  <c r="C21" i="40"/>
  <c r="B195" i="40" s="1"/>
  <c r="F9" i="28" s="1"/>
  <c r="D21" i="40"/>
  <c r="DY261" i="41"/>
  <c r="CY261" i="41" s="1"/>
  <c r="DB261" i="41"/>
  <c r="CB261" i="41" s="1"/>
  <c r="F43" i="43"/>
  <c r="D43" i="43"/>
  <c r="E130" i="43"/>
  <c r="D130" i="43"/>
  <c r="DB256" i="41"/>
  <c r="CB256" i="41" s="1"/>
  <c r="DX256" i="41"/>
  <c r="CX256" i="41" s="1"/>
  <c r="DF259" i="41"/>
  <c r="DX262" i="41"/>
  <c r="CX262" i="41" s="1"/>
  <c r="AY23" i="41" l="1"/>
  <c r="AY79" i="41"/>
  <c r="AU114" i="8"/>
  <c r="AY135" i="41"/>
  <c r="AZ244" i="41"/>
  <c r="D151" i="7"/>
  <c r="B198" i="31"/>
  <c r="AY15" i="36"/>
  <c r="AU183" i="6"/>
  <c r="AV18" i="33"/>
  <c r="AY85" i="41"/>
  <c r="AY138" i="41"/>
  <c r="D141" i="7"/>
  <c r="CM141" i="7" s="1"/>
  <c r="CG141" i="7" s="1"/>
  <c r="AP54" i="7"/>
  <c r="AT17" i="7"/>
  <c r="AX216" i="6"/>
  <c r="AX217" i="6"/>
  <c r="AX227" i="6"/>
  <c r="AU185" i="6"/>
  <c r="AX230" i="6"/>
  <c r="AX199" i="6"/>
  <c r="AX209" i="6"/>
  <c r="AU169" i="6"/>
  <c r="AY23" i="36"/>
  <c r="AY25" i="36"/>
  <c r="AY28" i="36"/>
  <c r="AY22" i="36"/>
  <c r="AY21" i="36"/>
  <c r="AY17" i="36"/>
  <c r="B181" i="38"/>
  <c r="F28" i="28" s="1"/>
  <c r="AW31" i="37"/>
  <c r="C21" i="37"/>
  <c r="B400" i="37" s="1"/>
  <c r="F26" i="28" s="1"/>
  <c r="C400" i="37"/>
  <c r="D26" i="28" s="1"/>
  <c r="AT103" i="33"/>
  <c r="AV84" i="33"/>
  <c r="AV66" i="33"/>
  <c r="AV56" i="33"/>
  <c r="AV64" i="33"/>
  <c r="AV32" i="33"/>
  <c r="AV28" i="33"/>
  <c r="AV24" i="33"/>
  <c r="AV61" i="33"/>
  <c r="AV46" i="33"/>
  <c r="AV41" i="33"/>
  <c r="AZ262" i="41"/>
  <c r="AZ256" i="41"/>
  <c r="AZ259" i="41"/>
  <c r="AZ246" i="41"/>
  <c r="AY123" i="41"/>
  <c r="AY112" i="41"/>
  <c r="AY104" i="41"/>
  <c r="AY86" i="41"/>
  <c r="AY84" i="41"/>
  <c r="AY72" i="41"/>
  <c r="AY73" i="41"/>
  <c r="AY56" i="41"/>
  <c r="AY39" i="41"/>
  <c r="AY34" i="41"/>
  <c r="AY43" i="41"/>
  <c r="AY29" i="41"/>
  <c r="AY13" i="41"/>
  <c r="AY18" i="41"/>
  <c r="CK116" i="8"/>
  <c r="CE116" i="8" s="1"/>
  <c r="CH116" i="8"/>
  <c r="CB116" i="8" s="1"/>
  <c r="CM116" i="8"/>
  <c r="CG116" i="8" s="1"/>
  <c r="CJ116" i="8"/>
  <c r="CD116" i="8" s="1"/>
  <c r="CI116" i="8"/>
  <c r="CC116" i="8" s="1"/>
  <c r="CL116" i="8"/>
  <c r="CF116" i="8" s="1"/>
  <c r="CL112" i="8"/>
  <c r="CF112" i="8" s="1"/>
  <c r="CH112" i="8"/>
  <c r="CB112" i="8" s="1"/>
  <c r="CI112" i="8"/>
  <c r="CC112" i="8" s="1"/>
  <c r="CK112" i="8"/>
  <c r="CE112" i="8" s="1"/>
  <c r="CJ112" i="8"/>
  <c r="CD112" i="8" s="1"/>
  <c r="CM112" i="8"/>
  <c r="CG112" i="8" s="1"/>
  <c r="CH141" i="7"/>
  <c r="CB141" i="7" s="1"/>
  <c r="CK141" i="7"/>
  <c r="CE141" i="7" s="1"/>
  <c r="AP64" i="7"/>
  <c r="AX195" i="6"/>
  <c r="AX197" i="6"/>
  <c r="AX204" i="6"/>
  <c r="AX211" i="6"/>
  <c r="AX226" i="6"/>
  <c r="AU173" i="6"/>
  <c r="AU170" i="6"/>
  <c r="AU179" i="6"/>
  <c r="AU160" i="6"/>
  <c r="R11" i="6"/>
  <c r="D29" i="36"/>
  <c r="B175" i="36" s="1"/>
  <c r="F29" i="28" s="1"/>
  <c r="AV71" i="33"/>
  <c r="AY108" i="41"/>
  <c r="AV52" i="33"/>
  <c r="AV88" i="33"/>
  <c r="CI62" i="33"/>
  <c r="CC62" i="33" s="1"/>
  <c r="CI43" i="33"/>
  <c r="CC43" i="33" s="1"/>
  <c r="AV31" i="33"/>
  <c r="AX207" i="6"/>
  <c r="B193" i="8"/>
  <c r="F14" i="28" s="1"/>
  <c r="AX221" i="6"/>
  <c r="CL107" i="8"/>
  <c r="CF107" i="8" s="1"/>
  <c r="D88" i="43"/>
  <c r="AY95" i="41"/>
  <c r="CK101" i="8"/>
  <c r="CE101" i="8" s="1"/>
  <c r="CI101" i="8"/>
  <c r="CC101" i="8" s="1"/>
  <c r="CJ101" i="8"/>
  <c r="CD101" i="8" s="1"/>
  <c r="CH101" i="8"/>
  <c r="CB101" i="8" s="1"/>
  <c r="CJ95" i="8"/>
  <c r="CD95" i="8" s="1"/>
  <c r="CH95" i="8"/>
  <c r="CB95" i="8" s="1"/>
  <c r="CI95" i="8"/>
  <c r="CC95" i="8" s="1"/>
  <c r="CK95" i="8"/>
  <c r="CE95" i="8" s="1"/>
  <c r="AP60" i="7"/>
  <c r="CJ62" i="33"/>
  <c r="CD62" i="33" s="1"/>
  <c r="CJ23" i="33"/>
  <c r="CD23" i="33" s="1"/>
  <c r="B194" i="33"/>
  <c r="F18" i="28" s="1"/>
  <c r="B208" i="32"/>
  <c r="F11" i="28" s="1"/>
  <c r="CK107" i="8"/>
  <c r="CE107" i="8" s="1"/>
  <c r="AY111" i="41"/>
  <c r="CJ97" i="8"/>
  <c r="CD97" i="8" s="1"/>
  <c r="CH97" i="8"/>
  <c r="CB97" i="8" s="1"/>
  <c r="CK97" i="8"/>
  <c r="CE97" i="8" s="1"/>
  <c r="CI97" i="8"/>
  <c r="CC97" i="8" s="1"/>
  <c r="CJ54" i="33"/>
  <c r="CD54" i="33" s="1"/>
  <c r="CI54" i="33"/>
  <c r="CC54" i="33" s="1"/>
  <c r="CH54" i="33"/>
  <c r="CB54" i="33" s="1"/>
  <c r="AY65" i="41"/>
  <c r="AU188" i="6"/>
  <c r="CH76" i="33"/>
  <c r="CB76" i="33" s="1"/>
  <c r="CJ76" i="33"/>
  <c r="CD76" i="33" s="1"/>
  <c r="CI76" i="33"/>
  <c r="CC76" i="33" s="1"/>
  <c r="D24" i="43"/>
  <c r="CJ43" i="33"/>
  <c r="CD43" i="33" s="1"/>
  <c r="AZ261" i="41"/>
  <c r="D70" i="43"/>
  <c r="AY69" i="41"/>
  <c r="AY100" i="41"/>
  <c r="AY115" i="41"/>
  <c r="AY17" i="41"/>
  <c r="AY25" i="41"/>
  <c r="AT105" i="33"/>
  <c r="AV35" i="33"/>
  <c r="AV29" i="33"/>
  <c r="CH23" i="33"/>
  <c r="CB23" i="33" s="1"/>
  <c r="AU108" i="8"/>
  <c r="AU154" i="6"/>
  <c r="AY93" i="41"/>
  <c r="CH98" i="33"/>
  <c r="CB98" i="33" s="1"/>
  <c r="CI98" i="33"/>
  <c r="CC98" i="33" s="1"/>
  <c r="AU176" i="6"/>
  <c r="AV75" i="33"/>
  <c r="AU171" i="6"/>
  <c r="CM216" i="6"/>
  <c r="CG216" i="6" s="1"/>
  <c r="CL216" i="6"/>
  <c r="CF216" i="6" s="1"/>
  <c r="CJ216" i="6"/>
  <c r="CD216" i="6" s="1"/>
  <c r="AU111" i="8"/>
  <c r="AY21" i="41"/>
  <c r="AU117" i="8"/>
  <c r="F15" i="28"/>
  <c r="AY19" i="41"/>
  <c r="CH85" i="33"/>
  <c r="CB85" i="33" s="1"/>
  <c r="CJ85" i="33"/>
  <c r="CD85" i="33" s="1"/>
  <c r="CI85" i="33"/>
  <c r="CC85" i="33" s="1"/>
  <c r="CJ195" i="6"/>
  <c r="CD195" i="6" s="1"/>
  <c r="CL195" i="6"/>
  <c r="CF195" i="6" s="1"/>
  <c r="CM195" i="6"/>
  <c r="CG195" i="6" s="1"/>
  <c r="CK195" i="6"/>
  <c r="CE195" i="6" s="1"/>
  <c r="CL172" i="6"/>
  <c r="CF172" i="6" s="1"/>
  <c r="CI172" i="6"/>
  <c r="CC172" i="6" s="1"/>
  <c r="CJ172" i="6"/>
  <c r="CD172" i="6" s="1"/>
  <c r="CK172" i="6"/>
  <c r="CE172" i="6" s="1"/>
  <c r="CK228" i="6"/>
  <c r="CE228" i="6" s="1"/>
  <c r="CM228" i="6"/>
  <c r="CG228" i="6" s="1"/>
  <c r="CJ228" i="6"/>
  <c r="CD228" i="6" s="1"/>
  <c r="CL228" i="6"/>
  <c r="CF228" i="6" s="1"/>
  <c r="CH82" i="33"/>
  <c r="CB82" i="33" s="1"/>
  <c r="CJ82" i="33"/>
  <c r="CD82" i="33" s="1"/>
  <c r="CI82" i="33"/>
  <c r="CC82" i="33" s="1"/>
  <c r="CI24" i="36"/>
  <c r="CC24" i="36" s="1"/>
  <c r="CH24" i="36"/>
  <c r="CB24" i="36" s="1"/>
  <c r="AV65" i="33"/>
  <c r="AV22" i="33"/>
  <c r="AV63" i="33"/>
  <c r="CI107" i="8"/>
  <c r="CC107" i="8" s="1"/>
  <c r="AZ252" i="41"/>
  <c r="CI89" i="33"/>
  <c r="CC89" i="33" s="1"/>
  <c r="CH89" i="33"/>
  <c r="CB89" i="33" s="1"/>
  <c r="CJ89" i="33"/>
  <c r="CD89" i="33" s="1"/>
  <c r="AX218" i="6"/>
  <c r="AS98" i="8"/>
  <c r="CH99" i="8"/>
  <c r="CB99" i="8" s="1"/>
  <c r="CJ99" i="8"/>
  <c r="CD99" i="8" s="1"/>
  <c r="CI99" i="8"/>
  <c r="CC99" i="8" s="1"/>
  <c r="CH25" i="33"/>
  <c r="CB25" i="33" s="1"/>
  <c r="AX220" i="6"/>
  <c r="AY44" i="41"/>
  <c r="AY15" i="41"/>
  <c r="AY102" i="41"/>
  <c r="AT99" i="33"/>
  <c r="AV50" i="33"/>
  <c r="AV48" i="33"/>
  <c r="CK216" i="6"/>
  <c r="CE216" i="6" s="1"/>
  <c r="AU189" i="6"/>
  <c r="CI87" i="33"/>
  <c r="CC87" i="33" s="1"/>
  <c r="CH87" i="33"/>
  <c r="CB87" i="33" s="1"/>
  <c r="CJ87" i="33"/>
  <c r="CD87" i="33" s="1"/>
  <c r="CI45" i="33"/>
  <c r="CC45" i="33" s="1"/>
  <c r="CH45" i="33"/>
  <c r="CB45" i="33" s="1"/>
  <c r="CJ45" i="33"/>
  <c r="CD45" i="33" s="1"/>
  <c r="AX196" i="6"/>
  <c r="AY139" i="41"/>
  <c r="AY35" i="41"/>
  <c r="AY103" i="41"/>
  <c r="AY127" i="41"/>
  <c r="AZ251" i="41"/>
  <c r="AY116" i="41"/>
  <c r="AY46" i="41"/>
  <c r="AY49" i="41"/>
  <c r="AY87" i="41"/>
  <c r="AY78" i="41"/>
  <c r="AY61" i="41"/>
  <c r="CH59" i="33"/>
  <c r="CB59" i="33" s="1"/>
  <c r="CJ59" i="33"/>
  <c r="CD59" i="33" s="1"/>
  <c r="CI59" i="33"/>
  <c r="CC59" i="33" s="1"/>
  <c r="CH27" i="36"/>
  <c r="CB27" i="36" s="1"/>
  <c r="CI27" i="36"/>
  <c r="CC27" i="36" s="1"/>
  <c r="CH58" i="33"/>
  <c r="CB58" i="33" s="1"/>
  <c r="CI58" i="33"/>
  <c r="CC58" i="33" s="1"/>
  <c r="CJ58" i="33"/>
  <c r="CD58" i="33" s="1"/>
  <c r="AV67" i="33"/>
  <c r="B228" i="39"/>
  <c r="F27" i="28" s="1"/>
  <c r="AT102" i="33"/>
  <c r="AV60" i="33"/>
  <c r="AT104" i="33"/>
  <c r="AV83" i="33"/>
  <c r="AV57" i="33"/>
  <c r="AV47" i="33"/>
  <c r="AV42" i="33"/>
  <c r="AV27" i="33"/>
  <c r="AV26" i="33"/>
  <c r="AV19" i="33"/>
  <c r="CB14" i="33"/>
  <c r="AV14" i="33" s="1"/>
  <c r="AV25" i="33"/>
  <c r="AV17" i="33"/>
  <c r="C176" i="7"/>
  <c r="D13" i="28" s="1"/>
  <c r="CL221" i="6"/>
  <c r="CF221" i="6" s="1"/>
  <c r="CJ221" i="6"/>
  <c r="CD221" i="6" s="1"/>
  <c r="CM221" i="6"/>
  <c r="CG221" i="6" s="1"/>
  <c r="CK221" i="6"/>
  <c r="CE221" i="6" s="1"/>
  <c r="AX208" i="6"/>
  <c r="AX203" i="6"/>
  <c r="AX205" i="6"/>
  <c r="AW259" i="6"/>
  <c r="C200" i="16"/>
  <c r="D22" i="28" s="1"/>
  <c r="CB31" i="39"/>
  <c r="Q31" i="39" s="1"/>
  <c r="C228" i="39"/>
  <c r="D27" i="28" s="1"/>
  <c r="AV15" i="33"/>
  <c r="CB13" i="36"/>
  <c r="AY13" i="36" s="1"/>
  <c r="AV20" i="33"/>
  <c r="C198" i="31"/>
  <c r="AU157" i="6"/>
  <c r="AU115" i="8"/>
  <c r="AU113" i="8"/>
  <c r="S61" i="16"/>
  <c r="AY59" i="41"/>
  <c r="AY42" i="41"/>
  <c r="AY47" i="41"/>
  <c r="C283" i="41"/>
  <c r="D17" i="28" s="1"/>
  <c r="AY26" i="41"/>
  <c r="AY20" i="41"/>
  <c r="AY67" i="41"/>
  <c r="AV53" i="33"/>
  <c r="AV51" i="33"/>
  <c r="AV44" i="33"/>
  <c r="AV39" i="33"/>
  <c r="AV38" i="33"/>
  <c r="AV33" i="33"/>
  <c r="AV21" i="33"/>
  <c r="AW258" i="6"/>
  <c r="AU109" i="8"/>
  <c r="AX222" i="6"/>
  <c r="CJ203" i="6"/>
  <c r="CD203" i="6" s="1"/>
  <c r="CM203" i="6"/>
  <c r="CG203" i="6" s="1"/>
  <c r="CL203" i="6"/>
  <c r="CF203" i="6" s="1"/>
  <c r="CK203" i="6"/>
  <c r="CE203" i="6" s="1"/>
  <c r="CL198" i="6"/>
  <c r="CF198" i="6" s="1"/>
  <c r="CK198" i="6"/>
  <c r="CE198" i="6" s="1"/>
  <c r="CM198" i="6"/>
  <c r="CG198" i="6" s="1"/>
  <c r="CJ198" i="6"/>
  <c r="CD198" i="6" s="1"/>
  <c r="CH151" i="6"/>
  <c r="CB151" i="6" s="1"/>
  <c r="CK151" i="6"/>
  <c r="CE151" i="6" s="1"/>
  <c r="CI151" i="6"/>
  <c r="CC151" i="6" s="1"/>
  <c r="CM151" i="6"/>
  <c r="CJ151" i="6"/>
  <c r="CD151" i="6" s="1"/>
  <c r="CO148" i="6"/>
  <c r="CL151" i="6"/>
  <c r="CF151" i="6" s="1"/>
  <c r="AU168" i="6"/>
  <c r="AS96" i="8"/>
  <c r="CB43" i="4"/>
  <c r="S43" i="4" s="1"/>
  <c r="B315" i="6"/>
  <c r="F12" i="28" s="1"/>
  <c r="AY27" i="41"/>
  <c r="AY71" i="41"/>
  <c r="CI100" i="33"/>
  <c r="CC100" i="33" s="1"/>
  <c r="CH100" i="33"/>
  <c r="CB100" i="33" s="1"/>
  <c r="CH95" i="33"/>
  <c r="CB95" i="33" s="1"/>
  <c r="CI95" i="33"/>
  <c r="CC95" i="33" s="1"/>
  <c r="AY107" i="41"/>
  <c r="AV40" i="33"/>
  <c r="AV16" i="33"/>
  <c r="AV37" i="33"/>
  <c r="AX193" i="6"/>
  <c r="AV58" i="33" l="1"/>
  <c r="AY24" i="36"/>
  <c r="B197" i="43"/>
  <c r="F21" i="28" s="1"/>
  <c r="AV23" i="33"/>
  <c r="AS99" i="8"/>
  <c r="CI141" i="7"/>
  <c r="CC141" i="7" s="1"/>
  <c r="CJ141" i="7"/>
  <c r="CD141" i="7" s="1"/>
  <c r="AY27" i="36"/>
  <c r="AT98" i="33"/>
  <c r="AV82" i="33"/>
  <c r="AV43" i="33"/>
  <c r="D15" i="28"/>
  <c r="AU107" i="8"/>
  <c r="AS101" i="8"/>
  <c r="AS95" i="8"/>
  <c r="AU112" i="8"/>
  <c r="AU116" i="8"/>
  <c r="D16" i="28"/>
  <c r="AV85" i="33"/>
  <c r="AV62" i="33"/>
  <c r="AX224" i="6"/>
  <c r="AU172" i="6"/>
  <c r="AV54" i="33"/>
  <c r="AS97" i="8"/>
  <c r="AX219" i="6"/>
  <c r="AV45" i="33"/>
  <c r="AV76" i="33"/>
  <c r="AT95" i="33"/>
  <c r="AV89" i="33"/>
  <c r="T86" i="36"/>
  <c r="C175" i="36"/>
  <c r="D29" i="28" s="1"/>
  <c r="AV29" i="36"/>
  <c r="AX201" i="6"/>
  <c r="AU151" i="6"/>
  <c r="AX206" i="6"/>
  <c r="AV87" i="33"/>
  <c r="AX231" i="6"/>
  <c r="AX198" i="6"/>
  <c r="AT100" i="33"/>
  <c r="C315" i="6"/>
  <c r="D12" i="28" s="1"/>
  <c r="C194" i="33"/>
  <c r="D18" i="28" s="1"/>
  <c r="AV59" i="33"/>
  <c r="D31" i="28" l="1"/>
  <c r="B7" i="29" s="1"/>
  <c r="G278" i="45"/>
  <c r="E278" i="45" s="1"/>
  <c r="G277" i="45"/>
  <c r="E277" i="45" s="1"/>
  <c r="G276" i="45"/>
  <c r="E276" i="45" s="1"/>
  <c r="G275" i="45"/>
  <c r="E275" i="45" s="1"/>
  <c r="CI277" i="45"/>
  <c r="CB277" i="45" s="1"/>
  <c r="CI275" i="45"/>
  <c r="CB275" i="45" s="1"/>
  <c r="CI278" i="45"/>
  <c r="CB278" i="45" s="1"/>
  <c r="CI276" i="45"/>
  <c r="CB276" i="45" s="1"/>
  <c r="B315" i="45" l="1"/>
  <c r="CM275" i="45"/>
  <c r="CE275" i="45"/>
  <c r="CF275" i="45"/>
  <c r="CN275" i="45"/>
  <c r="CO275" i="45"/>
  <c r="CG275" i="45"/>
  <c r="CJ275" i="45"/>
  <c r="CC275" i="45" s="1"/>
  <c r="CH275" i="45"/>
  <c r="CL275" i="45"/>
  <c r="CK273" i="45"/>
  <c r="CD273" i="45" s="1"/>
  <c r="AG273" i="45" s="1"/>
  <c r="CH276" i="45"/>
  <c r="CG276" i="45"/>
  <c r="CL276" i="45"/>
  <c r="CN276" i="45"/>
  <c r="CK274" i="45"/>
  <c r="CD274" i="45" s="1"/>
  <c r="AG274" i="45" s="1"/>
  <c r="CE276" i="45"/>
  <c r="CM276" i="45"/>
  <c r="CF276" i="45"/>
  <c r="CO276" i="45"/>
  <c r="CJ276" i="45"/>
  <c r="CC276" i="45" s="1"/>
  <c r="CE277" i="45"/>
  <c r="CH277" i="45"/>
  <c r="CL277" i="45"/>
  <c r="CF277" i="45"/>
  <c r="CK275" i="45"/>
  <c r="CD275" i="45" s="1"/>
  <c r="CO277" i="45"/>
  <c r="CG277" i="45"/>
  <c r="CJ277" i="45"/>
  <c r="CC277" i="45" s="1"/>
  <c r="CM277" i="45"/>
  <c r="CN277" i="45"/>
  <c r="CF278" i="45"/>
  <c r="CH278" i="45"/>
  <c r="CK276" i="45"/>
  <c r="CD276" i="45" s="1"/>
  <c r="CJ278" i="45"/>
  <c r="CC278" i="45" s="1"/>
  <c r="CL278" i="45"/>
  <c r="CN278" i="45"/>
  <c r="CE278" i="45"/>
  <c r="CG278" i="45"/>
  <c r="CM278" i="45"/>
  <c r="CO278" i="45"/>
  <c r="AG275" i="45" l="1"/>
  <c r="AG278" i="45"/>
  <c r="AG277" i="45"/>
  <c r="AG276" i="4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Carmen Gloria Sepulveda Aravena</author>
  </authors>
  <commentList>
    <comment ref="U60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CarmenGloria Sepulveda Aravena:</t>
        </r>
        <r>
          <rPr>
            <sz val="9"/>
            <color indexed="81"/>
            <rFont val="Tahoma"/>
            <family val="2"/>
          </rPr>
          <t xml:space="preserve">
eliminar en cenro de salud</t>
        </r>
      </text>
    </comment>
    <comment ref="AM277" authorId="0" shapeId="0" xr:uid="{00000000-0006-0000-0500-000002000000}">
      <text>
        <r>
          <rPr>
            <b/>
            <sz val="9"/>
            <color indexed="81"/>
            <rFont val="Tahoma"/>
            <family val="2"/>
          </rPr>
          <t>Carmen Gloria Sepulveda Aravena:</t>
        </r>
        <r>
          <rPr>
            <sz val="9"/>
            <color indexed="81"/>
            <rFont val="Tahoma"/>
            <family val="2"/>
          </rPr>
          <t xml:space="preserve">
VALIDACIONES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Lorena Duran Caroca</author>
  </authors>
  <commentList>
    <comment ref="AI184" authorId="0" shapeId="0" xr:uid="{00000000-0006-0000-0900-000001000000}">
      <text>
        <r>
          <rPr>
            <b/>
            <sz val="9"/>
            <color indexed="81"/>
            <rFont val="Tahoma"/>
            <family val="2"/>
          </rPr>
          <t>Lorena Duran Caroca:</t>
        </r>
        <r>
          <rPr>
            <sz val="9"/>
            <color indexed="81"/>
            <rFont val="Tahoma"/>
            <family val="2"/>
          </rPr>
          <t xml:space="preserve">
Regla de consistencia: el los totales deben ser iguales</t>
        </r>
      </text>
    </comment>
  </commentList>
</comments>
</file>

<file path=xl/sharedStrings.xml><?xml version="1.0" encoding="utf-8"?>
<sst xmlns="http://schemas.openxmlformats.org/spreadsheetml/2006/main" count="65258" uniqueCount="3984">
  <si>
    <t>REM-A01.   CONTROLES DE SALUD</t>
  </si>
  <si>
    <t>SECCIÓN A: CONTROLES DE SALUD SEXUAL Y REPRODUCTIVA</t>
  </si>
  <si>
    <t>TIPO DE CONTROL</t>
  </si>
  <si>
    <t>PROFESIONAL</t>
  </si>
  <si>
    <t xml:space="preserve">TOTAL      </t>
  </si>
  <si>
    <t>POR EDAD</t>
  </si>
  <si>
    <t>PUEBLOS ORIGINARIOS</t>
  </si>
  <si>
    <t xml:space="preserve"> 5  -  9</t>
  </si>
  <si>
    <t xml:space="preserve"> 10 - 14</t>
  </si>
  <si>
    <t>15 a 19</t>
  </si>
  <si>
    <t>20 - 24</t>
  </si>
  <si>
    <t>25 - 29</t>
  </si>
  <si>
    <t>30 - 34</t>
  </si>
  <si>
    <t>35 - 39</t>
  </si>
  <si>
    <t>40 - 44</t>
  </si>
  <si>
    <t>45 - 49</t>
  </si>
  <si>
    <t>50 - 54</t>
  </si>
  <si>
    <t>55 - 59</t>
  </si>
  <si>
    <t>60 - 64</t>
  </si>
  <si>
    <t>65 - 69</t>
  </si>
  <si>
    <t>70 - 74</t>
  </si>
  <si>
    <t>75 - 79</t>
  </si>
  <si>
    <t>80 y mas</t>
  </si>
  <si>
    <t>MIGRANTES</t>
  </si>
  <si>
    <t>Hombres</t>
  </si>
  <si>
    <t>Mujeres</t>
  </si>
  <si>
    <t>LACTANCIA MATERNA EXCLUSIVA</t>
  </si>
  <si>
    <t>LACTANCIA ARTIFICIAL</t>
  </si>
  <si>
    <t xml:space="preserve"> PRE-
CONCEPCIONAL </t>
  </si>
  <si>
    <t>MÉDICO</t>
  </si>
  <si>
    <t>MATRONA /ÓN</t>
  </si>
  <si>
    <t>PRENATAL</t>
  </si>
  <si>
    <t>POST PARTO Y POST ABORTO</t>
  </si>
  <si>
    <t>PUÉRPERA CON RECIÉN NACIDO HASTA 10 DÍAS DE VIDA</t>
  </si>
  <si>
    <t>PUÉRPERA CON RECIÉN NACIDO ENTRE 11 y 28 DÍAS</t>
  </si>
  <si>
    <t xml:space="preserve">MÉDICO </t>
  </si>
  <si>
    <t xml:space="preserve">CLIMATERIO </t>
  </si>
  <si>
    <t>REGULACIÓN DE FECUNDIDAD</t>
  </si>
  <si>
    <t>SECCIÓN B: CONTROLES DE SALUD SEGÚN CICLO VITAL</t>
  </si>
  <si>
    <t>GRUPO DE EDAD</t>
  </si>
  <si>
    <t>SEXO</t>
  </si>
  <si>
    <t>ENFERMERA /O</t>
  </si>
  <si>
    <t>TOTAL</t>
  </si>
  <si>
    <t>Menor de 1 mes</t>
  </si>
  <si>
    <t>1 mes</t>
  </si>
  <si>
    <t>2 meses</t>
  </si>
  <si>
    <t>3 meses</t>
  </si>
  <si>
    <t>4 meses</t>
  </si>
  <si>
    <t xml:space="preserve"> 5 meses</t>
  </si>
  <si>
    <t>6 meses</t>
  </si>
  <si>
    <t xml:space="preserve"> 7  -  11 meses</t>
  </si>
  <si>
    <t>12 a 17 meses</t>
  </si>
  <si>
    <t>18  - 23  meses</t>
  </si>
  <si>
    <t>24  - 47  meses</t>
  </si>
  <si>
    <t>48  - 59  meses</t>
  </si>
  <si>
    <t>60  - 71  meses</t>
  </si>
  <si>
    <t xml:space="preserve"> 6  -  9 </t>
  </si>
  <si>
    <t xml:space="preserve"> 10 - 14 </t>
  </si>
  <si>
    <t>CONTROL CON PRESENCIA DEL PADRE</t>
  </si>
  <si>
    <t>menor 1 año</t>
  </si>
  <si>
    <t>1 año a 3 años 11 meses 29 días</t>
  </si>
  <si>
    <t>SECCIÓN C: CONTROLES SEGÚN PROBLEMA DE SALUD</t>
  </si>
  <si>
    <t xml:space="preserve">POR EDAD </t>
  </si>
  <si>
    <t xml:space="preserve"> 0  -  4</t>
  </si>
  <si>
    <t xml:space="preserve"> 10 - 14  </t>
  </si>
  <si>
    <t>HOMBRES</t>
  </si>
  <si>
    <t>MUJERES</t>
  </si>
  <si>
    <t>DE SALUD CARDIOVASCULAR</t>
  </si>
  <si>
    <t>NUTRICIONISTA</t>
  </si>
  <si>
    <t>TÉCNICO PARAMÉDICO</t>
  </si>
  <si>
    <t>DE TUBERCULOSIS</t>
  </si>
  <si>
    <t>SEGUIMIENTO AUTOVALENTE CON RIESGO</t>
  </si>
  <si>
    <t>SEGUIMIENTO RIESGO DEPENDENCIA</t>
  </si>
  <si>
    <t>DE  INFECCIÓN TRANSMISIÓN SEXUAL</t>
  </si>
  <si>
    <t>OTROS PROBLEMAS DE SALUD</t>
  </si>
  <si>
    <t>LUGAR DEL CONTROL, SEGÚN EDAD</t>
  </si>
  <si>
    <t>10 A 14 AÑOS</t>
  </si>
  <si>
    <t>15 A 19 AÑOS</t>
  </si>
  <si>
    <t>EN ESPACIO AMIGABLE</t>
  </si>
  <si>
    <t>EN OTROS ESPACIOS DEL ESTABLECIMIENTO DE SALUD</t>
  </si>
  <si>
    <t>EN ESTABLECIMIENTOS EDUCACIONALES</t>
  </si>
  <si>
    <t>EN OTROS LUGARES FUERA DEL ESTABLECIMIENTO DE SALUD</t>
  </si>
  <si>
    <t>TOTAL DE APLICACIONES</t>
  </si>
  <si>
    <t>SECCIÓN E: CONTROLES DE SALUD EN ESTABLECIMIENTO EDUCACIONAL (Los controles individuales deben estar incluídos en la Sección B)</t>
  </si>
  <si>
    <t>TIPO DE CONTROLES</t>
  </si>
  <si>
    <t>CURSO</t>
  </si>
  <si>
    <t>TOTAL*</t>
  </si>
  <si>
    <t>TOTAL NIÑOS Y NIÑAS</t>
  </si>
  <si>
    <t>CONTROLES INDIVIDUALES</t>
  </si>
  <si>
    <t>KÍNDER</t>
  </si>
  <si>
    <t xml:space="preserve">PRIMERO BÁSICO </t>
  </si>
  <si>
    <t>SEGUNDO BÁSICO</t>
  </si>
  <si>
    <t>TERCERO BÁSICO</t>
  </si>
  <si>
    <t>CUARTO BÁSICO</t>
  </si>
  <si>
    <t>CONTROLES 
GRUPALES *</t>
  </si>
  <si>
    <t xml:space="preserve"> En Total* se registra el número de controles grupales</t>
  </si>
  <si>
    <t>SECCIÓN A:  CAPACIDAD INSTALADA Y UTILIZACIÓN DE LOS QUIRÓFANOS</t>
  </si>
  <si>
    <t>TIPO DE QUIRÓFANOS</t>
  </si>
  <si>
    <t>NÙMERO DE QUIRÓFANOS EN DOTACIÓN</t>
  </si>
  <si>
    <t>TOTALES</t>
  </si>
  <si>
    <t>TOTAL QUIRÓFANOS</t>
  </si>
  <si>
    <t>DE CIRUGÍA ELECTIVA</t>
  </si>
  <si>
    <t>DE URGENCIA</t>
  </si>
  <si>
    <t>OBSTÉTRICO</t>
  </si>
  <si>
    <t>INDIFERENCIADO</t>
  </si>
  <si>
    <t>SECCIÓN B:  PROCEDIMIENTOS COMPLEJOS AMBULATORIOS</t>
  </si>
  <si>
    <t>COMPONENTES</t>
  </si>
  <si>
    <t>HEMODIÁLISIS</t>
  </si>
  <si>
    <t>CIRUGÍA 
MAYOR
AMBULATORIA</t>
  </si>
  <si>
    <t>OTRAS</t>
  </si>
  <si>
    <t>RECURSO DISPONIBLE</t>
  </si>
  <si>
    <t>INGRESOS</t>
  </si>
  <si>
    <t>PERSONAS ATENDIDAS</t>
  </si>
  <si>
    <t>ALTAS</t>
  </si>
  <si>
    <t>SECCIÓN C:  HOSPITALIZACIÓN DOMICILIARIA</t>
  </si>
  <si>
    <t>SECCIÓN C.1:  PERSONAS ATENDIDAS EN EL PROGRAMA</t>
  </si>
  <si>
    <t>FALLECIDOS</t>
  </si>
  <si>
    <t>REINGRESOS A HOSPITALIZACIÓN TRADICIONAL</t>
  </si>
  <si>
    <t xml:space="preserve">SECCIÓN C.2:  VISITAS REALIZADAS </t>
  </si>
  <si>
    <t>COMPONENTE</t>
  </si>
  <si>
    <t>CONCEPTO</t>
  </si>
  <si>
    <t>INTERVENCIÓN</t>
  </si>
  <si>
    <t>Hasta 28 días</t>
  </si>
  <si>
    <t>1 a 4 años</t>
  </si>
  <si>
    <t>5 a 9 años</t>
  </si>
  <si>
    <t>10 a 14 años</t>
  </si>
  <si>
    <t>15 a 19 años</t>
  </si>
  <si>
    <t>INTERVENCIÓN PSICOSOCIAL</t>
  </si>
  <si>
    <t>ESTIMULACIÓN DEL DESARROLLO</t>
  </si>
  <si>
    <t>Nº DE ATENCIONES (en el mes)</t>
  </si>
  <si>
    <t>ESPECIALIDAD</t>
  </si>
  <si>
    <t>PACIENTES INTERVENIDOS</t>
  </si>
  <si>
    <t>15 años y más</t>
  </si>
  <si>
    <t>CIRUGÍA GENERAL</t>
  </si>
  <si>
    <t>CIRUGÍA CARDIOVASCULAR</t>
  </si>
  <si>
    <t>CIRUGÍA TÓRAX</t>
  </si>
  <si>
    <t>TRAUMATOLOGÍA</t>
  </si>
  <si>
    <t>NEUROCIRUGÍA</t>
  </si>
  <si>
    <t>OTORRINOLARINGOLOGÍA</t>
  </si>
  <si>
    <t>OFTALMOLOGÍA</t>
  </si>
  <si>
    <t>OBSTETRICIA Y GINECOLOGÍA</t>
  </si>
  <si>
    <t>GINECOLOGÍA</t>
  </si>
  <si>
    <t>UROLOGÍA</t>
  </si>
  <si>
    <t>RESTO ESPECIALIDADES</t>
  </si>
  <si>
    <t>Menores de 15 años</t>
  </si>
  <si>
    <t>ADMINISTRATIVAS</t>
  </si>
  <si>
    <t>INFRAESTRUCTURA</t>
  </si>
  <si>
    <t>EMERGENCIAS</t>
  </si>
  <si>
    <t>ACTIVIDADES</t>
  </si>
  <si>
    <t xml:space="preserve">TOTAL </t>
  </si>
  <si>
    <t>ESTADO 
NUTRICIONAL</t>
  </si>
  <si>
    <t>25 a 29</t>
  </si>
  <si>
    <t>30 a 34</t>
  </si>
  <si>
    <t>35 a 39</t>
  </si>
  <si>
    <t>40 a 44</t>
  </si>
  <si>
    <t>45 a 49</t>
  </si>
  <si>
    <t>50 a 54</t>
  </si>
  <si>
    <t>55 a 59</t>
  </si>
  <si>
    <t>60 a 64</t>
  </si>
  <si>
    <t>65 a 69</t>
  </si>
  <si>
    <t>70 a 74</t>
  </si>
  <si>
    <t>75 a 79</t>
  </si>
  <si>
    <t>80 y más</t>
  </si>
  <si>
    <t>NORMAL</t>
  </si>
  <si>
    <t>BAJO PESO</t>
  </si>
  <si>
    <t>OBESOS</t>
  </si>
  <si>
    <t>TABAQUISMO</t>
  </si>
  <si>
    <t>20 a 24 años</t>
  </si>
  <si>
    <t xml:space="preserve">REM-A03.   APLICACIÓN Y RESULTADOS DE ESCALAS DE EVALUACIÓN </t>
  </si>
  <si>
    <t>EVALUACIONES POR EDAD DEL NIÑO</t>
  </si>
  <si>
    <t xml:space="preserve">TOTAL  </t>
  </si>
  <si>
    <t xml:space="preserve"> 7 - 11 meses</t>
  </si>
  <si>
    <t>12 - 17 meses</t>
  </si>
  <si>
    <t>18 - 23 meses</t>
  </si>
  <si>
    <t>APLICACIÓN PAUTA BREVE</t>
  </si>
  <si>
    <t>RESULTADOS</t>
  </si>
  <si>
    <t>ALTERADO</t>
  </si>
  <si>
    <t>ACTIVIDAD</t>
  </si>
  <si>
    <t>RESULTADO</t>
  </si>
  <si>
    <t xml:space="preserve">TOTAL    </t>
  </si>
  <si>
    <t>Menor 7 meses</t>
  </si>
  <si>
    <t>7 - 11 meses</t>
  </si>
  <si>
    <t>24 - 47 meses</t>
  </si>
  <si>
    <t>48 - 59 meses</t>
  </si>
  <si>
    <t>Ambos Sexos</t>
  </si>
  <si>
    <t>APLICACIÓN TEST DE DESARROLLO PSICOMOTOR</t>
  </si>
  <si>
    <t>PRIMERA EVALUACIÓN</t>
  </si>
  <si>
    <t>NORMAL CON REZAGO</t>
  </si>
  <si>
    <t>RIESGO</t>
  </si>
  <si>
    <t>RETRASO</t>
  </si>
  <si>
    <t>REEVALUACIÓN</t>
  </si>
  <si>
    <t>DERIVADOS A ESPECIALIDAD</t>
  </si>
  <si>
    <t>TRASLADO DE ESTABLECIMIENTO</t>
  </si>
  <si>
    <t>NIÑO / A</t>
  </si>
  <si>
    <t>OTRA VULNERABILIDAD</t>
  </si>
  <si>
    <t>POR SEXO</t>
  </si>
  <si>
    <t>SECCIÓN A.4: RESULTADOS DE LA APLICACIÓN DE PROTOCOLO NEUROSENSORIAL</t>
  </si>
  <si>
    <t>APLICACIÓN DE PROTOCOLO NEUROSENSORIAL (1-2 MESES)</t>
  </si>
  <si>
    <t>ANORMAL</t>
  </si>
  <si>
    <t>MUY ANORMAL</t>
  </si>
  <si>
    <t>SECCIÓN A.5:  LACTANCIA MATERNA EN MENORES CONTROLADOS</t>
  </si>
  <si>
    <t>TIPO DE ALIMENTACIÓN</t>
  </si>
  <si>
    <t>SEGÚN CONTROL PROGRAMÁTICO</t>
  </si>
  <si>
    <t>Del 1° mes</t>
  </si>
  <si>
    <t>Del 3° mes</t>
  </si>
  <si>
    <t>Del 6° mes</t>
  </si>
  <si>
    <t>Del 12° mes</t>
  </si>
  <si>
    <t>Del 24° mes</t>
  </si>
  <si>
    <t>MENORES CONTROLADOS</t>
  </si>
  <si>
    <t>LACTANCIA MATERNA MAS SÓLIDOS</t>
  </si>
  <si>
    <t>Total</t>
  </si>
  <si>
    <t xml:space="preserve"> </t>
  </si>
  <si>
    <t>Nutricionista</t>
  </si>
  <si>
    <t>SECCION B: EVALUACIÓN, APLICACIÓN Y RESULTADOS DE ESCALAS EN  LA MUJER</t>
  </si>
  <si>
    <t>SECCIÓN B.1: EVALUACIÓN DEL ESTADO NUTRICIONAL A MUJERES CONTROLADAS AL OCTAVO MES POST PARTO</t>
  </si>
  <si>
    <t>ESTADO NUTRICIONAL</t>
  </si>
  <si>
    <t>OBESA</t>
  </si>
  <si>
    <t>SOBREPESO</t>
  </si>
  <si>
    <t>TIPO</t>
  </si>
  <si>
    <t>DERIVADAS A EQUIPO DE CABECERA</t>
  </si>
  <si>
    <t>EVALUACIÓN AL INGRESO</t>
  </si>
  <si>
    <t>SECCIÓN B.3: APLICACIÓN DE ESCALA DE EDIMBURGO A GESTANTES Y MUJERES POST PARTO</t>
  </si>
  <si>
    <t>RESULTADOS  
13 O MÁS PTOS O RESULTADO DISTINTO DE 0 EN PREG 10. (GESTANTES)</t>
  </si>
  <si>
    <t>EVALUACIÓN A GESTANTES</t>
  </si>
  <si>
    <t>PRIMERA EVALUACIÓN (2º control prenatal)</t>
  </si>
  <si>
    <t>REEVALUACIÓN (con puntaje elevado en la primera evaluación)</t>
  </si>
  <si>
    <t>EVALUACIÓN A MUJERES POST PARTO O SÍNTOMAS DE DEPRESIÓN</t>
  </si>
  <si>
    <t>A los 2 meses</t>
  </si>
  <si>
    <t>A los 6 meses</t>
  </si>
  <si>
    <t>10 A 14</t>
  </si>
  <si>
    <t>15 A 19</t>
  </si>
  <si>
    <t xml:space="preserve">TOTAL              </t>
  </si>
  <si>
    <t>10-14 años</t>
  </si>
  <si>
    <t>15-19 años</t>
  </si>
  <si>
    <t>20-24 años</t>
  </si>
  <si>
    <t>25-44 años</t>
  </si>
  <si>
    <t>45-64 años</t>
  </si>
  <si>
    <t>65 o más</t>
  </si>
  <si>
    <t>RESULTADOS DE EVALUACIÓN</t>
  </si>
  <si>
    <t xml:space="preserve">BAJO RIESGO </t>
  </si>
  <si>
    <t>CONSUMO RIESGOSO / INTERMEDIO</t>
  </si>
  <si>
    <t xml:space="preserve">POSIBLE CONSUMO PERJUDICIAL O DEPENDENCIA </t>
  </si>
  <si>
    <t>SECCIÓN D.2: RESULTADOS DE LA APLICACIÓN DE INSTRUMENTO DE VALORACIÓN DE DESEMPEÑO EN COMUNIDAD (IVADEC-CIF)</t>
  </si>
  <si>
    <t>6 -11 meses</t>
  </si>
  <si>
    <t>12 - 23 meses</t>
  </si>
  <si>
    <t>2 - 4 años</t>
  </si>
  <si>
    <t>5 - 9 años</t>
  </si>
  <si>
    <t>25 a 64 años</t>
  </si>
  <si>
    <t>65 a 69 años</t>
  </si>
  <si>
    <t>70 a 79 años</t>
  </si>
  <si>
    <t>80 y más años</t>
  </si>
  <si>
    <t>SIN DISCAPACIDAD</t>
  </si>
  <si>
    <t>DISCAPACIDAD LEVE</t>
  </si>
  <si>
    <t>DISCAPACIDAD MODERADA</t>
  </si>
  <si>
    <t>DISCAPACIDAD SEVERA</t>
  </si>
  <si>
    <t>DISCAPACIDAD PROFUNDA</t>
  </si>
  <si>
    <t>ORIGEN SENSORIAL VISUAL</t>
  </si>
  <si>
    <t>ORIGEN SENSORIAL AUDITIVO</t>
  </si>
  <si>
    <t>ORIGEN MENTAL INTELECTUAL</t>
  </si>
  <si>
    <t>ORIGEN MÚLTIPLE</t>
  </si>
  <si>
    <t>TOTAL DE EVALUACIONES</t>
  </si>
  <si>
    <t>EVALUACIÓN INGRESO</t>
  </si>
  <si>
    <t>EVALUACIÓN EGRESO</t>
  </si>
  <si>
    <t>60 a 64 años</t>
  </si>
  <si>
    <t>70 a 74 años</t>
  </si>
  <si>
    <t>75 a 79 años</t>
  </si>
  <si>
    <t>TIMED UP AND GO</t>
  </si>
  <si>
    <t>MEJORA</t>
  </si>
  <si>
    <t>MANTIENE</t>
  </si>
  <si>
    <t>DISMINUYE</t>
  </si>
  <si>
    <t xml:space="preserve">CUESTIONARIO </t>
  </si>
  <si>
    <t>80 a 84 años</t>
  </si>
  <si>
    <t>85 a 89 años</t>
  </si>
  <si>
    <t>90 y mas años</t>
  </si>
  <si>
    <t>POR DE EDAD (en años)</t>
  </si>
  <si>
    <t>5 a 9</t>
  </si>
  <si>
    <t>NEUMONÍA</t>
  </si>
  <si>
    <t>ASMA</t>
  </si>
  <si>
    <t>ENFERMEDAD PULMONAR OBSTRUCTIVA CRÓNICA</t>
  </si>
  <si>
    <t>OTRAS RESPIRATORIAS</t>
  </si>
  <si>
    <t>PSICÓLOGO/A</t>
  </si>
  <si>
    <t>FONOAUDIÓLOGO</t>
  </si>
  <si>
    <t>TERAPEUTA OCUPACIONAL</t>
  </si>
  <si>
    <t>ASISTENTE SOCIAL</t>
  </si>
  <si>
    <t/>
  </si>
  <si>
    <t>OTROS PROFESIONALES</t>
  </si>
  <si>
    <t>SÁBADO, DOMINGO o FESTIVO</t>
  </si>
  <si>
    <t>EMBARAZADAS</t>
  </si>
  <si>
    <t>MATRONA</t>
  </si>
  <si>
    <t>Médico</t>
  </si>
  <si>
    <t>Psicólogo</t>
  </si>
  <si>
    <t>REM-A05.   INGRESOS Y EGRESOS POR CONDICIÓN Y PROBLEMAS DE SALUD</t>
  </si>
  <si>
    <t>SECCIÓN A: INGRESOS DE GESTANTES A PROGRAMA PRENATAL</t>
  </si>
  <si>
    <t>CONDICIÓN</t>
  </si>
  <si>
    <t>Menor 
de 15</t>
  </si>
  <si>
    <t xml:space="preserve">15 - 19 </t>
  </si>
  <si>
    <t>PRIMIGESTAS INGRESADAS</t>
  </si>
  <si>
    <t>GESTANTES INGRESADAS ANTES DE LAS 14 SEMANAS</t>
  </si>
  <si>
    <t>GESTANTES CON EMBARAZO NO PLANIFICADO</t>
  </si>
  <si>
    <t>SECCIÓN B: INGRESO DE GESTANTES CON PATOLOGÍA DE ALTO RIESGO OBSTÉTRICO A LA UNIDAD DE ARO  (Nivel Secundario)</t>
  </si>
  <si>
    <t>PATOLOGÍA</t>
  </si>
  <si>
    <t>Nº DE GESTANTES INGRESADAS</t>
  </si>
  <si>
    <t>SÍFILIS</t>
  </si>
  <si>
    <t>VIH</t>
  </si>
  <si>
    <t>MÉTODOS</t>
  </si>
  <si>
    <t>TOTAL REGULACIÓN DE FERTILIDAD</t>
  </si>
  <si>
    <t>HORMONAL</t>
  </si>
  <si>
    <t>Mujer</t>
  </si>
  <si>
    <t>SECCIÓN E:  INGRESOS  A CONTROL DE SALUD DE RECIÉN NACIDOS</t>
  </si>
  <si>
    <t>EDAD</t>
  </si>
  <si>
    <t>NIÑOS</t>
  </si>
  <si>
    <t>NIÑAS</t>
  </si>
  <si>
    <t>MENORES DE 28 DÍAS</t>
  </si>
  <si>
    <t xml:space="preserve">NIÑO / A (CON) </t>
  </si>
  <si>
    <t xml:space="preserve"> EGRESOS Y RESULTADOS DE LA REEVALUACIÓN POST EGRESO </t>
  </si>
  <si>
    <t>MOTIVO EGRESO</t>
  </si>
  <si>
    <t>RESULTADO DE REEVALUACIÓN</t>
  </si>
  <si>
    <t>INASISTENTES</t>
  </si>
  <si>
    <t>OTROS</t>
  </si>
  <si>
    <t>15 - 19</t>
  </si>
  <si>
    <t>20-24</t>
  </si>
  <si>
    <t>INGRESOS AL PSCV</t>
  </si>
  <si>
    <t>PROGRAMA DE SALUD CARDIOVASCULAR</t>
  </si>
  <si>
    <t>HIPERTENSIÓN ARTERIAL</t>
  </si>
  <si>
    <t>DIABETES MELLITUS</t>
  </si>
  <si>
    <t>DISLIPIDEMIA</t>
  </si>
  <si>
    <t>EGRESOS</t>
  </si>
  <si>
    <t>CAUSAL</t>
  </si>
  <si>
    <t>ABANDONO</t>
  </si>
  <si>
    <t xml:space="preserve">TRASLADO </t>
  </si>
  <si>
    <t>EGRESOS DEL PSCV</t>
  </si>
  <si>
    <t>&lt; 20 años</t>
  </si>
  <si>
    <t>DEPENDENCIA LEVE</t>
  </si>
  <si>
    <t>DEPENDENCIA MODERADA</t>
  </si>
  <si>
    <t>ONCOLÓGICO</t>
  </si>
  <si>
    <t>NO ONCOLÓGICO</t>
  </si>
  <si>
    <t xml:space="preserve">DEPENDENCIA SEVERA CON  ESCARAS </t>
  </si>
  <si>
    <t>AUTOVALENTE SIN RIESGO</t>
  </si>
  <si>
    <t>AUTOVALENTE CON RIESGO</t>
  </si>
  <si>
    <t xml:space="preserve">RIESGO DE DEPENDENCIA </t>
  </si>
  <si>
    <t>SUBTOTAL</t>
  </si>
  <si>
    <t>DEPENDIENTE LEVE</t>
  </si>
  <si>
    <t>DEPENDIENTE MODERADO</t>
  </si>
  <si>
    <t xml:space="preserve">DEPENDIENTE GRAVE </t>
  </si>
  <si>
    <t>DEPENDIENTE TOTAL</t>
  </si>
  <si>
    <t>INGRESO</t>
  </si>
  <si>
    <t>TOTAL INGRESOS</t>
  </si>
  <si>
    <t>EGRESO</t>
  </si>
  <si>
    <t>FALLECIMIENTO</t>
  </si>
  <si>
    <t>MOTIVO DE INGRESO</t>
  </si>
  <si>
    <t>0 - 4</t>
  </si>
  <si>
    <t>5 - 9</t>
  </si>
  <si>
    <t>10 - 14</t>
  </si>
  <si>
    <t>Gestantes</t>
  </si>
  <si>
    <t>INGRESOS AL PROGRAMA</t>
  </si>
  <si>
    <t>FACTORES DE RIESGO Y CONDICIONANTES DE LA SALUD MENTAL</t>
  </si>
  <si>
    <t>VIOLENCIA</t>
  </si>
  <si>
    <t>VICTIMA</t>
  </si>
  <si>
    <t>ABUSO SEXUAL</t>
  </si>
  <si>
    <t xml:space="preserve">PERSONAS CON DIAGNÓSTICOS DE TRASTORNOS MENTALES </t>
  </si>
  <si>
    <t>TRASTORNOS DEL HUMOR
(AFECTIVOS)</t>
  </si>
  <si>
    <t>DEPRESIÓN LEVE</t>
  </si>
  <si>
    <t>DEPRESIÓN MODERADA</t>
  </si>
  <si>
    <t>DEPRESIÓN GRAVE</t>
  </si>
  <si>
    <t>TRASTORNO BIPOLAR</t>
  </si>
  <si>
    <t>DEPRESIÓN REFRACTARIA</t>
  </si>
  <si>
    <t>DEPRESIÓN GRAVE CON PSICOSIS</t>
  </si>
  <si>
    <t>DEPRESIÓN  CON ALTO RIESGO SUICIDA</t>
  </si>
  <si>
    <t>TRASTORNOS MENTALES Y DEL COMPORTAMIENTO DEBIDO A CONSUMO SUSTANCIAS PSICOTRÓPICAS</t>
  </si>
  <si>
    <t>CONSUMO PERJUDICIAL O DEPENDENCIA DE ALCOHOL</t>
  </si>
  <si>
    <t>CONSUMO PERJUDICIAL O DEPENDENCIA COMO DROGA PRINCIPAL</t>
  </si>
  <si>
    <t>POLICONSUMO</t>
  </si>
  <si>
    <t>TRASTORNOS DEL COMPORTAMIENTO Y DE LAS EMOCIONES DE COMIENZO HABITUAL EN LA INFANCIA Y ADOLESCENCIA</t>
  </si>
  <si>
    <t>TRASTORNO HIPERCINÉTICOS</t>
  </si>
  <si>
    <t>TRASTORNO DISOCIAL DESAFIANTE Y OPOSICIONISTA</t>
  </si>
  <si>
    <t>TRASTORNO DE ANSIEDAD DE SEPARACIÓN EN LA INFANCIA</t>
  </si>
  <si>
    <t>OTROS TRASTORNOS DEL COMPORTAMIENTO Y DE LAS EMOCIONES DE COMIENZO HABITUAL EN LA INFANCIA Y ADOLESCENCIA</t>
  </si>
  <si>
    <t>TRASTORNOS DE ANSIEDAD</t>
  </si>
  <si>
    <t>LEVE</t>
  </si>
  <si>
    <t>MODERADO</t>
  </si>
  <si>
    <t>AVANZADO</t>
  </si>
  <si>
    <t>ESQUIZOFRENIA</t>
  </si>
  <si>
    <t>TRASTORNOS DE LA CONDUCTA ALIMENTARIA</t>
  </si>
  <si>
    <t>RETRASO MENTAL</t>
  </si>
  <si>
    <t>TRASTORNO DE PERSONALIDAD</t>
  </si>
  <si>
    <t>TRASTORNO GENERALIZADOS DEL DESARROLLO</t>
  </si>
  <si>
    <t>MOTIVO DE EGRESO</t>
  </si>
  <si>
    <t>EGRESOS DEL PROGRAMA</t>
  </si>
  <si>
    <t xml:space="preserve">VIOLENCIA </t>
  </si>
  <si>
    <t>10 - 14 años</t>
  </si>
  <si>
    <t>15 - 19 años</t>
  </si>
  <si>
    <t>20 - 24 años</t>
  </si>
  <si>
    <t>25 - 29 años</t>
  </si>
  <si>
    <t>30 - 34 años</t>
  </si>
  <si>
    <t>35 -39 años</t>
  </si>
  <si>
    <t>40 -44 años</t>
  </si>
  <si>
    <t>45 -49 años</t>
  </si>
  <si>
    <t>50 -54 años</t>
  </si>
  <si>
    <t>55 -59 años</t>
  </si>
  <si>
    <t>60 -64 años</t>
  </si>
  <si>
    <t>65 -69 años</t>
  </si>
  <si>
    <t>70 -74 años</t>
  </si>
  <si>
    <t>75 -79 años</t>
  </si>
  <si>
    <t>80 años y más</t>
  </si>
  <si>
    <t>TIPO DE PROGRAMA</t>
  </si>
  <si>
    <t>RUBRO</t>
  </si>
  <si>
    <t>GRUPOS DE EDAD (en años)</t>
  </si>
  <si>
    <t>PROGRAMA DE REHABILITACIÓN TIPO I</t>
  </si>
  <si>
    <t>PROGRAMA DE REHABILITACIÓN TIPO II</t>
  </si>
  <si>
    <t>PATOLOGÍAS</t>
  </si>
  <si>
    <t>INGRESOS POR EDAD</t>
  </si>
  <si>
    <t>TRANS</t>
  </si>
  <si>
    <t>0 a 4</t>
  </si>
  <si>
    <t xml:space="preserve">Hombres </t>
  </si>
  <si>
    <t>TOTAL DE INGRESOS</t>
  </si>
  <si>
    <t>GESTANTES</t>
  </si>
  <si>
    <t>GONORREA</t>
  </si>
  <si>
    <t>CONDILOMA</t>
  </si>
  <si>
    <t>HERPES</t>
  </si>
  <si>
    <t>CHLAMYDIAS</t>
  </si>
  <si>
    <t>URETRITIS NO GONOCÓCICA</t>
  </si>
  <si>
    <t>LINFOGRANULOMA</t>
  </si>
  <si>
    <t>CHANCROIDE</t>
  </si>
  <si>
    <t>OTRAS ITS</t>
  </si>
  <si>
    <t>NO GESTANTES</t>
  </si>
  <si>
    <t>POR EDAD (en meses - años)</t>
  </si>
  <si>
    <t>Menor de 6 meses</t>
  </si>
  <si>
    <t>TOTAL EGRESOS</t>
  </si>
  <si>
    <t xml:space="preserve">TOTAL               </t>
  </si>
  <si>
    <t>GRUPOS DE EDAD  (en años)</t>
  </si>
  <si>
    <t>REM-06.   PROGRAMA DE SALUD MENTAL ATENCIÓN PRIMARIA Y ESPECIALIDADES</t>
  </si>
  <si>
    <t>TÉCNICO PARAMÉDICO y EN SALUD MENTAL</t>
  </si>
  <si>
    <t>TÉCNICO REHABILITACIÓN ALCOHOL Y DROGAS</t>
  </si>
  <si>
    <t>PSICODIAGNOSTICO</t>
  </si>
  <si>
    <t>PSICOTERAPIA INDIVIDUAL</t>
  </si>
  <si>
    <t>MÉDICO PSIQUIATRA</t>
  </si>
  <si>
    <t>TOTAL Nº DE CASOS REVISADOS</t>
  </si>
  <si>
    <t>JORNADA</t>
  </si>
  <si>
    <t>ENFERMERO/A</t>
  </si>
  <si>
    <t>SECCIÓN B.1: ACTIVIDADES GRUPALES (NÚMERO DE SESIONES)</t>
  </si>
  <si>
    <t>PSICOTERAPIA  GRUPAL</t>
  </si>
  <si>
    <t>PSICÓLOGO</t>
  </si>
  <si>
    <t>PSICOTERAPIA FAMILIAR</t>
  </si>
  <si>
    <t>SECCIÓN B.2:  PROGRAMA DE REHABILITACIÓN (PERSONAS CON TRASTORNOS PSIQUIÁTRICOS)</t>
  </si>
  <si>
    <t>SECCIÓN B.3: ACTIVIDADES DE PSIQUIATRÍA FORENSE PARA PERSONAS EN CONFLICTO CON LA JUSTICIA (En lo Penal, Civil, Familiar, etc.)</t>
  </si>
  <si>
    <t>PERITAJE PSIQUIÁTRICO JUDICIAL</t>
  </si>
  <si>
    <t xml:space="preserve">EXAMEN PRELIMINAR EN DROGAS PARA ADOLESCENTES IMPUTADOS / CONDENADOS </t>
  </si>
  <si>
    <t>EVALUACIÓN CLÍNICA PARA ADOLESCENTES IMPUTADOS CON CONSUMO DE DROGAS</t>
  </si>
  <si>
    <t>EXAMEN MENTAL PRELIMINAR A PERSONAS IMPUTADAS</t>
  </si>
  <si>
    <t>PERITAJE DROGAS</t>
  </si>
  <si>
    <t>ATENCIÓN A AGRESORES DERIVADOS DE TRIBUNALES (LEY DE VIOLENCIA INTRAFAMILIAR</t>
  </si>
  <si>
    <t>SECCIÓN B.4: DISPOSITIVOS DE SALUD MENTAL</t>
  </si>
  <si>
    <t>TIPO DE DISPOSITIVO</t>
  </si>
  <si>
    <t>Nº DE PERSONAS ATENDIDAS</t>
  </si>
  <si>
    <t>DÍAS DE ESTADA DE PERSONAS ATENDIDAS EN EL MES</t>
  </si>
  <si>
    <t>Nº DE EGRESOS</t>
  </si>
  <si>
    <t>Nº DE PERSONAS EN LISTA DE ESPERA</t>
  </si>
  <si>
    <t>Menos de 20 años</t>
  </si>
  <si>
    <t>20 y más años</t>
  </si>
  <si>
    <t xml:space="preserve">HOGAR PROTEGIDO  </t>
  </si>
  <si>
    <t>RESIDENCIA PROTEGIDA</t>
  </si>
  <si>
    <t>HOSPITAL PSIQUIÁTRICO DIURNO</t>
  </si>
  <si>
    <t>CENTRO PRIVATIVO DE LIBERTAD (SENAME)</t>
  </si>
  <si>
    <t>INTERVENCIÓN PSICOSOCIAL GRUPAL</t>
  </si>
  <si>
    <t>TRABAJO INTERSECTORIAL</t>
  </si>
  <si>
    <t>TRABAJO CON ORGANIZACIONES COMUNITARIAS DE BASE</t>
  </si>
  <si>
    <t>TRABAJO CON ORGANIZACIONES DE USUARIOS Y FAMILIARES</t>
  </si>
  <si>
    <t>SECCIÓN C.1: ACTIVIDADES DE COORDINACION SECTORIAL, INTERSECTORIAL Y COMUNITARIA</t>
  </si>
  <si>
    <t>TOTAL DE PARTICIPANTES</t>
  </si>
  <si>
    <t>SECCIÓN C.2: INFORMES A TRIBUNALES</t>
  </si>
  <si>
    <t>TRIBUNALES</t>
  </si>
  <si>
    <t>Nº INFORMES</t>
  </si>
  <si>
    <t>DE FAMILIA</t>
  </si>
  <si>
    <t>PENALES</t>
  </si>
  <si>
    <t>CIVILES</t>
  </si>
  <si>
    <t>LABORALES</t>
  </si>
  <si>
    <t>PLAN DE ACOMPAÑAMIENTO ELABORADOS</t>
  </si>
  <si>
    <t>EVALUACIONES PARTICIPATIVAS REALIZADAS AL EGRESO DEL PROGRAMA</t>
  </si>
  <si>
    <t xml:space="preserve">REM-07.  ATENCIÓN  DE ESPECIALIDADES </t>
  </si>
  <si>
    <t>ESPECIALIDADES   Y  SUB-ESPECIALIDADES</t>
  </si>
  <si>
    <t>CONSULTAS MÉDICAS</t>
  </si>
  <si>
    <t>CONSULTAS NUEVAS SEGÚN ORIGEN(*)</t>
  </si>
  <si>
    <t>INASISTENTE A CONSULTA MÉDICA (NSP)</t>
  </si>
  <si>
    <t>A BENEFICIARIOS</t>
  </si>
  <si>
    <t>Menos 15 años</t>
  </si>
  <si>
    <t>De 15 y más años</t>
  </si>
  <si>
    <t>Menos 
15 años</t>
  </si>
  <si>
    <t>15 y más 
años</t>
  </si>
  <si>
    <t>APS</t>
  </si>
  <si>
    <t>URGENCIA</t>
  </si>
  <si>
    <t>CONSULTORÍAS DE MEDICOS ESPECIALISTAS OTORGADAS</t>
  </si>
  <si>
    <t>Nº DE CASOS REVISADOS POR EL EQUIPO</t>
  </si>
  <si>
    <t>Nº DE CASOS ATENDIDOS</t>
  </si>
  <si>
    <t>15 y más años</t>
  </si>
  <si>
    <t>POR EDAD (en años)</t>
  </si>
  <si>
    <t>ENFERMERA</t>
  </si>
  <si>
    <t>ARO</t>
  </si>
  <si>
    <t>GINECOLOGÍA Y OTROS</t>
  </si>
  <si>
    <t>INFERTILIDAD</t>
  </si>
  <si>
    <t>KINESIÓLOGO</t>
  </si>
  <si>
    <t>TECNÓLOGO MÉDICO</t>
  </si>
  <si>
    <t>ASISTENTE  SOCIAL</t>
  </si>
  <si>
    <t>Hombre</t>
  </si>
  <si>
    <t>CONSULTAS  INFECCIÓN TRANSMISIÓN SEXUAL  (ITS) (excluir VIH/SIDA)</t>
  </si>
  <si>
    <t>CONSULTAS VIH/SIDA</t>
  </si>
  <si>
    <t>CONTROL VIH CON TAR</t>
  </si>
  <si>
    <t>CONTROL VIH SIN TAR</t>
  </si>
  <si>
    <t>CONTROLES DE SALUD A PERSONAS QUE EJERCEN COMERCIO SEXUAL</t>
  </si>
  <si>
    <t>ESPECIALIDADES</t>
  </si>
  <si>
    <t>REM-A08.  ATENCIÓN DE URGENCIA</t>
  </si>
  <si>
    <t>TIPO DE ATENCIÓN</t>
  </si>
  <si>
    <t xml:space="preserve">TOTAL        </t>
  </si>
  <si>
    <t>ORIGEN DE LA PROCEDENCIA (Sólo pacientes derivados de establecimientos de la Red)</t>
  </si>
  <si>
    <t>Establecimientos de otra Red</t>
  </si>
  <si>
    <t>SAPU/ SAR / SUR</t>
  </si>
  <si>
    <t>Hospital Baja Complejidad</t>
  </si>
  <si>
    <t>ATENCIÓN MÉDICA NIÑO Y ADULTO</t>
  </si>
  <si>
    <t>ATENCIÓN MÉDICA GINECO-OBSTETRA</t>
  </si>
  <si>
    <t>ATENCIÓN POR MATRONA</t>
  </si>
  <si>
    <t>CATEGORÍAS</t>
  </si>
  <si>
    <t>C1</t>
  </si>
  <si>
    <t>C2</t>
  </si>
  <si>
    <t>C3</t>
  </si>
  <si>
    <t>C4</t>
  </si>
  <si>
    <t>C5</t>
  </si>
  <si>
    <t>SIN CATEGORIZACIÓN</t>
  </si>
  <si>
    <t>SECCIÓN C: ATENCIONES REALIZADAS POR MÉDICOS ESPECIALISTAS EN LAS UNIDADES DE URGENCIA HOSPITALARIA</t>
  </si>
  <si>
    <t>DE TURNO</t>
  </si>
  <si>
    <t>CONSULTOR LLAMADA</t>
  </si>
  <si>
    <t>MEDICINA INTERNA</t>
  </si>
  <si>
    <t>NEUROLOGÍA ADULTOS</t>
  </si>
  <si>
    <t>PEDIATRÍA</t>
  </si>
  <si>
    <t>TRAUMATOLOGÍA Y ORTOPEDIA</t>
  </si>
  <si>
    <t>PSIQUIATRÍA ADULTOS</t>
  </si>
  <si>
    <t>URGENCIÓLOGO</t>
  </si>
  <si>
    <t>TIPO DE PACIENTES</t>
  </si>
  <si>
    <t>TOTAL DE PACIENTES CON INDICACIÓN DE HOSPITALIZACIÓN</t>
  </si>
  <si>
    <t xml:space="preserve">PACIENTES QUE INGRESAN A CAMA HOSPITALARIA SEGÚN TIEMPO DE DEMORA AL INGRESO                               </t>
  </si>
  <si>
    <t>MENOS DE 12 HORAS</t>
  </si>
  <si>
    <t>12-24 HORAS</t>
  </si>
  <si>
    <t>MAYOR A 24 HORAS</t>
  </si>
  <si>
    <t>PACIENTES DERIVADOS  A OTRO ESTABLECIMIENTO</t>
  </si>
  <si>
    <t>PACIENTES QUE PERMANECEN EN UEH</t>
  </si>
  <si>
    <t>PACIENTES FALLECIDOS EN ESPERA DE ATENCIÓN MÉDICA</t>
  </si>
  <si>
    <t>PACIENTES FALLECIDOS EN PROCESO DE ATENCIÓN</t>
  </si>
  <si>
    <t xml:space="preserve">PACIENTES FALLECIDOS EN ESPERA DE CAMA HOSPITALARIA </t>
  </si>
  <si>
    <t>0 - 9</t>
  </si>
  <si>
    <t>10-17</t>
  </si>
  <si>
    <t>18 - 24</t>
  </si>
  <si>
    <t>25-34</t>
  </si>
  <si>
    <t>35-44</t>
  </si>
  <si>
    <t>45-54</t>
  </si>
  <si>
    <t>55-64</t>
  </si>
  <si>
    <t>65 -74</t>
  </si>
  <si>
    <t>7 5 años y más</t>
  </si>
  <si>
    <t>Embarazadas</t>
  </si>
  <si>
    <t>VICTIMARIO/A</t>
  </si>
  <si>
    <t>Pareja/ Ex pareja</t>
  </si>
  <si>
    <t>Familiar</t>
  </si>
  <si>
    <t>Conocido/a</t>
  </si>
  <si>
    <t>Odonto-
lógicas</t>
  </si>
  <si>
    <t>Por Arma</t>
  </si>
  <si>
    <t>VIOLENCIA INTRAFAMILIAR</t>
  </si>
  <si>
    <t xml:space="preserve">OTRAS VIOLENCIAS </t>
  </si>
  <si>
    <t xml:space="preserve">SECCIÓN H: ATENCIONES  POR ANTICONCEPCIÓN DE EMERGENCIA </t>
  </si>
  <si>
    <t>25 - 34</t>
  </si>
  <si>
    <t>35 - 44</t>
  </si>
  <si>
    <t>45 - 54</t>
  </si>
  <si>
    <t>55 - 64</t>
  </si>
  <si>
    <t>65  y más años</t>
  </si>
  <si>
    <t>HELLP</t>
  </si>
  <si>
    <t>TIPO DE ACCIÓN</t>
  </si>
  <si>
    <t>CENTRO REGULADOR</t>
  </si>
  <si>
    <t>COMPRA DE SERVICIO</t>
  </si>
  <si>
    <t>NO CRÍTICO</t>
  </si>
  <si>
    <t>CRÍTICO</t>
  </si>
  <si>
    <t>POR COMPRA 
DE SERVICIO</t>
  </si>
  <si>
    <t>SAMU</t>
  </si>
  <si>
    <t>NO SAMU</t>
  </si>
  <si>
    <t>TERRESTRE</t>
  </si>
  <si>
    <t>MARÍTIMO</t>
  </si>
  <si>
    <t>AÉREO</t>
  </si>
  <si>
    <t>MENOS DE 2 HORAS</t>
  </si>
  <si>
    <t>2 A 6 HORAS</t>
  </si>
  <si>
    <t>MAYOR A 6 HORAS</t>
  </si>
  <si>
    <t xml:space="preserve">GRUPOS DE EDAD (en años)  Y CONDICIÓN
</t>
  </si>
  <si>
    <t>15 - 17</t>
  </si>
  <si>
    <t>25 - 44</t>
  </si>
  <si>
    <t>45-64</t>
  </si>
  <si>
    <t>65 años y más</t>
  </si>
  <si>
    <t>VIOLENCIA SEXUAL</t>
  </si>
  <si>
    <t>10 - 19</t>
  </si>
  <si>
    <t>25-44</t>
  </si>
  <si>
    <t>65-74</t>
  </si>
  <si>
    <t>75-84</t>
  </si>
  <si>
    <t>85 y más</t>
  </si>
  <si>
    <t xml:space="preserve">Nº DE ATENCIONES </t>
  </si>
  <si>
    <t>LLAMADAS VALIDAS</t>
  </si>
  <si>
    <t>TIEMPO DE LLEGADA INTERVENCIONES CRITICAS</t>
  </si>
  <si>
    <t>TIEMPO DE LLEGADA INTERVENCIONES NO CRITICAS</t>
  </si>
  <si>
    <t>Ambos</t>
  </si>
  <si>
    <t>0-20 Min</t>
  </si>
  <si>
    <t>20-40 Min</t>
  </si>
  <si>
    <t>Mas de 40 Min</t>
  </si>
  <si>
    <t>Según grupos de edad o de riesgo</t>
  </si>
  <si>
    <t>2 años</t>
  </si>
  <si>
    <t>3 años</t>
  </si>
  <si>
    <t>4 años</t>
  </si>
  <si>
    <t>5 años</t>
  </si>
  <si>
    <t>6 años</t>
  </si>
  <si>
    <t>12 
años</t>
  </si>
  <si>
    <t>Resto 
&lt;15 años</t>
  </si>
  <si>
    <t>15-19 
años</t>
  </si>
  <si>
    <t>20-64 
años</t>
  </si>
  <si>
    <t>65 y 
más años</t>
  </si>
  <si>
    <t>TIPO DE ACTIVIDAD</t>
  </si>
  <si>
    <t xml:space="preserve">Total Actividades </t>
  </si>
  <si>
    <t>TIPO DE INGRESO O EGRESO</t>
  </si>
  <si>
    <t>12 años</t>
  </si>
  <si>
    <t>1 a 2</t>
  </si>
  <si>
    <t>3 a 4</t>
  </si>
  <si>
    <t>5 a 6</t>
  </si>
  <si>
    <t>7 a 8</t>
  </si>
  <si>
    <t>9 o más</t>
  </si>
  <si>
    <t xml:space="preserve">TOTAL   </t>
  </si>
  <si>
    <t>SECCIÓN E: CONSULTAS ODONTOLÓGICAS  EN HORARIO CONTINUADO (incluidas en  Secciones A y B. . Excluye extensiones horarias de Sección G )</t>
  </si>
  <si>
    <t xml:space="preserve">CONSULTAS  </t>
  </si>
  <si>
    <t xml:space="preserve"> HORARIO CONTINUADO</t>
  </si>
  <si>
    <t>VESPERTINA (LUNES-VIERNES)</t>
  </si>
  <si>
    <t>ACTIVIDADES DE ESPECIALIDADES</t>
  </si>
  <si>
    <t>0-5 
años</t>
  </si>
  <si>
    <t>6 
años</t>
  </si>
  <si>
    <t>7 
años</t>
  </si>
  <si>
    <t>PROGRAMA - ACTIVIDAD</t>
  </si>
  <si>
    <t>JUNJI-INTEGRA-MINEDUC</t>
  </si>
  <si>
    <t>SERNAM</t>
  </si>
  <si>
    <t>MINVU</t>
  </si>
  <si>
    <t>PROGRAMA GES ODONTOLÓGICO ADULTO DE 60 AÑOS.</t>
  </si>
  <si>
    <t>SECCIÓN H: SEDACIÓN Y ANESTESIA</t>
  </si>
  <si>
    <t>0-5 años</t>
  </si>
  <si>
    <t>6 -14años</t>
  </si>
  <si>
    <t>20-64 años</t>
  </si>
  <si>
    <t>ESPECIALIDAD Y TIPO DE INGRESO O EGRESO.</t>
  </si>
  <si>
    <t>7 años</t>
  </si>
  <si>
    <t>Resto &lt;15 años</t>
  </si>
  <si>
    <t>15-19
años</t>
  </si>
  <si>
    <t>CONSULTAS</t>
  </si>
  <si>
    <t>CITAS AGENDADAS</t>
  </si>
  <si>
    <t>NIVEL PRIMARIO</t>
  </si>
  <si>
    <t>0-14 años</t>
  </si>
  <si>
    <t>0 a 4 años</t>
  </si>
  <si>
    <t>25 a 29 años</t>
  </si>
  <si>
    <t>30 a 34 años</t>
  </si>
  <si>
    <t>35 a 39 años</t>
  </si>
  <si>
    <t>40 a 44 años</t>
  </si>
  <si>
    <t>45 a 49 años</t>
  </si>
  <si>
    <t>50 a 54 años</t>
  </si>
  <si>
    <t>55 a 59 años</t>
  </si>
  <si>
    <t>FAMILIA</t>
  </si>
  <si>
    <t>COMUNAS, COMUNIDADES.</t>
  </si>
  <si>
    <t>COMUNAS, COMUNIDADES</t>
  </si>
  <si>
    <t>ESTABLECIMIENTOS EDUCACIONALES</t>
  </si>
  <si>
    <t>ENTREVISTAS</t>
  </si>
  <si>
    <t>40 - 44 años</t>
  </si>
  <si>
    <t>45 - 49 años</t>
  </si>
  <si>
    <t>50 - 54 años</t>
  </si>
  <si>
    <t>55 - 59 años</t>
  </si>
  <si>
    <t>60 - 64 años</t>
  </si>
  <si>
    <t>65 - 69 años</t>
  </si>
  <si>
    <t>70 - 74 años</t>
  </si>
  <si>
    <t>75 - 79 años</t>
  </si>
  <si>
    <t>Abandono</t>
  </si>
  <si>
    <t>Fallecimiento</t>
  </si>
  <si>
    <t>CONSULTA DE MORBILIDAD</t>
  </si>
  <si>
    <t>TEMAS</t>
  </si>
  <si>
    <t>UN PROFESIONAL</t>
  </si>
  <si>
    <t>CONCEPTOS</t>
  </si>
  <si>
    <t>REM-A24.   ATENCIÓN EN MATERNIDAD</t>
  </si>
  <si>
    <t xml:space="preserve">SECCIÓN A: INFORMACIÓN DE PARTOS Y ABORTOS ATENDIDOS </t>
  </si>
  <si>
    <t>TÉRMINO 
DEL 
EMBARAZO</t>
  </si>
  <si>
    <t>PARTOS Y ABORTOS</t>
  </si>
  <si>
    <t>PARTOS PREMATUROS</t>
  </si>
  <si>
    <t>ANESTESIA</t>
  </si>
  <si>
    <t>ANALGESIA</t>
  </si>
  <si>
    <t>APEGO
PRECOZ</t>
  </si>
  <si>
    <t>TOTAL PARTOS</t>
  </si>
  <si>
    <t>NORMAL/VAGINAL</t>
  </si>
  <si>
    <t>DISTÓCICO VAGINAL</t>
  </si>
  <si>
    <t>CESÁREA ELECTIVA</t>
  </si>
  <si>
    <t>CESÁREA URGENCIA</t>
  </si>
  <si>
    <t>ABORTOS</t>
  </si>
  <si>
    <t>PARTO NORMAL VERTICAL (*)</t>
  </si>
  <si>
    <t>PARTO FUERA ESTABLECIMIENTO DE SALUD</t>
  </si>
  <si>
    <t>EMBARAZO NO CONTROLADO</t>
  </si>
  <si>
    <t>(*) Incluido en Parto Normal</t>
  </si>
  <si>
    <t>(**) Partos de Término y Pre-Término</t>
  </si>
  <si>
    <t>SECCIÓN B: ACOMPAÑAMIENTO EN EL PROCESO REPRODUCTIVO</t>
  </si>
  <si>
    <t>EVENTO</t>
  </si>
  <si>
    <t xml:space="preserve">BENEFICIARIAS </t>
  </si>
  <si>
    <t>SOLO EN EL PARTO</t>
  </si>
  <si>
    <t>PRE PARTO Y PARTO</t>
  </si>
  <si>
    <t xml:space="preserve">SECCIÓN C.1: NACIDOS  SEGÚN PESO AL NACER  </t>
  </si>
  <si>
    <t>1.000 a 
1.499</t>
  </si>
  <si>
    <t>1.500 a 
1.999</t>
  </si>
  <si>
    <t>2.000 a 
2.499</t>
  </si>
  <si>
    <t>2.500 a 
2.999</t>
  </si>
  <si>
    <t>3.000 a 
3.999</t>
  </si>
  <si>
    <t>4.000 y 
más</t>
  </si>
  <si>
    <t>Primeras Muestras</t>
  </si>
  <si>
    <t>Muestras Repetidas</t>
  </si>
  <si>
    <t>NACIDOS VIVOS</t>
  </si>
  <si>
    <t>NACIDOS FALLECIDOS</t>
  </si>
  <si>
    <t>SECCIÓN C.3: APGAR MENOR O IGUAL A 3 AL MINUTO Y APGAR MENOR O IGUAL A 6 A LOS 5 MINUTOS</t>
  </si>
  <si>
    <t>APGAR MENOR O IGUAL A  3 AL MINUTO</t>
  </si>
  <si>
    <t>APGAR MENOR O IGUAL A 6 A LOS 5  MINUTOS</t>
  </si>
  <si>
    <t>SECCIÓN D: ESTERILIZACIONES SEGÚN SEXO</t>
  </si>
  <si>
    <t>EDAD (en años)</t>
  </si>
  <si>
    <t>Menor 
de 20</t>
  </si>
  <si>
    <t>20 - 34</t>
  </si>
  <si>
    <t xml:space="preserve">35 y más </t>
  </si>
  <si>
    <t>MUJER</t>
  </si>
  <si>
    <t>HOMBRE</t>
  </si>
  <si>
    <t>MATERNIDAD (PUÉRPERAS CON RN VIVO)</t>
  </si>
  <si>
    <t>NEONATOLOGÍA</t>
  </si>
  <si>
    <t>TOTAL DE EGRESOS</t>
  </si>
  <si>
    <t xml:space="preserve">EGRESADOS CON LACTANCIA MATERNA EXCLUSIVA </t>
  </si>
  <si>
    <t>LACTANCIA MATERNA MAS LACTANCIA ARTIFICIAL</t>
  </si>
  <si>
    <t>Otros</t>
  </si>
  <si>
    <t>ONCOLÓGICOS</t>
  </si>
  <si>
    <t>Menores de 1 año</t>
  </si>
  <si>
    <t>65 Y MÁS</t>
  </si>
  <si>
    <t>AUTOCUIDADO SEGÚN PATOLOGÍA</t>
  </si>
  <si>
    <t>REM-28.  PROGRAMA DE REHABILITACIÓN INTEGRAL</t>
  </si>
  <si>
    <t>SECCIÓN A.1: INGRESOS Y EGRESOS  AL PROGRAMA DE REHABILITACIÓN INTEGRAL</t>
  </si>
  <si>
    <t>TIPO DE INGRESO</t>
  </si>
  <si>
    <t>INGRESOS CON PTI CUIDADOR</t>
  </si>
  <si>
    <t xml:space="preserve">TIPO DE ESTRATEGIA </t>
  </si>
  <si>
    <t>&lt; 12 meses</t>
  </si>
  <si>
    <t>12 a 23 meses</t>
  </si>
  <si>
    <t>2 - 4</t>
  </si>
  <si>
    <t xml:space="preserve">20 - 24 </t>
  </si>
  <si>
    <t>25-29</t>
  </si>
  <si>
    <t>30-34</t>
  </si>
  <si>
    <t>45- 49</t>
  </si>
  <si>
    <t>Rehabilitación Base Comunitaria (RBC)</t>
  </si>
  <si>
    <t>Rehabilitación Integral(RI)</t>
  </si>
  <si>
    <t>Rehabilitación Rural (RR)</t>
  </si>
  <si>
    <t>INGRESOS CON PLAN DE TRATAMIENTO INTEGRAL (PTI)</t>
  </si>
  <si>
    <t>INGRESOS CON PLAN DE TRATAMIENTO INTEGRAL (PTI) CON OBJETIVOS PARA EL TRABAJO</t>
  </si>
  <si>
    <t xml:space="preserve">INGRESOS  DE USUARIOS CON CUIDADOR </t>
  </si>
  <si>
    <t>INGRESOS ACV REFERIDOS DESDE HOSPITAL</t>
  </si>
  <si>
    <t xml:space="preserve">REINGRESO Al PROGRAMA </t>
  </si>
  <si>
    <t>EGRESOS POR ALTA</t>
  </si>
  <si>
    <t>EGRESOS POR ABANDONO</t>
  </si>
  <si>
    <t>EGRESOS POR FALLECIMIENTO</t>
  </si>
  <si>
    <t>CONDICIÓN DE SALUD</t>
  </si>
  <si>
    <t>Rehabilitación Integral (RI)</t>
  </si>
  <si>
    <t>TOTAL INGRESO (N° DE PERSONAS)</t>
  </si>
  <si>
    <t>ARTROSIS LEVE Y MODERADA DE RODILLA Y CADERA</t>
  </si>
  <si>
    <t>ENFERMEDAD DE PARKINSON</t>
  </si>
  <si>
    <t>CONDICIÓN SENSORIAL VISUAL</t>
  </si>
  <si>
    <t>CONDICIÓN SENSORIAL AUDITIVO</t>
  </si>
  <si>
    <t>CUIDADORES</t>
  </si>
  <si>
    <t>Total Rehabilitacion Base Comunitaria</t>
  </si>
  <si>
    <t>Total Rehabilitación Integral</t>
  </si>
  <si>
    <t xml:space="preserve">Total Rehabilitacion  Rural </t>
  </si>
  <si>
    <t>VISITA DOMICILIARIA INTEGRAL</t>
  </si>
  <si>
    <t>VISITA DE TRATAMIENTO Y/O PROCEDIMIENTO</t>
  </si>
  <si>
    <t>ÁREA TEMÁTICA DE PREVENCIÓN Y TRATAMIENTO</t>
  </si>
  <si>
    <t>NÙMERO DE SESIONES</t>
  </si>
  <si>
    <t>COMPONENTE (Nº PERSONAS)</t>
  </si>
  <si>
    <t>LABORAL</t>
  </si>
  <si>
    <t>MODALIDADES DE INTERVENCIÓN</t>
  </si>
  <si>
    <t>GRUPO OBJETIVO</t>
  </si>
  <si>
    <t>TOTALES RBC</t>
  </si>
  <si>
    <t>TOTALES RI</t>
  </si>
  <si>
    <t>TOTALES RR</t>
  </si>
  <si>
    <t>OTROS TOTALES</t>
  </si>
  <si>
    <t xml:space="preserve"> Actividades </t>
  </si>
  <si>
    <t xml:space="preserve">Participantes </t>
  </si>
  <si>
    <t>ORGANIZACIONES ASOCIADAS A DISCAPACIDAD</t>
  </si>
  <si>
    <t>ORGANIZACIONES COMUNITARIAS</t>
  </si>
  <si>
    <t>COMUNIDAD EDUCATIVA</t>
  </si>
  <si>
    <t>ACTIVIDADES DE PROMOCIÓN DE LA SALUD</t>
  </si>
  <si>
    <t>EMPLEADORES Y COMPAÑEROS DE TRABAJO</t>
  </si>
  <si>
    <t>RED DE APOYO</t>
  </si>
  <si>
    <t>ACTIVIDADES PARA FORTALECER LOS CONOCIMIENTOS Y DESTREZAS PERSONALES</t>
  </si>
  <si>
    <t>PROFESIONALES DE SALUD</t>
  </si>
  <si>
    <t>MONITORES</t>
  </si>
  <si>
    <t>ASESORÍA A GRUPOS COMUNITARIOS</t>
  </si>
  <si>
    <t>SECCIÓN B.1: INGRESOS Y EGRESOS  AL PROGRAMA DE REHABILITACIÓN INTEGRAL</t>
  </si>
  <si>
    <t>UPC</t>
  </si>
  <si>
    <t>Cuidados Medios y Básicos</t>
  </si>
  <si>
    <t>EGRESOS ACV REFERIDO A APS</t>
  </si>
  <si>
    <t>DERIVACIÓN</t>
  </si>
  <si>
    <t>A OTRO HOSPITAL (hospitalizado)</t>
  </si>
  <si>
    <t>A NIVEL SECUNDARIO (ambulatorio)</t>
  </si>
  <si>
    <t>A NIVEL PRIMARIO</t>
  </si>
  <si>
    <t>SECCIÓN A: PROGRAMA DE RESOLUTIVIDAD ATENCIÓN PRIMARIA DE SALUD</t>
  </si>
  <si>
    <t>MAMOGRAFÍA</t>
  </si>
  <si>
    <t>SOLICITADAS</t>
  </si>
  <si>
    <t>INFORMADAS</t>
  </si>
  <si>
    <t>CON BIRADS 0</t>
  </si>
  <si>
    <t>CON BIRADS 1 o 2</t>
  </si>
  <si>
    <t>CON BIRADS  3</t>
  </si>
  <si>
    <t>CON BIRADS  4, 5 o 6</t>
  </si>
  <si>
    <t>SIN INFORME BIRADS</t>
  </si>
  <si>
    <t>CON INFORME DE SOSPECHA DE MALIGNIDAD</t>
  </si>
  <si>
    <t>CON RESULTADO LITIASIS BILIAR</t>
  </si>
  <si>
    <t>ENDOSCOPIA DIGESTIVA ALTA</t>
  </si>
  <si>
    <t>TOMA DE BIOPSIA</t>
  </si>
  <si>
    <t>REALIZADAS</t>
  </si>
  <si>
    <t>CIRUGÍA MENOR</t>
  </si>
  <si>
    <t>BIOPSIAS DE CIRUGÍA MENOR ENVIADAS A ANATOMÍA PATOLÓGICA</t>
  </si>
  <si>
    <t xml:space="preserve">MENORES DE 15 AÑOS </t>
  </si>
  <si>
    <t>15 AÑOS Y MÁS</t>
  </si>
  <si>
    <t>MODALIDAD</t>
  </si>
  <si>
    <t xml:space="preserve">COMPRA DE SERVICIO </t>
  </si>
  <si>
    <t>ESTABLECIMIENTOS DE NIVEL PRIMARIO DE SALUD</t>
  </si>
  <si>
    <t>TOTAL EMISIONES DE INFORMES</t>
  </si>
  <si>
    <t>SECCIÓN D: OTRAS EVALUACIONES, APLICACIONES Y RESULTADOS DE ESCALAS EN TODAS LAS EDADES</t>
  </si>
  <si>
    <t>PARTICIPANTES</t>
  </si>
  <si>
    <t>SECCIÓN F:  TIPOS DE LACTANCIA EN NIÑOS Y NIÑAS AL EGRESO DE LA HOSPITALIZACIÓN</t>
  </si>
  <si>
    <t>Desconocido/a</t>
  </si>
  <si>
    <t>ENRUTADO</t>
  </si>
  <si>
    <t>SECCIÓN J: LLAMADOS DE URGENCIA A CENTRO REGULADOR</t>
  </si>
  <si>
    <t>TOTAL DE LLAMADAS</t>
  </si>
  <si>
    <t>GESTANTES INGRESADAS</t>
  </si>
  <si>
    <t>CONTROLES SALUD MENTAL</t>
  </si>
  <si>
    <t>NANEAS</t>
  </si>
  <si>
    <t>POLITRAUMATISMO</t>
  </si>
  <si>
    <t>PARO CARDIORESPIRATORIO</t>
  </si>
  <si>
    <t>AGRESOR /A</t>
  </si>
  <si>
    <t>AGRESOR / A</t>
  </si>
  <si>
    <t>SECCIÓN A.1: ATENCIONES REALIZADAS EN UNIDADES DE EMERGENCIA HOSPITALARIA DE ALTA Y MEDIANA COMPLEJIDAD (UEH)</t>
  </si>
  <si>
    <t>SECCIÓN A.2: ATENCIONES DE URGENCIA REALIZADAS EN SAPU Y SAR</t>
  </si>
  <si>
    <t>SECCIÓN D: PACIENTES CON INDICACIÓN DE HOSPITALIZACIÓN EN ESPERA DE CAMAS EN UEH</t>
  </si>
  <si>
    <t>CANTIDAD</t>
  </si>
  <si>
    <t>TOTAL DE TRASLADOS</t>
  </si>
  <si>
    <t>SECCIÓN A: ATENCIONES REALIZADAS EN UNIDADES DE URGENCIA DE LA RED</t>
  </si>
  <si>
    <t>Menos de 1 año</t>
  </si>
  <si>
    <t>1 año</t>
  </si>
  <si>
    <t xml:space="preserve">ACTIVIDAD </t>
  </si>
  <si>
    <t>COMPLETA CICLO</t>
  </si>
  <si>
    <t>Según protocolo de referencia</t>
  </si>
  <si>
    <t>Según tiempo establecido</t>
  </si>
  <si>
    <t>ATENCIONES</t>
  </si>
  <si>
    <t>ITS</t>
  </si>
  <si>
    <t>VIH/SIDA</t>
  </si>
  <si>
    <t>DE SALUD</t>
  </si>
  <si>
    <t xml:space="preserve">ESPECIALIDADES  </t>
  </si>
  <si>
    <t xml:space="preserve">INFORMES REALIZADOS POR TELEMEDICINA </t>
  </si>
  <si>
    <t>INGRESOS GLAUCOMA UAPO</t>
  </si>
  <si>
    <t>EGRESOS GLAUCOMA UAPO</t>
  </si>
  <si>
    <t>&lt;15</t>
  </si>
  <si>
    <t>20 - 64</t>
  </si>
  <si>
    <t>N° BIOPSIAS DE CIRUGÍA MENOR CON INFORME DE SOSPECHA DE MALIGNIDAD</t>
  </si>
  <si>
    <t>TIPO DE EXAMEN Y PROCEDIMIENTO DIAGNOSTICO</t>
  </si>
  <si>
    <t xml:space="preserve">GINECOLÓGICO </t>
  </si>
  <si>
    <t>SECCIÓN G.1: PROGRAMA SEMBRANDO SONRISAS</t>
  </si>
  <si>
    <t>** * El resultado que se consigna es la comparacion del indice de Barthel aplicado al Ingreso y Egreso de la Hospitalizacion</t>
  </si>
  <si>
    <t>DEPRESIÓN POST PARTO</t>
  </si>
  <si>
    <t>SECCIÓN H: INGRESOS AL PSCV</t>
  </si>
  <si>
    <t>SECCIÓN I: EGRESOS  DEL PSCV</t>
  </si>
  <si>
    <t>SECCIÓN J: INGRESOS Y EGRESOS AL PROGRAMA DE PACIENTES CON DEPENDENCIA LEVE, MODERADA Y SEVERA</t>
  </si>
  <si>
    <t>SECCIÓN K: INGRESOS AL PROGRAMA DEL ADULTO MAYOR SEGÚN CONDICIÓN DE FUNCIONALIDAD Y DEPENDENCIA</t>
  </si>
  <si>
    <t>SECCIÓN M: INGRESOS Y EGRESOS DEL  PROGRAMA MÁS ADULTOS MAYORES AUTOVALENTES</t>
  </si>
  <si>
    <t>SECCIÓN N: INGRESOS AL PROGRAMA DE SALUD  MENTAL EN APS /ESPECIALIDAD</t>
  </si>
  <si>
    <t>SECCIÓN O: EGRESOS DEL PROGRAMA DE SALUD  MENTAL POR ALTAS CLÍNICAS EN APS /ESPECIALIDAD</t>
  </si>
  <si>
    <t>SECCIÓN Q:  PROGRAMA DE REHABILITACIÓN (PERSONAS CON TRASTORNOS PSIQUIÁTRICOS)</t>
  </si>
  <si>
    <t>SECCIÓN R: INGRESOS Y EGRESOS A PROGRAMA INFECCIÓN POR TRANSMISIÓN SEXUAL (Uso de establecimientos que realizan atención de ITS)</t>
  </si>
  <si>
    <t>SECCIÓN T: INGRESOS Y EGRESOS POR COMERCIO SEXUAL (Uso exclusivo de Unidades Control Comercio Sexual)</t>
  </si>
  <si>
    <t>SECCIÓN K: INTERVENCIONES PRE HOSPITALARIAS (SAMU)</t>
  </si>
  <si>
    <t>35 A 49</t>
  </si>
  <si>
    <t>&lt; 35</t>
  </si>
  <si>
    <t>PROCEDIMIENTOS</t>
  </si>
  <si>
    <t>TEST DE UREASA SOLICITADAS</t>
  </si>
  <si>
    <t>TEST DE UREASA POSITIVAS (+) H PYLORI</t>
  </si>
  <si>
    <t>SECCIÓN C: CONSULTAS Y CONTROLES POR OTROS PROFESIONALES EN ESPECIALIDAD (NIVEL SECUNDARIO)</t>
  </si>
  <si>
    <t>SECCIÓN D: CONTROL DE SALUD INTEGRAL DE ADOLESCENTES (incluidos en sección B)</t>
  </si>
  <si>
    <t>SECCIÓN M: TRASLADO SECUNDARIO (Desde un Establecimiento a Otro)</t>
  </si>
  <si>
    <t>SECCIÓN L: TRASLADOS PRIMARIOS A UNIDADES DE URGENCIA (Desde el lugar del evento a unidad de Emergencia)</t>
  </si>
  <si>
    <t xml:space="preserve">OTORRINOLARINGOLOGÍA </t>
  </si>
  <si>
    <t xml:space="preserve">  </t>
  </si>
  <si>
    <t xml:space="preserve">   </t>
  </si>
  <si>
    <t>NIÑOS CON NECESIDADES ESPECIALES</t>
  </si>
  <si>
    <t>GESTANTES CON EXAMEN DE CHAGAS INFORMADO</t>
  </si>
  <si>
    <t>Nº DE PERSONAS</t>
  </si>
  <si>
    <t>CITAS EFECTIVAS</t>
  </si>
  <si>
    <t>CONSULTAS MÉDICAS POR OPERATIVOS (no incluidas en produccion)</t>
  </si>
  <si>
    <t>Recuperado</t>
  </si>
  <si>
    <t>No Recuperado</t>
  </si>
  <si>
    <t>DEPENDENCIA GRAVE Y TOTAL</t>
  </si>
  <si>
    <t>Nº REUNIONES / SESIONES</t>
  </si>
  <si>
    <t>ASISTENCIA A TRIBUNALES</t>
  </si>
  <si>
    <t>Contusio-nales</t>
  </si>
  <si>
    <t>N° INTERVENCIONES</t>
  </si>
  <si>
    <t>EGRESOS CON PTI CUIDADOR</t>
  </si>
  <si>
    <t>SECCIÓN A.3: EVALUACIÓN INICIAL</t>
  </si>
  <si>
    <t>SECCIÓN A.5: SESIONES DE REHABILITACIÓN</t>
  </si>
  <si>
    <t>SECCIÓN A.7: CONSEJERÍA INDIVIDUAL AGENDADA</t>
  </si>
  <si>
    <t>SECCIÓN A.8: CONSEJERÍA FAMILIAR AGENDADA</t>
  </si>
  <si>
    <t>SECCIÓN A.9: VISITAS DOMICILIARIAS INTEGRALES</t>
  </si>
  <si>
    <t>SECCIÓN B.2: EVALUACIÓN INICIAL</t>
  </si>
  <si>
    <t>SECCIÓN B.4: SESIONES DE REHABILITACIÓN</t>
  </si>
  <si>
    <t>CAUSAL DE EGRESO</t>
  </si>
  <si>
    <t>REM-30: ATENCIONES POR TELEMEDICINA EN LA RED ASISTENCIAL</t>
  </si>
  <si>
    <t>SERIE A</t>
  </si>
  <si>
    <t>MINSAL - DEIS</t>
  </si>
  <si>
    <t>Jefe de Estadísticas</t>
  </si>
  <si>
    <t>SERVICIO DE SALUD</t>
  </si>
  <si>
    <t>Director Servicio de Salud o Director Establecimiento</t>
  </si>
  <si>
    <t>AÑO:</t>
  </si>
  <si>
    <t>MES:</t>
  </si>
  <si>
    <t>DEPENDENCIA</t>
  </si>
  <si>
    <t>TIPO DE ESTABLECIMIENTO/ESTRATEGIA</t>
  </si>
  <si>
    <t>NOMBRE ESTABLECIMIENTO/ESTRATEGIA</t>
  </si>
  <si>
    <t>NOMBRE DE COMUNA</t>
  </si>
  <si>
    <t>CÓDIGOS</t>
  </si>
  <si>
    <t>DATOS DEL ESTABLECIMIENTO</t>
  </si>
  <si>
    <t>REMA28</t>
  </si>
  <si>
    <t>REMA27</t>
  </si>
  <si>
    <t>REMA26</t>
  </si>
  <si>
    <t>REMA25</t>
  </si>
  <si>
    <t>REMA24</t>
  </si>
  <si>
    <t>REMA23</t>
  </si>
  <si>
    <t>REMA21</t>
  </si>
  <si>
    <t>REMA19-b</t>
  </si>
  <si>
    <t>REMA19-a</t>
  </si>
  <si>
    <t>REMA11</t>
  </si>
  <si>
    <t>REMA09</t>
  </si>
  <si>
    <t>REMA08</t>
  </si>
  <si>
    <t>REMA07</t>
  </si>
  <si>
    <t>REMA06</t>
  </si>
  <si>
    <t>REMA05</t>
  </si>
  <si>
    <t>Otra causa justificada</t>
  </si>
  <si>
    <t>REMA04</t>
  </si>
  <si>
    <t>No corresponde REM</t>
  </si>
  <si>
    <t>REMA03</t>
  </si>
  <si>
    <t>No hubo profesional</t>
  </si>
  <si>
    <t>REMA02</t>
  </si>
  <si>
    <t>Feriado Legal</t>
  </si>
  <si>
    <t>REMA01</t>
  </si>
  <si>
    <t>Licencia médica</t>
  </si>
  <si>
    <t>HOJA NOMBRE</t>
  </si>
  <si>
    <t>OTRA CAUSAL (indicar)</t>
  </si>
  <si>
    <t>REM
SIN DATOS</t>
  </si>
  <si>
    <t>JUSTIFICAR ERRORES (indicar)</t>
  </si>
  <si>
    <t>Nº ERRORES</t>
  </si>
  <si>
    <t>REM</t>
  </si>
  <si>
    <t>C.- ENTRE EVALUACIONES Y RESULTADOS, INGRESOS A PROGRAMAS Y APLICACIÓN DE INSTRUMENTOS, ETC.</t>
  </si>
  <si>
    <t>B.- ENTRE TOTAL Y DESGLOSE SEGÚN SEXO</t>
  </si>
  <si>
    <t xml:space="preserve">A.- DIFERENCIAS ENTRE TOTAL Y BENEFICIARIO </t>
  </si>
  <si>
    <t>NUMERO DE ERRORES  SEGÚN:</t>
  </si>
  <si>
    <t>Contraseña para copia del archivo :DEIS</t>
  </si>
  <si>
    <t>CREA UNA COPIA  DEL ARCHIVO  (TRANFORMA HOJAS A VALORES)</t>
  </si>
  <si>
    <t>Hoja de Macros y Utilidades</t>
  </si>
  <si>
    <t>REMA29</t>
  </si>
  <si>
    <t>REMA30</t>
  </si>
  <si>
    <t>ORIGEN FÍSICO</t>
  </si>
  <si>
    <t>ORIGEN MENTAL PSÍQUICO</t>
  </si>
  <si>
    <t>PREECLAMPSIA (PE)</t>
  </si>
  <si>
    <t>SÍNDROME HIPERTENSIVO DEL EMBARAZO (SHE)</t>
  </si>
  <si>
    <t>FACTORES DE RIESGO Y CONDICIONANTES DE PARTO PREMATURO</t>
  </si>
  <si>
    <t>RETARDO CRECIMIENTO INTRAUTERINO (RCIU)</t>
  </si>
  <si>
    <t>DIABETES</t>
  </si>
  <si>
    <t>CESÁREA ANTERIOR</t>
  </si>
  <si>
    <t>MALFORMACIÓN CONGÉNITA</t>
  </si>
  <si>
    <t>OTRAS PATOLOGÍAS DEL EMBARAZO</t>
  </si>
  <si>
    <t>BARTHEL</t>
  </si>
  <si>
    <t>VÍCTIMA</t>
  </si>
  <si>
    <t>EGRESOS POR FALLECIMIENTO (INCLUÍDO EN TOTAL EGRESOS)</t>
  </si>
  <si>
    <t>ABANDONO CONTROLES</t>
  </si>
  <si>
    <t>ABANDONO TRATAMIENTO</t>
  </si>
  <si>
    <t>EVALUACIÓN MOVILIDAD PROGRAMA</t>
  </si>
  <si>
    <t>Cumplimiento de tratamiento</t>
  </si>
  <si>
    <t>INASISTENTE</t>
  </si>
  <si>
    <t>Traslado</t>
  </si>
  <si>
    <t>Altas</t>
  </si>
  <si>
    <t>MADRE DE HIJO MENOR DE 5 AÑOS</t>
  </si>
  <si>
    <t>MADRE DE NIÑO MENOR DE 5 AÑOS</t>
  </si>
  <si>
    <t>Por alta</t>
  </si>
  <si>
    <t>Por abandono</t>
  </si>
  <si>
    <t>DÍAS PERSONA</t>
  </si>
  <si>
    <t>COLABORACIÓN CON GRUPO DE AUTOAYUDA</t>
  </si>
  <si>
    <t>Nº de profesionales</t>
  </si>
  <si>
    <t>Nº de veces</t>
  </si>
  <si>
    <t>CONSULTORÍAS DE SALUD MENTAL</t>
  </si>
  <si>
    <t>ENFERMEDAD RESPIRATORIA PEDIÁTRICA (BRONCOPULMONAR INFANTIL)</t>
  </si>
  <si>
    <t>ENFERMEDAD RESPIRATORIA DE ADULTO (BRONCOPULMONAR)</t>
  </si>
  <si>
    <t>CARDIOLOGÍA PEDIÁTRICA</t>
  </si>
  <si>
    <t>ENDOCRINOLOGÍA PEDIÁTRICA</t>
  </si>
  <si>
    <t>ENDOCRINOLOGÍA ADULTO</t>
  </si>
  <si>
    <t>GASTROENTEROLOGÍA PEDIÁTRICA</t>
  </si>
  <si>
    <t>GASTROENTEROLOGÍA ADULTO</t>
  </si>
  <si>
    <t>GENÉTICA CLÍNICA</t>
  </si>
  <si>
    <t>HEMATO-ONCOLOGÍA INFANTIL</t>
  </si>
  <si>
    <t>NEFROLOGÍA PEDIÁTRICA</t>
  </si>
  <si>
    <t>NEFROLOGÍA ADULTO</t>
  </si>
  <si>
    <t>NUTRIÓLOGO PEDIÁTRICO</t>
  </si>
  <si>
    <t>REUMATOLOGÍA PEDIÁTRICA</t>
  </si>
  <si>
    <t>DERMATOLOGÍA</t>
  </si>
  <si>
    <t>INFECTOLOGÍA PEDIÁTRICA</t>
  </si>
  <si>
    <t>INMUNOLOGÍA</t>
  </si>
  <si>
    <t>GERIATRÍA</t>
  </si>
  <si>
    <t>MEDICINA FÍSICA Y REHABILITACIÓN PEDIÁTRICA (FISIATRÍA PEDIÁTRICA)</t>
  </si>
  <si>
    <t>MEDICINA FÍSICA Y REHABILITACIÓN ADULTO (FISIATRÍA ADULTO)</t>
  </si>
  <si>
    <t>NEUROLOGÍA PEDIÁTRICA</t>
  </si>
  <si>
    <t>ONCOLOGÍA MÉDICA</t>
  </si>
  <si>
    <t>PSIQUIATRÍA PEDIÁTRICA Y DE LA ADOLESCENCIA</t>
  </si>
  <si>
    <t>CIRUGÍA PEDIÁTRICA</t>
  </si>
  <si>
    <t>CIRUGÍA DE CABEZA, CUELLO Y MAXILOFACIAL</t>
  </si>
  <si>
    <t>CIRUGÍA PLÁSTICA Y REPARADORA PEDIÁTRICA</t>
  </si>
  <si>
    <t>CIRUGÍA VASCULAR PERIFÉRICA</t>
  </si>
  <si>
    <t>ANESTESIOLOGÍA</t>
  </si>
  <si>
    <t>OBSTETRICIA</t>
  </si>
  <si>
    <t>GINECOLOGÍA PEDIÁTRICA Y DE LA ADOLESCENCIA</t>
  </si>
  <si>
    <t>TRAUMATOLOGÍA Y ORTOPEDIA PEDIÁTRICA</t>
  </si>
  <si>
    <t>UROLOGÍA PEDIÁTRICA</t>
  </si>
  <si>
    <t>MEDICINA FAMILIAR DEL NIÑO</t>
  </si>
  <si>
    <t>MEDICINA FAMILIAR</t>
  </si>
  <si>
    <t>DIABETOLOGÍA</t>
  </si>
  <si>
    <t>MEDICINA NUCLEAR (EXCLUYE INFORMES)</t>
  </si>
  <si>
    <t>Nº Consultorías</t>
  </si>
  <si>
    <t>Nº de casos revisados por el equipo</t>
  </si>
  <si>
    <t>Nº de casos atendidos</t>
  </si>
  <si>
    <t>ARRITMIAS</t>
  </si>
  <si>
    <t>CIRUGÍA DE MAMAS</t>
  </si>
  <si>
    <t>ALTO RIESGO OBSTÉTRICO</t>
  </si>
  <si>
    <t>TRATAMIENTO ANTICOAGULANTE</t>
  </si>
  <si>
    <t>CUIDADOS PALIATIVOS</t>
  </si>
  <si>
    <t>PATOLOGÍA CERVICAL</t>
  </si>
  <si>
    <t>PATOLOGÍA DE MAMAS</t>
  </si>
  <si>
    <t>ADOLESCENCIA</t>
  </si>
  <si>
    <t>MEDICINAL OCUPACIONAL (SALUD DEL PERSONAL)</t>
  </si>
  <si>
    <t>PSICÓLOGO (EXCLUYE SM)</t>
  </si>
  <si>
    <t>CARDIOLOGÍA</t>
  </si>
  <si>
    <t>PACIENTES QUE INGRESAN DIRECTAMENTE A PROCESO QUIRÚRGICO</t>
  </si>
  <si>
    <t>SECCIÓN G: ATENCIONES MÉDICAS ASOCIADAS A  VIOLENCIA</t>
  </si>
  <si>
    <t>CON ENTREGA DE ANTICONCEPTIVO</t>
  </si>
  <si>
    <t>SIN ENTREGA DE ANTICONCEPTIVO</t>
  </si>
  <si>
    <t>PREECLAMPSIA SEVERA</t>
  </si>
  <si>
    <t>ECLAMPSIA</t>
  </si>
  <si>
    <t>PARTO PREMATURO</t>
  </si>
  <si>
    <t>HEMORRAGIA I TRIMESTRE</t>
  </si>
  <si>
    <t>HEMORRAGIA II TRIMESTRE</t>
  </si>
  <si>
    <t>HEMORRAGIA III TRIMESTRE</t>
  </si>
  <si>
    <t>ROTURA PREMATURA DE MEMBRANA</t>
  </si>
  <si>
    <t>OTRAS PATOLOGÍAS</t>
  </si>
  <si>
    <t>TRABAJO DE PARTO SIN PATOLOGÍA</t>
  </si>
  <si>
    <t>Nº LLAMADOS DE URGENCIA</t>
  </si>
  <si>
    <t>INTERVENCIÓN DE MÓVIL BÁSICO</t>
  </si>
  <si>
    <t>INTERVENCIÓN DE MÓVIL AVANZADO</t>
  </si>
  <si>
    <t>SÍNDROME CORONARIO AGUDO</t>
  </si>
  <si>
    <t>LESIONES DE LA VÍCTIMA</t>
  </si>
  <si>
    <t>CONTROL ODONTOLÓGICO</t>
  </si>
  <si>
    <t>CONSULTA DE URGENCIA (GES)</t>
  </si>
  <si>
    <t>INASISTENCIA A CONSULTA</t>
  </si>
  <si>
    <t>EDUCACIÓN INDIVIDUAL CON INSTRUCCIÓN DE TÉCNICA DE CEPILLADO</t>
  </si>
  <si>
    <t>CONSEJERÍA BREVE EN TABACO</t>
  </si>
  <si>
    <t>EDUCACIÓN GRUPAL</t>
  </si>
  <si>
    <t>EXAMEN DE SALUD ORAL</t>
  </si>
  <si>
    <t>APLICACIÓN DE SELLANTES</t>
  </si>
  <si>
    <t>FLUORURACIÓN TÓPICA BARNIZ</t>
  </si>
  <si>
    <t>PULIDO CORONARIO</t>
  </si>
  <si>
    <t>ACTIVIDAD INTERCEPTIVA DE ANOMALÍAS DENTO MAXILARES (OPI)</t>
  </si>
  <si>
    <t>DESTARTRAJE SUPRAGINGIVAL</t>
  </si>
  <si>
    <t>EXODONCIA</t>
  </si>
  <si>
    <t>PULPOTOMÍA</t>
  </si>
  <si>
    <t>RESTAURACIÓN PROVISORIA</t>
  </si>
  <si>
    <t>RESTAURACIÓN ESTÉTICA</t>
  </si>
  <si>
    <t>RESTAURACIÓN DE AMALGAMAS</t>
  </si>
  <si>
    <t>DESTARTRAJE SUBGINGIVAL Y PULIDO RADICULAR POR SEXTANTE</t>
  </si>
  <si>
    <t>PROCEDIMIENTOS MÉDICO-QUIRÚRGICOS</t>
  </si>
  <si>
    <t>RADIOGRAFÍA INTRAORAL (RETROALVEOLARES, BITE WING Y OCLUSALES)</t>
  </si>
  <si>
    <t>INGRESOS A TRATAMIENTO ODONTOLOGÍA GENERAL</t>
  </si>
  <si>
    <t>ALTAS ODONTOLÓGICAS PREVENTIVAS</t>
  </si>
  <si>
    <t>ALTAS ODONTOLÓGICAS INTEGRALES (EXCLUYE SECCIÓN G)</t>
  </si>
  <si>
    <t>ALTAS ODONTOLÓGICAS TOTALES</t>
  </si>
  <si>
    <t>ENDODONCIA</t>
  </si>
  <si>
    <t>REHABILITACIÓN ORAL</t>
  </si>
  <si>
    <t>PRÓTESIS REMOVIBLES</t>
  </si>
  <si>
    <t>PRÓTESIS FIJA</t>
  </si>
  <si>
    <t>CIRUGÍA BUCAL Y TRAUMATOLOGÍA MAXILOFACIAL</t>
  </si>
  <si>
    <t xml:space="preserve">ODONTOPEDIATRÍA </t>
  </si>
  <si>
    <t>ORTODONCIA</t>
  </si>
  <si>
    <t>PERIODONCIA</t>
  </si>
  <si>
    <t xml:space="preserve">IMAGENOLOGÍA ORAL Y MAXILOFACIAL </t>
  </si>
  <si>
    <t>PATOLOGÍA ORAL</t>
  </si>
  <si>
    <t>IMPLANTOLOGÍA BUCO MAXILOFACIAL</t>
  </si>
  <si>
    <t>TRASTORNOS TEMPOROMANDIBULARES Y DOLOR OROFACIAL</t>
  </si>
  <si>
    <t>EXAMEN Y DIAGNÓSTICO DE ESPECIALIDAD</t>
  </si>
  <si>
    <t>TRATAMIENTO ENDODONCIA UNIRRADICULAR</t>
  </si>
  <si>
    <t>TRATAMIENTO ENDODONCIA BIRRADICULAR</t>
  </si>
  <si>
    <t>TRATAMIENTO ENDODONCIA MULTIRRADICULAR</t>
  </si>
  <si>
    <t>REPARACIÓN DE PRÓTESIS</t>
  </si>
  <si>
    <t>TRATAMIENTO TRAUMATISMO DENTOALVEOLAR</t>
  </si>
  <si>
    <t>RADIOGRAFÍA EXTRAORAL (POR PLACA)</t>
  </si>
  <si>
    <t>RADIOGRAFÍA OCLUSAL (POR PLACA)</t>
  </si>
  <si>
    <t>RADIOGRAFÍA PANORÁMICA (POR PLACA)</t>
  </si>
  <si>
    <t>PROGRAMA ODONTOLÓGICO INTEGRAL, ESTRATEGIA MÁS SONRISAS PARA CHILE</t>
  </si>
  <si>
    <t>N°AUDITORÍAS CLÍNICAS REALIZADAS</t>
  </si>
  <si>
    <t>ALTAS INTEGRALES</t>
  </si>
  <si>
    <t xml:space="preserve">CHILE SOLIDARIO </t>
  </si>
  <si>
    <t>DEMANDA LOCAL</t>
  </si>
  <si>
    <t>TRATAMIENTO ENDODONCIA</t>
  </si>
  <si>
    <t>N° PACIENTES</t>
  </si>
  <si>
    <t>N° DIENTES</t>
  </si>
  <si>
    <t>N° PRÓTESIS</t>
  </si>
  <si>
    <t>ALTAS INTEGRALES ESTUDIANTES DE CUARTO MEDIO</t>
  </si>
  <si>
    <t>ALTA INTEGRAL EN CENTRO DE SALUD</t>
  </si>
  <si>
    <t>ALTA INTEGRAL EN UNIDAD DENTAL MÓVIL O PORTÁTIL</t>
  </si>
  <si>
    <t>ALTA INTEGRAL EN ESTABLECIMIENTO EDUCACIONAL</t>
  </si>
  <si>
    <t>MORBILIDAD ADULTO</t>
  </si>
  <si>
    <t>N° TOTAL DE ACTIVIDAD RECUPERATIVA REALIZADA EN &gt;20 AÑOS, EN EXTENSIÓN HORARIA</t>
  </si>
  <si>
    <t>N° DE CONSULTAS DE MORBILIDAD REALIZADAS EN &gt;20 AÑOS, EN EXTENSIÓN HORARIA</t>
  </si>
  <si>
    <t>EXAMEN DE SALUD</t>
  </si>
  <si>
    <t>Nº DE NIÑOS CON ÍNDICE ceod=0 AL INGRESO</t>
  </si>
  <si>
    <t>Nº DE APLICACIONES FLÚOR BARNIZ</t>
  </si>
  <si>
    <t>ATENCIÓN BAJO ANESTESIA GENERAL</t>
  </si>
  <si>
    <t>ATENCIÓN BAJO SEDACIÓN ORAL</t>
  </si>
  <si>
    <t>CIRUGÍA BUCAL</t>
  </si>
  <si>
    <t>INGRESOS A TRATAMIENTO</t>
  </si>
  <si>
    <t>ALTAS DE TRATAMIENTO</t>
  </si>
  <si>
    <t>ODONTOPEDIATRÍA</t>
  </si>
  <si>
    <t>OPERATORIA</t>
  </si>
  <si>
    <t>ORTODONCIA Y ORTOPEDIA DENTO MAXILOFACIAL</t>
  </si>
  <si>
    <t>REHABILITACIÓN: PRÓTESIS FIJA</t>
  </si>
  <si>
    <t>REHABILITACIÓN: PRÓTESIS REMOVIBLE</t>
  </si>
  <si>
    <t>PULIDO CORONARIO Y DESTARTRAJE SUPRAGINGIVAL</t>
  </si>
  <si>
    <t xml:space="preserve">FLUORURACIÓN TÓPICA </t>
  </si>
  <si>
    <t>RADIOGRAFÍAS INTRAORALES (RETROALVEOLARES Y BITEWING)</t>
  </si>
  <si>
    <t>ATENCIÓN MORBILIDAD</t>
  </si>
  <si>
    <t>ATENCIÓN TRATAMIENTO</t>
  </si>
  <si>
    <t>ATENCIÓN URGENCIA</t>
  </si>
  <si>
    <t>CIRUGÍA Y TRAUMATOLOGÍA MAXILOFACIAL</t>
  </si>
  <si>
    <t>SEGÚN GRUPOS DE EDAD O DE RIESGO</t>
  </si>
  <si>
    <t>GESTANTE</t>
  </si>
  <si>
    <t>Nº CONSULTORÍAS</t>
  </si>
  <si>
    <t>HORAS DISPONIBLES DE ATENCIÓN CLÍNICA</t>
  </si>
  <si>
    <t>HORAS ODONTOLÓGICAS MENSUALES CONTRATADAS</t>
  </si>
  <si>
    <t>DÍAS PERSONAS ATENDIDAS</t>
  </si>
  <si>
    <t>Totales</t>
  </si>
  <si>
    <t>Beneficiarios MAI</t>
  </si>
  <si>
    <t>Beneficiarios MLE</t>
  </si>
  <si>
    <t>De preparación</t>
  </si>
  <si>
    <t>TOTAL DE EGRESOS (en el período)</t>
  </si>
  <si>
    <t>EGRESADOS CON APOYO PSICOSOCIAL (en el período)</t>
  </si>
  <si>
    <t>EQUIPO QUIRÚRGICO</t>
  </si>
  <si>
    <t>UNIDAD DE APOYO CLÍNICO</t>
  </si>
  <si>
    <t xml:space="preserve">Beneficiarias
</t>
  </si>
  <si>
    <t>Total **</t>
  </si>
  <si>
    <t>Total anestesia</t>
  </si>
  <si>
    <t>Epidural</t>
  </si>
  <si>
    <t>Raquídea</t>
  </si>
  <si>
    <t>General</t>
  </si>
  <si>
    <t>Local</t>
  </si>
  <si>
    <t>Total analgesia</t>
  </si>
  <si>
    <t>Analgesia inhalatoria</t>
  </si>
  <si>
    <t xml:space="preserve">Medidas analgésicas no farmacológicas </t>
  </si>
  <si>
    <t>Contacto mayor a 30 minutos (RN con peso menor o igual a 2.499 grs.)</t>
  </si>
  <si>
    <t>Contacto mayor a 30 minutos  (RN con peso de 2.500 grs. o más)</t>
  </si>
  <si>
    <t>SECCIÓN C.2: RECIÉN NACIDOS CON MALFORMACIÓN CONGÉNITA</t>
  </si>
  <si>
    <t>SECCIÓN C: INFORMACIÓN RECIÉN NACIDOS</t>
  </si>
  <si>
    <t>SECCIÓN E: EGRESOS DE MATERNIDAD Y NEONATOLOGÍA, SEGÚN LACTANCIA MATERNA EXCLUSIVA</t>
  </si>
  <si>
    <t>SÍNDROME DOLOROSO DE ORIGEN TRAUMÁTICO</t>
  </si>
  <si>
    <t>OTRO DÉFICIT SECUNDARIO CON COMPROMISO NEUROMUSCULAR EN MENOR DE 20 AÑOS CONGÉNITO</t>
  </si>
  <si>
    <t>OTRO DÉFICIT SECUNDARIO CON COMPROMISO NEUROMUSCULAR EN MENOR DE 20 AÑOS ADQUIRIDO</t>
  </si>
  <si>
    <t xml:space="preserve">OTRO DÉFICIT SECUNDARIO CON COMPROMISO NEUROMUSCULAR  EN MAYOR DE 20 AÑOS </t>
  </si>
  <si>
    <t>CONDICIÓN FÍSICA</t>
  </si>
  <si>
    <t>SECCIÓN A.4: EVALUACIÓN INTERMEDIA</t>
  </si>
  <si>
    <t>EVALUACIÓN AYUDAS TÉCNICAS</t>
  </si>
  <si>
    <t>FISIOTERAPIA</t>
  </si>
  <si>
    <t>MASOTERAPIA</t>
  </si>
  <si>
    <t>EJERCICIOS TERAPÉUTICOS</t>
  </si>
  <si>
    <t>CONFECCIÓN ÓRTESIS Y/O ADAPTACIONES</t>
  </si>
  <si>
    <t>ADAPTACIÓN DEL HOGAR</t>
  </si>
  <si>
    <t>ACTIVIDADES RECREATIVAS</t>
  </si>
  <si>
    <t>ACTIVIDADES TERAPÉUTICAS</t>
  </si>
  <si>
    <t>ORIENTACIÓN Y MOVILIDAD</t>
  </si>
  <si>
    <t>ORIENTACIÓN SOCIOLABORAL</t>
  </si>
  <si>
    <t>ORIENTACIÓN FAMILIAR Y A LA RED DE APOYO PARA EL TRABAJO</t>
  </si>
  <si>
    <t>GESTIÓN DE LA RED LOCAL PARA EL TRABAJO</t>
  </si>
  <si>
    <t>Trabajo con objetivos de habilitación y rehabilitación</t>
  </si>
  <si>
    <t>Trabajo sin objetivos de habilitación y rehabilitación</t>
  </si>
  <si>
    <t>Dueña/o de casa</t>
  </si>
  <si>
    <t xml:space="preserve">DIAGNÓSTICO O PLANIFICACIÓN PARTICIPATIVA </t>
  </si>
  <si>
    <t>NEUROLÓGICOS TRAUMATISMO ENCÉFALO CRANEANO (TEC)</t>
  </si>
  <si>
    <t>NEUROLÓGICAS TUMORES</t>
  </si>
  <si>
    <t>PARÁLISIS CEREBRAL</t>
  </si>
  <si>
    <t>SENSORIALES AUDITIVOS</t>
  </si>
  <si>
    <t>SENSORIALES VISUALES</t>
  </si>
  <si>
    <t>TRAUMATOLÓGICOS</t>
  </si>
  <si>
    <t>CARDIOVASCULAR</t>
  </si>
  <si>
    <t>RESPIRATORIO</t>
  </si>
  <si>
    <t>NEUROMUSCULARES AGUDAS</t>
  </si>
  <si>
    <t>NEUROMUSCULARES CRÓNICAS</t>
  </si>
  <si>
    <t>REUMATOLÓGICAS</t>
  </si>
  <si>
    <t>CERRADA</t>
  </si>
  <si>
    <t>TRATAMIENTO COMPRESIVO</t>
  </si>
  <si>
    <t>ENTRENAMIENTO PROTÉSICO</t>
  </si>
  <si>
    <t>EDUCACIÓN FAMILIAR</t>
  </si>
  <si>
    <t>TRATAMIENTO (VOZ, HABLA Y/O LENGUAJE)</t>
  </si>
  <si>
    <t xml:space="preserve">TRATAMIENTO FUNCIONES MOTORAS ORALES </t>
  </si>
  <si>
    <t>ESTIMULACIÓN COGNITIVA</t>
  </si>
  <si>
    <t>PREVENCIÓN DE DETERIORO DE ÓRGANOS FONO ARTICULATORIOS (OFA)</t>
  </si>
  <si>
    <t>HABILITACIÓN Y REHABILITACIÓN EN ACTIVIDADES DE LA VIDA DIARIA (AVD)</t>
  </si>
  <si>
    <t>HABILITACIÓN Y REHABILITACIÓN EDUCACIONAL</t>
  </si>
  <si>
    <t>INTEGRACIÓN SENSORIAL</t>
  </si>
  <si>
    <t>ECOTOMOGRAFÍA MAMARIA</t>
  </si>
  <si>
    <t>ECOTOMOGRAFÍA ABDOMINAL</t>
  </si>
  <si>
    <t xml:space="preserve">RADIOGRAFÍA DE CADERAS 3-6 MESES (SCREENING) </t>
  </si>
  <si>
    <t>CUANTIFICACIÓN DE LAGRIMACIÓN (TEST DE SCHIMER), UNO O AMBOS OJOS</t>
  </si>
  <si>
    <t>CURVA DE TENSIÓN APLANÁTICA (POR CADA DÍA), C/OJO</t>
  </si>
  <si>
    <t>DISPLOSCOPIA CUANTITATIVA, AMBOS OJOS</t>
  </si>
  <si>
    <t>EXPLORACIÓN SENSORIOMOTORA: ESTRABISMO, ESTUDIO COMPLETO, AMBOS OJOS</t>
  </si>
  <si>
    <t>RETINOGRAFÍA, AMBOS OJOS</t>
  </si>
  <si>
    <t>TONOMETRÍA APLANÁTICA C/OJO</t>
  </si>
  <si>
    <t>TRATAMIENTO ORTÓPTICO Y/O PLEÓPTICO (POR SESIÓN), AMBOS OJOS</t>
  </si>
  <si>
    <t>EXPLORACIÓN VITREORRETINAL, AMBOS OJOS (FONDO DE OJO)</t>
  </si>
  <si>
    <t>CUERPO EXTRAÑO CONJUNTIVAL Y/O CORNEAL</t>
  </si>
  <si>
    <t>CAMPIMETRÍA COMPUTARIZADA, C/OJO (EN UAPO)</t>
  </si>
  <si>
    <t>AUDIMETRÍAS (REALIZADAS)</t>
  </si>
  <si>
    <t>IMPEDANCIOMETRÍA</t>
  </si>
  <si>
    <t>EXAMEN FUNCIONAL VIII PAR</t>
  </si>
  <si>
    <t>POR EDAD (EN AÑOS)</t>
  </si>
  <si>
    <t>CONSULTAS MÉDICAS DE ESPECIALIDADES</t>
  </si>
  <si>
    <t>CONSULTAS OTROS PROFESIONALES</t>
  </si>
  <si>
    <t>INGRESOS Y EGRESOS GLAUCOMA UAPO</t>
  </si>
  <si>
    <t>Institucional</t>
  </si>
  <si>
    <t>N° DE INFORMES FONDO DE OJO</t>
  </si>
  <si>
    <t>N° DE INFORMES HOLTER DE PRESIÓN ARTERIAL</t>
  </si>
  <si>
    <t>N° DE INFORMES TEST DE ESFUERZO</t>
  </si>
  <si>
    <t>N° DE INFORMES RADIOGRAFÍAS SIMPLES</t>
  </si>
  <si>
    <t>N° DE INFORMES RADIOGRAFÍAS DENTALES</t>
  </si>
  <si>
    <t>N° DE INFORMES DE RESONANCIA MAGNÉTICA NUCLEAR</t>
  </si>
  <si>
    <t>Nº INSTITUCIONES,  ORGANIZACIONES  PARTICIPANTES</t>
  </si>
  <si>
    <t>PROMEDIO MENSUAL DE QUIRÓFANOS HABILITADOS</t>
  </si>
  <si>
    <t>PROMEDIO MENSUAL  DE QUIRÓFANOS EN TRABAJO</t>
  </si>
  <si>
    <t>QUIMIOTERAPIA</t>
  </si>
  <si>
    <t>PROGRAMACIÓN DE TABLA QUIRÚRGICA (N° DE PACIENTES)</t>
  </si>
  <si>
    <t>PACIENTES PROGRAMADOS</t>
  </si>
  <si>
    <t>PACIENTES SUSPENDIDOS</t>
  </si>
  <si>
    <t>CIRUGÍA MÁXILOFACIAL</t>
  </si>
  <si>
    <t xml:space="preserve">SECCIÓN B: PROCEDIMIENTOS DE IMÁGENES DIAGNOSTICAS Y PROGRAMA DE RESOLUTIVIDAD EN APS  </t>
  </si>
  <si>
    <t>SECCIÓN A.5:  CONSULTAS EN SISTEMA DE ATENCIÓN DE URGENCIA EN CENTROS DE SALUD RURAL (SUR) Y POSTAS RURALES</t>
  </si>
  <si>
    <t>SECCIÓN A.4: ATENCIONES DE URGENCIA REALIZADAS EN ESTABLECIMIENTOS  ATENCIÓN PRIMARIA NO SAPU</t>
  </si>
  <si>
    <t>REUNIONES CON INSTITUCIONES DEL SECTOR SALUD PROGRAMA ACOMPAÑAMIENTO PSICOSOCIAL</t>
  </si>
  <si>
    <t>REUNIONES CON INSTITUCIONES DEL INTERSECTOR ACOMPAÑAMIENTO PSICOSOCIAL</t>
  </si>
  <si>
    <t>REUNIONES CON ORGANIZACIONES COMUNITARIAS ACOMPAÑAMIENTO PSICOSOCIAL</t>
  </si>
  <si>
    <t>SECCIÓN A : CONSULTAS MÉDICAS</t>
  </si>
  <si>
    <t>Hospital Mediana/Alta Complejidad</t>
  </si>
  <si>
    <t>KINESIÓLOGO/ A</t>
  </si>
  <si>
    <t>KINESIÓLOGO/A</t>
  </si>
  <si>
    <t>SECCIÓN E: PACIENTES CON INDICACIÓN DE OBSERVACIÓN EN SAR</t>
  </si>
  <si>
    <t>Trau-
matológicas</t>
  </si>
  <si>
    <t xml:space="preserve">ATENCIÓN POR ANTICONCEPCIÓN DE EMERGENCIA </t>
  </si>
  <si>
    <t>SECCIÓN I: MOTIVOS DE ATENCIÓN POR EMERGENCIA OBSTÉTRICA AL SERVICIO DE  URGENCIA  (Establecimientos Alta y Mediana Complejidad).</t>
  </si>
  <si>
    <t>SECCIÓN Q: ATENCIONES DE URGENCIA ASOCIADAS A LESIONES AUTOINFLIGIDAS</t>
  </si>
  <si>
    <t>ACTIVIDADES DE APOYO</t>
  </si>
  <si>
    <t>SECCIÓN B: NIVEL HOSPITALARIO</t>
  </si>
  <si>
    <t>18 - 24 meses</t>
  </si>
  <si>
    <t>ESTADO MACROS:</t>
  </si>
  <si>
    <t>Para habilitar el contenido de las celdas "Tipo de Establecimiento", "Dependencia" y "Mes", presione el boton "Verificar Habilitacion de Macros".                                   Para poder tener un 100% de funcionalidad debe hablitar la opcion Macros en esta planilla.</t>
  </si>
  <si>
    <t>SECCIÓN U. INGRESOS Y EGRESOS PROGRAMA DE ACOMPAÑAMIENTO PSICOSOCIAL EN ATENCIÓN PRIMARIA</t>
  </si>
  <si>
    <t>ANTECEDENTES ENF. CARDIOVASCULAR ATEROSCLERÓTICA</t>
  </si>
  <si>
    <t>PACIENTES CON INDICACIÓN DE OBSERVACIÓN</t>
  </si>
  <si>
    <t xml:space="preserve">PACIENTES QUE PERMANECEN EN OBSERVACIÓN     </t>
  </si>
  <si>
    <t>ATENCIÓN OTROS MÉDICOS</t>
  </si>
  <si>
    <t>60 AÑOS (INCLUÍDO EN GRUPOS DE 20-64 AÑOS)</t>
  </si>
  <si>
    <t>N° DE INFORMES ELECTROCARDIOGRAMA</t>
  </si>
  <si>
    <t>N° DE INFORMES ELECTROENCEFALOGRAMA</t>
  </si>
  <si>
    <t>N° DE INFORMES ESPIROMETRÍAS</t>
  </si>
  <si>
    <t>TOTAL INTERCONSULTAS GENERADAS EN APS PARA DERIVACION ESPECIALIDAD</t>
  </si>
  <si>
    <t>De 3 meses a 5 meses 29 días</t>
  </si>
  <si>
    <t>De 1 mes a 2 meses 29 días</t>
  </si>
  <si>
    <t xml:space="preserve"> De 0 a 29 días</t>
  </si>
  <si>
    <t>De 6 meses a 11 meses 29 días</t>
  </si>
  <si>
    <t>De 1 año a 2 años</t>
  </si>
  <si>
    <t>LACTANCIA MATERNA EXCLUSIVA CON SÓLIDOS</t>
  </si>
  <si>
    <t>SECCIÓN C: RESULTADOS DE LA EVALUACIÓN DEL ESTADO NUTRICIONAL DEL ADOLESCENTE CON CONTROL SALUD INTEGRAL</t>
  </si>
  <si>
    <t>OBESOS SEVEROS</t>
  </si>
  <si>
    <t>MEDICINA INTENSIVA</t>
  </si>
  <si>
    <t>SECCIÓN D.6: APLICACIÓN DE ESCALA ZARIT ABREVIADO EN CUIDADORES DE PERSONAS CON DEPENDENCIA SEVERA</t>
  </si>
  <si>
    <t>ESCALA DE SOBRECARGA DEL CUIDADOR "ZARIT ABREVIADO"</t>
  </si>
  <si>
    <t>Nº DE AUDIT (EMP/EMPAM)</t>
  </si>
  <si>
    <t>Nº DE AUDIT APLICADO</t>
  </si>
  <si>
    <t>CUIDADORA (O) CON SOBRECARGA INTENSA</t>
  </si>
  <si>
    <t>CUIDADORA (O) SIN SOBRECARGA INTENSA</t>
  </si>
  <si>
    <t>TOTAL CUIDADORES EVALUADOS</t>
  </si>
  <si>
    <t>&lt;1 año</t>
  </si>
  <si>
    <t xml:space="preserve">3 años </t>
  </si>
  <si>
    <t>EVALUACIÓN DE RIESGO</t>
  </si>
  <si>
    <t>Ambos sexos</t>
  </si>
  <si>
    <t>ALTO RIESGO</t>
  </si>
  <si>
    <t xml:space="preserve">PAUTA CERO </t>
  </si>
  <si>
    <t>TIPOS DE LACTANCIA</t>
  </si>
  <si>
    <t>POR RANGO ETARIO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</si>
  <si>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</si>
  <si>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</si>
  <si>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</si>
  <si>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</si>
  <si>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</si>
  <si>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</si>
  <si>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</si>
  <si>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</si>
  <si>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</si>
  <si>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</si>
  <si>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</si>
  <si>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</si>
  <si>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Establecimiento de Mayor Complejidad (EMAYC)</t>
  </si>
  <si>
    <t>Establecimiento de Mediana Complejidad (EMEDC)</t>
  </si>
  <si>
    <t>Establecimiento de Menor Complejidad (EMENC)</t>
  </si>
  <si>
    <t>Centros de Diagnóstico Terapéutico (CDT)</t>
  </si>
  <si>
    <t>Centro de Referencia de Salud (CRS)</t>
  </si>
  <si>
    <t>Consultorio General Urbano (CGU)</t>
  </si>
  <si>
    <t>Consultorio General Urbano (CGU) - CESFAM</t>
  </si>
  <si>
    <t>Consultorio General Urbano(CGU) con SAPU/SUR/SAR</t>
  </si>
  <si>
    <t>Consultorio General Urbano (CGU) - CESFAM con SAPU/SAR</t>
  </si>
  <si>
    <t>Consultorio General Rural (CGR)</t>
  </si>
  <si>
    <t>Consultorio General Rural (CGR) - CESFAM</t>
  </si>
  <si>
    <t>Consultorio General Rural (CGR) con SAPU/SAR/SUR</t>
  </si>
  <si>
    <t>Consultorio General Rural (CGR) - CESFAM con SAPU/SAR/SUR</t>
  </si>
  <si>
    <t>Posta de Salud Rural (PSR)</t>
  </si>
  <si>
    <t>Centro Comunitario de Salud Familiar (CECOF)</t>
  </si>
  <si>
    <t>Consultorio de Salud Mental (COSAM)</t>
  </si>
  <si>
    <t>Programa de Reparación y Atención Integral de Salud (PRAIS)</t>
  </si>
  <si>
    <t>Centro de Atención Funcionarios (CAF)</t>
  </si>
  <si>
    <t>Clínica Dental Móvil (CDM)</t>
  </si>
  <si>
    <t>Dirección Servicio de Salud (DSS)</t>
  </si>
  <si>
    <t>Servicio de Atención Primaria de Urgencia (SAPU)</t>
  </si>
  <si>
    <t>SAPU Alta Resolución (SAR)</t>
  </si>
  <si>
    <t>Laboratorio Clínico o Dental</t>
  </si>
  <si>
    <t>Servicio de Atención Primaria de Urgencia Dental (SAPUDENT)</t>
  </si>
  <si>
    <t>Centro de Rehabilitación (CR)</t>
  </si>
  <si>
    <t>Hospital de Campaña</t>
  </si>
  <si>
    <t>MUNICIPAL</t>
  </si>
  <si>
    <t>OTRA INSTITUCIÓN (Delegado)</t>
  </si>
  <si>
    <t>EFAM</t>
  </si>
  <si>
    <t>SECCIÓN A.3: ATENCIONES DE URGENCIA REALIZADAS EN ESTABLECIMIENTOS DE BAJA COMPLEJIDAD</t>
  </si>
  <si>
    <t xml:space="preserve">ÍNDICE ceod O COPD EN PACIENTES INGRESADOS (Índice ceod se usa en menores de 7 años, para resto se utiliza COPD) </t>
  </si>
  <si>
    <t>TOTAL DE HORAS MENSUALES DE QUIRÓFANOS EN TRABAJO</t>
  </si>
  <si>
    <t>ENTREGA DE PLACENTA A SOLICITUD DE LA MUJER</t>
  </si>
  <si>
    <t>EGRESOS POR OTRAS CAUSAS</t>
  </si>
  <si>
    <t>CONSULTA DE URGENCIA</t>
  </si>
  <si>
    <t>CONSULTA DE MORBILIDAD ODONTOLOGICA</t>
  </si>
  <si>
    <t>RESULTADOS  
10 O MÁS PTOS. O RESULTADO DISTINTO DE 0 EN PREG 10 . (PUERPERAS)</t>
  </si>
  <si>
    <t>CONSULTAS REALIZADAS EN APS E INFORMADAS EN SECCIÓN A</t>
  </si>
  <si>
    <t xml:space="preserve">TECNÓLOGO MÉDICO POR VICIO DE REFRACCIÓN </t>
  </si>
  <si>
    <t>INSTITUCIONAL</t>
  </si>
  <si>
    <t>Masculino</t>
  </si>
  <si>
    <t>Femenino</t>
  </si>
  <si>
    <t>SECCIÓN B: CATEGORIZACIÓN DE PACIENTES, PREVIA A LA ATENCIÓN MÉDICA (Establecimientos Alta, Mediana o Baja Complejidad y SAR).</t>
  </si>
  <si>
    <t>INGRESO CONTROL CON ENFOQUE RIESGO ODONTOLÓGICO (CERO)</t>
  </si>
  <si>
    <t>EGRESO CONTROL CON ENFOQUE RIESGO ODONTOLÓGICO (CERO)</t>
  </si>
  <si>
    <t>12-24 meses</t>
  </si>
  <si>
    <t>BENEFICIARIOS</t>
  </si>
  <si>
    <t>Beneficiarios</t>
  </si>
  <si>
    <t>Migrantes</t>
  </si>
  <si>
    <t>Pueblos Originarios</t>
  </si>
  <si>
    <t>Victima de violencia de genero</t>
  </si>
  <si>
    <t>Nº de Ingreso a ARO</t>
  </si>
  <si>
    <t>Abandono/
Traslado</t>
  </si>
  <si>
    <t>Trans</t>
  </si>
  <si>
    <t>Total Controles (incluidos en grupo de edad)</t>
  </si>
  <si>
    <t>Sin lesiones constatables</t>
  </si>
  <si>
    <t>Con entrega de anticoncepción de emergencia</t>
  </si>
  <si>
    <t>Sin entrega de anticoncepción de emergencia</t>
  </si>
  <si>
    <t xml:space="preserve">Con profilaxis VIH </t>
  </si>
  <si>
    <t>Con profilaxis ITS</t>
  </si>
  <si>
    <t>Lactancia Materna Exclusiva</t>
  </si>
  <si>
    <t>Control con pareja familiar u otro</t>
  </si>
  <si>
    <t>Control de diada con presencia del padre</t>
  </si>
  <si>
    <t>TIPO DE MORDEDURA</t>
  </si>
  <si>
    <t>Mayor 15 años</t>
  </si>
  <si>
    <t>SECCIÓN D: CONSULTAS INFECCIÓN TRANSMISIÓN SEXUAL (ITS) Y CONTROLES DE SALUD SEXUAL EN EL NIVEL SECUNDARIO (Incluidas en Sección C)</t>
  </si>
  <si>
    <t>ALTAS INTEGRALES/ACTIVIDADES</t>
  </si>
  <si>
    <t>TOTAL ALTAS INTEGRALES</t>
  </si>
  <si>
    <t>Abierta</t>
  </si>
  <si>
    <t>Educativa</t>
  </si>
  <si>
    <t>Comunitario</t>
  </si>
  <si>
    <t>55 y más</t>
  </si>
  <si>
    <t>6 a 11 meses</t>
  </si>
  <si>
    <t>ROEDOR O ANIMAL DE ABASTO</t>
  </si>
  <si>
    <t>CAUSALES</t>
  </si>
  <si>
    <t>AUTOREFRACTOMIA</t>
  </si>
  <si>
    <t>LENSOMETRIA</t>
  </si>
  <si>
    <t>EMISIONES OTOACUSTICAS</t>
  </si>
  <si>
    <t>MAGNIFICACIONES</t>
  </si>
  <si>
    <t>ANTERO POSTERIOR (FRONTAL)</t>
  </si>
  <si>
    <t>ANTERO POSTERIOR  Y LATERAL</t>
  </si>
  <si>
    <t>COMPRA AL SISTEMA</t>
  </si>
  <si>
    <t>COMPRA EXTRASISTEMA</t>
  </si>
  <si>
    <t xml:space="preserve">PERFIL PROFESIONAL </t>
  </si>
  <si>
    <t>Acupuntura</t>
  </si>
  <si>
    <t>Homeopatía</t>
  </si>
  <si>
    <t>Naturopatía</t>
  </si>
  <si>
    <t>Otras</t>
  </si>
  <si>
    <t>TELECONSULTA  MEDICA DE ESPECIALIDAD AMBULATORIA  NUEVA</t>
  </si>
  <si>
    <t xml:space="preserve">TELECONSULTA MEDICA  DE ESPECIALIDAD AMBULATORIA  CONTROL </t>
  </si>
  <si>
    <t>TOTAL TELECONSULTAS  MEDICAS AMBULATORIAS DE ESPECIALIDAD REALIZADAS  POR TELEMEDICINA</t>
  </si>
  <si>
    <t>Extrasistema</t>
  </si>
  <si>
    <t>Sistema</t>
  </si>
  <si>
    <t>Compra de Servicio</t>
  </si>
  <si>
    <t xml:space="preserve">TELECONSULTA MEDICA DE ESPECIALIDAD REALIZADAS   A PACIENTES HOSPITALIZADOS </t>
  </si>
  <si>
    <t xml:space="preserve"> TELECONSULTA MEDICA DE URGENCIA DE UEH DE HOSPITALES DE ALTA Y MEDIANA COMPLEJIDAD</t>
  </si>
  <si>
    <t xml:space="preserve">CONSULTAS POR TELEMEDICINA SOLICITADAS DESDE APS O NIVEL SECUNDARIO RESUELTAS POR OTRO ESTABLECIMIENTO </t>
  </si>
  <si>
    <t>ESTABLECIMIENTOS DE NIVEL SECUNDARIO Y TERCIARIO</t>
  </si>
  <si>
    <t>N° DE INFORMES ECOGRAFÍAS OBSTETRICA</t>
  </si>
  <si>
    <t>TROMBOLISIS DE URGENCIA INFARTO CEREBRAL (ACV)</t>
  </si>
  <si>
    <t>TROMBOLISIS INTRACORONARIA (IAM)</t>
  </si>
  <si>
    <t>ECOCARDIOGRAMA</t>
  </si>
  <si>
    <t>ECOGRAFÍA GINECO-OBSTÉTRICA</t>
  </si>
  <si>
    <t>TELEPROCEDIMIENTOS</t>
  </si>
  <si>
    <t>CAUSAL N° 2: INVIABILIDAD FETAL DE CARÁCTER LETAL</t>
  </si>
  <si>
    <t xml:space="preserve">CAUSAL N° 1: MUJER EMBARAZADA CON RIESGO VITAL </t>
  </si>
  <si>
    <t>Pacientes</t>
  </si>
  <si>
    <t>Funcionarios</t>
  </si>
  <si>
    <t>Odontólogo</t>
  </si>
  <si>
    <t>Paramédico</t>
  </si>
  <si>
    <t>Asistente Social</t>
  </si>
  <si>
    <t>Kinesiólogo</t>
  </si>
  <si>
    <t>Terapeuta Complementario</t>
  </si>
  <si>
    <t>Paciente Hospitalizado</t>
  </si>
  <si>
    <t>Consulta Espontánea</t>
  </si>
  <si>
    <t>Derivado desde Morbilidad</t>
  </si>
  <si>
    <t>Derivado desde Especialidad</t>
  </si>
  <si>
    <t>Hospitalización Domiciliaria</t>
  </si>
  <si>
    <t xml:space="preserve">PROCEDIMIENTOS POR TELEMEDICINA SOLICITADOS DESDE  NIVEL SECUNDARIO Y TERCIARIO Y RESUELTOS POR OTRO ESTABLECIMIENTO </t>
  </si>
  <si>
    <t>* Los pacientes de 60 a 64 años, no debe desagregarse por condición de funcionalidad, por ello sólo se registran en la primera fila (Autovalente sin riesgo).</t>
  </si>
  <si>
    <t>EGRESOS POR ALTA HIJO VIH (-) DE MADRE VIH +INCLUÍDO EN TOTAL EGRESOS</t>
  </si>
  <si>
    <t>REPARACIÓN DE PROTESIS</t>
  </si>
  <si>
    <t>Nº DE AUDITORIAS CLÍNICAS REALIZADAS</t>
  </si>
  <si>
    <t xml:space="preserve">INDICACIÓN  DE VACUNA  </t>
  </si>
  <si>
    <t>Única</t>
  </si>
  <si>
    <t>Múltiple</t>
  </si>
  <si>
    <t>PERRO</t>
  </si>
  <si>
    <t>GATO</t>
  </si>
  <si>
    <t>GESTOR COMUNITARIO</t>
  </si>
  <si>
    <t xml:space="preserve">ANIMAL SILVESTRE </t>
  </si>
  <si>
    <t>EVALUACION AL INGRESO</t>
  </si>
  <si>
    <t>BAJO</t>
  </si>
  <si>
    <t>MEDIO</t>
  </si>
  <si>
    <t>ALTO</t>
  </si>
  <si>
    <t>Discrecional</t>
  </si>
  <si>
    <t>Estructurado (ESI)</t>
  </si>
  <si>
    <t>Grupos de edad en años</t>
  </si>
  <si>
    <t>Menor de 14 años</t>
  </si>
  <si>
    <t>55 y más años</t>
  </si>
  <si>
    <t>Herramientas de Categorización</t>
  </si>
  <si>
    <t xml:space="preserve">SECCIÓN B : TELECONSULTA MÉDICA EN ESTABLECIMIENTOS DE ATENCIÓN SECUNDARIA DE URGENCIA </t>
  </si>
  <si>
    <t>SECCIÓN C : TELEINFORMES  EN ESTABLECIMIENTOS DE ATENCIÓN PRIMARIA, SECUNDARIA Y TERCIARIA</t>
  </si>
  <si>
    <t>No reguladas</t>
  </si>
  <si>
    <t>Terapia Neural</t>
  </si>
  <si>
    <t>Terapia Floral</t>
  </si>
  <si>
    <t>Reiki</t>
  </si>
  <si>
    <t>Yoga</t>
  </si>
  <si>
    <t>Biomagnetismo</t>
  </si>
  <si>
    <t>EVALUACION AL EGRESO</t>
  </si>
  <si>
    <t xml:space="preserve">SECCIÓN F: PACIENTES FALLECIDOS EN UEH (Establecimientos Alta, Mediana o Baja Complejidad y SAR) </t>
  </si>
  <si>
    <t>GREMIALES</t>
  </si>
  <si>
    <t>Matrona (on)</t>
  </si>
  <si>
    <t>Enfermera (o)</t>
  </si>
  <si>
    <t>Fonoaudiólogo</t>
  </si>
  <si>
    <t>Terapeuta Ocupacional</t>
  </si>
  <si>
    <t>Tecnólogo Médico</t>
  </si>
  <si>
    <t>SECCIÓN L: EGRESOS DEL PROGRAMA DEL ADULTO MAYOR SEGÚN CONDICIÓN DE FUNCIONALIDAD Y DEPENDENCIA</t>
  </si>
  <si>
    <t>SECCIÓN S: INGRESOS Y EGRESOS DEL PROGRAMA DE VIH/SIDA (Uso exclusivo Centros de Atención VIH-SIDA)</t>
  </si>
  <si>
    <t>Atenciones realizadas durante otras consultas</t>
  </si>
  <si>
    <t>Cesáreas</t>
  </si>
  <si>
    <t>Abortos</t>
  </si>
  <si>
    <t xml:space="preserve">Partos </t>
  </si>
  <si>
    <t>Beneficiarias</t>
  </si>
  <si>
    <t>Hasta 12 semanas y cero días</t>
  </si>
  <si>
    <t>12 semanas y un día hasta 14 semanas y cero días</t>
  </si>
  <si>
    <t>de 14 hasta 21 semanas y 6 días</t>
  </si>
  <si>
    <t>Partos vaginales inducidos</t>
  </si>
  <si>
    <t>SECCIÓN G: PROGRAMAS ESPECIALES Y GES (Actividades incluidas en Sección B)</t>
  </si>
  <si>
    <t>14 a 19 años</t>
  </si>
  <si>
    <t>SECCION D.3: APLICACIÓN Y RESULTADO DE PAUTA DE EVALUACIÓN Y SALUD MENTAL</t>
  </si>
  <si>
    <t>Victima de violencia de género</t>
  </si>
  <si>
    <t>REMA31</t>
  </si>
  <si>
    <t>HABILITADO</t>
  </si>
  <si>
    <t>Niños, Niñas, Adolescentes y Jóvenes Población SENAME</t>
  </si>
  <si>
    <t>Niños, Niñas, Adolescentes y Jóvenes Población  SENAME</t>
  </si>
  <si>
    <t>0 - 4 años</t>
  </si>
  <si>
    <t>35 - 39 años</t>
  </si>
  <si>
    <t>80  años y mas</t>
  </si>
  <si>
    <t>NUEVAS</t>
  </si>
  <si>
    <t>CONTROLES</t>
  </si>
  <si>
    <t>Menos de 500</t>
  </si>
  <si>
    <t>500 a 999</t>
  </si>
  <si>
    <t>PESO AL NACER (EN GRAMOS)</t>
  </si>
  <si>
    <t>Partos prematuros menos de 24 semanas</t>
  </si>
  <si>
    <t>Partos prematuros de 24 a 28 semanas</t>
  </si>
  <si>
    <t>Partos prematuros de 29 a 32 semanas</t>
  </si>
  <si>
    <t>DEMENCIAS (INCLUYE ALZHEIMER)</t>
  </si>
  <si>
    <t>AMPUTACIÓN POR DIABETES</t>
  </si>
  <si>
    <t>AMPUTACIÓN POR OTRAS CAUSAS</t>
  </si>
  <si>
    <t>ARTROSIS SEVERA DE RODILLA Y CADERA</t>
  </si>
  <si>
    <t>OTRAS ARTROSIS</t>
  </si>
  <si>
    <t>DOLOR LUMBAR</t>
  </si>
  <si>
    <t>HOMBRO DOLOROSO</t>
  </si>
  <si>
    <t>OTROS SÍNDROMES DOLOROSOS NO TRAUMÁTICOS</t>
  </si>
  <si>
    <t>SUICIDIO</t>
  </si>
  <si>
    <t>IDEACIÓN</t>
  </si>
  <si>
    <t>INTENTO</t>
  </si>
  <si>
    <t>TRASTORNO DE ESTRÉS POST TRAUMATICO</t>
  </si>
  <si>
    <t>FOBIAS SOCIALES</t>
  </si>
  <si>
    <t>TRASTORNOS DE ANSIEDAD GENERALIZADA</t>
  </si>
  <si>
    <t>OTROS TRASTORNOS DE ANSIEDAD</t>
  </si>
  <si>
    <t>PLAN DE CUIDADO INTEGRAL (PCI) ELABORADOS</t>
  </si>
  <si>
    <t>N° DE EVALUACIONES DIAGNÓSTICAS</t>
  </si>
  <si>
    <t>N° CONFIRMACIONES DIAGNÓSTICAS</t>
  </si>
  <si>
    <t>1 PROFESIONAL</t>
  </si>
  <si>
    <t>2 PROFESIONALES</t>
  </si>
  <si>
    <t>3 PROFESIONALES</t>
  </si>
  <si>
    <t>SECCIÓN D: PLANES Y EVALUACIONES PROGRAMA DE ACOMPAÑAMIENTO PSICOSOCIAL EN ATENCIÓN PRIMARIA</t>
  </si>
  <si>
    <t>SECCIÓN E: PLANES DE CUIDADO INTEGRAL (PCI)</t>
  </si>
  <si>
    <t>EPILEPSIA</t>
  </si>
  <si>
    <t xml:space="preserve">PLAN AMBULATORIO BÁSICO </t>
  </si>
  <si>
    <t>PLAN AMBULATORIO INTENSIVO</t>
  </si>
  <si>
    <t>INGRESOS  POR AMPUTACIÓN</t>
  </si>
  <si>
    <t>NEUROLÓGICOS DISRAFIA</t>
  </si>
  <si>
    <t xml:space="preserve">NEUROLÓGICOS LESIÓN MEDULAR </t>
  </si>
  <si>
    <t>NEUROLÓGICOS ACCIDENTE CEREBRO VASCULAR (ACV)</t>
  </si>
  <si>
    <t>RETRASO EN EL DESARROLLO PSICOMOTOR</t>
  </si>
  <si>
    <t xml:space="preserve">ONCOLÓGICOS </t>
  </si>
  <si>
    <t>SINDROME DE INMOVILIZACIÓN</t>
  </si>
  <si>
    <t>ORTOPROTESISTA</t>
  </si>
  <si>
    <t>Número de personas con Ayuda técnica entregada</t>
  </si>
  <si>
    <t>AYUDAS TÉCNICAS</t>
  </si>
  <si>
    <t>COLCHÓN ANTI ESCARAS</t>
  </si>
  <si>
    <t>BASTONES</t>
  </si>
  <si>
    <t>ANDADORES</t>
  </si>
  <si>
    <t>CORSÉ</t>
  </si>
  <si>
    <t>AYUDA TÉCNICA VISUALES LENTES</t>
  </si>
  <si>
    <t>SISTEMA COMPRESIVO</t>
  </si>
  <si>
    <t>ORTESIS BAJA TEMPERATURA (palmeta, cock up, digitales entre otras)</t>
  </si>
  <si>
    <t>ORTESIS ALTA TEMPERATURA (OTP, canaletas, canaleta con yugo, entre otras)</t>
  </si>
  <si>
    <t>NÚMERO DE PERSONAS CON AYUDA TÉCNICA ENTREGADA</t>
  </si>
  <si>
    <t>NEUROLÓGICO LESIÓN MEDULAR</t>
  </si>
  <si>
    <t>NEUROLÓGICO TUMORES</t>
  </si>
  <si>
    <t>NEUROLÓGICO PARKINSON</t>
  </si>
  <si>
    <t xml:space="preserve">OTROS NEUROLÓGICOS </t>
  </si>
  <si>
    <t>ARTROSIS CADERA/RODILLA GES</t>
  </si>
  <si>
    <t>ARTROSIS CADERA/RODILLA NO GES</t>
  </si>
  <si>
    <t>OTRAS ARTROSIS  (hombro, columna)</t>
  </si>
  <si>
    <t>SENSORIAL AUDITIVO</t>
  </si>
  <si>
    <t>SENSORIAL VISUAL</t>
  </si>
  <si>
    <t>OTRAS CONDICIONES DE SALUD</t>
  </si>
  <si>
    <t>NIÑOS, NIÑAS, ADOLESCENTES Y JÓVENES POBLACIÓN SENAME</t>
  </si>
  <si>
    <t>PRODEMU</t>
  </si>
  <si>
    <t>ALTAS ODONTOLOGICAS</t>
  </si>
  <si>
    <t xml:space="preserve">TOTAL ALTAS </t>
  </si>
  <si>
    <t>PROGRAMA MEJORAMIENTO DEL ACCESO, ESTRATEGIA RESOLUCIÓN DE ESPECIALIDAD EN APS</t>
  </si>
  <si>
    <t>SET DE HIGIENE ORAL ENTREGADOS</t>
  </si>
  <si>
    <t>AMPUTADOS POR OTRAS CAUSAS</t>
  </si>
  <si>
    <t>AMPUTADOS POR DIABETES</t>
  </si>
  <si>
    <t>NEUROLÓGICAS ESCLEROSIS LATERAL AMIOTRÓFICA (ELA)</t>
  </si>
  <si>
    <t>TOMA DE MOLDE DE ÓRTESIS Y PRÓTESIS</t>
  </si>
  <si>
    <t>PRUEBA DE ÓRTESIS Y PRÓTESIS</t>
  </si>
  <si>
    <t>CONFECCIÓN DE ÓRTESIS Y PRÓTESIS</t>
  </si>
  <si>
    <t>REPARACIÓN DE ÓRTESIS Y PRÓTESIS</t>
  </si>
  <si>
    <t>1,2,3</t>
  </si>
  <si>
    <t>4 y *</t>
  </si>
  <si>
    <t>EVALUACIÓN</t>
  </si>
  <si>
    <t>Espacios Amigables</t>
  </si>
  <si>
    <t xml:space="preserve">PSICOTERAPIA </t>
  </si>
  <si>
    <t>No cumple criterio</t>
  </si>
  <si>
    <t>IMAGENOLOGÍA</t>
  </si>
  <si>
    <t>RADIOTERAPIA ONCOLÓGICA</t>
  </si>
  <si>
    <t>5 A 9 AÑOS</t>
  </si>
  <si>
    <t>Evaluadores</t>
  </si>
  <si>
    <t>Equipo biopsicosocial</t>
  </si>
  <si>
    <t>Equipo psicosocial</t>
  </si>
  <si>
    <t>Requiere tratamiento en APS</t>
  </si>
  <si>
    <t>Requiere tratamiento en nivel secundario</t>
  </si>
  <si>
    <t>No Requiere tratamiento</t>
  </si>
  <si>
    <t>GRUPOS DE EDAD 5 A 9 AÑOS</t>
  </si>
  <si>
    <t>SERVICIO ITINERANTE EN CENTRO DE SALUD</t>
  </si>
  <si>
    <t>SECCIÓN F.1: REINGRESOS Y EGRESOS POR SEGUNDA VEZ A MODALIDAD DE ESTIMULACIÓN EN EL CENTRO DE SALUD</t>
  </si>
  <si>
    <t xml:space="preserve"> EGRESOS POR SEGUNDA VEZ Y RESULTADOS DE LA REEVALUACIÓN POST EGRESO </t>
  </si>
  <si>
    <t>SECCION E: APLICACIÓN DE PAUTA DETECCIÓN DE FACTORES DE RIESGO PSICOSOCIAL INFANTIL</t>
  </si>
  <si>
    <t>Pueblo originarios</t>
  </si>
  <si>
    <t>24- 48 meses</t>
  </si>
  <si>
    <t>Derivado a Salud Mental 5 a 9 años</t>
  </si>
  <si>
    <t>derivada a MADI  0  4 años</t>
  </si>
  <si>
    <t>Derivadas a equipos de cabecera</t>
  </si>
  <si>
    <t>Riesgo</t>
  </si>
  <si>
    <t>NORMAL (desde normal con rezago)</t>
  </si>
  <si>
    <t>NORMAL (desde riesgo)</t>
  </si>
  <si>
    <t>NORMAL (desde retraso)</t>
  </si>
  <si>
    <t>NORMAL CON REZAGO (desde riesgo)</t>
  </si>
  <si>
    <t>NORMAL CON REZAGO (desde retraso)</t>
  </si>
  <si>
    <t>RIESGO (desde retraso)</t>
  </si>
  <si>
    <t>PACIENTE</t>
  </si>
  <si>
    <t>NEUROLÓGICO ESCLEROSIS LATERAL AMIOTRÓFICA</t>
  </si>
  <si>
    <t>NEUROLÓGICO ACCIDENTE CEREBRO VASCULAR  ISQUÉMICO</t>
  </si>
  <si>
    <t xml:space="preserve">NEUROLÓGICO  TRAUMATISMO ENCÉFALO CRANEANO </t>
  </si>
  <si>
    <t>AUMENTO</t>
  </si>
  <si>
    <t>Cumplimiento de criterios diagnósticos según  Evaluación Diagnóstica Integral (EDI)</t>
  </si>
  <si>
    <t>SECCIÓN G:  TAMIZAJE AUDITIVO</t>
  </si>
  <si>
    <t>RECIEN NACIDOS CON TAMIZAJE AUDITIVO</t>
  </si>
  <si>
    <t>SECCIÓN D.1: APLICACIÓN DE TAMIZAJE PARA EVALUAR EL NIVEL DE RIESGO DE CONSUMO DE  ALCOHOL, TABACO Y OTRAS DROGAS</t>
  </si>
  <si>
    <t>Demanda de Urgencia</t>
  </si>
  <si>
    <t>REHABILITACIÓN AUDITIVA INDIVIDUAL</t>
  </si>
  <si>
    <t>REHABILITACIÓN AUDITIVA GRUPAL</t>
  </si>
  <si>
    <t>REALIZADA POR</t>
  </si>
  <si>
    <t>Apiterapia</t>
  </si>
  <si>
    <t>Aurículoterapia</t>
  </si>
  <si>
    <t xml:space="preserve">Fitoterapia </t>
  </si>
  <si>
    <t>Masoterapia</t>
  </si>
  <si>
    <t>Medicina Antroposófica</t>
  </si>
  <si>
    <t>Quiropraxia</t>
  </si>
  <si>
    <t>Ingresos</t>
  </si>
  <si>
    <t>Controles</t>
  </si>
  <si>
    <t>Niños, Niñas, Adolescentes y Jóvenes población SENAME</t>
  </si>
  <si>
    <t>Familiares / Cuidadores de los pacientes</t>
  </si>
  <si>
    <t>Arte terapia</t>
  </si>
  <si>
    <t>Biodanza</t>
  </si>
  <si>
    <t>Fitoterapia</t>
  </si>
  <si>
    <t xml:space="preserve">Meditación </t>
  </si>
  <si>
    <t>Sanación Pránica</t>
  </si>
  <si>
    <t>Sintergética</t>
  </si>
  <si>
    <t>Sonoterapia</t>
  </si>
  <si>
    <t>Circulos de escucha</t>
  </si>
  <si>
    <t>ORIGEN DE LA ATENCIÓN</t>
  </si>
  <si>
    <t>Huertos Medicinales o Alimenticio/Medicinales</t>
  </si>
  <si>
    <t>Meditación</t>
  </si>
  <si>
    <t>Tai Chi</t>
  </si>
  <si>
    <t>Constelaciones familiares</t>
  </si>
  <si>
    <t>Musicoterapia</t>
  </si>
  <si>
    <t>Dramaterapia</t>
  </si>
  <si>
    <t>Por Campaña de Invierno</t>
  </si>
  <si>
    <t>CÓDIGO EXAMEN PERIODONTAL BASICO (EPB) EN PACIENTES INGRESADOS</t>
  </si>
  <si>
    <t>Reguladas</t>
  </si>
  <si>
    <t>Danzaterapia</t>
  </si>
  <si>
    <t>Otras Individuales</t>
  </si>
  <si>
    <t>Constelaciones Familiares</t>
  </si>
  <si>
    <t>Otras Grupales</t>
  </si>
  <si>
    <t>SEDACIÓN ENDOVENOSA</t>
  </si>
  <si>
    <t>ATENCIÓN BAJO SEDACIÓN INHALATORIA (CON ÓXIDO NITROSO)</t>
  </si>
  <si>
    <t>INTEGRA</t>
  </si>
  <si>
    <t>MINEDUC</t>
  </si>
  <si>
    <t>EDUCACIÓN GRUPAL EN ESTABLECIMIENTO DE EDUCACIÓN</t>
  </si>
  <si>
    <t xml:space="preserve">SECCIÓN F: TAMIZAJE TRASTORNO ESPECTRO AUTISTA  (MCHAT) </t>
  </si>
  <si>
    <t>RECIEN NACIDOS CON TAMIZAJE AUDITIVO ALTERADO (referido)</t>
  </si>
  <si>
    <t>Lactancia materna en los primeros  60 minutos de vida  (RN con peso de 2.500 grs. o más)</t>
  </si>
  <si>
    <t>SECCIÓN A.6: PROCEDIMIENTOS Y ACTIVIDADES</t>
  </si>
  <si>
    <t>UAPORRINO</t>
  </si>
  <si>
    <t>SECCIÓN C: PROCEDIMIENTOS APOYO CLÍNICO Y TERAPÉUTICO</t>
  </si>
  <si>
    <t>MEDICINA FAMILIAR ADULTO</t>
  </si>
  <si>
    <t>Niños/as con Control a los 18 meses</t>
  </si>
  <si>
    <t>SECCIÓN P:  INGRESOS Y EGRESOS AL COMPONENTE ALCOHOL Y DROGA EN APS/ESPECIALIDAD</t>
  </si>
  <si>
    <t>SECCIÓN A.2: CONSULTORÍAS DE SALUD MENTAL EN APS</t>
  </si>
  <si>
    <t>JUNJI</t>
  </si>
  <si>
    <t xml:space="preserve">Sanación Pránica </t>
  </si>
  <si>
    <t xml:space="preserve">SECCIÓN F:  INGRESOS Y EGRESOS A SALA DE ESTIMULACIÓN SERVICIO ITINERANTE Y ATENCIÓN DOMICILIARIA </t>
  </si>
  <si>
    <t xml:space="preserve"> 7 a 59 meses</t>
  </si>
  <si>
    <t>7 a 59 meses</t>
  </si>
  <si>
    <t>RECIEN NACIDOS CON FACTORES DE RIESGO CON TAMIZAJE AUDITIVO</t>
  </si>
  <si>
    <t>ESCALA DE  RIESGO PSICOSOCIAL EN CONTROL DE SALUD INFANTIL</t>
  </si>
  <si>
    <t>Chile Crece Contigo/Programa Infantil</t>
  </si>
  <si>
    <t>CARDIOLOGÍA ADULTO</t>
  </si>
  <si>
    <t>HEMATOLOGÍA ADULTO</t>
  </si>
  <si>
    <t>NUTRIÓLOGO ADULTO</t>
  </si>
  <si>
    <t>REUMATOLOGÍA ADULTO</t>
  </si>
  <si>
    <t>INFECTOLOGÍA ADULTO</t>
  </si>
  <si>
    <t>NEUROLOGÍA ADULTO</t>
  </si>
  <si>
    <t>PSIQUIATRÍA ADULTO</t>
  </si>
  <si>
    <t>CIRUGÍA GENERAL ADULTO</t>
  </si>
  <si>
    <t>CIRUGÍA DIGESTIVA (ALTA)</t>
  </si>
  <si>
    <t>CIRUGÍA PLÁSTICA Y REPARADORA ADULTO</t>
  </si>
  <si>
    <t>COLOPROCTOLOGÍA (CIRUGIA DIGESTIVA BAJA)</t>
  </si>
  <si>
    <t>GINECOLOGÍA ADULTO</t>
  </si>
  <si>
    <t>TRAUMATOLOGÍA Y ORTOPEDIA ADULTO</t>
  </si>
  <si>
    <t>UROLOGÍA ADULTO</t>
  </si>
  <si>
    <t>OTORRINOLARINGOLOGÍA/UAPORRINO</t>
  </si>
  <si>
    <t>MEJORA PUNTUACIÓN ÍNDICE DE BARTHEL</t>
  </si>
  <si>
    <t>MANTIENE PUNTUACIÓN ÍNDICE DE BARTHEL</t>
  </si>
  <si>
    <t>DISMINUYE PUNTUACIÓN ÍNDICE DE BARTHEL</t>
  </si>
  <si>
    <t>Centro Oncologico</t>
  </si>
  <si>
    <t>D . I . U T con Cobre</t>
  </si>
  <si>
    <t>D . I . U con Levonorgestrel</t>
  </si>
  <si>
    <t>Oral Combinado</t>
  </si>
  <si>
    <t>Oral Progestágeno</t>
  </si>
  <si>
    <t>Inyectable Combinado</t>
  </si>
  <si>
    <t>Inyectable Progestágeno</t>
  </si>
  <si>
    <t>Implante Etonogestrel (3 años)</t>
  </si>
  <si>
    <t>Implante Levonorgestrel (5 años)</t>
  </si>
  <si>
    <t>PRESERVATIVO/PRACTICA SEXUAL SEGURA</t>
  </si>
  <si>
    <t>LUBRICANTES</t>
  </si>
  <si>
    <t>Gestantes que reciben preservativo</t>
  </si>
  <si>
    <t xml:space="preserve"> Método de Regulación de Fertilidad más Preservativos</t>
  </si>
  <si>
    <t xml:space="preserve"> SÓLO PRESERVATIVO MAC                                                                                                                                                                                                                                                 </t>
  </si>
  <si>
    <t>ABANDONO DE LA ATENCION</t>
  </si>
  <si>
    <t>Menor de 15 años</t>
  </si>
  <si>
    <t>Partos prematuros de 33 a 36 semanas</t>
  </si>
  <si>
    <t>RIESGO LEVE (G1)</t>
  </si>
  <si>
    <t>RIESGO MODERADO (G2)</t>
  </si>
  <si>
    <t>RIESGO ALTO (G3)</t>
  </si>
  <si>
    <t>SECCIÓN V. INGRESOS  INTEGRALES DE PERSONAS CON CONDICIONES CRÓNICAS EN ATENCIÓN PRIMARIA</t>
  </si>
  <si>
    <t>PLAN DE CUIDADO ELABORADO</t>
  </si>
  <si>
    <t xml:space="preserve">SECCIÓN A:  NIVEL PRIMARIO </t>
  </si>
  <si>
    <t>ZAPATO ORTOPÉDICO</t>
  </si>
  <si>
    <t>BAÑO PORTÁTIL</t>
  </si>
  <si>
    <t>EQUIPO VENTILADOR MECÁNICO NO INVASIVO</t>
  </si>
  <si>
    <t>ASPIRADOR DE SECRECIONES</t>
  </si>
  <si>
    <t>GRAN QUEMADO (GES)</t>
  </si>
  <si>
    <t>TOTAL DE CASOS ALTERADOS DERIVADOS A SALUD MENTAL</t>
  </si>
  <si>
    <t>CONSULTA DE SALUD MENTAL ASOCIADA A EMERGENCIA O DESASTRE</t>
  </si>
  <si>
    <t>PRIMERA AYUDA PSICOLÓGICA</t>
  </si>
  <si>
    <t>Uniprofesional</t>
  </si>
  <si>
    <t>Dos profesionales</t>
  </si>
  <si>
    <t>SECCIÓN A.3: CONSULTORÍAS DE SALUD MENTAL OTORGADA POR EL NIVEL DE ESPECIALIDAD</t>
  </si>
  <si>
    <t>QUEMADOS (NO GES)</t>
  </si>
  <si>
    <t>CONSULTA NUEVA SALUD MENTAL (INGRESO)</t>
  </si>
  <si>
    <t>UNIPROFESIONAL</t>
  </si>
  <si>
    <t>DOS PROFESIONALES</t>
  </si>
  <si>
    <t>MULTIPROFESIONAL</t>
  </si>
  <si>
    <t>EDUCACIÓN INDIVIDUAL</t>
  </si>
  <si>
    <t>TERAPIA RESPIRATORIA Y FUNCIONAL PULMONAR</t>
  </si>
  <si>
    <t>ATENCIÓN POR  MÉDICO PERITO</t>
  </si>
  <si>
    <t>DE LLAMADA</t>
  </si>
  <si>
    <t>72 horas o menos</t>
  </si>
  <si>
    <t>UGCC</t>
  </si>
  <si>
    <t>SECCIÓN C.3:  CUPOS DISPONIBLES</t>
  </si>
  <si>
    <t>Urgencia</t>
  </si>
  <si>
    <t>Hospitalización</t>
  </si>
  <si>
    <t>Ambulatorio</t>
  </si>
  <si>
    <t>N° de Cupos</t>
  </si>
  <si>
    <t>N° de cupos CAM INV Adicionales</t>
  </si>
  <si>
    <t>ORIGEN DE LA DERIVACIÓN</t>
  </si>
  <si>
    <t>Ley de Urgencia</t>
  </si>
  <si>
    <t>NÚMERO CUPOS UTILIZADOS</t>
  </si>
  <si>
    <t>CONSULTA DE CALIFICACIÓN DE URGENCIA POR TECNÓLOGO MÉDICO (UAPO)</t>
  </si>
  <si>
    <t xml:space="preserve">TERAPEUTA OCUPACIONAL </t>
  </si>
  <si>
    <t>CONSULTA DESCARTE GLAUCOMA</t>
  </si>
  <si>
    <t>TOMOGRAFIA COHERENTE ÓPTICA, C/OJO</t>
  </si>
  <si>
    <t>AGUDEZA VISUAL AISLADA CADA OJO</t>
  </si>
  <si>
    <t>HEMOGLUCOTEST PREVIO A CONSULTA VICIO DE REFRACCIÓN EN PACIENTE DIABÉTICO</t>
  </si>
  <si>
    <t>AUTORREFRACCIÓN BAJO CICLOPLEJIA</t>
  </si>
  <si>
    <t>IRRIGACIÓN DE LA VÍA LAGRIMAL</t>
  </si>
  <si>
    <t>PRUEBA DE PROVOCACIÓN OSCURIDAD MÁS PRONACIÓN</t>
  </si>
  <si>
    <t>SECCIÓN D: ENTREGA DE AYUDAS TÉCNICAS</t>
  </si>
  <si>
    <t>&lt; 65 Años</t>
  </si>
  <si>
    <t>De 65 años y más</t>
  </si>
  <si>
    <t>LENTES (Entregados)</t>
  </si>
  <si>
    <t>Demencia</t>
  </si>
  <si>
    <t>REM-27.  EDUCACIÓN PARA LA SALUD</t>
  </si>
  <si>
    <t>SECCIÓN A: PERSONAS QUE INGRESAN A EDUCACIÓN GRUPAL SEGÚN ÁREAS TEMÁTICAS Y EDAD</t>
  </si>
  <si>
    <t>ÁREAS TEMÁTICAS DE PREVENCIÓN</t>
  </si>
  <si>
    <t>MADRE, PADRE O CUIDADOR DE :</t>
  </si>
  <si>
    <t>GRUPO DE EDAD (en años)</t>
  </si>
  <si>
    <t>GESTANTES ALTO RIESGO OBSTÉTRICO</t>
  </si>
  <si>
    <t>MUJERES EN EDADES DE CLIMATERIO 45 A 64 AÑOS</t>
  </si>
  <si>
    <t>FAMILIAS DE RIESGO</t>
  </si>
  <si>
    <t>Niños 12 a 23 meses</t>
  </si>
  <si>
    <t>Niños de 2 a 5 años</t>
  </si>
  <si>
    <t>Niños de 6 a 9 años</t>
  </si>
  <si>
    <t>10 a 14</t>
  </si>
  <si>
    <t>20 a 24</t>
  </si>
  <si>
    <t>Maternidad</t>
  </si>
  <si>
    <t>EDUCACIÓN DE GRUPO</t>
  </si>
  <si>
    <t>ESTIMULACIÓN DESARROLLO PSICOMOTOR</t>
  </si>
  <si>
    <t>NUTRICIÓN</t>
  </si>
  <si>
    <t>RIESGO DE MALNUTRICIÓN POR EXCESO</t>
  </si>
  <si>
    <t>MALNUTRICIÓN POR EXCESO</t>
  </si>
  <si>
    <t>MALNUTRICIÓN DE DÉFICIT</t>
  </si>
  <si>
    <t>SIN RIESGO DE MALNUTRICIÓN</t>
  </si>
  <si>
    <t>PREVENCIÓN DE IRA - ERA</t>
  </si>
  <si>
    <t>PREVENCIÓN DE ACCIDENTES</t>
  </si>
  <si>
    <t>SALUD BUCO-DENTAL</t>
  </si>
  <si>
    <t>PREVENCIÓN VIOLENCIA DE GÉNERO</t>
  </si>
  <si>
    <t>SALUD SEXUAL Y REPRODUCTIVA</t>
  </si>
  <si>
    <t>EDUCACIÓN PRENATAL (NUTRICIÓN - LACTANCIA - CRIANZA - AUTOCUIDADO - PREPARACIÓN PARTO Y OTROS)</t>
  </si>
  <si>
    <t>PROMOCIÓN DE SALUD MENTAL</t>
  </si>
  <si>
    <t>PROMOCIÓN DEL DESARROLLO INFANTIL TEMPRANO</t>
  </si>
  <si>
    <t>DEL LENGUAJE</t>
  </si>
  <si>
    <t>MOTOR</t>
  </si>
  <si>
    <t>HABILIDADES PARENTALES</t>
  </si>
  <si>
    <t>NADIE ES PERFECTO</t>
  </si>
  <si>
    <t>FAMILIAS FUERTES</t>
  </si>
  <si>
    <t>APOYO MADRE A MADRE</t>
  </si>
  <si>
    <t xml:space="preserve">PREVENCIÓN DE SALUD MENTAL </t>
  </si>
  <si>
    <t>PREVENCIÓN SUICIDIO</t>
  </si>
  <si>
    <t>PREVENCIÓN TRASTORNO MENTAL</t>
  </si>
  <si>
    <t>ANTITABÁQUICA (excluye REM 23)</t>
  </si>
  <si>
    <t>PREVENCIÓN DE LA TRANSMISIÓN VERTICAL DE VIH-SÍFILIS</t>
  </si>
  <si>
    <t>OTRAS ÁREAS TEMÁTICAS</t>
  </si>
  <si>
    <t>EDUCACIÓN ESPECIAL EN ADULTO MAYOR</t>
  </si>
  <si>
    <t>ESTIMULACIÓN DE MEMORIA</t>
  </si>
  <si>
    <t>PREVENCIÓN CAÍDAS</t>
  </si>
  <si>
    <t>ESTIMULACIÓN DE ACTIVIDAD FÍSICA</t>
  </si>
  <si>
    <t>USO RACIONAL DE MEDICAMENTOS</t>
  </si>
  <si>
    <t>RESISTENCIA ANTIMICROBIANOS</t>
  </si>
  <si>
    <t>SECCIÓN B: ACTIVIDADES DE EDUCACIÓN PARA LA SALUD SEGÚN PERSONAL QUE LAS REALIZA (SESIONES)</t>
  </si>
  <si>
    <t>DOS O MÁS PROFESIO- NALES</t>
  </si>
  <si>
    <t>UN PROFESIONAL Y UN TÉCNICO PARAMÉDICO</t>
  </si>
  <si>
    <t>TÉCNICO 
PARAMÉ-
DICO</t>
  </si>
  <si>
    <t>FACILITADOR/A INTERCULTURAL PUEBLOS ORIGINARIOS</t>
  </si>
  <si>
    <t>SECCIÓN C: ACTIVIDAD FÍSICA GRUPAL PARA PROGRAMA SALUD CARDIOVASCULAR (SESIONES)</t>
  </si>
  <si>
    <t>TOTAL SESIONES</t>
  </si>
  <si>
    <t>PROFESOR
EDUCACIÓN FÍSICA</t>
  </si>
  <si>
    <t>10 A 19 AÑOS</t>
  </si>
  <si>
    <t>20 A 24 AÑOS</t>
  </si>
  <si>
    <t>25 A 64 AÑOS</t>
  </si>
  <si>
    <t>SECCIÓN D: EDUCACIÓN GRUPAL A GESTANTES DE ALTO RIESGO OBSTÉTRICO (Nivel Secundario)</t>
  </si>
  <si>
    <t>TOTAL 
SESIONES</t>
  </si>
  <si>
    <t>PREPARACIÓN PARA EL PARTO</t>
  </si>
  <si>
    <t>TALLER DE EDUCACIÓN PRENATAL</t>
  </si>
  <si>
    <t>TALLER</t>
  </si>
  <si>
    <t>Nº DE SESIONES</t>
  </si>
  <si>
    <t>Nº DE PARTICIPAN- TES</t>
  </si>
  <si>
    <t>ESTIMULACIÓN DE FUNCIONES MOTORAS Y PREVENCIÓN DE CAÍDAS</t>
  </si>
  <si>
    <t>ESTIMULACIÓN DE FUNCIONES  COGNITIVA</t>
  </si>
  <si>
    <t>AUTOCUIDADO Y ESTILOS DE VIDA SALUDABLE</t>
  </si>
  <si>
    <t>SECCIÓN F: TALLERES PROGRAMA ELIGE VIDA SANA</t>
  </si>
  <si>
    <t>Post Parto</t>
  </si>
  <si>
    <t>menor de 2 años</t>
  </si>
  <si>
    <t>2 a 4</t>
  </si>
  <si>
    <t>CIRCULO DE VIDA SANA</t>
  </si>
  <si>
    <t>ACTIVIDADES MASIVAS</t>
  </si>
  <si>
    <t>TIPO DE INTERVENCIÓN</t>
  </si>
  <si>
    <t>INTERVENCIÓN MÍNIMA
(BAJO RIESGO)</t>
  </si>
  <si>
    <t xml:space="preserve"> ALCOHOL</t>
  </si>
  <si>
    <t xml:space="preserve"> TABACO</t>
  </si>
  <si>
    <t xml:space="preserve"> DROGAS</t>
  </si>
  <si>
    <t>INTERVENCIÓN BREVE 
(RIESGO)</t>
  </si>
  <si>
    <t>INTERVENCIÓN REFERENCIA ASISTIDA
(PERJUDICIAL O DEPENDENCIA)</t>
  </si>
  <si>
    <t>SECCIÓN H: PERSONAS QUE INGRESAN A TALLERES PARA PADRES DEL PROGRAMA DE APOYO A LA SALUD MENTAL INFANTIL (PASMI)</t>
  </si>
  <si>
    <t>Concepto</t>
  </si>
  <si>
    <t>Total de padres, madres o cuidadores de 5 a 9 años</t>
  </si>
  <si>
    <t>Total de talleres</t>
  </si>
  <si>
    <t>Total de sesiones</t>
  </si>
  <si>
    <t>Taller Nadie es Perfecto (PASMI)</t>
  </si>
  <si>
    <t>SECCIÓN I: ORGANIZACIONES SOCIALES DE LA RED DEL PROGRAMA MÁS ADULTOS MAYORES AUTOVALENTES</t>
  </si>
  <si>
    <t>POR TIPO DE ORGANIZACIÓN</t>
  </si>
  <si>
    <t>N° Total  de Organizaciones</t>
  </si>
  <si>
    <t>Clubes de Adultos Mayores</t>
  </si>
  <si>
    <t>Centros de Madres</t>
  </si>
  <si>
    <t>Clubes Deportivos</t>
  </si>
  <si>
    <t>Uniones Comunales de Adultos Mayores</t>
  </si>
  <si>
    <t>Junta de Vecinos</t>
  </si>
  <si>
    <t>Organizaciones informales</t>
  </si>
  <si>
    <t>Otras organizaciones formales</t>
  </si>
  <si>
    <t>Organizaciones ingresadas al Programa de Estimulación Funcional del programa Más Adultos Mayores Autovalentes</t>
  </si>
  <si>
    <t>Organizaciones con Líderes Comunitarios Capacitados por el Programa Más Adultos Mayores Autovalentes</t>
  </si>
  <si>
    <t>POR TIPO DE SERVICIO</t>
  </si>
  <si>
    <t>N° Total de Servicios</t>
  </si>
  <si>
    <t xml:space="preserve">Unidad Municipal de Personas Mayores </t>
  </si>
  <si>
    <t>Unidad Municipal de Atención Social</t>
  </si>
  <si>
    <t>Unidad Municipal de Deportes</t>
  </si>
  <si>
    <t xml:space="preserve">Unidad Municipal Turismo </t>
  </si>
  <si>
    <t>Unidad Municipal Educación</t>
  </si>
  <si>
    <t>Biblioteca Municipal</t>
  </si>
  <si>
    <t>Otras Unidades Municipales</t>
  </si>
  <si>
    <t>Escuelas o Colegios</t>
  </si>
  <si>
    <t>Universidades</t>
  </si>
  <si>
    <t>Otras Unidades Externas al Municipio</t>
  </si>
  <si>
    <t xml:space="preserve">Servicios Locales con oferta programática para personas mayores (total o parcial) </t>
  </si>
  <si>
    <t>Servicios Locales con Planes Intersectoriales para el Fomento del Autocuidado y Estimulación Funcional desarrollados junto al Programa Más Adultos Mayores Autovalentes</t>
  </si>
  <si>
    <t>SECCIÓN K: TALLER GRUPALES DE LACTANCIA MATERNA</t>
  </si>
  <si>
    <t>Nº DE TALLERES</t>
  </si>
  <si>
    <t>GRUPO DE EDAD (En años)</t>
  </si>
  <si>
    <t>NUMERO DE TALLERES DE LACTANCIA MATERNA REALIZADA EN MATERNIDADES</t>
  </si>
  <si>
    <t xml:space="preserve">SECCIÓN L: TALLERES GRUPALES  DE LACTANCIA MATERNA EN ATENCIÓN PRIMARIA </t>
  </si>
  <si>
    <t>REM-A04.   CONSULTAS Y OTRAS ATENCIONES EN LA RED</t>
  </si>
  <si>
    <t xml:space="preserve">SECCIÓN A: CONSULTAS MÉDICAS </t>
  </si>
  <si>
    <t>TIPO DE CONSULTA</t>
  </si>
  <si>
    <t>Menor 
de 1</t>
  </si>
  <si>
    <t>1 a 4</t>
  </si>
  <si>
    <t>IRA ALTA</t>
  </si>
  <si>
    <t xml:space="preserve">SÍNDROME BRONQUIAL OBSTRUCTIVO </t>
  </si>
  <si>
    <t>GINECOLÓGICA</t>
  </si>
  <si>
    <t>GINECOLÓGICA  POR INFERTILIDAD</t>
  </si>
  <si>
    <t>INFECCIÓN TRANSMISIÓN SEXUAL</t>
  </si>
  <si>
    <t>VIH-SIDA</t>
  </si>
  <si>
    <t>SALUD MENTAL</t>
  </si>
  <si>
    <t>OTRAS MORBILIDADES</t>
  </si>
  <si>
    <t xml:space="preserve">SECCIÓN B: CONSULTAS DE PROFESIONALES NO MÉDICOS </t>
  </si>
  <si>
    <t>MATRONA /ÓN (MORB.GINECOLÓGICA)</t>
  </si>
  <si>
    <t>MATRONA /ÓN (ITS)</t>
  </si>
  <si>
    <t>MATRONA /ÓN (INFERTILIDAD)</t>
  </si>
  <si>
    <t>MATRONA /ÓN (OTRAS CONSULTAS)</t>
  </si>
  <si>
    <t>MATRONA /ÓN (SALUD SEXUAL)</t>
  </si>
  <si>
    <t>NUTRICIONISTA (OTRAS CONSULTAS)</t>
  </si>
  <si>
    <t>NUTRICIONISTA MAULNUTRICIÓN POR EXCESO</t>
  </si>
  <si>
    <t>TECNÓLOGO MÉDICO (EXCLUYE UAPO)</t>
  </si>
  <si>
    <t>SECCIÓN C: CONSULTAS ANTICONCEPCIÓN DE EMERGENCIA (Incluidas en Sección A y B, respectivamente.)</t>
  </si>
  <si>
    <t>CON ENTREGA ANTICONCEPCIÓN EMERGENCIA</t>
  </si>
  <si>
    <t>SIN ENTREGA ANTICONCEPCIÓN EMERGENCIA</t>
  </si>
  <si>
    <t>25 y más años</t>
  </si>
  <si>
    <t>SECCIÓN D: CONSULTAS EN HORARIO CONTINUADO (Incluidas en las consultas de morbilidad de sección A y B)</t>
  </si>
  <si>
    <t>TIPO JORNADA</t>
  </si>
  <si>
    <t>HORARIO CONTINUADO</t>
  </si>
  <si>
    <t>SECCIÓN E: CONSULTAS DE MORBILIDAD SOLICITADAS Y RECHAZADAS DENTRO DE LAS 48 HORAS DE SOLICITADA LA ATENCIÓN</t>
  </si>
  <si>
    <t>MENOR 5 AÑOS</t>
  </si>
  <si>
    <t>65 Y MÁS AÑOS</t>
  </si>
  <si>
    <t>TOTAL
ATENCIÓN
SOLICITADA</t>
  </si>
  <si>
    <t>RECHAZOS</t>
  </si>
  <si>
    <t xml:space="preserve">HORARIO NORMAL </t>
  </si>
  <si>
    <t>HORARIO CONTINUADO (Vespertina, Sábado, Domingo o Festivos)</t>
  </si>
  <si>
    <t>SECCIÓN F: CONSULTA  ABREVIADA</t>
  </si>
  <si>
    <t>PUEBLOS NO ORIGINARIOS</t>
  </si>
  <si>
    <t>SECCIÓN H: INTERVENCIÓN INDIVIDUAL DEL USUARIO EN PROGRAMA ELIGE VIDA SANA</t>
  </si>
  <si>
    <t>Menor de 2 años</t>
  </si>
  <si>
    <t>15 a 18</t>
  </si>
  <si>
    <t>CONSULTA NUTRICIONAL</t>
  </si>
  <si>
    <t>CONSULTA NUTRICIONAL DE SEGUIMIENTO</t>
  </si>
  <si>
    <t>CONSULTA</t>
  </si>
  <si>
    <t>ATENCIÓN FARMACÉUTICA</t>
  </si>
  <si>
    <t>REVISIÓN DE LA MEDICACIÓN SIN ENTREVISTA</t>
  </si>
  <si>
    <t>REVISIÓN DE LA MEDICACIÓN CON ENTREVISTA</t>
  </si>
  <si>
    <t>CONCILIACIÓN FARMACÉUTICA</t>
  </si>
  <si>
    <t>EDUCACIÓN FARMACÉUTICA</t>
  </si>
  <si>
    <t>SEGUIMIENTO FARMACOTERAPÉUTICO</t>
  </si>
  <si>
    <t>FARMACOVIGILANCIA</t>
  </si>
  <si>
    <t>REPORTE REACCIÓN ADVERSA A MEDICAMENTOS</t>
  </si>
  <si>
    <t>REPORTE FALLA DE CALIDAD</t>
  </si>
  <si>
    <t>REPORTE DE EVENTOS ADVERSOS ASOCIADOS A MEDICAMENTOS</t>
  </si>
  <si>
    <t>SECCIÓN J: DESPACHO DE RECETAS DE PACIENTES AMBULATORIOS</t>
  </si>
  <si>
    <t>TIPO DE RECETA</t>
  </si>
  <si>
    <t>RECETAS DESPACHADAS</t>
  </si>
  <si>
    <t>PRESCRIPCIONES</t>
  </si>
  <si>
    <t>RECETAS DESPACHADAS CON OPORTUNIDAD  (Entregado el mismo día)</t>
  </si>
  <si>
    <t>DESPACHO TOTAL</t>
  </si>
  <si>
    <t>DESPACHO
PARCIAL</t>
  </si>
  <si>
    <t>RECHA-
ZADAS</t>
  </si>
  <si>
    <t>CRÓNICA</t>
  </si>
  <si>
    <t>MORBILIDAD</t>
  </si>
  <si>
    <t>BAJO CONTROL LEGAL</t>
  </si>
  <si>
    <t>SECCIÓN K: RONDAS POR TIPO Y PROFESIONAL</t>
  </si>
  <si>
    <t>TIPO DE RONDA</t>
  </si>
  <si>
    <t>Nº Rondas</t>
  </si>
  <si>
    <t>TOTAL DE PROFESIONALES QUE PARTICIPARON EN RONDAS, SEGÚN TIPO DE PROFESIONAL</t>
  </si>
  <si>
    <t>Compra de Servicio - Nº Traslados profesionales en Ronda</t>
  </si>
  <si>
    <t>Dentista</t>
  </si>
  <si>
    <t>Enfermera</t>
  </si>
  <si>
    <t>Matrona</t>
  </si>
  <si>
    <t>Tec. Paramed.</t>
  </si>
  <si>
    <t>Asis. Soc</t>
  </si>
  <si>
    <t>AÉREA</t>
  </si>
  <si>
    <t>MARÍTIMA</t>
  </si>
  <si>
    <t>MAL NUTRICIÓN POR DÉFICIT</t>
  </si>
  <si>
    <t>MAL NUTRICIÓN POR EXCESO</t>
  </si>
  <si>
    <t>ESTADO NUTRICIONAL NORMAL</t>
  </si>
  <si>
    <t>SECCIÓN M: CONSULTA DE LACTANCIA MATERNA EN MENORES CONTROLADOS</t>
  </si>
  <si>
    <t>De 1 a 2 años</t>
  </si>
  <si>
    <t>CONSULTA DE LACTANCIA</t>
  </si>
  <si>
    <t>CONSULTA DE ALERTA</t>
  </si>
  <si>
    <t>CONTROL DE SEGUIMIENTO</t>
  </si>
  <si>
    <t>CONSEJERÍA</t>
  </si>
  <si>
    <t>CONSULTA DE LACTANCIA POR PROFESIONAL</t>
  </si>
  <si>
    <t>MATRÓN/A</t>
  </si>
  <si>
    <t>TALLERES DE CLIMATERIO</t>
  </si>
  <si>
    <t>ALTAS PERSONAS CON DEPENDENCIA SEVERA</t>
  </si>
  <si>
    <t>ALTAS CUIDADORES PERSONAS CON DEPENDENCIA</t>
  </si>
  <si>
    <t>CONSULTORÍAS DE SALUD MENTAL INFANTO ADOLESCENTE</t>
  </si>
  <si>
    <t>CONSULTORÍAS DE SALUD MENTAL ADULTO</t>
  </si>
  <si>
    <t>TRATAMIENTO DE PERIODONCIA</t>
  </si>
  <si>
    <t xml:space="preserve">N° DE SEXTANTES </t>
  </si>
  <si>
    <t>EGRESO POR ABANDONO</t>
  </si>
  <si>
    <t xml:space="preserve">60 AÑOS </t>
  </si>
  <si>
    <t>EDUCACIÓN EN SALUD BUCAL</t>
  </si>
  <si>
    <t>INTERCONSULTA HOSPITALIZADOS</t>
  </si>
  <si>
    <t>VISITA A SALA</t>
  </si>
  <si>
    <t>CONTRALORÍA CLÍNICA</t>
  </si>
  <si>
    <t>CIRUGÍA TERCER MOLAR</t>
  </si>
  <si>
    <t>CIRUGÍA MENOR AMBULATORIA</t>
  </si>
  <si>
    <t>OBTURACIÓN DIRECTA</t>
  </si>
  <si>
    <t>OBTURACIÓN INDIRECTA (INLAYS U ONLAYS)</t>
  </si>
  <si>
    <r>
      <t xml:space="preserve">INSTALACIÓN APARATO </t>
    </r>
    <r>
      <rPr>
        <sz val="8"/>
        <color rgb="FFFF0000"/>
        <rFont val="Verdana"/>
        <family val="2"/>
      </rPr>
      <t>REMOVIBLE ORTODÓNCICO</t>
    </r>
  </si>
  <si>
    <r>
      <t xml:space="preserve">INSTALACIÓN APARATO FIJO </t>
    </r>
    <r>
      <rPr>
        <sz val="8"/>
        <color rgb="FFFF0000"/>
        <rFont val="Verdana"/>
        <family val="2"/>
      </rPr>
      <t>ORTODÓNCICO</t>
    </r>
  </si>
  <si>
    <r>
      <t xml:space="preserve">INSTALACIÓN APARATO DE CONTENCIÓN </t>
    </r>
    <r>
      <rPr>
        <sz val="8"/>
        <color rgb="FFFF0000"/>
        <rFont val="Verdana"/>
        <family val="2"/>
      </rPr>
      <t>ORTODÓNCICO</t>
    </r>
  </si>
  <si>
    <t>ORTOPEDIA PREQUIRÚRGICA</t>
  </si>
  <si>
    <t>ORTODONCIA PREVENTIVA E INTERCEPTIVA (OPI)</t>
  </si>
  <si>
    <t>INDUCCIÓN AL CIERRE APICAL</t>
  </si>
  <si>
    <t>RETRATAMIENTO</t>
  </si>
  <si>
    <t>CIRUGÍA APICAL</t>
  </si>
  <si>
    <t xml:space="preserve">ADAPTACIÓN A LA ATENCIÓN ODONTOLÓGICA </t>
  </si>
  <si>
    <t>PROCEDIMIENTO RESTAURADOR (ODONTOPEDIATRÍA)</t>
  </si>
  <si>
    <t>PROCEDIMIENTO ENDODÓNTICO (ODONTOPEDIATRÍA)</t>
  </si>
  <si>
    <t>CIRUGÍA AMBULATORIA (ODONTOPEDIATRÍA)</t>
  </si>
  <si>
    <r>
      <t>DESTARTRAJE SUBGINGIVAL</t>
    </r>
    <r>
      <rPr>
        <sz val="8"/>
        <color rgb="FFFF0000"/>
        <rFont val="Verdana"/>
        <family val="2"/>
      </rPr>
      <t xml:space="preserve"> O</t>
    </r>
    <r>
      <rPr>
        <sz val="8"/>
        <rFont val="Verdana"/>
        <family val="2"/>
      </rPr>
      <t xml:space="preserve"> PULIDO RADICULAR </t>
    </r>
  </si>
  <si>
    <t>DESTARTRAJE SUPRAGINGIVAL O PULIDO CORONARIO</t>
  </si>
  <si>
    <t>PROCEDIMIENTO QUIRÚRGICO (PERIODONCIA)</t>
  </si>
  <si>
    <t>PROCEDIMIENTO QUIRÚRGICO PERIIMPLANTAR (PERIODONCIA)</t>
  </si>
  <si>
    <t>FERULIZACIÓN</t>
  </si>
  <si>
    <r>
      <rPr>
        <sz val="8"/>
        <color rgb="FFFF0000"/>
        <rFont val="Verdana"/>
        <family val="2"/>
      </rPr>
      <t>REHABILITACIÓN MEDIANTE</t>
    </r>
    <r>
      <rPr>
        <sz val="8"/>
        <rFont val="Verdana"/>
        <family val="2"/>
      </rPr>
      <t xml:space="preserve"> PRÓTESIS REMOVIBLE ACRÍLICA </t>
    </r>
    <r>
      <rPr>
        <sz val="8"/>
        <color rgb="FFFF0000"/>
        <rFont val="Verdana"/>
        <family val="2"/>
      </rPr>
      <t>PARCIAL O TOTAL</t>
    </r>
  </si>
  <si>
    <r>
      <rPr>
        <sz val="8"/>
        <color rgb="FFFF0000"/>
        <rFont val="Verdana"/>
        <family val="2"/>
      </rPr>
      <t>REHABILITACIÓN MEDIANTE</t>
    </r>
    <r>
      <rPr>
        <sz val="8"/>
        <rFont val="Verdana"/>
        <family val="2"/>
      </rPr>
      <t xml:space="preserve"> PRÓTESIS REMOVIBLE METÁLICA </t>
    </r>
    <r>
      <rPr>
        <sz val="8"/>
        <color rgb="FFFF0000"/>
        <rFont val="Verdana"/>
        <family val="2"/>
      </rPr>
      <t>PARCIAL</t>
    </r>
  </si>
  <si>
    <r>
      <rPr>
        <sz val="8"/>
        <color rgb="FFFF0000"/>
        <rFont val="Verdana"/>
        <family val="2"/>
      </rPr>
      <t>REHABILITACIÓN MEDIANTE</t>
    </r>
    <r>
      <rPr>
        <sz val="8"/>
        <rFont val="Verdana"/>
        <family val="2"/>
      </rPr>
      <t xml:space="preserve"> PRÓTESIS FIJA UNITARIA O PLURAL</t>
    </r>
  </si>
  <si>
    <t>REHABILITACIÓN MEDIANTE PRÓTESIS FIJA IMPLANTOSOPORTADA</t>
  </si>
  <si>
    <t>REHABILITACIÓN MEDIANTE PRÓTESIS MUCO-  IMPLANTOSOPORTADA</t>
  </si>
  <si>
    <t>IMPLANTOLOGÍA QUIRÚRGICA</t>
  </si>
  <si>
    <t>IMPLANTOLOGÍA PROTÉSICA</t>
  </si>
  <si>
    <t>ESTUDIO HISTOPATOLÓGICO</t>
  </si>
  <si>
    <t>SIALOMETRÍA</t>
  </si>
  <si>
    <t>TERAPIA FARMACOLÓGICA DE LESIONES DEL TERRITORIO BUCO MAXILOFACIAL</t>
  </si>
  <si>
    <r>
      <t>TERAPIA</t>
    </r>
    <r>
      <rPr>
        <sz val="8"/>
        <color rgb="FFFF0000"/>
        <rFont val="Verdana"/>
        <family val="2"/>
      </rPr>
      <t xml:space="preserve"> FÍSICA EN TRASTORNOS</t>
    </r>
    <r>
      <rPr>
        <sz val="8"/>
        <rFont val="Verdana"/>
        <family val="2"/>
      </rPr>
      <t xml:space="preserve"> TEMPOROMANDIBULARES (TTM) </t>
    </r>
    <r>
      <rPr>
        <sz val="8"/>
        <color rgb="FFFF0000"/>
        <rFont val="Verdana"/>
        <family val="2"/>
      </rPr>
      <t>Y DOLOR OROFACIAL (DOF)</t>
    </r>
  </si>
  <si>
    <t>INFILTRACIÓN EN ARTICULACIÓN TEMPORO MANDIBULAR (ATM)</t>
  </si>
  <si>
    <t>BLOQUEO ANESTÉSICO Y/O MEDICAMENTOSO EN TTM Y DOF</t>
  </si>
  <si>
    <t>ARTROCENTESIS EN ATM</t>
  </si>
  <si>
    <t>TERAPIA BIOCONDUCTUAL</t>
  </si>
  <si>
    <t>DESGASTE SELECTIVO</t>
  </si>
  <si>
    <r>
      <t xml:space="preserve">INSTALACIÓN DE </t>
    </r>
    <r>
      <rPr>
        <sz val="8"/>
        <color rgb="FFFF0000"/>
        <rFont val="Verdana"/>
        <family val="2"/>
      </rPr>
      <t>DISPOSITIVO ORTOPÉDICO</t>
    </r>
  </si>
  <si>
    <t>ACTIVIDADES SOMATOPRÓTESIS</t>
  </si>
  <si>
    <t>NIÑOS, NIÑAS, ADOLESCENTES Y JÓVENES RED SENAME</t>
  </si>
  <si>
    <t>SECCIÓN F.1:  ACTIVIDADES DE APOYO DE ATENCIÓN EN ESPECIALIDADES ODONTOLÓGICAS.</t>
  </si>
  <si>
    <t>RADIOGRAFÍA INTRAORAL (POR PLACA)</t>
  </si>
  <si>
    <t>PROCEDIMIENTO IMAGENOLÓGICO COMPLEJO (POR PROCEDIMIENTO)</t>
  </si>
  <si>
    <t xml:space="preserve">CONSULTA NUEVA </t>
  </si>
  <si>
    <t xml:space="preserve">CONTROL </t>
  </si>
  <si>
    <t>ALTAS ADMINISTRATIVAS</t>
  </si>
  <si>
    <r>
      <t xml:space="preserve">ORTODONCIA Y ORTOPEDIA DENTO MAXILOFACIAL: </t>
    </r>
    <r>
      <rPr>
        <sz val="8"/>
        <color rgb="FFFF0000"/>
        <rFont val="Verdana"/>
        <family val="2"/>
      </rPr>
      <t>APARATOLOGÍA FIJA</t>
    </r>
  </si>
  <si>
    <t>ORTODONCIA Y ORTOPEDIA DENTO MAXILOFACIAL: APARATOLOGÍA REMOVIBLE</t>
  </si>
  <si>
    <t>REHABILITACIÓN: PRÓTESIS IMPLANTOASISTIDA</t>
  </si>
  <si>
    <t>CONSULTAS PERTINENTES</t>
  </si>
  <si>
    <t>Según Protocolo de Referencia</t>
  </si>
  <si>
    <t>Según condición clínica</t>
  </si>
  <si>
    <t>Esperados</t>
  </si>
  <si>
    <t xml:space="preserve">No esperados </t>
  </si>
  <si>
    <t>TRABAJADOR SOCIAL</t>
  </si>
  <si>
    <t>NÚMERO CUPOS PROGRAMADOS</t>
  </si>
  <si>
    <t>REM-19a.   ACTIVIDADES DE PROMOCIÓN Y PREVENCIÓN DE LA SALUD</t>
  </si>
  <si>
    <t>SECCIÓN A: CONSEJERÍAS</t>
  </si>
  <si>
    <t>SECCIÓN A.1: CONSEJERÍAS INDIVIDUALES</t>
  </si>
  <si>
    <t>Espacios Amigables / adolescentes</t>
  </si>
  <si>
    <t>14-18 años</t>
  </si>
  <si>
    <t xml:space="preserve">15-19 </t>
  </si>
  <si>
    <t xml:space="preserve">20-24 </t>
  </si>
  <si>
    <t xml:space="preserve">25-29 </t>
  </si>
  <si>
    <t xml:space="preserve">30-34 </t>
  </si>
  <si>
    <t>35-39</t>
  </si>
  <si>
    <t xml:space="preserve">40-44 </t>
  </si>
  <si>
    <t xml:space="preserve">45-49 </t>
  </si>
  <si>
    <t xml:space="preserve">50-54 </t>
  </si>
  <si>
    <t>55-59</t>
  </si>
  <si>
    <t xml:space="preserve">60-64 </t>
  </si>
  <si>
    <t xml:space="preserve">65-69 </t>
  </si>
  <si>
    <t xml:space="preserve">70-74 </t>
  </si>
  <si>
    <t>75- 79</t>
  </si>
  <si>
    <t>AMBOS SEXOS</t>
  </si>
  <si>
    <t>ACTIVIDAD FÍSICA</t>
  </si>
  <si>
    <t>PSICÓLOGO /A</t>
  </si>
  <si>
    <t>OTRO PROFESIONAL</t>
  </si>
  <si>
    <t>FACILITADOR/A INTERCULTURAL</t>
  </si>
  <si>
    <t>ALIMENTACIÓN SALUDABLE</t>
  </si>
  <si>
    <t>CONSUMO DE DROGAS</t>
  </si>
  <si>
    <t>REGULACIÓN DE FERTILIDAD</t>
  </si>
  <si>
    <t>PREVENCIÓN VIH E INFECCIÓN DE TRANSMISIÓN SEXUAL (ITS)</t>
  </si>
  <si>
    <t>PREVENCIÓN DE LA TRANSMISIÓN VERTICAL DEL VIH (EMBARAZADAS)</t>
  </si>
  <si>
    <t>MÉDICO PRE TEST</t>
  </si>
  <si>
    <t>MATRONA /ÓN PRE TEST</t>
  </si>
  <si>
    <t>MÉDICO POST TEST</t>
  </si>
  <si>
    <t>MATRONA /ÓN POST TEST</t>
  </si>
  <si>
    <t>DESARROLLO INFANTIL INTEGRAL</t>
  </si>
  <si>
    <t>OTRAS ÁREAS</t>
  </si>
  <si>
    <t>ÁREA O NIVEL</t>
  </si>
  <si>
    <t>ORIENTACIÓN E INFORMACIÓN PREVIA AL EXAMEN VIH</t>
  </si>
  <si>
    <t>EN BANCO DE SANGRE  (DONANTES)</t>
  </si>
  <si>
    <t>HOSPITALIZACIÓN</t>
  </si>
  <si>
    <t>EN CDT - CRS</t>
  </si>
  <si>
    <t>EN APS</t>
  </si>
  <si>
    <t>EN APS - ESPACIOS AMIGABLES</t>
  </si>
  <si>
    <t>EN OTRAS INSTANCIAS</t>
  </si>
  <si>
    <t>CONSEJERÍAS POST TEST VIH</t>
  </si>
  <si>
    <t>SECCIÓN A.3: CONSEJERÍAS FAMILIARES</t>
  </si>
  <si>
    <t>TEMAS PRIORIDAD</t>
  </si>
  <si>
    <t>TOTAL ACTIVIDADES</t>
  </si>
  <si>
    <t>ESPACIOS AMIGABLES</t>
  </si>
  <si>
    <t>CON RIESGO PSICOSOCIAL</t>
  </si>
  <si>
    <t>CON INTEGRANTE DE PATOLOGÍA CRÓNICA</t>
  </si>
  <si>
    <t>CON INTEGRANTE CON PROBLEMA DE SALUD MENTAL</t>
  </si>
  <si>
    <t>CON ADULTO MAYOR DEPENDIENTE</t>
  </si>
  <si>
    <t>CON ADULTO MAYOR CON DEMENCIA</t>
  </si>
  <si>
    <t>CON INTEGRANTE CON ENFERMEDAD TERMINAL</t>
  </si>
  <si>
    <t>CON INTEGRANTE DEPENDIENTE SEVERO</t>
  </si>
  <si>
    <t>OTRAS ÁREAS DE INTERVENCIÓN</t>
  </si>
  <si>
    <t>CON ADOLESCENTE VIH (+)</t>
  </si>
  <si>
    <t>14 a 18</t>
  </si>
  <si>
    <t>CONDONES MASCULINOS</t>
  </si>
  <si>
    <t>CONDONES FEMENINOS</t>
  </si>
  <si>
    <t>AMBOS TIPOS DE CONDONES</t>
  </si>
  <si>
    <t>SECCIÓN B: ACTIVIDADES DE PROMOCIÓN</t>
  </si>
  <si>
    <t>SECCIÓN B.1: ACTIVIDADES DE PROMOCIÓN SEGÚN ESTRATEGIAS Y CONDICIONANTES ABORDADAS Y NÚMERO DE PARTICIPANTES</t>
  </si>
  <si>
    <t xml:space="preserve">ESTRATEGIA, ESPACIOS  O LÍNEAS DE ACCIÓN </t>
  </si>
  <si>
    <t>CONDICIONANTES ABORDADAS</t>
  </si>
  <si>
    <t>DETERMINANTES SOCIALES DE LA SALUD ABORDADAS - CHILE CRECE CONTIGO</t>
  </si>
  <si>
    <t>Actividad física</t>
  </si>
  <si>
    <t xml:space="preserve">Alimentación </t>
  </si>
  <si>
    <t>Ambiente libre de humo de tabaco</t>
  </si>
  <si>
    <t>Factores protectores psicosociales</t>
  </si>
  <si>
    <t>Factores protectores ambientales</t>
  </si>
  <si>
    <t>Derechos humanos</t>
  </si>
  <si>
    <t>Salud sexual y prevención de VIH/SIDA e ITS</t>
  </si>
  <si>
    <t xml:space="preserve">EVENTOS  MASIVOS </t>
  </si>
  <si>
    <t>ESPACIOS AMIGABLES EN APS</t>
  </si>
  <si>
    <t>LUGARES DE TRABAJO</t>
  </si>
  <si>
    <t>ESTABLECIMIENTOS EDUCACIÓN</t>
  </si>
  <si>
    <t>REUNIONES DE PLANIFICACIÓN PARTICIPATIVA</t>
  </si>
  <si>
    <t xml:space="preserve">
JORNADAS Y  
SEMINARIOS</t>
  </si>
  <si>
    <t xml:space="preserve">EDUCACIÓN GRUPAL </t>
  </si>
  <si>
    <t>SECCIÓN B.2: TALLERES GRUPALES DE VIDA SANA SEGÚN TIPO, POR ESPACIOS DE ACCIÓN</t>
  </si>
  <si>
    <t>ESPACIOS DE ACCIÓN</t>
  </si>
  <si>
    <t xml:space="preserve">"AUTOESTIMA Y AUTOCUIDADO" </t>
  </si>
  <si>
    <t>"MENTE SANA Y CUERPO SANO"</t>
  </si>
  <si>
    <t>"YO ME CUIDO"</t>
  </si>
  <si>
    <t>SECCIÓN B.3: ACTIVIDADES DE GESTIÓN SEGÚN TIPO, POR ESPACIOS DE ACCIÓN</t>
  </si>
  <si>
    <t>INVESTIGACIÓN Y CAPACITACIÓN DE RRHH</t>
  </si>
  <si>
    <t>ESTABLECIMIENTOS 
EDUCACIONALES</t>
  </si>
  <si>
    <t>OFICINA INTERCULTURAL</t>
  </si>
  <si>
    <t>TOTAL TALLERES</t>
  </si>
  <si>
    <t>TOTAL PARTICIPANTES</t>
  </si>
  <si>
    <t>ALIMENTACIÓN</t>
  </si>
  <si>
    <t>AMBIENTE LIBRE DE HUMO DEL TABACO</t>
  </si>
  <si>
    <t>FACTORES PROTECTORES PSICOSOCIALES</t>
  </si>
  <si>
    <t>PREVENCIÓN CONSUMO DE ALCOHOL Y OTRAS DROGAS</t>
  </si>
  <si>
    <t>SALUD SEXUAL Y PREVENCIÓN DE VIH/SIDA e ITS</t>
  </si>
  <si>
    <t>OTROS TIPOS DE TALLERES</t>
  </si>
  <si>
    <t>ESPACIOS COMUNITARIOS</t>
  </si>
  <si>
    <t>CENTROS DE SALUD</t>
  </si>
  <si>
    <t>REM-26.  ACTIVIDADES EN DOMICILIO Y OTROS ESPACIOS</t>
  </si>
  <si>
    <t>SECCIÓN A: VISITAS DOMICILIARIAS INTEGRALES A FAMILIAS (ESTABLECIMIENTOS APS)</t>
  </si>
  <si>
    <t>DOS O MÁS PROFESIONALES</t>
  </si>
  <si>
    <t>AGENTE COMUNITARIO</t>
  </si>
  <si>
    <t>PROGRAMA DE ATENCIÓN DOMICILIARIA A PERSONAS CON DEPENDENCIA SEVERA</t>
  </si>
  <si>
    <t>PROGRAMA DE ACOMPAÑAMIENTO PSICOSOCIAL EN APS</t>
  </si>
  <si>
    <t>FAMILIA CON NIÑO PREMATURO</t>
  </si>
  <si>
    <t>FAMILIA CON NIÑO RECIÉN NACIDO</t>
  </si>
  <si>
    <t>FAMILIA CON NIÑO CON DÉFICIT DEL DSM</t>
  </si>
  <si>
    <t>FAMILIA CON NIÑO EN RIESGO VINCULAR AFECTIVO</t>
  </si>
  <si>
    <t>FAMILIA CON NIÑO &lt; 7 MESES CON SCORE DE RIESGO MODERADO DE MORIR POR NEUMONÍA</t>
  </si>
  <si>
    <t>FAMILIA CON NIÑO &lt; 7 MESES CON SCORE DE RIESGO GRAVE DE MORIR POR NEUMONÍA</t>
  </si>
  <si>
    <t>FAMILIA CON NIÑO CON PROBLEMA RESPIRATORIO CRÓNICO O NO CONTROLADO</t>
  </si>
  <si>
    <t>FAMILIA CON NIÑO MALNUTRIDO</t>
  </si>
  <si>
    <t>FAMILIA CON NIÑO CON RIESGO PSICOSOCIAL (EXCLUYE VINCULAR AFECTIVO)</t>
  </si>
  <si>
    <t>FAMILIA CON ADOLESCENTE EN RIESGO O PROBLEMA PSICOSOCIAL</t>
  </si>
  <si>
    <t>FAMILIA CON INTEGRANTE CON PATOLOGÍA CRÓNICA DESCOMPENSADA</t>
  </si>
  <si>
    <t>FAMILIA CON ADULTO MAYOR DEPENDEDIENTE (EXCLUYE DEPENDIENTE SEVERO)</t>
  </si>
  <si>
    <t>FAMILIA CON ADULTO MAYOR CON DEMENCIA</t>
  </si>
  <si>
    <t>FAMILIA CON ADULTO MAYOR EN RIESGO PSICOSOCIAL</t>
  </si>
  <si>
    <t>FAMILIA CON GESTANTE &gt;20 AÑOS EN RIESGO PSICOSOCIAL</t>
  </si>
  <si>
    <t>FAMILIA CON GESTANTE ADOLESCENTE 10 A 14 AÑOS</t>
  </si>
  <si>
    <t>FAMILIA CON GESTANTE ADOLESCENTE EN RIESGO PSICOSOCIAL 15 A 19 AÑOS</t>
  </si>
  <si>
    <t>FAMILIA CON ADOLESCENTE CON PROBLEMA RESPIRATORIO CRÓNICO O NO CONTROLADO</t>
  </si>
  <si>
    <t>FAMILIA CON ADULTO CON PROBLEMA RESPIRATORIO CRÓNICO O NO CONTROLADO</t>
  </si>
  <si>
    <t>FAMILIA CON GESTANTE EN RIESGO BIOMÉDICO</t>
  </si>
  <si>
    <t>FAMILIA CON INTEGRANTE CON ENFERMEDAD TERMINAL</t>
  </si>
  <si>
    <t>FAMILIA CON INTEGRANTE ALTA HOSPITALIZACIÓN PRECOZ</t>
  </si>
  <si>
    <t>FAMILIA CON INTEGRANTE CON DEPENDENCIA SEVERA (excluye adulto mayor)</t>
  </si>
  <si>
    <t>FAMILIA CON OTRO RIESGO PSICOSOCIAL</t>
  </si>
  <si>
    <t>FAMILIA CON INTEGRANTE CON PROBLEMA DE SALUD MENTAL</t>
  </si>
  <si>
    <t>FAMILIA CON ADULTO MAYOR DEPENDIENTE SEVERO</t>
  </si>
  <si>
    <t>FAMILIA CON NIÑOS/AS DE 5 A 9 AÑOS CON PROBLEMAS Y/O TRASTORNOS DE SALUD MENTAL</t>
  </si>
  <si>
    <t>SECCIÓN B: OTRAS VISITAS INTEGRALES</t>
  </si>
  <si>
    <t>DOS O MÁS 
PROFESIONALES</t>
  </si>
  <si>
    <t>UN PROFESIONAL Y 
UN TÉCNICO PARAMÉDICO</t>
  </si>
  <si>
    <t>VISITA EPIDEMIOLÓGICA</t>
  </si>
  <si>
    <t>A LUGAR DE TRABAJO (*)</t>
  </si>
  <si>
    <t>A COLEGIO, SALAS CUNA, JARDÍN INFANTIL (*)</t>
  </si>
  <si>
    <t>A GRUPO COMUNITARIO</t>
  </si>
  <si>
    <t>VISITA INTEGRAL DE SALUD MENTAL</t>
  </si>
  <si>
    <t>A LUGAR DE TRABAJO</t>
  </si>
  <si>
    <t>A ESTABLECIMIENTOS EDUCACIONALES</t>
  </si>
  <si>
    <t>EN SECTOR RURAL</t>
  </si>
  <si>
    <t xml:space="preserve"> A PERSONAS CON DEPENDENCIA SEVERA</t>
  </si>
  <si>
    <t>PRIMERA VISITA</t>
  </si>
  <si>
    <t>SEGUNDA VISITA</t>
  </si>
  <si>
    <t>(*) Excluye visita integral de salud mental</t>
  </si>
  <si>
    <t>TÉCNICO 
PARAMÉDICO</t>
  </si>
  <si>
    <t>A PERSONAS CON DEPENDENCIA LEVE</t>
  </si>
  <si>
    <t>A PERSONAS CON DEPENDENCIA MODERADA</t>
  </si>
  <si>
    <t>ONCOLÓGICOS (Excluye cuidados paliativos)</t>
  </si>
  <si>
    <t>NO ONCOLÓGICOS</t>
  </si>
  <si>
    <t>A PERSONAS EN CUIDADOS PALIATIVOS</t>
  </si>
  <si>
    <t>SECCIÓN D: RESCATE DE PACIENTES INASISTENTES</t>
  </si>
  <si>
    <t>GRUPO ETARIO</t>
  </si>
  <si>
    <t>RESCATE EN DOMICILIO</t>
  </si>
  <si>
    <t>FUNCIONARIO</t>
  </si>
  <si>
    <t>COMPRA DE SERVICIO (*)</t>
  </si>
  <si>
    <t>Técnico paramédico</t>
  </si>
  <si>
    <t>Administrativo</t>
  </si>
  <si>
    <t>Otro</t>
  </si>
  <si>
    <t>Desde el establecimiento</t>
  </si>
  <si>
    <t>Compra de servicio (*)</t>
  </si>
  <si>
    <t>MENOR DE 1 AÑO</t>
  </si>
  <si>
    <t>1 a 4 AÑOS</t>
  </si>
  <si>
    <t>5 a 9 AÑOS</t>
  </si>
  <si>
    <t>10 a 24 AÑOS</t>
  </si>
  <si>
    <t>25 a 64 AÑOS</t>
  </si>
  <si>
    <t>* No incluidas como producción del establecimiento.</t>
  </si>
  <si>
    <t>SECCIÓN E: OTRAS VISITAS PROGRAMA DE ACOMPAÑAMIENTO PSICOSOCIAL EN ATENCIÓN PRIMARIA</t>
  </si>
  <si>
    <t>GRUPOS</t>
  </si>
  <si>
    <t>TOTAL VISITAS</t>
  </si>
  <si>
    <t>NÚMERO DE OTRAS VISITAS SEGÚN RANGO ETARIO</t>
  </si>
  <si>
    <t>ESTABLECIMIENTO EDUCACIONAL</t>
  </si>
  <si>
    <t>SECCIÓN F: APOYO TELEFÓNICO DEL PROGRAMA DE ACOMPAÑAMIENTO PSICOSOCIAL EN APS</t>
  </si>
  <si>
    <t>TOTAL ACCIONES</t>
  </si>
  <si>
    <t>NÚMERO DE ACCIONES DE ACOMPAÑAMIENTO TELEFÓNICO</t>
  </si>
  <si>
    <t>ACCIONES TELEFÓNICAS REALIZADAS (LLAMADAS O MENSAJERÍA)</t>
  </si>
  <si>
    <t>SECCIÓN G: VISITA A ESTABLECIMIENTO EDUCACIONAL PROGRAMA DE APOYO A LA SALUD MENTAL INFANTIL (PASMI) EN ATENCIÓN PRIMARIA</t>
  </si>
  <si>
    <t>TOTAL VISITAS
5 A 9 AÑOS</t>
  </si>
  <si>
    <t>NÚMERO DE NIÑOS/AS VISITADOS
5 A 9 AÑOS</t>
  </si>
  <si>
    <t>SECCIÓN S: ATENCIONES POR MORDEDURA EN SERVICIO DE  URGENCIA DE LA RED</t>
  </si>
  <si>
    <t>Qi Gong</t>
  </si>
  <si>
    <t>Mayor de 64 años</t>
  </si>
  <si>
    <t>10-19 años</t>
  </si>
  <si>
    <t>Menor de 10 años</t>
  </si>
  <si>
    <t xml:space="preserve">PARTICIPANTES POR EDAD </t>
  </si>
  <si>
    <t>Nº de participantes</t>
  </si>
  <si>
    <t xml:space="preserve">Tai Chi </t>
  </si>
  <si>
    <r>
      <t xml:space="preserve">Total de </t>
    </r>
    <r>
      <rPr>
        <b/>
        <sz val="8"/>
        <color rgb="FF00B050"/>
        <rFont val="Verdana"/>
        <family val="2"/>
      </rPr>
      <t>s</t>
    </r>
    <r>
      <rPr>
        <sz val="8"/>
        <color theme="1"/>
        <rFont val="Verdana"/>
        <family val="2"/>
      </rPr>
      <t>esiones grupales</t>
    </r>
  </si>
  <si>
    <t>SECCIÓN C:  VISITAS CON FINES DE TRATAMIENTOS Y/O PROCEDIMIENTOS EN DOMICILIO</t>
  </si>
  <si>
    <t>AYUDA TÉCNICA POR CONDICIÓN DE SALUD</t>
  </si>
  <si>
    <t>ENFERMEDADES DEL CORAZÓN</t>
  </si>
  <si>
    <t>SECCIÓN A.3: NIÑOS Y NIÑAS CON REZAGO, DÉFICIT U OTRA VULNERABILIDAD DERIVADOS A ALGUNA MODALIDAD DE ESTIMULACIÓN EN LA PRIMERA EVALUACIÓN</t>
  </si>
  <si>
    <t>SECCIÓN A.2: RESULTADOS DE LA APLICACIÓN DE ESCALA DE EVALUACIÓN DEL DESARROLLO PSICOMOTOR</t>
  </si>
  <si>
    <t>SECCIÓN A.1: APLICACIÓN Y RESULTADOS DE PAUTA BREVE</t>
  </si>
  <si>
    <t>NIÑOS Y NIÑAS RED SENAME</t>
  </si>
  <si>
    <t>RECETAS DESPACHADAS A PACIENTES DEL PROGRAMA DE SALUD CARDIOVASCULAR</t>
  </si>
  <si>
    <t>PRESCRIPCIONES A PACIENTES DEL PROGRAMA DE SALUD CARDIOVASCULAR</t>
  </si>
  <si>
    <t xml:space="preserve">TRATAMIENTO ANTICOAGULANTE ORAL </t>
  </si>
  <si>
    <t>Establecimiento de la Red</t>
  </si>
  <si>
    <t>TIPO DE CONSULTA URGENCIA</t>
  </si>
  <si>
    <t xml:space="preserve">SECCIÓN F : TELECONSULTA ABREVIADA </t>
  </si>
  <si>
    <t>QUEMADOS</t>
  </si>
  <si>
    <t>ACCIDENTE CEREBRO VASCULAR (ACV)</t>
  </si>
  <si>
    <t>CONSULTA URGENCIA OTROS</t>
  </si>
  <si>
    <t xml:space="preserve">Institucional </t>
  </si>
  <si>
    <t>Otros Procedimientos</t>
  </si>
  <si>
    <t xml:space="preserve">TOTAL HORAS MENSUALES OCUPADAS DE QUIRÓFANOS EN TRABAJO </t>
  </si>
  <si>
    <t>NÚMERO DE CUPOS DISPONIBLES</t>
  </si>
  <si>
    <t>SECCIÓN D: APOYO PSICOSOCIAL EN NIÑOS (AS) HOSPITALIZADOS</t>
  </si>
  <si>
    <t>SECCIÓN E: GESTIÓN DE PROCESOS DE PACIENTES QUIRÚRGICOS CON CIRUGÍA ELECTIVA</t>
  </si>
  <si>
    <t>SECCIÓN J: CONSULTA DE SALUD MENTAL POR EL NIVEL DE ESPECIALIDAD</t>
  </si>
  <si>
    <t>EXTRACCIÓN CUERPO EXTRAÑO OJO (CONJUNTIVAL Y/O CORNEAL)</t>
  </si>
  <si>
    <t>CONTROLES DE GLAUCOMA UAPO</t>
  </si>
  <si>
    <t>GLAUCOMA (por médico)</t>
  </si>
  <si>
    <t>TECNÓLOGO MÉDICO O FONOAUDIÓLOGO POR HIPOACUSIA (UAPORRINO)</t>
  </si>
  <si>
    <t>REHABILITACIÓN DEGLUCIÓN</t>
  </si>
  <si>
    <t>REM-A02.   EXAMEN DE MEDICINA PREVENTIVA EN MAYORES DE 15 AÑOS</t>
  </si>
  <si>
    <t>SECCIÓN A: EMP REALIZADO POR PROFESIONAL</t>
  </si>
  <si>
    <t xml:space="preserve">NUTRICIONISTA </t>
  </si>
  <si>
    <t>SECCIÓN B: EMP SEGÚN RESULTADO DEL ESTADO NUTRICIONAL</t>
  </si>
  <si>
    <t>SECCIÓN C: RESULTADOS DE EMP SEGÚN ESTADO DE SALUD</t>
  </si>
  <si>
    <t>ESTADO 
DE SALUD</t>
  </si>
  <si>
    <t>PRESIÓN ARTERIAL ELEVADA (= &gt;140/90 mmHg)</t>
  </si>
  <si>
    <t>SECCIÓN D: RESULTADOS DE EMP SEGÚN ESTADO DE SALUD (EXÁMENES DE LABORATORIO)</t>
  </si>
  <si>
    <t>GLICEMIA ALTERADA (= &gt; a 100 mg/dl)</t>
  </si>
  <si>
    <t>COLESTEROL ELEVADO (= &gt; 200 mg/dl)</t>
  </si>
  <si>
    <t xml:space="preserve">REM-A11.  EXÁMENES DE PESQUISA DE ENFERMEDADES TRASMISIBLES </t>
  </si>
  <si>
    <t>SECCION A: EXÁMENES DE SÍFILIS</t>
  </si>
  <si>
    <r>
      <t xml:space="preserve">SECCIÓN A.1: EXAMEN VDRL POR GRUPO DE USUARIOS </t>
    </r>
    <r>
      <rPr>
        <b/>
        <sz val="10"/>
        <color theme="1"/>
        <rFont val="Verdana"/>
        <family val="2"/>
      </rPr>
      <t>(Uso exclusivo de establecimientos con Laboratorio que procesan)</t>
    </r>
  </si>
  <si>
    <t>GRUPO DE PESQUISA</t>
  </si>
  <si>
    <t>POR SEXO
(Procesados)</t>
  </si>
  <si>
    <t>Procesados</t>
  </si>
  <si>
    <t>Reactivos</t>
  </si>
  <si>
    <t>GESTANTES PRIMER TRIMESTRE EMBARAZO</t>
  </si>
  <si>
    <t>GESTANTES SEGUNDO TRIMESTRE EMBARAZO</t>
  </si>
  <si>
    <t>GESTANTES TERCER TRIMESTRE EMBARAZO</t>
  </si>
  <si>
    <t>GESTANTES TRIMESTRE EMBARAZO IGNORADO</t>
  </si>
  <si>
    <t>GESTANTES EN SEGUIMIENTO POR DIAGNÓSTICO SÍFILIS</t>
  </si>
  <si>
    <t>PAREJA DE GESTANTE CON SEROLOGÍA REACTIVA</t>
  </si>
  <si>
    <t>MUJERES QUE INGRESAN A MATERNIDAD POR PARTO</t>
  </si>
  <si>
    <t>MUJERES QUE INGRESAN POR ABORTO</t>
  </si>
  <si>
    <t>MUJERES EN CONTROL GINECOLÓGICO</t>
  </si>
  <si>
    <t>RECIÉN NACIDO Y LACTANTE PARA DETECCIÓN DE SÍFILIS CONGÉNITA</t>
  </si>
  <si>
    <t>PERSONAS EN CONTROL POR COMERCIO SEXUAL</t>
  </si>
  <si>
    <t>PERSONAS EN CONTROL FECUNDIDAD</t>
  </si>
  <si>
    <t>CONSULTANTES POR ITS</t>
  </si>
  <si>
    <t>PERSONAS CON EMP</t>
  </si>
  <si>
    <t>DONANTES DE SANGRE</t>
  </si>
  <si>
    <t>DONANTES DE ÓRGANOS Y/O TEJIDOS</t>
  </si>
  <si>
    <t>PACIENTES EN DIÁLISIS</t>
  </si>
  <si>
    <t>VÍCTIMA DE VIOLENCIA SEXUAL</t>
  </si>
  <si>
    <t>SECCIÓN A.2: EXAMEN VDRL POR GRUPO DE USUARIOS (Uso exclusivo de establecimientos que Compran Servicio)</t>
  </si>
  <si>
    <r>
      <t xml:space="preserve">SECCIÓN A.3: EXAMEN RPR POR GRUPO DE USUARIOS </t>
    </r>
    <r>
      <rPr>
        <b/>
        <sz val="10"/>
        <color theme="1"/>
        <rFont val="Verdana"/>
        <family val="2"/>
      </rPr>
      <t>(Uso exclusivo de establecimientos con Laboratorio que procesan)</t>
    </r>
  </si>
  <si>
    <t>SECCIÓN A.4: EXAMEN RPR POR GRUPO DE USUARIOS (Uso exclusivo de establecimientos que Compran Servicio)</t>
  </si>
  <si>
    <t xml:space="preserve">                   </t>
  </si>
  <si>
    <r>
      <t xml:space="preserve">SECCIÓN A.5: EXAMEN MHA-TP POR GRUPO DE USUARIOS </t>
    </r>
    <r>
      <rPr>
        <b/>
        <sz val="10"/>
        <color theme="1"/>
        <rFont val="Verdana"/>
        <family val="2"/>
      </rPr>
      <t>(Uso exclusivo de establecimientos con Laboratorio que procesan)</t>
    </r>
  </si>
  <si>
    <t>SECCIÓN A.6: EXAMEN MHA-TP POR GRUPO DE USUARIOS (Uso exclusivo de establecimientos que Compran Servicio)</t>
  </si>
  <si>
    <t>SECCIÓN B.1: EXÁMENES SEGÚN GRUPOS DE USUARIOS POR CONDICIÓN DE HEPATITIS B, HEPATITIS C, CHAGAS, HTLV 1 Y SIFILIS (Uso exclusivo de establecimientos con Laboratorio que procesan)</t>
  </si>
  <si>
    <t>GRUPO DE USUARIOS</t>
  </si>
  <si>
    <t>HEPATITIS  B</t>
  </si>
  <si>
    <t>HEPATITIS  C</t>
  </si>
  <si>
    <t>CHAGAS</t>
  </si>
  <si>
    <t>HTLV1</t>
  </si>
  <si>
    <t>Confirmados</t>
  </si>
  <si>
    <t>USUARIOS</t>
  </si>
  <si>
    <t>DONANTES</t>
  </si>
  <si>
    <t>ALTRUISTA NUEVO</t>
  </si>
  <si>
    <t>ALTRUISTA REPETIDO</t>
  </si>
  <si>
    <t>FAMILIAR O REPOSICIÓN</t>
  </si>
  <si>
    <t>SECCIÓN B.2: EXÁMENES SEGÚN GRUPOS DE USUARIOS POR CONDICIÓN DE HEPATITIS B, HEPATITIS C, CHAGAS, HTLV 1 Y SIFILIS (Uso exclusivo de establecimientos que Compran Servicio)</t>
  </si>
  <si>
    <t xml:space="preserve">DONANTES DE ÓRGANOS Y/O TEJIDOS </t>
  </si>
  <si>
    <t>SECCIÓN C.1: EXÁMENES  DE  VIH POR GRUPOS DE USUARIOS (Uso exclusivo de establecimientos con Laboratorio que procesan)</t>
  </si>
  <si>
    <t>Pueblos originarios</t>
  </si>
  <si>
    <t>Menor de 12 meses</t>
  </si>
  <si>
    <t>3 a 4 años</t>
  </si>
  <si>
    <t xml:space="preserve"> 65 y más años</t>
  </si>
  <si>
    <t>Confirmados positivos por ISP</t>
  </si>
  <si>
    <t>GESTANTES PRIMER EXAMEN</t>
  </si>
  <si>
    <t>GESTANTES SEGUNDO EXAMEN</t>
  </si>
  <si>
    <t>MUJER EN TRABAJO DE PRE PARTO O PARTO</t>
  </si>
  <si>
    <t>POR CONSULTA ITS</t>
  </si>
  <si>
    <t>PERSONAS EN CONTROL DE REGULACIÓN FECUNDIDAD, GINECOLOGICO, CLIMATERIO</t>
  </si>
  <si>
    <t>PERSONAS EN CONTROL DE SALUD SEGÚN CICLO VITAL</t>
  </si>
  <si>
    <t>PERSONA EN CONTROL POR TBC</t>
  </si>
  <si>
    <t>PAREJA SERODISCORDANTE</t>
  </si>
  <si>
    <t>PAREJA DE GESTANTE VIH POSITIVO</t>
  </si>
  <si>
    <t>PERSONAL DE SALUD EXPUESTO A ACCIDENTE CORTOPUNZANTE</t>
  </si>
  <si>
    <t>PACIENTES FUENTE DE ACCIDENTE CORTOPUNZANTE</t>
  </si>
  <si>
    <t>PERSONA EN CONTROL POR HEPATITIS B</t>
  </si>
  <si>
    <t>PERSONA EN CONTROL POR HEPATITIS C</t>
  </si>
  <si>
    <t>CONSULTANTES POR MORBILIDAD</t>
  </si>
  <si>
    <t>POR CONSULTA ESPONTÁNEA</t>
  </si>
  <si>
    <t>SECCIÓN C.2: EXÁMENES  DE  VIH POR GRUPOS DE USUARIOS (Uso exclusivo de establecimientos que Compran Servicio)</t>
  </si>
  <si>
    <t>SECCIÓN D: DETECCIÓN ENFERMEDAD DE CHAGAS EN GESTANTES Y RECIÉN NACIDOS SEGÚN RESULTADO DE EXÁMENES DE LABORATORIO</t>
  </si>
  <si>
    <t>TIPO DE EXÁMENES</t>
  </si>
  <si>
    <t>EXÁMENES DE TAMIZAJE INFECCIÓN POR T. cruzi REALIZADOS</t>
  </si>
  <si>
    <t xml:space="preserve">EXÁMENES TAMIZAJE DE INFECCIÓN POR T. cruzi CON RESULTADO REACTIVO </t>
  </si>
  <si>
    <t xml:space="preserve">EXÁMENES DE CONFIRMACIÓN DE INFECCIÓN POR T. cruzi CON RESULTADO POSITIVO </t>
  </si>
  <si>
    <t xml:space="preserve">GESTANTES QUE INGRESAN A CONTROL PRENATAL       </t>
  </si>
  <si>
    <t>MUJERES EN TRABAJO DE PARTO O ABORTO SIN TAMIZAJE PREVIO CUALQUIERA SEA LA CAUSA</t>
  </si>
  <si>
    <t xml:space="preserve">RECIÉN NACIDOS, HIJOS DE MADRE CON ENFERMEDAD DE CHAGAS </t>
  </si>
  <si>
    <t xml:space="preserve">LACTANTES, HIJOS DE MADRE CON ENFERMEDAD DE CHAGAS </t>
  </si>
  <si>
    <t xml:space="preserve">SECCIÓN E: EXÁMENES DE GONORREA POR GRUPOS DE USUARIOS </t>
  </si>
  <si>
    <t>COMERCIO SEXUAL</t>
  </si>
  <si>
    <t>PERSONAS VIH (+)</t>
  </si>
  <si>
    <t>CONSULTANTE ITS AMBULATORIO (nivel1º y 2º)</t>
  </si>
  <si>
    <t>CONSULTANTE ITS HOSPITALARIO (nivel 3º y urgencia)</t>
  </si>
  <si>
    <t>VICTIMA DE VIOLENCIA SEXUAL</t>
  </si>
  <si>
    <t xml:space="preserve">SECCIÓN F: EXÁMENES DE CHLAMYIDIA TRACHOMATIS POR GRUPOS DE USUARIOS </t>
  </si>
  <si>
    <t>SECCIÓN G: EXÁMENES  DE  VIH POR TECNICA VISUAL/RAPIDA Y GRUPOS DE USUARIOS (Uso exclusivo de establecimientos NO LABORATORIOS)</t>
  </si>
  <si>
    <t>GRUPOS DE USUARIOS POR INSTANCIA</t>
  </si>
  <si>
    <t>65 y Mas años</t>
  </si>
  <si>
    <t>INTERIOR ESTABLECIMIENTO SALUD (INTRAMURO)</t>
  </si>
  <si>
    <t>EXTERIOR ESTABLECIMIENTO DE SALUD (EXTRAMURO)</t>
  </si>
  <si>
    <t>CENTROS PENITENCIARIOS</t>
  </si>
  <si>
    <t>CENTROS SENAME</t>
  </si>
  <si>
    <t>CENTROS EDUCACIONALES</t>
  </si>
  <si>
    <t xml:space="preserve">OTROS </t>
  </si>
  <si>
    <t>REM-19b.   ACTIVIDADES DE PARTICIPACIÓN SOCIAL</t>
  </si>
  <si>
    <t>SECCIÓN A: ATENCIÓN OFICINAS DE INFORMACIONES (SISTEMA INTEGRAL DE ATENCIÓN A USUARIOS)</t>
  </si>
  <si>
    <t>Nº DE ATENCIONES EN EL MES</t>
  </si>
  <si>
    <t>RECLAMOS RESPONDIDOS FUERA DE PLAZOS LEGALES</t>
  </si>
  <si>
    <t>RECLAMOS PENDIENTES</t>
  </si>
  <si>
    <t>Reclamos generados en el mes</t>
  </si>
  <si>
    <t>Reclamos generados en el mes anterior</t>
  </si>
  <si>
    <t>Respuestas pendientes dentro del plazo legal</t>
  </si>
  <si>
    <t>Respuestas pendientes fuera del plazo legal</t>
  </si>
  <si>
    <t xml:space="preserve">TOTAL DE RECLAMOS </t>
  </si>
  <si>
    <t>TRATO</t>
  </si>
  <si>
    <t>COMPETENCIA TÉCNICA</t>
  </si>
  <si>
    <t>TIEMPO DE ESPERA (EN SALA DE ESPERA)</t>
  </si>
  <si>
    <t>TIEMPO DE ESPERA, POR CONSULTA ESPECIALIDAD (POR LISTA DE ESPERA)</t>
  </si>
  <si>
    <t>TIEMPO DE ESPERA, POR PROCEDIMIENTO (LISTA DE ESPERA)</t>
  </si>
  <si>
    <t>TIEMPO DE ESPERA , POR CIRUGÍA (LISTA DE ESPERA)</t>
  </si>
  <si>
    <t>INFORMACIÓN</t>
  </si>
  <si>
    <t>PROCEDIMIENTOS ADMINISTRATIVOS</t>
  </si>
  <si>
    <t>PROBIDAD ADMINISTRATIVA</t>
  </si>
  <si>
    <t>INCUMPLIMIENTO GARANTÍAS EXPLÍCITAS EN SALUD (GES)</t>
  </si>
  <si>
    <t>INCUMPLIMIENTO DE GARANTÍAS LEY RICARTE SOTO</t>
  </si>
  <si>
    <t>INCUMPLIMIENTO DE GARANTÍAS FOFAR</t>
  </si>
  <si>
    <t>SUGERENCIAS</t>
  </si>
  <si>
    <t>FELICITACIONES</t>
  </si>
  <si>
    <t>SOLICITUDES</t>
  </si>
  <si>
    <t>SOLICITUDES LEY 20.285 (Ley de Transparencia)</t>
  </si>
  <si>
    <t>SECCIÓN B: ACTIVIDADES POR ESTRATEGIA/LÍNEA DE ACCIÓN O ESPACIO / INSTANCIA DE PARTICIPACIÓN SOCIAL</t>
  </si>
  <si>
    <t>TIPO DE ACTIVIDADES</t>
  </si>
  <si>
    <t xml:space="preserve">ESPACIOS/INSTANCIAS </t>
  </si>
  <si>
    <t>ESTRATEGIAS/LÍNEAS DE ACCIÓN</t>
  </si>
  <si>
    <t>Consultas Ciudadanas</t>
  </si>
  <si>
    <t xml:space="preserve"> Consejos consultivos de Adolescentes y Jóvenes</t>
  </si>
  <si>
    <t>Mesas: Territoriales, diálogos ciudadanos, mesa salud intercultural</t>
  </si>
  <si>
    <t>Cuentas públicas participativas</t>
  </si>
  <si>
    <t>Presupuestos participativos</t>
  </si>
  <si>
    <t>Estrategias de satisfacción usuaria</t>
  </si>
  <si>
    <t>Planificación local participativa (Diagnósticos, programación y evaluación)</t>
  </si>
  <si>
    <t>Total participantes</t>
  </si>
  <si>
    <t>Total hombres</t>
  </si>
  <si>
    <t>Total mujeres</t>
  </si>
  <si>
    <t>ADMINISTRACIÓN Y GESTIÓN</t>
  </si>
  <si>
    <t>REUNIONES INTRASECTOR</t>
  </si>
  <si>
    <t>REUNIONES INTERSECTOR</t>
  </si>
  <si>
    <t>ACTIVIDADES DE MONITOREO</t>
  </si>
  <si>
    <t>ASESORÍA TÉCNICA</t>
  </si>
  <si>
    <t>JORNADAS DE INTERCAMBIO DE EXPERIENCIAS</t>
  </si>
  <si>
    <t>ACTIVIDADES DE DIFUSIÓN Y COMUNICACIÓN</t>
  </si>
  <si>
    <t>EDUCACIÓN Y CAPACITACIÓN COMUNITARIA</t>
  </si>
  <si>
    <t>EVENTOS MASIVOS (ASAMBLEAS, CABILDOS, OTROS)</t>
  </si>
  <si>
    <t>ACTIVIDADES A PUEBLOS INDÍGENAS</t>
  </si>
  <si>
    <t>TOTAL DE ACTIVIDADES</t>
  </si>
  <si>
    <t>ACTIVIDADES DE PARTICIPACIÓN SOCIAL POR TEC. PARAMÉDICO</t>
  </si>
  <si>
    <t>SECCIÓN C: REUNIONES DE ADULTO MAYOR</t>
  </si>
  <si>
    <t>TIPO DE REUNIÓN</t>
  </si>
  <si>
    <t xml:space="preserve">CLÍNICAS </t>
  </si>
  <si>
    <t>CON INSTITUCIONES DE LARGA ESTADÍA</t>
  </si>
  <si>
    <t>Consejo de la Sociedad Civil, Consejos consultivos, de desarrollo y comités locales</t>
  </si>
  <si>
    <t>REM-23.   SALAS: IRA, ERA Y MIXTAS EN APS</t>
  </si>
  <si>
    <t>SECCIÓN A: INGRESOS AGUDOS SEGÚN DIAGNOSTICO</t>
  </si>
  <si>
    <t>DIAGNÓSTICOS</t>
  </si>
  <si>
    <t xml:space="preserve"> REINGRESOS</t>
  </si>
  <si>
    <t>Menos 
1 año</t>
  </si>
  <si>
    <t>1 - 4 
años</t>
  </si>
  <si>
    <t>5 - 9 
años</t>
  </si>
  <si>
    <t>10 - 14
años</t>
  </si>
  <si>
    <t>15 - 19
años</t>
  </si>
  <si>
    <t xml:space="preserve">20 a 24 años
</t>
  </si>
  <si>
    <t>25 a 39 años</t>
  </si>
  <si>
    <t>80 y mas años</t>
  </si>
  <si>
    <t>I.R.A. ALTA</t>
  </si>
  <si>
    <t>INFLUENZA</t>
  </si>
  <si>
    <t xml:space="preserve">NEUMONÍA </t>
  </si>
  <si>
    <t>COQUELUCHE</t>
  </si>
  <si>
    <t>BRONQUITIS OBSTRUCTIVA AGUDA</t>
  </si>
  <si>
    <t>OTRAS IRAS  BAJAS</t>
  </si>
  <si>
    <t>EXACERBACIÓN SÍNDROME BRONQUIAL OBSTRUCTIVO RECURRENTE (SBOR)</t>
  </si>
  <si>
    <t>EXACERBACIÓN ASMA</t>
  </si>
  <si>
    <t>EXACERBACIÓN DE ENFERMEDAD PULMONAR OBSTRUCTIVA CRÓNICA (EPOC)</t>
  </si>
  <si>
    <t>EXACERBACIÓN FIBROSIS QUÍSTICA</t>
  </si>
  <si>
    <t>EXACERBACIÓN OTRAS RESPIRATORIAS CRÓNICAS</t>
  </si>
  <si>
    <t>SECCIÓN B: INGRESO CRÓNICO SEGÚN DIAGNÓSTICO (SOLO MÉDICO)</t>
  </si>
  <si>
    <t>SÍNDROME BRONQUIAL OBSTRUCTIVO RECURRENTE (SBOR)</t>
  </si>
  <si>
    <t>Leve</t>
  </si>
  <si>
    <t>Moderado</t>
  </si>
  <si>
    <t>Severo</t>
  </si>
  <si>
    <t>ASMA BRONQUIAL</t>
  </si>
  <si>
    <t>ENFERMEDAD PULMONAR OBSTRUCTIVA CRÓNICA (EPOC)</t>
  </si>
  <si>
    <t>Tipo A</t>
  </si>
  <si>
    <t>Tipo B</t>
  </si>
  <si>
    <t>DISPLASIA BRONCOPULMONAR</t>
  </si>
  <si>
    <t>FIBROSIS QUÍSTICA</t>
  </si>
  <si>
    <t>OXIGENO DEPENDIENTE</t>
  </si>
  <si>
    <t xml:space="preserve">ASISTENCIA VENTILATORIA NO INVASIVA O INVASIVA </t>
  </si>
  <si>
    <t>OTRAS RESPIRATORIAS CRÓNICAS</t>
  </si>
  <si>
    <t>PROGRAMAS</t>
  </si>
  <si>
    <t>SÍNDROME BRONQUIAL OBSTRUCTIVA RECURRENTE (SBOR)</t>
  </si>
  <si>
    <t>OXÍGENO DEPENDIENTE</t>
  </si>
  <si>
    <t>SECCIÓN D: CONSULTAS DE MORBILIDAD POR ENFERMEDADES RESPIRATORIAS EN SALAS IRA, ERA Y MIXTA</t>
  </si>
  <si>
    <t>SECCIÓN F: SEGUIMIENTO DE ATENCIONES REALIZADAS EN AGUDOS</t>
  </si>
  <si>
    <t>SECCIÓN G: INASISTENTES A CONTROL DE CRÓNICOS</t>
  </si>
  <si>
    <t>S.B.O. RECURRENTE</t>
  </si>
  <si>
    <t>SECCIÓN H: INASISTENTES A CITACIÓN AGENDADA</t>
  </si>
  <si>
    <t>Menor de 20 años</t>
  </si>
  <si>
    <t>De 20 años y más</t>
  </si>
  <si>
    <t>SECCIÓN I: PROCEDIMIENTOS REALIZADOS</t>
  </si>
  <si>
    <t>PROCEDIMIENTO</t>
  </si>
  <si>
    <t xml:space="preserve">ESPIROMETRÍA BASAL </t>
  </si>
  <si>
    <t>ESPIROMETRÍA POST BD</t>
  </si>
  <si>
    <t xml:space="preserve">FLUJOMETRÍA BASAL </t>
  </si>
  <si>
    <t>FLUJOMETRÍA POST BD</t>
  </si>
  <si>
    <t>PIMOMETRÍA</t>
  </si>
  <si>
    <t>TEST DE PROVOCACIÓN CON EJERCICIO</t>
  </si>
  <si>
    <t>TEST DE MARCHA 6 MINUTOS</t>
  </si>
  <si>
    <t>SESIONES DE KINESIOTERAPIA RESPIRATORIA</t>
  </si>
  <si>
    <t>SECCIÓN J: DERIVACIÓN DE PACIENTES SEGÚN DESTINO</t>
  </si>
  <si>
    <t>DESTINO</t>
  </si>
  <si>
    <t>UNIDAD EMERGENCIA HOSPITALARIA</t>
  </si>
  <si>
    <t>SAPU, SUR O SAR</t>
  </si>
  <si>
    <t>CAE / CDT / CRS</t>
  </si>
  <si>
    <t>SECCIÓN K: RECEPCIÓN DE PACIENTES SEGÚN ORIGEN</t>
  </si>
  <si>
    <t>ORIGEN</t>
  </si>
  <si>
    <t>SAPU , SUR O SAR</t>
  </si>
  <si>
    <t>EXTRASISTEMA</t>
  </si>
  <si>
    <t>BRONQUITIS OBSTRUCTIVA</t>
  </si>
  <si>
    <t>REAGUDIZACIÓN DE SBOR</t>
  </si>
  <si>
    <t>REAGUDIZACIÓN DE ASMA</t>
  </si>
  <si>
    <t>REAGUDIZACIÓN DE EPOC</t>
  </si>
  <si>
    <t>SECCIÓN M: EDUCACIÓN EN SALAS</t>
  </si>
  <si>
    <t>SECCIÓN M.1: EDUCACIÓN INDIVIDUAL EN SALA IRA ERA</t>
  </si>
  <si>
    <t>ANTITABACO</t>
  </si>
  <si>
    <t>USO DE TERAPIA INHALATORIA</t>
  </si>
  <si>
    <t>ESTILO DE VIDA SALUDABLES</t>
  </si>
  <si>
    <t>SECCIÓN M.2: EDUCACIÓN GRUPAL EN SALA (AGENDADA Y PROGRAMADA)</t>
  </si>
  <si>
    <t>Nº SESIONES</t>
  </si>
  <si>
    <t>Nº PARTICIPANTES</t>
  </si>
  <si>
    <t>PACIENTES, PADRES O CUIDADORES</t>
  </si>
  <si>
    <t>SALAS CUNAS Y JARDINES INFANTILES</t>
  </si>
  <si>
    <t>INTERSECTOR</t>
  </si>
  <si>
    <t>PACIENTES Y/O CUIDADORES</t>
  </si>
  <si>
    <t xml:space="preserve">SECCIÓN N: VISITAS DOMICILIARIAS REALIZADAS POR EQUIPO IRA-ERA </t>
  </si>
  <si>
    <t>HOGAR LIBRE DEL HUMO DEL TABACO</t>
  </si>
  <si>
    <t>POR MUERTE DE NEUMONÍA EN DOMICILIO</t>
  </si>
  <si>
    <t>PROGRAMA OXIGENOTERAPIA AMBULATORIA, AVNI, AVI, AVNIA, AVIA</t>
  </si>
  <si>
    <t>OTRAS VISITAS</t>
  </si>
  <si>
    <t xml:space="preserve">Por término de tratamiento </t>
  </si>
  <si>
    <t xml:space="preserve">REHABILITACIÓN PULMONAR </t>
  </si>
  <si>
    <t>SECCIÓN P: APLICACIÓN Y RESULTADO DE ENCUESTA CALIDAD DE VIDA</t>
  </si>
  <si>
    <t>TIPO DE ENCUESTA</t>
  </si>
  <si>
    <t xml:space="preserve">RESULTADOS </t>
  </si>
  <si>
    <t xml:space="preserve">Mejorado </t>
  </si>
  <si>
    <t>No mejorado</t>
  </si>
  <si>
    <t>CALIDAD DE VIDA AL INGRESO</t>
  </si>
  <si>
    <t>CALIDAD DE VIDA DE CONTROL (A LOS 12 MESES)</t>
  </si>
  <si>
    <t>CG5:CN157</t>
  </si>
  <si>
    <t>REM-25.  SERVICIOS DE SANGRE</t>
  </si>
  <si>
    <t>SECCIÓN A.1: POBLACIÓN DONANTE (CS-UMT-BS)</t>
  </si>
  <si>
    <t>DESCRIPCIÓN</t>
  </si>
  <si>
    <t>18-19</t>
  </si>
  <si>
    <t>40-44</t>
  </si>
  <si>
    <t>45-49</t>
  </si>
  <si>
    <t>50-54</t>
  </si>
  <si>
    <t>60-64</t>
  </si>
  <si>
    <t>ALTRUISTAS</t>
  </si>
  <si>
    <t>NUEVOS</t>
  </si>
  <si>
    <t>Aceptados</t>
  </si>
  <si>
    <t>REPETIDOS</t>
  </si>
  <si>
    <t>FAMILIARES O REPOSICIÓN</t>
  </si>
  <si>
    <t>TOTAL DÍAS ATENCIÓN OTORGADOS</t>
  </si>
  <si>
    <t>TOTAL COLECTAS MÓVILES REALIZADAS</t>
  </si>
  <si>
    <t>SECCIÓN A.2:  TIPO DE DONANTES RECHAZADOS</t>
  </si>
  <si>
    <t>Rechazados Transitorios</t>
  </si>
  <si>
    <t>Rechazados Permanentes</t>
  </si>
  <si>
    <t>SECCIÓN A.3: REACCIONES ADVERSAS A LA DONACIÓN (CS - UMT - BS)</t>
  </si>
  <si>
    <t xml:space="preserve"> ALTRUISTAS</t>
  </si>
  <si>
    <t>REPOSICIÓN</t>
  </si>
  <si>
    <t>CON SÍNTOMAS LOCALES</t>
  </si>
  <si>
    <t>HEMATOMA</t>
  </si>
  <si>
    <t>PUNCIÓN ARTERIAL</t>
  </si>
  <si>
    <t>SANGRAMIENTO POSTERIOR</t>
  </si>
  <si>
    <t>LESIÓN NERVIOSA</t>
  </si>
  <si>
    <t>LESIÓN DE TENDÓN</t>
  </si>
  <si>
    <t>BRAZO DOLOROSO</t>
  </si>
  <si>
    <t>TROMBOFLEBITIS</t>
  </si>
  <si>
    <t>ALERGIA LOCAL</t>
  </si>
  <si>
    <t>CON SÍNTOMAS GENERALES</t>
  </si>
  <si>
    <t>RVV INMEDIATA</t>
  </si>
  <si>
    <t>Sin Lesión</t>
  </si>
  <si>
    <t>Con Lesión</t>
  </si>
  <si>
    <t>RVV TARDÍA</t>
  </si>
  <si>
    <t>SECCIÓN B: INGRESO UNIDADES DE SANGRE A PRODUCIÓN  (CS-BS)</t>
  </si>
  <si>
    <t>UNIDADES DE SANGRE</t>
  </si>
  <si>
    <t>APTAS</t>
  </si>
  <si>
    <t>NO APTAS</t>
  </si>
  <si>
    <t>SECCIÓN C: PRODUCCIÓN DE COMPONENTES SANGUÍNEOS (CS-BS)</t>
  </si>
  <si>
    <t>PRODUCCIÓN</t>
  </si>
  <si>
    <t>GLÓBULOS ROJOS</t>
  </si>
  <si>
    <t>DESPLAMATIZADOS</t>
  </si>
  <si>
    <t>LEUCOREDUCIDOS</t>
  </si>
  <si>
    <t>FILTRADOS</t>
  </si>
  <si>
    <t>PLAQUETAS</t>
  </si>
  <si>
    <t>ESTÁNDAR</t>
  </si>
  <si>
    <t>LEUCORREDUCIDA POOL</t>
  </si>
  <si>
    <t>LEUCODEPLETADA POOL</t>
  </si>
  <si>
    <t>AFÉRESIS</t>
  </si>
  <si>
    <t>PLASMAS</t>
  </si>
  <si>
    <t>PLASMA FRESCO CONGELADO TERAPÉUTICO</t>
  </si>
  <si>
    <t>PLASMA USO NO TERAPÉUTICO</t>
  </si>
  <si>
    <t>CRIOPRECIPITADOS</t>
  </si>
  <si>
    <t>SECCIÓN C.1: COMPONENTES SANGUÍNEOS ELIMINADOS (CS-BS )</t>
  </si>
  <si>
    <t>CAUSA</t>
  </si>
  <si>
    <t>GLOBULOS ROJOS*</t>
  </si>
  <si>
    <t>PLASMAS*</t>
  </si>
  <si>
    <t>Estándar</t>
  </si>
  <si>
    <t>Pool*</t>
  </si>
  <si>
    <t>Aféresis</t>
  </si>
  <si>
    <t>CALIFICACIÓN MICROBIOLÓGICA REACTIVA</t>
  </si>
  <si>
    <t>OBSOLESCENCIA</t>
  </si>
  <si>
    <t>* Cualquier tipo</t>
  </si>
  <si>
    <t>FALLA POR CADENA DE FRÍO</t>
  </si>
  <si>
    <t>DEVOLUCIONES POR PRODUCTO POR NO CUMPLIR ESTÁNDAR</t>
  </si>
  <si>
    <t>DESCONGELAMIENTO SIN USO</t>
  </si>
  <si>
    <t>SECCIÓN C.3 : COMPONENTES SANGUÍNEOS TRANSFORMACIONES (CS-BS-UMT)</t>
  </si>
  <si>
    <t>UNIDADES PEDIÁTRICAS</t>
  </si>
  <si>
    <t>IRRADIACIÓN</t>
  </si>
  <si>
    <t>REDUCCIÓN VOLUMEN</t>
  </si>
  <si>
    <t>POOL*</t>
  </si>
  <si>
    <t>SECCIÓN C.4: COMPONENTES SANGUÍNEOS DISTRIBUÍBLES (CS)</t>
  </si>
  <si>
    <t>GR</t>
  </si>
  <si>
    <t>NÚMERO DÍAS BAJO STOCK ÓPTIMO</t>
  </si>
  <si>
    <t>O +</t>
  </si>
  <si>
    <t>A +</t>
  </si>
  <si>
    <t>B +</t>
  </si>
  <si>
    <t>O ( - )</t>
  </si>
  <si>
    <t>A ( - )</t>
  </si>
  <si>
    <t>PÚBLICO</t>
  </si>
  <si>
    <t>PRIVADO**</t>
  </si>
  <si>
    <t>F.F.A.A.</t>
  </si>
  <si>
    <t>**Universitarios, Clínicas Privadas, Otros</t>
  </si>
  <si>
    <t>SECCIÓN D.1: TRANSFUSIONES (UMT - BS )</t>
  </si>
  <si>
    <t>TRANSFUSIONES                                                   (Nº DE UNIDADES)</t>
  </si>
  <si>
    <t>MENORES DE 15 AÑOS</t>
  </si>
  <si>
    <t>DE 15 Y MAS AÑOS</t>
  </si>
  <si>
    <t xml:space="preserve">Normales </t>
  </si>
  <si>
    <t>Irradiados</t>
  </si>
  <si>
    <t>Normales</t>
  </si>
  <si>
    <t>SECCIÓN E: DEMANDA GLÓBULOS ROJOS PARA TRANSFUSIÓN (UMT-BS)</t>
  </si>
  <si>
    <t>UNIDADES</t>
  </si>
  <si>
    <t>DESPACHADAS</t>
  </si>
  <si>
    <t>SECCIÓN F: REACCIONES ADVERSAS POR ACTO* TRANSFUSIONAL  (UMT-BS)</t>
  </si>
  <si>
    <t>RASH ALÉRGICO</t>
  </si>
  <si>
    <t>ANAFILAXIA</t>
  </si>
  <si>
    <t>REACCIÓN FEBRIL NO HEMOLÍTICA</t>
  </si>
  <si>
    <t>REACCIÓN HEMOLÍTICA AGUDA POR INCOMPATIBILIDAD ABO</t>
  </si>
  <si>
    <t>REACCIÓN HEMOLÍTICA AGUDA POR OTRA CAUSA</t>
  </si>
  <si>
    <t>SOBRECARGA CIRCULATORIA</t>
  </si>
  <si>
    <t>REACCIÓN HEMOLÍTICA TARDÍA</t>
  </si>
  <si>
    <t>SEPTICEMIA</t>
  </si>
  <si>
    <t>TRALI</t>
  </si>
  <si>
    <t>* Cada vez que el paciente se transfunde.</t>
  </si>
  <si>
    <t xml:space="preserve">ATENCIÓN DOMICILIARIA </t>
  </si>
  <si>
    <t>REHABILITACIÓN  DEGLUCIÓN</t>
  </si>
  <si>
    <t>TIPO DE MEDICINA COMPLEMENTARIA O PRÁCTICA DE BIENESTAR DE LA SALUD</t>
  </si>
  <si>
    <t>SECCIÓN F: CONTROLES INTEGRALES DE PERSONAS CON CONDICIONES CRÓNICAS</t>
  </si>
  <si>
    <t>SECCIÓN G: EVALUACIONES PROGRAMA PLAN NACIONAL DE DEMENCIA</t>
  </si>
  <si>
    <t>SECCIÓN I : SALUD MENTAL EN SITUACIONES DE EMERGENCIA O DESASTRE</t>
  </si>
  <si>
    <t>Lactancia Materna / Formula Láctea</t>
  </si>
  <si>
    <t>Formula Láctea</t>
  </si>
  <si>
    <t>SECCIÓN A: APLICACIÓN DE INSTRUMENTO Y RESULTADO EN EL NIÑO (A)</t>
  </si>
  <si>
    <t>SECCIÓN B.2: APLICACIÓN DE ESCALA SEGÚN EVALUACIÓN DE RIESGO PSICOSOCIAL ABREVIADA A GESTANTES</t>
  </si>
  <si>
    <t>SECCIÓN D.4: RESULTADO DE APLICACIÓN DE CONDICIÓN DE FUNCIONALIDAD AL EGRESO PROGRAMA "MÁS ADULTOS MAYORES AUTOVALENTES"</t>
  </si>
  <si>
    <t>SECCIÓN D.5: VARIACIÓN  DE RESULTADO DE APLICACIÓN DEL ÍNDICE DE BARTHEL ENTRE EL INGRESO Y EGRESO HOSPITALARIO</t>
  </si>
  <si>
    <t>ÍNDICE DE BARTHEL</t>
  </si>
  <si>
    <t>SECCIÓN D.7: APLICACIÓN Y RESULTADOS DE PAUTA DE EVALUACIÓN CON ENFOQUE DE RIESGO ODONTOLÓGICO (CERO)</t>
  </si>
  <si>
    <t>NUTRICIONISTA MALNUTRICIÓN POR DÉFICIT</t>
  </si>
  <si>
    <t>SECCIÓN G: ATENCIONES DE MEDICINA INDÍGENA ASOCIADA AL PROGRAMA ESPECIAL DE SALUD Y PUEBLOS ORIGINARIOS</t>
  </si>
  <si>
    <t>PRESTACIÓN</t>
  </si>
  <si>
    <t>SECCIÓN I: SERVICIOS FARMACÉUTICOS</t>
  </si>
  <si>
    <t xml:space="preserve">ATENCIÓN ABIERTA </t>
  </si>
  <si>
    <t>ATENCIÓN CERRADA</t>
  </si>
  <si>
    <t>SECCIÓN L: CLASIFICACIÓN DE CONSULTA NUTRICIONAL POR GRUPO DE EDAD (Incluidas en sección B)</t>
  </si>
  <si>
    <t>RECHAZADAS</t>
  </si>
  <si>
    <t>CLASIFICACIÓN</t>
  </si>
  <si>
    <t>SECCIÓN C: INGRESOS A PROGRAMA DE REGULACIÓN DE FERTILIDAD Y SALUD SEXUAL.</t>
  </si>
  <si>
    <t>ESTERILIZACIÓN QUIRÚRGICA</t>
  </si>
  <si>
    <t>CONDÓN FEMENINO</t>
  </si>
  <si>
    <t xml:space="preserve">SECCIÓN D: INGRESOS A PROGRAMA CONTROL DE CLIMATERIO </t>
  </si>
  <si>
    <t xml:space="preserve">INGRESOS SALA DE ESTIMULACIÓN  </t>
  </si>
  <si>
    <t>REINGRESOS A MODALIDAD DE ESTIMULACIÓN  EN CENTRO DE SALUD</t>
  </si>
  <si>
    <t>SECCIÓN G: INGRESOS DE NIÑOS Y NIÑAS CON NECESIDADES ESPECIALES DE BAJA COMPLEJIDAD A CONTROL DE SALUD INFANTIL EN APS</t>
  </si>
  <si>
    <t>** Para la desagregación por funcionalidad se contabiliza desde 65 y mas años.Sólo para el cálculo del total de los ingresos se contabiliza el rango de 60 - 64 años.</t>
  </si>
  <si>
    <t>SECCIÓN A.1: CONTROLES DE ATENCIÓN PRIMARIA / ESPECIALIDADES</t>
  </si>
  <si>
    <t>TOTAL CONSULTORÍAS RECIBIDAS</t>
  </si>
  <si>
    <t>CONSULTORÍAS RECIBIDAS</t>
  </si>
  <si>
    <t>TOTAL CONSULTORÍAS OTORGADAS</t>
  </si>
  <si>
    <t>Médico Psiquiatría más un profesional</t>
  </si>
  <si>
    <t>Médico Psiquiatría más dos Profesionales</t>
  </si>
  <si>
    <t>SECCIÓN F: PERSONAS CON EVALUACIÓN Y CONFIRMACIÓN DIAGNOSTICA EN APS</t>
  </si>
  <si>
    <t>MANTENCIÓN</t>
  </si>
  <si>
    <t>DISMINUCIÓN</t>
  </si>
  <si>
    <t>SECCIÓN H: EVALUACIÓN PROGRAMA DE APOYO A LA SALUD MENTAL INFANTIL (PASMI)</t>
  </si>
  <si>
    <t>Pueblos Indígenas</t>
  </si>
  <si>
    <t>SECCIÓN B: ATENCIONES MEDICAS POR PROGRAMAS Y POLICLÍNICOS  (INCLUIDAS EN SECCION A)</t>
  </si>
  <si>
    <t>ALTA DE CONSULTA DE ESPECIALIDAD AMBULATORIA</t>
  </si>
  <si>
    <t>INTERCONSULTAS A HOSPITALIZADOS (EN SALA)</t>
  </si>
  <si>
    <t>CONSULTA ABREVIADA (Confección de recetas o lectura de exámenes)</t>
  </si>
  <si>
    <t>CONSULTAS PERTINENTES (Nuevas originadas en APS)</t>
  </si>
  <si>
    <t>ESPECIALISTAS DE  HOSPITALES</t>
  </si>
  <si>
    <t>CONTRATADOS POR EL ESTABLECIMIENTO O DIRECCIÓN DEL SERVICIO</t>
  </si>
  <si>
    <t>SECCIÓN N: CLASIFICACIÓN DE LAS INTERVENCIONES POR GRANDES GRUPOS DE DIAGNÓSTICOS (SAMU)</t>
  </si>
  <si>
    <t>CAUSAS DE LA INTERVENCIÓN</t>
  </si>
  <si>
    <t xml:space="preserve">SECCIÓN O: ATENCIONES  EN URGENCIA POR VIOLENCIA SEXUAL  </t>
  </si>
  <si>
    <t>después de 72 horas</t>
  </si>
  <si>
    <t>IDENTIFICACIÓN DEL ANIMAL MORDEDOR</t>
  </si>
  <si>
    <t>Otros Establecimientos de la  Red</t>
  </si>
  <si>
    <t>SECCIÓN A.2: CONSEJERÍAS INDIVIDUALES POR VIH (NO INCLUIDAS EN LA SECCIÓN A.1)</t>
  </si>
  <si>
    <t>CONSEJERÍAS</t>
  </si>
  <si>
    <t>SECCIÓN A.4: CONSEJERÍAS INDIVIDUALES  CON ENTREGA DE PRESERVATIVOS (INCLUIDAS EN SECCIÓN A.1)</t>
  </si>
  <si>
    <t xml:space="preserve">CONSEJERÍA CON ENTREGA DE PRESERVATIVOS </t>
  </si>
  <si>
    <t xml:space="preserve">TOTAL PARTICIPANTES </t>
  </si>
  <si>
    <t xml:space="preserve">SECCIÓN B.4: TALLERES GRUPALES SEGÚN TEMÁTICA Y NUMERO DE PARTICIPANTES EN PROGRAMA ESPACIOS AMIGABLES </t>
  </si>
  <si>
    <t>ACTIVIDADES Y ÁREAS TEMÁTICAS</t>
  </si>
  <si>
    <t>TOTAL  TALLERES</t>
  </si>
  <si>
    <t>"COMUNICACIÓN"</t>
  </si>
  <si>
    <t>CONTROL DEL TABACO</t>
  </si>
  <si>
    <t>OTROS TIPO DE TALLERES</t>
  </si>
  <si>
    <t xml:space="preserve">REUNIONES DE GESTIÓN </t>
  </si>
  <si>
    <t>REUNIONES  MASIVAS DE GESTIÓN</t>
  </si>
  <si>
    <t>ACCIONES DE COMUNICACIÓN Y DIFUSIÓN</t>
  </si>
  <si>
    <t>PREPARACIÓN ACTIVIDADES EDUCATIVAS</t>
  </si>
  <si>
    <t>RESPUESTAS DEL MES DENTRO DE PLAZOS LEGALES ( 15 DÍAS HÁBILES)</t>
  </si>
  <si>
    <t>TOTAL  DE HORAS MENSUALES DE QUIRÓFANOS HABILITADOS (HORARIO HÁBIL)</t>
  </si>
  <si>
    <r>
      <t xml:space="preserve">HORAS MENSUALES </t>
    </r>
    <r>
      <rPr>
        <b/>
        <sz val="8"/>
        <color theme="1"/>
        <rFont val="Verdana"/>
        <family val="2"/>
      </rPr>
      <t>PROGRAMADAS</t>
    </r>
    <r>
      <rPr>
        <sz val="8"/>
        <color theme="1"/>
        <rFont val="Verdana"/>
        <family val="2"/>
      </rPr>
      <t xml:space="preserve"> DE TABLA QUIRÚRGICA DE QUIRÓFANOS EN TRABAJO</t>
    </r>
  </si>
  <si>
    <r>
      <t xml:space="preserve">HORAS MENSUALES </t>
    </r>
    <r>
      <rPr>
        <b/>
        <sz val="8"/>
        <color theme="1"/>
        <rFont val="Verdana"/>
        <family val="2"/>
      </rPr>
      <t>OCUPADAS</t>
    </r>
    <r>
      <rPr>
        <sz val="8"/>
        <color theme="1"/>
        <rFont val="Verdana"/>
        <family val="2"/>
      </rPr>
      <t xml:space="preserve"> DE QUIRÓFANOS EN TRABAJO HORARIO HÁBIL</t>
    </r>
  </si>
  <si>
    <r>
      <t xml:space="preserve">HORAS MENSUALES </t>
    </r>
    <r>
      <rPr>
        <b/>
        <sz val="8"/>
        <color theme="1"/>
        <rFont val="Verdana"/>
        <family val="2"/>
      </rPr>
      <t>OCUPADAS</t>
    </r>
    <r>
      <rPr>
        <sz val="8"/>
        <color theme="1"/>
        <rFont val="Verdana"/>
        <family val="2"/>
      </rPr>
      <t xml:space="preserve"> DE QUIRÓFANOS EN TRABAJO HORARIO INHÁBIL DE LUNES A VIERNES</t>
    </r>
  </si>
  <si>
    <r>
      <t xml:space="preserve">HORAS MENSUALES </t>
    </r>
    <r>
      <rPr>
        <b/>
        <sz val="8"/>
        <color theme="1"/>
        <rFont val="Verdana"/>
        <family val="2"/>
      </rPr>
      <t>OCUPADAS</t>
    </r>
    <r>
      <rPr>
        <sz val="8"/>
        <color theme="1"/>
        <rFont val="Verdana"/>
        <family val="2"/>
      </rPr>
      <t xml:space="preserve"> DE QUIRÓFANOS EN TRABAJO HORARIO SÁBADO, DOMINGO Y FESTIVO</t>
    </r>
  </si>
  <si>
    <t>Beneficiarios MOLE</t>
  </si>
  <si>
    <t>Cirugía Menor</t>
  </si>
  <si>
    <t xml:space="preserve">29 días hasta menor de 1 año </t>
  </si>
  <si>
    <t>DÍAS DE ESTADA PREQUIRÚRGICOS</t>
  </si>
  <si>
    <t>SECCIÓN F: CAUSAS DE SUSPENSIÓN DE CIRUGÍAS ELECTIVAS</t>
  </si>
  <si>
    <t xml:space="preserve">CAUSAS DE SUSPENSIÓN ATRIBUIBLES A:
</t>
  </si>
  <si>
    <t>REM-21.   QUIRÓFANOS Y OTROS RECURSOS HOSPITALARIOS</t>
  </si>
  <si>
    <t>SECCIÓN C: EGRESOS</t>
  </si>
  <si>
    <r>
      <t>SECCIÓN E: CONTROLES REALIZADOS (</t>
    </r>
    <r>
      <rPr>
        <b/>
        <sz val="10"/>
        <color theme="1"/>
        <rFont val="Verdana"/>
        <family val="2"/>
      </rPr>
      <t>CRÓNICOS</t>
    </r>
    <r>
      <rPr>
        <b/>
        <sz val="10"/>
        <rFont val="Verdana"/>
        <family val="2"/>
      </rPr>
      <t>)</t>
    </r>
  </si>
  <si>
    <t>SECCIÓN L: HOSPITALIZACIÓN ABREVIADA / INTERVENCIÓN EN CRISIS RESPIRATORIA</t>
  </si>
  <si>
    <t xml:space="preserve">EDUCACIÓN INTEGRAL EN SALUD RESPIRATORIA </t>
  </si>
  <si>
    <t>REHABILITACIÓN PULMONAR</t>
  </si>
  <si>
    <t xml:space="preserve">SECCIÓN O: PROGRAMA DE REHABILITACIÓN PULMONAR </t>
  </si>
  <si>
    <t>SECCIÓN A.1: INTERRUPCIÓN VOLUNTARIA DEL EMBARAZO</t>
  </si>
  <si>
    <t>CAUSAL N° 3: POR VIOLACIÓN</t>
  </si>
  <si>
    <t>PROGRAMA FENILQUETONURIA (PKU) E HIPOTIROIDISMO CONGÉNITO (HC)</t>
  </si>
  <si>
    <t>GLÓBULOS ROJOS*</t>
  </si>
  <si>
    <t>IRRITACIÓN DE UN NERVIO</t>
  </si>
  <si>
    <t>SECCIÓN C.5: SATISFACCIÓN STOCK (7 DÍAS) CS</t>
  </si>
  <si>
    <t>SECCIÓN C.6: SATISFACCIÓN STOCK CRITICO (3 DÍAS) UMT</t>
  </si>
  <si>
    <t>SECCIÓN D: COMPONENTES SANGUÍNEOS DISTRIBUIDOS (CS) O TRANSFERIDOS (BS Y UMT)</t>
  </si>
  <si>
    <t>ATENCIÓN ODONTOLÓGICA EN DOMICILIO</t>
  </si>
  <si>
    <t>ATENCIÓN  FARMACÉUTICA EN DOMICILIO</t>
  </si>
  <si>
    <t>ATENCIÓN NUTRICIONAL A PERSONAS CON INDICACIÓN NUTRICIONAL ENTERAL DOMICILIARIA (NED)</t>
  </si>
  <si>
    <t>RESCATE TELEFÓNICO</t>
  </si>
  <si>
    <t>A DOMICILIO (NIVEL SECUNDARIO)</t>
  </si>
  <si>
    <t>PREVENCIÓN ALCOHOL Y DROGAS</t>
  </si>
  <si>
    <t>CIRCULO DE ACTIVIDAD FÍSICA</t>
  </si>
  <si>
    <t>SECCIÓN G: INTERVENCIONES POR PATRÓN DE CONSUMO DE ALCOHOL, TABACO Y OTRAS DROGAS</t>
  </si>
  <si>
    <t>Nº DE INTERVENCIONES</t>
  </si>
  <si>
    <t>SECCIÓN J: SERVICIOS DE LA RED DEL PROGRAMA MÁS ADULTOS MAYORES AUTOVALENTES</t>
  </si>
  <si>
    <t>Unidad Cultura Municipal</t>
  </si>
  <si>
    <t>NUMERO DE TALLERES DE LACTANCIA MATERNA REALIZADA EN ATENCIÓN PRIMARIA A MENORES DE UN AÑO</t>
  </si>
  <si>
    <t>Nº DE PARTICIPANTES</t>
  </si>
  <si>
    <t>SECCIÓN B.3: EVALUACIÓN INTERMEDIA</t>
  </si>
  <si>
    <t>SECCIÓN B.5: DERIVACIONES Y CONTINUIDAD EN LOS CUIDADOS</t>
  </si>
  <si>
    <t>SECCIÓN B.6: PROCEDIMIENTOS Y ACTIVIDADES</t>
  </si>
  <si>
    <t>ENTRENAMIENTO DE AYUDAS TÉCNICAS</t>
  </si>
  <si>
    <t>SECCIÓN C: AYUDAS TÉCNICAS DE SALUD, NIVEL APS Y HOSPITALARIO</t>
  </si>
  <si>
    <t>SECCIÓN C.1: NÚMERO DE PERSONAS QUE RECIBEN AYUDAS TÉCNICAS</t>
  </si>
  <si>
    <t>SECCIÓN C.2: NÚMERO DE  AYUDAS TÉCNICAS ENTREGADAS POR TIPO</t>
  </si>
  <si>
    <t>TOTAL DE AYUDAS TÉCNICAS ENTREGADAS</t>
  </si>
  <si>
    <t>SILLAS DE RUEDAS ESTÁNDAR</t>
  </si>
  <si>
    <t>SILLA DE RUEDAS NEUROLÓGICA</t>
  </si>
  <si>
    <t>COJÍN ANTI ESCARAS</t>
  </si>
  <si>
    <t>PRÓTESIS EXTREMIDAD INFERIOR</t>
  </si>
  <si>
    <t>PRÓTESIS EXTREMIDAD SUPERIOR</t>
  </si>
  <si>
    <t>AYUDA TÉCNICA AUDITIVAS AUDÍFONOS</t>
  </si>
  <si>
    <t>PLANTILLA ORTOPÉDICA</t>
  </si>
  <si>
    <t>BOTA O BOTÍN DE DESCARGA</t>
  </si>
  <si>
    <t>TECNOLOGÍAS DE LA COMUNICACIÓN AUMENTATIVA Y ALTERNATIVAS</t>
  </si>
  <si>
    <t>SECCIÓN C.3: AYUDAS TÉCNICAS POR CONDICIÓN DE SALUD</t>
  </si>
  <si>
    <t>NEUROLÓGICO ACCIDENTE CEREBRO VASCULAR HEMORRÁGICO</t>
  </si>
  <si>
    <t>NEUROLÓGICO PARÁLISIS CEREBRAL</t>
  </si>
  <si>
    <t>SECCIÓN A.2: INGRESOS POR CONDICIÓN DE SALUD</t>
  </si>
  <si>
    <t>NEUROLÓGICOS  TRAUMATISMO ENCÉFALO CRANEANO (TEC)</t>
  </si>
  <si>
    <t>NEUROLÓGICOS LESIÓN MEDULAR</t>
  </si>
  <si>
    <t xml:space="preserve">SECCIÓN A.10: INTERVENCIONES TERAPÉUTICAS GRUPALES </t>
  </si>
  <si>
    <t xml:space="preserve">NÚMERO DE PERSONAS </t>
  </si>
  <si>
    <t xml:space="preserve">SECCIÓN A.11: PERSONAS QUE LOGRAN PARTICIPACIÓN EN COMUNIDAD </t>
  </si>
  <si>
    <t>SECCIÓN A.12: ACTIVIDADES Y PARTICIPACIÓN</t>
  </si>
  <si>
    <t>TIPO ATENCIÓN</t>
  </si>
  <si>
    <t>AUDÍFONOS (Entregados)</t>
  </si>
  <si>
    <t>REM-29.  PROGRAMA DE IMÁGENES DIAGNÓSTICAS Y/O RESOLUTIVIDAD EN ATENCIÓN PRIMARIA</t>
  </si>
  <si>
    <t>RADIOGRAFÍA TÓRAX POR SOSPECHA NEUMONÍA Y SOSPECHA DE OTRA PATOLOGÍA RESPIRATORIA CRÓNICA</t>
  </si>
  <si>
    <t>TOMOGRAFÍA COHERENTE ÓPTICA</t>
  </si>
  <si>
    <t>TAQUIMETRÍA</t>
  </si>
  <si>
    <t>CALIBRACION AUDÍFONOS</t>
  </si>
  <si>
    <t>TECNÓLOGO MÉDICO O FONOAUDIÓLOGO CONSULTAS (UAPORRINO)</t>
  </si>
  <si>
    <t xml:space="preserve">SECCIÓN A: TELECONSULTA MEDICA DE ESPECIALIDAD </t>
  </si>
  <si>
    <t>N° DE INFORMES DE TOMOGRAFÍA AXIAL COMPUTARIZADA</t>
  </si>
  <si>
    <t>N° DE INFORMES ECOGRAFÍAS ABDOMINAL</t>
  </si>
  <si>
    <t>N° DE MAMOGRAFÍAS</t>
  </si>
  <si>
    <t>SECCIÓN D: TELECONSULTA AMBULATORIA EN ESPECIALIDAD ODONTOLÓGICA</t>
  </si>
  <si>
    <t>ESPECIALIDADES ODONTOLÓGICAS</t>
  </si>
  <si>
    <t>SECCIÓN E: TELEPROCEDIMIENTOS EN ATENCIÓN SECUNDARIA Y TERCIARIA</t>
  </si>
  <si>
    <t>CONSULTA MÉDICO GENERAL</t>
  </si>
  <si>
    <t xml:space="preserve">CASOS INSTITUCIONALES
</t>
  </si>
  <si>
    <t>CORONARIO
GRAFÍA</t>
  </si>
  <si>
    <t>SECCIÓN C.2: COMPONENTES SANGUÍNEOS ELIMINADOS O DEVUELTOS AL CENTRO DE SANGRE ( UMT)</t>
  </si>
  <si>
    <t>DESPLASMATIZACIÓN</t>
  </si>
  <si>
    <t>RECONSTITUCIÓN PARA USO PEDIÁTRICO (RECAMBIO)</t>
  </si>
  <si>
    <t xml:space="preserve">N° DE CRAFFT EN CONTROL DE SALUD INTEGRAL DEL ADOLESCENTE </t>
  </si>
  <si>
    <t>Nº DE ASSIST (EMP/EMPAM)</t>
  </si>
  <si>
    <t>N° DE ASSIST APLICADO</t>
  </si>
  <si>
    <t>N° DE CRAFFT APLICADO</t>
  </si>
  <si>
    <t>USUARIOS EN SITUACIÓN DE DISCAPACIDAD</t>
  </si>
  <si>
    <t>SECCIÓN C : INGRESOS Y EGRESOS EN ESTABLECIMIENTOS APS</t>
  </si>
  <si>
    <t xml:space="preserve">USUARIOS EN SITUACIÓN DE DISCAPACIDAD </t>
  </si>
  <si>
    <t>CIRUGÍA MAYOR AMBULATORIA</t>
  </si>
  <si>
    <t>RETIRO APARATOLOGÍA DE ORTODONCIA</t>
  </si>
  <si>
    <t>PACIENTE DIABÉTICO EN CONTROL PSCV</t>
  </si>
  <si>
    <t xml:space="preserve">PROGRAMA ODONTOLÓGICO INTEGRAL, ESTRATEGIA HOMBRES DE ESCASOS RECURSOS </t>
  </si>
  <si>
    <t>PROGRAMA ODONTOLÓGICO INTEGRAL, ESTRATEGIA ATENCION ODONTOLOGICA EN DOMICILIO</t>
  </si>
  <si>
    <t>PROGRAMA ODONTOLOGICO INTEGRAL, ESTRATEGIA ESTUDIANTES DE CUARTO MEDIO</t>
  </si>
  <si>
    <t>PROGRAMA MEJORAMIENTO DEL ACCESO, ESTRATEGIA MORBILIDAD ADULTO</t>
  </si>
  <si>
    <t>CODIGO DICCIONARIO</t>
  </si>
  <si>
    <t>01010101</t>
  </si>
  <si>
    <t>COL01</t>
  </si>
  <si>
    <t>COL02</t>
  </si>
  <si>
    <t>COL03</t>
  </si>
  <si>
    <t>COL04</t>
  </si>
  <si>
    <t>COL05</t>
  </si>
  <si>
    <t>COL06</t>
  </si>
  <si>
    <t>COL07</t>
  </si>
  <si>
    <t>COL08</t>
  </si>
  <si>
    <t>COL09</t>
  </si>
  <si>
    <t>COL10</t>
  </si>
  <si>
    <t>COL11</t>
  </si>
  <si>
    <t>COL12</t>
  </si>
  <si>
    <t>COL13</t>
  </si>
  <si>
    <t>COL14</t>
  </si>
  <si>
    <t>COL15</t>
  </si>
  <si>
    <t>COL16</t>
  </si>
  <si>
    <t>COL17</t>
  </si>
  <si>
    <t>COL18</t>
  </si>
  <si>
    <t>COL19</t>
  </si>
  <si>
    <t>COL20</t>
  </si>
  <si>
    <t>COL21</t>
  </si>
  <si>
    <t>COL22</t>
  </si>
  <si>
    <t>COL23</t>
  </si>
  <si>
    <t>COL24</t>
  </si>
  <si>
    <t>COL25</t>
  </si>
  <si>
    <t>01010103</t>
  </si>
  <si>
    <t>01010201</t>
  </si>
  <si>
    <t>01010203</t>
  </si>
  <si>
    <t>01080001</t>
  </si>
  <si>
    <t>01080002</t>
  </si>
  <si>
    <t>01110106</t>
  </si>
  <si>
    <t>01110107</t>
  </si>
  <si>
    <t>01080030</t>
  </si>
  <si>
    <t>01080040</t>
  </si>
  <si>
    <t>01010601</t>
  </si>
  <si>
    <t>01010603</t>
  </si>
  <si>
    <t>01010901</t>
  </si>
  <si>
    <t>01010903</t>
  </si>
  <si>
    <t>01010401</t>
  </si>
  <si>
    <t>01010403</t>
  </si>
  <si>
    <t>COL26</t>
  </si>
  <si>
    <t>COL27</t>
  </si>
  <si>
    <t>COL28</t>
  </si>
  <si>
    <t>02010101</t>
  </si>
  <si>
    <t>COL29</t>
  </si>
  <si>
    <t>COL30</t>
  </si>
  <si>
    <t>COL31</t>
  </si>
  <si>
    <t>COL32</t>
  </si>
  <si>
    <t>COL33</t>
  </si>
  <si>
    <t>COL34</t>
  </si>
  <si>
    <t>COL35</t>
  </si>
  <si>
    <t>02010201</t>
  </si>
  <si>
    <t>02010103</t>
  </si>
  <si>
    <t>02010105</t>
  </si>
  <si>
    <t>COL36</t>
  </si>
  <si>
    <t>COL37</t>
  </si>
  <si>
    <t>COL38</t>
  </si>
  <si>
    <t>COL39</t>
  </si>
  <si>
    <t>03010501</t>
  </si>
  <si>
    <t>03010502</t>
  </si>
  <si>
    <t>03010504</t>
  </si>
  <si>
    <t>03010505</t>
  </si>
  <si>
    <t>03030190</t>
  </si>
  <si>
    <t>03030200</t>
  </si>
  <si>
    <t>01030100A</t>
  </si>
  <si>
    <t>01030200B</t>
  </si>
  <si>
    <t>01030300C</t>
  </si>
  <si>
    <t>01030400D</t>
  </si>
  <si>
    <t>01200010</t>
  </si>
  <si>
    <t>01200020</t>
  </si>
  <si>
    <t>01200030</t>
  </si>
  <si>
    <t>03030140</t>
  </si>
  <si>
    <t>03030150</t>
  </si>
  <si>
    <t>03030170</t>
  </si>
  <si>
    <t>03030160</t>
  </si>
  <si>
    <t>03030180</t>
  </si>
  <si>
    <t>01200031</t>
  </si>
  <si>
    <t>01200032</t>
  </si>
  <si>
    <t>01200033</t>
  </si>
  <si>
    <t>01200034</t>
  </si>
  <si>
    <t>01200035</t>
  </si>
  <si>
    <t>01030500</t>
  </si>
  <si>
    <t>01030600</t>
  </si>
  <si>
    <t>01030700</t>
  </si>
  <si>
    <t>01030800</t>
  </si>
  <si>
    <t>01031000</t>
  </si>
  <si>
    <t>01031100</t>
  </si>
  <si>
    <t>01031200</t>
  </si>
  <si>
    <t>01031300</t>
  </si>
  <si>
    <t>01031400</t>
  </si>
  <si>
    <t>01031500</t>
  </si>
  <si>
    <t>01031600</t>
  </si>
  <si>
    <t>01031700</t>
  </si>
  <si>
    <t>01031800</t>
  </si>
  <si>
    <t>01031900</t>
  </si>
  <si>
    <t>03030101</t>
  </si>
  <si>
    <t>03030102</t>
  </si>
  <si>
    <t>03030103</t>
  </si>
  <si>
    <t>03030104</t>
  </si>
  <si>
    <t>03030350</t>
  </si>
  <si>
    <t>03030110</t>
  </si>
  <si>
    <t>03030330</t>
  </si>
  <si>
    <t>03030340</t>
  </si>
  <si>
    <t>03030120</t>
  </si>
  <si>
    <t>03030130</t>
  </si>
  <si>
    <t>02200010</t>
  </si>
  <si>
    <t>02200020</t>
  </si>
  <si>
    <t>02200030</t>
  </si>
  <si>
    <t>02200040</t>
  </si>
  <si>
    <t>02021730</t>
  </si>
  <si>
    <t>03500020</t>
  </si>
  <si>
    <t>03500030</t>
  </si>
  <si>
    <t>02021740</t>
  </si>
  <si>
    <t>02010320</t>
  </si>
  <si>
    <t>05225303</t>
  </si>
  <si>
    <t>02010321</t>
  </si>
  <si>
    <t>02010322</t>
  </si>
  <si>
    <t>05225304</t>
  </si>
  <si>
    <t>02010420</t>
  </si>
  <si>
    <t>05225305</t>
  </si>
  <si>
    <t>03500366</t>
  </si>
  <si>
    <t>03500400</t>
  </si>
  <si>
    <t>03500401</t>
  </si>
  <si>
    <t>05225306</t>
  </si>
  <si>
    <t>02010421</t>
  </si>
  <si>
    <t>02010422</t>
  </si>
  <si>
    <t>03500331</t>
  </si>
  <si>
    <t>03500332</t>
  </si>
  <si>
    <t>03500333</t>
  </si>
  <si>
    <t>03500334</t>
  </si>
  <si>
    <t>03500335</t>
  </si>
  <si>
    <t>02021790</t>
  </si>
  <si>
    <t>02021810</t>
  </si>
  <si>
    <t>02021820</t>
  </si>
  <si>
    <t>05225307</t>
  </si>
  <si>
    <t>02021760</t>
  </si>
  <si>
    <t>03500040</t>
  </si>
  <si>
    <t>03500050</t>
  </si>
  <si>
    <t>03500060</t>
  </si>
  <si>
    <t>A0200001</t>
  </si>
  <si>
    <t>A0200002</t>
  </si>
  <si>
    <t>03500359</t>
  </si>
  <si>
    <t>LACTANCIA MATERNA / FORMULA LACTEA</t>
  </si>
  <si>
    <t>03500360</t>
  </si>
  <si>
    <t>FORMULA LACTEA</t>
  </si>
  <si>
    <t>A0200003</t>
  </si>
  <si>
    <t>03500120</t>
  </si>
  <si>
    <t>03500130</t>
  </si>
  <si>
    <t>03500140</t>
  </si>
  <si>
    <t>03500150</t>
  </si>
  <si>
    <t>02021830</t>
  </si>
  <si>
    <t>03500160</t>
  </si>
  <si>
    <t>03500170</t>
  </si>
  <si>
    <t>03500200</t>
  </si>
  <si>
    <t>03500210</t>
  </si>
  <si>
    <t>03050400</t>
  </si>
  <si>
    <t>03050500</t>
  </si>
  <si>
    <t>03050600</t>
  </si>
  <si>
    <t>03050700</t>
  </si>
  <si>
    <t>03050710</t>
  </si>
  <si>
    <t>03500346</t>
  </si>
  <si>
    <t>03500347</t>
  </si>
  <si>
    <t>03500402</t>
  </si>
  <si>
    <t>03500349</t>
  </si>
  <si>
    <t>03500290</t>
  </si>
  <si>
    <t>03500300</t>
  </si>
  <si>
    <t>03051000A</t>
  </si>
  <si>
    <t>03051100</t>
  </si>
  <si>
    <t>03051200</t>
  </si>
  <si>
    <t>03051300</t>
  </si>
  <si>
    <t>03051400</t>
  </si>
  <si>
    <t>03051500</t>
  </si>
  <si>
    <t>03051600</t>
  </si>
  <si>
    <t>03051700</t>
  </si>
  <si>
    <t>03051800</t>
  </si>
  <si>
    <t>03051900</t>
  </si>
  <si>
    <t>03052000</t>
  </si>
  <si>
    <t>03052100</t>
  </si>
  <si>
    <t>03052200</t>
  </si>
  <si>
    <t>03052300</t>
  </si>
  <si>
    <t>03052400</t>
  </si>
  <si>
    <t>03052500</t>
  </si>
  <si>
    <t>03052600</t>
  </si>
  <si>
    <t>03052700</t>
  </si>
  <si>
    <t>03052800</t>
  </si>
  <si>
    <t>03052900</t>
  </si>
  <si>
    <t>03053000</t>
  </si>
  <si>
    <t>03053100</t>
  </si>
  <si>
    <t>03053200</t>
  </si>
  <si>
    <t>03053300</t>
  </si>
  <si>
    <t>03053400</t>
  </si>
  <si>
    <t>03053500</t>
  </si>
  <si>
    <t>03053600</t>
  </si>
  <si>
    <t>03053700</t>
  </si>
  <si>
    <t>03053800</t>
  </si>
  <si>
    <t>03053900</t>
  </si>
  <si>
    <t>03500336</t>
  </si>
  <si>
    <t>03500337</t>
  </si>
  <si>
    <t>03500338</t>
  </si>
  <si>
    <t>03500339</t>
  </si>
  <si>
    <t>03500340</t>
  </si>
  <si>
    <t>03500341</t>
  </si>
  <si>
    <t>03500342</t>
  </si>
  <si>
    <t>03500343</t>
  </si>
  <si>
    <t>03500344</t>
  </si>
  <si>
    <t>03500345</t>
  </si>
  <si>
    <t>03500368</t>
  </si>
  <si>
    <t>03500369</t>
  </si>
  <si>
    <t>03500370</t>
  </si>
  <si>
    <t>03500371</t>
  </si>
  <si>
    <t>03500372</t>
  </si>
  <si>
    <t>03500373</t>
  </si>
  <si>
    <t>03500350</t>
  </si>
  <si>
    <t>03500351</t>
  </si>
  <si>
    <t>03500352</t>
  </si>
  <si>
    <t>03500353</t>
  </si>
  <si>
    <t>03500354</t>
  </si>
  <si>
    <t>03500355</t>
  </si>
  <si>
    <t>03500356</t>
  </si>
  <si>
    <t>03500357</t>
  </si>
  <si>
    <t>03500358</t>
  </si>
  <si>
    <t>03500361</t>
  </si>
  <si>
    <t>03500362</t>
  </si>
  <si>
    <t>03500364</t>
  </si>
  <si>
    <t>03500365</t>
  </si>
  <si>
    <t>03500403</t>
  </si>
  <si>
    <t>03500404</t>
  </si>
  <si>
    <t>03500405</t>
  </si>
  <si>
    <t>Niños/as con alteracion de area Lenguaje y/o Social en Control de los 18 meses</t>
  </si>
  <si>
    <t>03500406</t>
  </si>
  <si>
    <t>Niños/as con Tamizaje Trastorno Espectro Autista (MCHAT) realizado   con alteracion del area de lenguaje y/o Social en el control de los 18 meses</t>
  </si>
  <si>
    <t>03500407</t>
  </si>
  <si>
    <t xml:space="preserve">Niños/as con Tamizaje Trastorno Espectro Autista (MCHAT) alterado y  con alteracion del area de lenguaje y/o Social en el control </t>
  </si>
  <si>
    <t>03020101</t>
  </si>
  <si>
    <t>COL40</t>
  </si>
  <si>
    <t>COL41</t>
  </si>
  <si>
    <t>COL42</t>
  </si>
  <si>
    <t>COL43</t>
  </si>
  <si>
    <t>COL44</t>
  </si>
  <si>
    <t>03020201</t>
  </si>
  <si>
    <t>03020301</t>
  </si>
  <si>
    <t>03020402</t>
  </si>
  <si>
    <t>03020403</t>
  </si>
  <si>
    <t>03020401</t>
  </si>
  <si>
    <t>03040210</t>
  </si>
  <si>
    <t>OBSTETRICA</t>
  </si>
  <si>
    <t>03040220</t>
  </si>
  <si>
    <t>04040100</t>
  </si>
  <si>
    <t>04025010</t>
  </si>
  <si>
    <t>04025020</t>
  </si>
  <si>
    <t>04025025</t>
  </si>
  <si>
    <t>04040427</t>
  </si>
  <si>
    <t>03020501</t>
  </si>
  <si>
    <t>03020702</t>
  </si>
  <si>
    <t>04025030</t>
  </si>
  <si>
    <t>04025040</t>
  </si>
  <si>
    <t>04040200</t>
  </si>
  <si>
    <t>04025050</t>
  </si>
  <si>
    <t>04050100</t>
  </si>
  <si>
    <t>03020604</t>
  </si>
  <si>
    <t>04050110</t>
  </si>
  <si>
    <t>04050120</t>
  </si>
  <si>
    <t>03020908</t>
  </si>
  <si>
    <t>03030250</t>
  </si>
  <si>
    <t>03030270</t>
  </si>
  <si>
    <t>03030280</t>
  </si>
  <si>
    <t>03020806</t>
  </si>
  <si>
    <t>01080003</t>
  </si>
  <si>
    <t>01080004</t>
  </si>
  <si>
    <t>04021101</t>
  </si>
  <si>
    <t>04021103</t>
  </si>
  <si>
    <t>04021102</t>
  </si>
  <si>
    <t>04021104</t>
  </si>
  <si>
    <t>04040300</t>
  </si>
  <si>
    <t>02021707</t>
  </si>
  <si>
    <t>03030290</t>
  </si>
  <si>
    <t>04040400</t>
  </si>
  <si>
    <t>04025070</t>
  </si>
  <si>
    <t>ATENCIONES POR AGENTE MEDICINA INDIGENA</t>
  </si>
  <si>
    <t>04050130</t>
  </si>
  <si>
    <t>PROFESIONAL DE LA ACTIVIDAD FISICA</t>
  </si>
  <si>
    <t>04040402</t>
  </si>
  <si>
    <t>04025073</t>
  </si>
  <si>
    <t>04040407</t>
  </si>
  <si>
    <t>04050140</t>
  </si>
  <si>
    <t>04050150</t>
  </si>
  <si>
    <t>04050160</t>
  </si>
  <si>
    <t>04050170</t>
  </si>
  <si>
    <t>04050180</t>
  </si>
  <si>
    <t>04040409</t>
  </si>
  <si>
    <t>04050190</t>
  </si>
  <si>
    <t>04050200</t>
  </si>
  <si>
    <t>04040412</t>
  </si>
  <si>
    <t>04040413</t>
  </si>
  <si>
    <t>04050210</t>
  </si>
  <si>
    <t>04040414</t>
  </si>
  <si>
    <t>04040415</t>
  </si>
  <si>
    <t>04040416</t>
  </si>
  <si>
    <t>04040417</t>
  </si>
  <si>
    <t>04040418</t>
  </si>
  <si>
    <t>04040419</t>
  </si>
  <si>
    <t>04040420</t>
  </si>
  <si>
    <t>04040421</t>
  </si>
  <si>
    <t>04040428</t>
  </si>
  <si>
    <t>04040423</t>
  </si>
  <si>
    <t>04040424</t>
  </si>
  <si>
    <t>04040425</t>
  </si>
  <si>
    <t>04040426</t>
  </si>
  <si>
    <t>01080008</t>
  </si>
  <si>
    <t>01080010</t>
  </si>
  <si>
    <t>01080009</t>
  </si>
  <si>
    <t>01090050</t>
  </si>
  <si>
    <t>05050100</t>
  </si>
  <si>
    <t>05810010</t>
  </si>
  <si>
    <t>01090040</t>
  </si>
  <si>
    <t>05810020</t>
  </si>
  <si>
    <t>01080017</t>
  </si>
  <si>
    <t>01080018</t>
  </si>
  <si>
    <t>01080019</t>
  </si>
  <si>
    <t>05810030</t>
  </si>
  <si>
    <t>01080011</t>
  </si>
  <si>
    <t>05810443</t>
  </si>
  <si>
    <t>01080021</t>
  </si>
  <si>
    <t>01080022</t>
  </si>
  <si>
    <t>01080023</t>
  </si>
  <si>
    <t>01090060</t>
  </si>
  <si>
    <t>05970038</t>
  </si>
  <si>
    <t>05970039</t>
  </si>
  <si>
    <t>01080013</t>
  </si>
  <si>
    <t>01080014</t>
  </si>
  <si>
    <t>05970040</t>
  </si>
  <si>
    <t>05970041</t>
  </si>
  <si>
    <t>05050100A</t>
  </si>
  <si>
    <t>05970042</t>
  </si>
  <si>
    <t>05970043</t>
  </si>
  <si>
    <t>05970044</t>
  </si>
  <si>
    <t>05970045</t>
  </si>
  <si>
    <t>05970046</t>
  </si>
  <si>
    <t>05970047</t>
  </si>
  <si>
    <t>01080090</t>
  </si>
  <si>
    <t>05225100</t>
  </si>
  <si>
    <t>06902601</t>
  </si>
  <si>
    <t>06902602</t>
  </si>
  <si>
    <t>06902603</t>
  </si>
  <si>
    <t>06902604</t>
  </si>
  <si>
    <t>05970010</t>
  </si>
  <si>
    <t>05970011</t>
  </si>
  <si>
    <t>05970012</t>
  </si>
  <si>
    <t>05970013</t>
  </si>
  <si>
    <t>05225102</t>
  </si>
  <si>
    <t>03030360</t>
  </si>
  <si>
    <t>03021106</t>
  </si>
  <si>
    <t>03021107</t>
  </si>
  <si>
    <t>03021108</t>
  </si>
  <si>
    <t>05810431</t>
  </si>
  <si>
    <t>05810432</t>
  </si>
  <si>
    <t>05810040</t>
  </si>
  <si>
    <t>05225400</t>
  </si>
  <si>
    <t>05225401</t>
  </si>
  <si>
    <t>05225402</t>
  </si>
  <si>
    <t>05810433</t>
  </si>
  <si>
    <t>05810434</t>
  </si>
  <si>
    <t>05810050</t>
  </si>
  <si>
    <t>05810060</t>
  </si>
  <si>
    <t>05810070</t>
  </si>
  <si>
    <t>05810080</t>
  </si>
  <si>
    <t>05810090</t>
  </si>
  <si>
    <t>05021207</t>
  </si>
  <si>
    <t>05021208</t>
  </si>
  <si>
    <t>05120900</t>
  </si>
  <si>
    <t>05130100</t>
  </si>
  <si>
    <t>05130200</t>
  </si>
  <si>
    <t>05130300</t>
  </si>
  <si>
    <t>05810100</t>
  </si>
  <si>
    <t>05050700</t>
  </si>
  <si>
    <t>05050800</t>
  </si>
  <si>
    <t>05050900</t>
  </si>
  <si>
    <t>05051000</t>
  </si>
  <si>
    <t>05051100</t>
  </si>
  <si>
    <t>05051200</t>
  </si>
  <si>
    <t>05051300</t>
  </si>
  <si>
    <t>05051301</t>
  </si>
  <si>
    <t>05051302</t>
  </si>
  <si>
    <t>05051303</t>
  </si>
  <si>
    <t>05051304</t>
  </si>
  <si>
    <t>05051305</t>
  </si>
  <si>
    <t>05051306</t>
  </si>
  <si>
    <t>05051307</t>
  </si>
  <si>
    <t>05227400</t>
  </si>
  <si>
    <t>06900700</t>
  </si>
  <si>
    <t>06900800</t>
  </si>
  <si>
    <t>06901100</t>
  </si>
  <si>
    <t>05970014</t>
  </si>
  <si>
    <t>05970015</t>
  </si>
  <si>
    <t>05810441</t>
  </si>
  <si>
    <t>06901200</t>
  </si>
  <si>
    <t>06902605</t>
  </si>
  <si>
    <t>06902606</t>
  </si>
  <si>
    <t>06901300</t>
  </si>
  <si>
    <t>06901400</t>
  </si>
  <si>
    <t>05051400</t>
  </si>
  <si>
    <t>05051500</t>
  </si>
  <si>
    <t>05051600</t>
  </si>
  <si>
    <t>06901500</t>
  </si>
  <si>
    <t>06901600</t>
  </si>
  <si>
    <t>06901700</t>
  </si>
  <si>
    <t>06902200</t>
  </si>
  <si>
    <t>05051700</t>
  </si>
  <si>
    <t>05051800</t>
  </si>
  <si>
    <t>06902300</t>
  </si>
  <si>
    <t>05970016</t>
  </si>
  <si>
    <t>05970017</t>
  </si>
  <si>
    <t xml:space="preserve">TRASTORNO DE PANICO CON AGOROFOBIA </t>
  </si>
  <si>
    <t>05970018</t>
  </si>
  <si>
    <t xml:space="preserve">TRASTORNO DE PANICO SIN AGOROFOBIA </t>
  </si>
  <si>
    <t>05970019</t>
  </si>
  <si>
    <t>05970020</t>
  </si>
  <si>
    <t>05970021</t>
  </si>
  <si>
    <t>05901801</t>
  </si>
  <si>
    <t>05901802</t>
  </si>
  <si>
    <t>05901803</t>
  </si>
  <si>
    <t>06902000</t>
  </si>
  <si>
    <t>06902100</t>
  </si>
  <si>
    <t>06902400</t>
  </si>
  <si>
    <t>06902500</t>
  </si>
  <si>
    <t>06902600</t>
  </si>
  <si>
    <t>05970022</t>
  </si>
  <si>
    <t>05810445</t>
  </si>
  <si>
    <t>05810140</t>
  </si>
  <si>
    <t>COL45</t>
  </si>
  <si>
    <t>COL46</t>
  </si>
  <si>
    <t>05223100</t>
  </si>
  <si>
    <t>05223200</t>
  </si>
  <si>
    <t>05223500</t>
  </si>
  <si>
    <t>05970023</t>
  </si>
  <si>
    <t>05970024</t>
  </si>
  <si>
    <t>05810442</t>
  </si>
  <si>
    <t>05223600</t>
  </si>
  <si>
    <t>06902607</t>
  </si>
  <si>
    <t>06902608</t>
  </si>
  <si>
    <t>05223700</t>
  </si>
  <si>
    <t>05223800</t>
  </si>
  <si>
    <t>05051900</t>
  </si>
  <si>
    <t>05052000</t>
  </si>
  <si>
    <t>05052100</t>
  </si>
  <si>
    <t>05223900</t>
  </si>
  <si>
    <t>05224000</t>
  </si>
  <si>
    <t>05224100</t>
  </si>
  <si>
    <t>05224600</t>
  </si>
  <si>
    <t>05052200</t>
  </si>
  <si>
    <t>05052300</t>
  </si>
  <si>
    <t>05224700</t>
  </si>
  <si>
    <t>05970025</t>
  </si>
  <si>
    <t>05970026</t>
  </si>
  <si>
    <t>05970027</t>
  </si>
  <si>
    <t>05970028</t>
  </si>
  <si>
    <t>05970029</t>
  </si>
  <si>
    <t>05970030</t>
  </si>
  <si>
    <t>05224201</t>
  </si>
  <si>
    <t>05224202</t>
  </si>
  <si>
    <t>05224203</t>
  </si>
  <si>
    <t>05224400</t>
  </si>
  <si>
    <t>05224500</t>
  </si>
  <si>
    <t>05224800</t>
  </si>
  <si>
    <t>05224900</t>
  </si>
  <si>
    <t>05225000</t>
  </si>
  <si>
    <t>05970031</t>
  </si>
  <si>
    <t>05810446</t>
  </si>
  <si>
    <t>05970032</t>
  </si>
  <si>
    <t>05970033</t>
  </si>
  <si>
    <t>05970034</t>
  </si>
  <si>
    <t>05970035</t>
  </si>
  <si>
    <t>05810210</t>
  </si>
  <si>
    <t>05810220</t>
  </si>
  <si>
    <t>05810230</t>
  </si>
  <si>
    <t>05810240</t>
  </si>
  <si>
    <t>05810241</t>
  </si>
  <si>
    <t>05810242</t>
  </si>
  <si>
    <t>05810243</t>
  </si>
  <si>
    <t>05810244</t>
  </si>
  <si>
    <t>05810245</t>
  </si>
  <si>
    <t>05810246</t>
  </si>
  <si>
    <t>05810247</t>
  </si>
  <si>
    <t>05810248</t>
  </si>
  <si>
    <t>05810249</t>
  </si>
  <si>
    <t>05810250</t>
  </si>
  <si>
    <t>05810251</t>
  </si>
  <si>
    <t>05810252</t>
  </si>
  <si>
    <t>05810253</t>
  </si>
  <si>
    <t>05810254</t>
  </si>
  <si>
    <t>05810255</t>
  </si>
  <si>
    <t>05810256</t>
  </si>
  <si>
    <t>05810257</t>
  </si>
  <si>
    <t>05810258</t>
  </si>
  <si>
    <t>05970036</t>
  </si>
  <si>
    <t>COL47</t>
  </si>
  <si>
    <t>COL48</t>
  </si>
  <si>
    <t>05970037</t>
  </si>
  <si>
    <t>05810370</t>
  </si>
  <si>
    <t>05810410</t>
  </si>
  <si>
    <t xml:space="preserve">* Trans y/o Pueblo Originario y/o Migrantes NO DEBEN ser Mayor al Total. </t>
  </si>
  <si>
    <t>05052300A</t>
  </si>
  <si>
    <t>05052400</t>
  </si>
  <si>
    <t>05052500</t>
  </si>
  <si>
    <t>05052600</t>
  </si>
  <si>
    <t>05810420</t>
  </si>
  <si>
    <t>05810430</t>
  </si>
  <si>
    <t>05052700</t>
  </si>
  <si>
    <t>05052701</t>
  </si>
  <si>
    <t>05052702</t>
  </si>
  <si>
    <t>06020201</t>
  </si>
  <si>
    <t>06020208</t>
  </si>
  <si>
    <t>06020202</t>
  </si>
  <si>
    <t>06020602</t>
  </si>
  <si>
    <t>06020206</t>
  </si>
  <si>
    <t>06200400</t>
  </si>
  <si>
    <t>06904900</t>
  </si>
  <si>
    <t>06200500</t>
  </si>
  <si>
    <t>06200501</t>
  </si>
  <si>
    <t>06905912</t>
  </si>
  <si>
    <t>06902700</t>
  </si>
  <si>
    <t>06200600</t>
  </si>
  <si>
    <t>06905910</t>
  </si>
  <si>
    <t>06300900</t>
  </si>
  <si>
    <t>06300100</t>
  </si>
  <si>
    <t>06400200</t>
  </si>
  <si>
    <t>06400300</t>
  </si>
  <si>
    <t>06400400</t>
  </si>
  <si>
    <t>06400500</t>
  </si>
  <si>
    <t>06500700</t>
  </si>
  <si>
    <t>06500900</t>
  </si>
  <si>
    <t>06600200</t>
  </si>
  <si>
    <t>06600300</t>
  </si>
  <si>
    <t>06600400</t>
  </si>
  <si>
    <t>06600500</t>
  </si>
  <si>
    <t>06600600</t>
  </si>
  <si>
    <t>06600700</t>
  </si>
  <si>
    <t>06600800</t>
  </si>
  <si>
    <t>06600900</t>
  </si>
  <si>
    <t>06700100</t>
  </si>
  <si>
    <t>06700200</t>
  </si>
  <si>
    <t>06700300</t>
  </si>
  <si>
    <t>06700400</t>
  </si>
  <si>
    <t>06700500</t>
  </si>
  <si>
    <t>06700600</t>
  </si>
  <si>
    <t>06700700</t>
  </si>
  <si>
    <t>06700800</t>
  </si>
  <si>
    <t>06700900</t>
  </si>
  <si>
    <t>06800100</t>
  </si>
  <si>
    <t>06800200</t>
  </si>
  <si>
    <t>06800300</t>
  </si>
  <si>
    <t>06800400</t>
  </si>
  <si>
    <t>06800500</t>
  </si>
  <si>
    <t>06900300</t>
  </si>
  <si>
    <t>06900400</t>
  </si>
  <si>
    <t>06900500</t>
  </si>
  <si>
    <t>06900600</t>
  </si>
  <si>
    <t>06905200</t>
  </si>
  <si>
    <t>06905300</t>
  </si>
  <si>
    <t>06905400</t>
  </si>
  <si>
    <t>06905911</t>
  </si>
  <si>
    <t>06905913</t>
  </si>
  <si>
    <t>06905914</t>
  </si>
  <si>
    <t>06905915</t>
  </si>
  <si>
    <t>06905500</t>
  </si>
  <si>
    <t>06905600</t>
  </si>
  <si>
    <t>06905700</t>
  </si>
  <si>
    <t>06905800</t>
  </si>
  <si>
    <t>POLICIA LOCAL</t>
  </si>
  <si>
    <t>06905900</t>
  </si>
  <si>
    <t>06905901</t>
  </si>
  <si>
    <t>06905902</t>
  </si>
  <si>
    <t>06906100</t>
  </si>
  <si>
    <t>06906105</t>
  </si>
  <si>
    <t>06906135</t>
  </si>
  <si>
    <t>PERSONAS CON DEMENCIA CON  REEVALUACION DETERIORO GLOGAL GDS REISBERG</t>
  </si>
  <si>
    <t>06906140</t>
  </si>
  <si>
    <t>CUIDADORES PERSONAS CON DEMENCIA CON REEVALUACION SOBRECARGA DEL CUIDADO</t>
  </si>
  <si>
    <t>06906145</t>
  </si>
  <si>
    <t>CUIDADORES DE PERSONAS CON DEMENCIA CON EVALUACION DE SATISFACCION USARIA DEL PROCESO DE INTERVENCION</t>
  </si>
  <si>
    <t>06906150</t>
  </si>
  <si>
    <t>Evaluacion Diagnostica Integral (EDI)</t>
  </si>
  <si>
    <t>07020130</t>
  </si>
  <si>
    <t>07020230</t>
  </si>
  <si>
    <t>07020330</t>
  </si>
  <si>
    <t>07020331</t>
  </si>
  <si>
    <t>07020332</t>
  </si>
  <si>
    <t>07024219</t>
  </si>
  <si>
    <t>07020500</t>
  </si>
  <si>
    <t>07020501</t>
  </si>
  <si>
    <t>07020600</t>
  </si>
  <si>
    <t>07020601</t>
  </si>
  <si>
    <t>07020700</t>
  </si>
  <si>
    <t>07020800</t>
  </si>
  <si>
    <t>07020801</t>
  </si>
  <si>
    <t>07020900</t>
  </si>
  <si>
    <t>07020901</t>
  </si>
  <si>
    <t>07021000</t>
  </si>
  <si>
    <t>07021001</t>
  </si>
  <si>
    <t>07021100</t>
  </si>
  <si>
    <t>07021101</t>
  </si>
  <si>
    <t>07021230</t>
  </si>
  <si>
    <t>07021300</t>
  </si>
  <si>
    <t>07021301</t>
  </si>
  <si>
    <t>07022000</t>
  </si>
  <si>
    <t>07022001</t>
  </si>
  <si>
    <t>07021531</t>
  </si>
  <si>
    <t>07022132</t>
  </si>
  <si>
    <t>07022133</t>
  </si>
  <si>
    <t>07022134</t>
  </si>
  <si>
    <t>07021700</t>
  </si>
  <si>
    <t>07021800</t>
  </si>
  <si>
    <t>07021801</t>
  </si>
  <si>
    <t>07021900</t>
  </si>
  <si>
    <t>07022130</t>
  </si>
  <si>
    <t>07022142</t>
  </si>
  <si>
    <t>07022143</t>
  </si>
  <si>
    <t>07022144</t>
  </si>
  <si>
    <t>07022135</t>
  </si>
  <si>
    <t>07022136</t>
  </si>
  <si>
    <t>07022137</t>
  </si>
  <si>
    <t>07022700</t>
  </si>
  <si>
    <t>07022800</t>
  </si>
  <si>
    <t>07022900</t>
  </si>
  <si>
    <t>07021701</t>
  </si>
  <si>
    <t>07023100</t>
  </si>
  <si>
    <t>07023200</t>
  </si>
  <si>
    <t>07023201</t>
  </si>
  <si>
    <t>07023202</t>
  </si>
  <si>
    <t>07023203</t>
  </si>
  <si>
    <t>07023700</t>
  </si>
  <si>
    <t>07023701</t>
  </si>
  <si>
    <t>07023702</t>
  </si>
  <si>
    <t>07023703</t>
  </si>
  <si>
    <t>07024000</t>
  </si>
  <si>
    <t>07024001</t>
  </si>
  <si>
    <t>07024200</t>
  </si>
  <si>
    <t>07030500</t>
  </si>
  <si>
    <t>07024201</t>
  </si>
  <si>
    <t>07024202</t>
  </si>
  <si>
    <t>07030501</t>
  </si>
  <si>
    <t>07030502</t>
  </si>
  <si>
    <t>COL49</t>
  </si>
  <si>
    <t>07024203</t>
  </si>
  <si>
    <t>07024204</t>
  </si>
  <si>
    <t>07024205</t>
  </si>
  <si>
    <t>07024206</t>
  </si>
  <si>
    <t>07024207</t>
  </si>
  <si>
    <t>07024208</t>
  </si>
  <si>
    <t>07024209</t>
  </si>
  <si>
    <t>07024211</t>
  </si>
  <si>
    <t>07024212</t>
  </si>
  <si>
    <t>07024213</t>
  </si>
  <si>
    <t>07024215</t>
  </si>
  <si>
    <t>07024216</t>
  </si>
  <si>
    <t>07024217</t>
  </si>
  <si>
    <t>07024218</t>
  </si>
  <si>
    <t>07024900</t>
  </si>
  <si>
    <t>07024915</t>
  </si>
  <si>
    <t>07024925</t>
  </si>
  <si>
    <t>07024935</t>
  </si>
  <si>
    <t>07024920</t>
  </si>
  <si>
    <t>07024816</t>
  </si>
  <si>
    <t>07024607</t>
  </si>
  <si>
    <t>07024705</t>
  </si>
  <si>
    <t>07024506</t>
  </si>
  <si>
    <t>07024930</t>
  </si>
  <si>
    <t>07024940</t>
  </si>
  <si>
    <t>070251200</t>
  </si>
  <si>
    <t>070251300</t>
  </si>
  <si>
    <t>070251400</t>
  </si>
  <si>
    <t>PSICOLOGO</t>
  </si>
  <si>
    <t>07030100A</t>
  </si>
  <si>
    <t>07030200</t>
  </si>
  <si>
    <t>07030300</t>
  </si>
  <si>
    <t>07030400</t>
  </si>
  <si>
    <t>07024950</t>
  </si>
  <si>
    <t>07024960</t>
  </si>
  <si>
    <t>08221000</t>
  </si>
  <si>
    <t>08221100</t>
  </si>
  <si>
    <t>08021403</t>
  </si>
  <si>
    <t>08200001</t>
  </si>
  <si>
    <t>08200002</t>
  </si>
  <si>
    <t>08200003</t>
  </si>
  <si>
    <t>08180208</t>
  </si>
  <si>
    <t>08180250</t>
  </si>
  <si>
    <t>08180251</t>
  </si>
  <si>
    <t>08180252</t>
  </si>
  <si>
    <t>08180253</t>
  </si>
  <si>
    <t>08180254</t>
  </si>
  <si>
    <t>08180255</t>
  </si>
  <si>
    <t>08220001</t>
  </si>
  <si>
    <t>08220002</t>
  </si>
  <si>
    <t>08220003</t>
  </si>
  <si>
    <t>08180256</t>
  </si>
  <si>
    <t>08220005</t>
  </si>
  <si>
    <t>08222630</t>
  </si>
  <si>
    <t>08210001</t>
  </si>
  <si>
    <t>08210002</t>
  </si>
  <si>
    <t>08210003</t>
  </si>
  <si>
    <t>08210004</t>
  </si>
  <si>
    <t>08210005</t>
  </si>
  <si>
    <t>08224100</t>
  </si>
  <si>
    <t>08180201</t>
  </si>
  <si>
    <t>08180202</t>
  </si>
  <si>
    <t>08180203</t>
  </si>
  <si>
    <t>08180204</t>
  </si>
  <si>
    <t>08222610</t>
  </si>
  <si>
    <t>08180205</t>
  </si>
  <si>
    <t>08222800</t>
  </si>
  <si>
    <t>08223115</t>
  </si>
  <si>
    <t>08223125</t>
  </si>
  <si>
    <t>08230100</t>
  </si>
  <si>
    <t>08230200</t>
  </si>
  <si>
    <t>08230300</t>
  </si>
  <si>
    <t>08222900</t>
  </si>
  <si>
    <t>08223000</t>
  </si>
  <si>
    <t>08223200</t>
  </si>
  <si>
    <t>08223135</t>
  </si>
  <si>
    <t>08223145</t>
  </si>
  <si>
    <t>08230400</t>
  </si>
  <si>
    <t>08230500</t>
  </si>
  <si>
    <t>08230501</t>
  </si>
  <si>
    <t>08230502</t>
  </si>
  <si>
    <t>08230503</t>
  </si>
  <si>
    <t>08230504</t>
  </si>
  <si>
    <t>08230505</t>
  </si>
  <si>
    <t>08230506</t>
  </si>
  <si>
    <t>08222640</t>
  </si>
  <si>
    <t>08222650</t>
  </si>
  <si>
    <t>08222660</t>
  </si>
  <si>
    <t>08221600</t>
  </si>
  <si>
    <t>08222670</t>
  </si>
  <si>
    <t>08222680</t>
  </si>
  <si>
    <t>08230500A</t>
  </si>
  <si>
    <t>08230802</t>
  </si>
  <si>
    <t>08230803</t>
  </si>
  <si>
    <t>08230804</t>
  </si>
  <si>
    <t>08230850</t>
  </si>
  <si>
    <t>08230851</t>
  </si>
  <si>
    <t>08230852</t>
  </si>
  <si>
    <t>08230812</t>
  </si>
  <si>
    <t>08224000</t>
  </si>
  <si>
    <t>08222690</t>
  </si>
  <si>
    <t>08222700</t>
  </si>
  <si>
    <t>08222710</t>
  </si>
  <si>
    <t>08222720</t>
  </si>
  <si>
    <t>08222730</t>
  </si>
  <si>
    <t>01080016</t>
  </si>
  <si>
    <t>08222740</t>
  </si>
  <si>
    <t>01080020</t>
  </si>
  <si>
    <t>08222750</t>
  </si>
  <si>
    <t>08221700</t>
  </si>
  <si>
    <t>08221701</t>
  </si>
  <si>
    <t>08221702</t>
  </si>
  <si>
    <t>08221703</t>
  </si>
  <si>
    <t>08221704</t>
  </si>
  <si>
    <t>08221705</t>
  </si>
  <si>
    <t>08221706</t>
  </si>
  <si>
    <t>08221707</t>
  </si>
  <si>
    <t>08221708</t>
  </si>
  <si>
    <t>08180212</t>
  </si>
  <si>
    <t>08180213</t>
  </si>
  <si>
    <t>08180214</t>
  </si>
  <si>
    <t>08180215</t>
  </si>
  <si>
    <t>08180216</t>
  </si>
  <si>
    <t>08180217</t>
  </si>
  <si>
    <t>08180230</t>
  </si>
  <si>
    <t>08180231</t>
  </si>
  <si>
    <t>08180232</t>
  </si>
  <si>
    <t>08180233</t>
  </si>
  <si>
    <t>08230815</t>
  </si>
  <si>
    <t>08230853</t>
  </si>
  <si>
    <t>08230854</t>
  </si>
  <si>
    <t>08230855</t>
  </si>
  <si>
    <t>08230856</t>
  </si>
  <si>
    <t>08230857</t>
  </si>
  <si>
    <t>09400082</t>
  </si>
  <si>
    <t>09400081</t>
  </si>
  <si>
    <t>09230300</t>
  </si>
  <si>
    <t>09400084</t>
  </si>
  <si>
    <t>09204918</t>
  </si>
  <si>
    <t>09230500</t>
  </si>
  <si>
    <t>09200313</t>
  </si>
  <si>
    <t>09200513</t>
  </si>
  <si>
    <t>09204919</t>
  </si>
  <si>
    <t>09200725</t>
  </si>
  <si>
    <t>09400085</t>
  </si>
  <si>
    <t>09200735</t>
  </si>
  <si>
    <t>09201225</t>
  </si>
  <si>
    <t>09200813</t>
  </si>
  <si>
    <t>09400086</t>
  </si>
  <si>
    <t>09400087</t>
  </si>
  <si>
    <t>09400088</t>
  </si>
  <si>
    <t>09204922</t>
  </si>
  <si>
    <t>09204924</t>
  </si>
  <si>
    <t>09400089</t>
  </si>
  <si>
    <t>09201713</t>
  </si>
  <si>
    <t>09215013</t>
  </si>
  <si>
    <t>09215014</t>
  </si>
  <si>
    <t>09215015</t>
  </si>
  <si>
    <t>09215313</t>
  </si>
  <si>
    <t>09215413</t>
  </si>
  <si>
    <t>09300300</t>
  </si>
  <si>
    <t>09220100</t>
  </si>
  <si>
    <t>09220150</t>
  </si>
  <si>
    <t>09220250</t>
  </si>
  <si>
    <t>09220350</t>
  </si>
  <si>
    <t>09220450</t>
  </si>
  <si>
    <t>09220500</t>
  </si>
  <si>
    <t>09600100</t>
  </si>
  <si>
    <t>09600101</t>
  </si>
  <si>
    <t>09600102</t>
  </si>
  <si>
    <t>09204926</t>
  </si>
  <si>
    <t>09260100</t>
  </si>
  <si>
    <t>09400030</t>
  </si>
  <si>
    <t>09204929</t>
  </si>
  <si>
    <t>09204931</t>
  </si>
  <si>
    <t>09204933</t>
  </si>
  <si>
    <t>09204934</t>
  </si>
  <si>
    <t>09310700</t>
  </si>
  <si>
    <t>09305400</t>
  </si>
  <si>
    <t>09305500</t>
  </si>
  <si>
    <t>09310800</t>
  </si>
  <si>
    <t>09230100</t>
  </si>
  <si>
    <t>09230200</t>
  </si>
  <si>
    <t>09204935</t>
  </si>
  <si>
    <t>09203813</t>
  </si>
  <si>
    <t>09202725</t>
  </si>
  <si>
    <t>09202735</t>
  </si>
  <si>
    <t>09202745</t>
  </si>
  <si>
    <t>09305600</t>
  </si>
  <si>
    <t>09306000</t>
  </si>
  <si>
    <t>09203913</t>
  </si>
  <si>
    <t>09306200</t>
  </si>
  <si>
    <t>09306300</t>
  </si>
  <si>
    <t>09306400</t>
  </si>
  <si>
    <t>09306500</t>
  </si>
  <si>
    <t>09204013</t>
  </si>
  <si>
    <t>09306900</t>
  </si>
  <si>
    <t>09202313</t>
  </si>
  <si>
    <t>09202413</t>
  </si>
  <si>
    <t>09260500</t>
  </si>
  <si>
    <t>09260600</t>
  </si>
  <si>
    <t>09600103</t>
  </si>
  <si>
    <t>09204944</t>
  </si>
  <si>
    <t>09400092</t>
  </si>
  <si>
    <t>09400093</t>
  </si>
  <si>
    <t>09500500</t>
  </si>
  <si>
    <t>09500503</t>
  </si>
  <si>
    <t>09500501</t>
  </si>
  <si>
    <t>09500502</t>
  </si>
  <si>
    <t>09204947</t>
  </si>
  <si>
    <t>09204948</t>
  </si>
  <si>
    <t>09204949</t>
  </si>
  <si>
    <t>09204950</t>
  </si>
  <si>
    <t>09300500</t>
  </si>
  <si>
    <t>09310900</t>
  </si>
  <si>
    <t>09311000</t>
  </si>
  <si>
    <t>09311100</t>
  </si>
  <si>
    <t>09311200</t>
  </si>
  <si>
    <t>09400094</t>
  </si>
  <si>
    <t>09400095</t>
  </si>
  <si>
    <t>09400096</t>
  </si>
  <si>
    <t>09400097</t>
  </si>
  <si>
    <t>09400098</t>
  </si>
  <si>
    <t>09400090</t>
  </si>
  <si>
    <t>09400091</t>
  </si>
  <si>
    <t>09306600</t>
  </si>
  <si>
    <t>09306800</t>
  </si>
  <si>
    <t>09600105</t>
  </si>
  <si>
    <t>09306801</t>
  </si>
  <si>
    <t>09600106</t>
  </si>
  <si>
    <t>09204213</t>
  </si>
  <si>
    <t>09204214</t>
  </si>
  <si>
    <t>09240700</t>
  </si>
  <si>
    <t>09240750</t>
  </si>
  <si>
    <t>09216113</t>
  </si>
  <si>
    <t>09216213</t>
  </si>
  <si>
    <t>09204953</t>
  </si>
  <si>
    <t>09204954</t>
  </si>
  <si>
    <t>09216513</t>
  </si>
  <si>
    <t>09216613</t>
  </si>
  <si>
    <t>09216913</t>
  </si>
  <si>
    <t>09217013</t>
  </si>
  <si>
    <t>09217413</t>
  </si>
  <si>
    <t>09217513</t>
  </si>
  <si>
    <t>09218313</t>
  </si>
  <si>
    <t>09218413</t>
  </si>
  <si>
    <t>09218813</t>
  </si>
  <si>
    <t>09218913</t>
  </si>
  <si>
    <t>09219213</t>
  </si>
  <si>
    <t>09219313</t>
  </si>
  <si>
    <t>09309000</t>
  </si>
  <si>
    <t>09309050</t>
  </si>
  <si>
    <t>09309200</t>
  </si>
  <si>
    <t>09309250</t>
  </si>
  <si>
    <t>09240500</t>
  </si>
  <si>
    <t>09240600</t>
  </si>
  <si>
    <t>09204317</t>
  </si>
  <si>
    <t>09204417</t>
  </si>
  <si>
    <t>09204517</t>
  </si>
  <si>
    <t>09204717</t>
  </si>
  <si>
    <t>09400080</t>
  </si>
  <si>
    <t>09400104</t>
  </si>
  <si>
    <t>09400101</t>
  </si>
  <si>
    <t>09400102</t>
  </si>
  <si>
    <t>09400103</t>
  </si>
  <si>
    <t>09400200</t>
  </si>
  <si>
    <t>09400201</t>
  </si>
  <si>
    <t>09400202</t>
  </si>
  <si>
    <t>09400203</t>
  </si>
  <si>
    <t>09400204</t>
  </si>
  <si>
    <t>09400205</t>
  </si>
  <si>
    <t>09400206</t>
  </si>
  <si>
    <t>23042000A</t>
  </si>
  <si>
    <t>23044400A</t>
  </si>
  <si>
    <t>25502200A</t>
  </si>
  <si>
    <t>MADRE, PADRE O CUIDADOR DE:</t>
  </si>
  <si>
    <t>27281615A</t>
  </si>
  <si>
    <t>27281615B</t>
  </si>
  <si>
    <t>27281615C</t>
  </si>
  <si>
    <t>SECCIÓN E: TALLERES PROGRAMA "MÁS A.M. AUTOVALENTES"</t>
  </si>
  <si>
    <t>05226300</t>
  </si>
  <si>
    <t>05226500</t>
  </si>
  <si>
    <t>05226600</t>
  </si>
  <si>
    <t>05226700</t>
  </si>
  <si>
    <t>05226900</t>
  </si>
  <si>
    <t>05226800</t>
  </si>
  <si>
    <t>29000002</t>
  </si>
  <si>
    <t>29000003</t>
  </si>
  <si>
    <t>29000004</t>
  </si>
  <si>
    <t>29000005</t>
  </si>
  <si>
    <t xml:space="preserve"> REM-A9. ATENCIÓN DE SALUD BUCAL EN LA RED ASISTENCIAL </t>
  </si>
  <si>
    <t xml:space="preserve">SECCIÓN A: CONSULTAS Y CONTROLES ODONTOLÓGICOS REALIZADOS EN ESTABLECIMIENTOS DE APS. </t>
  </si>
  <si>
    <t xml:space="preserve">SECCIÓN B: OTRAS ACTIVIDADES DE ODONTOLOGÍA GENERAL  </t>
  </si>
  <si>
    <t>OBTURACIONES DE VIDRIO IONÓMERO EN DIENTE TEMPORAL</t>
  </si>
  <si>
    <t xml:space="preserve">SECCIÓN D : INTERCONSULTAS GENERADAS EN ESTABLECIMIENTOS DE APS  </t>
  </si>
  <si>
    <t xml:space="preserve">SECCIÓN F:  ACTIVIDADES DE ATENCIÓN EN ESPECIALIDADES ODONTOLÓGICAS. </t>
  </si>
  <si>
    <t xml:space="preserve">Total </t>
  </si>
  <si>
    <t xml:space="preserve">SECCIÓN I:  CONSULTAS, INGRESOS Y EGRESOS EN ESPECIALIDADES ODONTOLÓGICAS REALIZADOS EN NIVEL PRIMARIO Y SECUNDARIO DE SALUD. </t>
  </si>
  <si>
    <t xml:space="preserve">SECCIÓN J: ACTIVIDADES EFECTUADAS POR TÉCNICO PARAMÉDICO DENTAL Y/O HIGIENISTAS DENTALES  </t>
  </si>
  <si>
    <t xml:space="preserve">SECCIÓN K : GESTIÓN DE AGENDA (CLÍNICAS DENTALES MÓVILES). </t>
  </si>
  <si>
    <t xml:space="preserve">SECCIÓN L: CONSULTORÍAS DE ESPECIALIDADES ODONTOLÓGICAS. </t>
  </si>
  <si>
    <t>TERCERA O MÁS VISITAS DE SEGUIMIENTO</t>
  </si>
  <si>
    <t>PSIQUIATRÍA PEDIÁTRICA  Y ADOLESCENTES</t>
  </si>
  <si>
    <t xml:space="preserve">PACIENTES QUE RECHAZAN HOSPITALIZACIÓN </t>
  </si>
  <si>
    <t>Criticas</t>
  </si>
  <si>
    <t>No Criticas</t>
  </si>
  <si>
    <t>INTERVENCIONES CLÍNICAS PRE HOSPITALARIAS</t>
  </si>
  <si>
    <t>BÁSICO</t>
  </si>
  <si>
    <t>Con profilaxis Hepatitis B</t>
  </si>
  <si>
    <t xml:space="preserve">SECCIÓN P: ATENCIONES MÉDICAS POR VIOLENCIA SEXUAL CON REALIZACIÓN O INDICACIÓN DE PERITAJE </t>
  </si>
  <si>
    <t>EXPOSICIÓN A MURCIÉLAGO</t>
  </si>
  <si>
    <t xml:space="preserve">* El número de Beneficiarios NO DEBE ser mayor que el total. </t>
  </si>
  <si>
    <t xml:space="preserve">* El número total de origen de la procedencia NO DEBE ser mayor que el total. </t>
  </si>
  <si>
    <t xml:space="preserve">* La suma de las Herramientas de Categorización debe ser igual al total. </t>
  </si>
  <si>
    <t>CONTROL INTEGRAL CON RIESGO LEVE (G1)</t>
  </si>
  <si>
    <t>CONTROL INTEGRAL CON RIESGO MODERADO (G2)</t>
  </si>
  <si>
    <t>CONTROL INTEGRAL CON RIESGO ALTO (G3)</t>
  </si>
  <si>
    <t>SEGUIMIENTO A DISTANCIA CON RIESGO ALTO (G3)</t>
  </si>
  <si>
    <t>03500348</t>
  </si>
  <si>
    <t>03500367</t>
  </si>
  <si>
    <t>CODIGOS ELIMINADOS</t>
  </si>
  <si>
    <t>EMITIDAS</t>
  </si>
  <si>
    <t>CODIGOS NUEVOS</t>
  </si>
  <si>
    <t>03600100</t>
  </si>
  <si>
    <t>05980010</t>
  </si>
  <si>
    <t>05980020</t>
  </si>
  <si>
    <t>05980030</t>
  </si>
  <si>
    <t>05980040</t>
  </si>
  <si>
    <t>05980050</t>
  </si>
  <si>
    <t>05980060</t>
  </si>
  <si>
    <t>01501010</t>
  </si>
  <si>
    <t>01501020</t>
  </si>
  <si>
    <t>01501030</t>
  </si>
  <si>
    <t>01501040</t>
  </si>
  <si>
    <t>06906110</t>
  </si>
  <si>
    <t>06906115</t>
  </si>
  <si>
    <t>06906120</t>
  </si>
  <si>
    <t>06906125</t>
  </si>
  <si>
    <t>06906130</t>
  </si>
  <si>
    <t>06907001</t>
  </si>
  <si>
    <t>06907002</t>
  </si>
  <si>
    <t>06907003</t>
  </si>
  <si>
    <t>06907004</t>
  </si>
  <si>
    <t>06907005</t>
  </si>
  <si>
    <t>06907006</t>
  </si>
  <si>
    <t>06907007</t>
  </si>
  <si>
    <t>06907008</t>
  </si>
  <si>
    <t>06907009</t>
  </si>
  <si>
    <t>06907010</t>
  </si>
  <si>
    <t>06907011</t>
  </si>
  <si>
    <t>06907012</t>
  </si>
  <si>
    <t>06907013</t>
  </si>
  <si>
    <t>06907014</t>
  </si>
  <si>
    <t>06907015</t>
  </si>
  <si>
    <t>06907016</t>
  </si>
  <si>
    <t>07024214</t>
  </si>
  <si>
    <t>07024817</t>
  </si>
  <si>
    <t>07024809</t>
  </si>
  <si>
    <t>08230806</t>
  </si>
  <si>
    <t>08230807</t>
  </si>
  <si>
    <t>08230808</t>
  </si>
  <si>
    <t>08230809</t>
  </si>
  <si>
    <t>08230810</t>
  </si>
  <si>
    <t>08230811</t>
  </si>
  <si>
    <t>08230813</t>
  </si>
  <si>
    <t>08230814</t>
  </si>
  <si>
    <t>08241010</t>
  </si>
  <si>
    <t>08241020</t>
  </si>
  <si>
    <t>09305700</t>
  </si>
  <si>
    <t>09305800</t>
  </si>
  <si>
    <t>09203425</t>
  </si>
  <si>
    <t>09203435</t>
  </si>
  <si>
    <t>09203313</t>
  </si>
  <si>
    <t>09204939</t>
  </si>
  <si>
    <t>09203213</t>
  </si>
  <si>
    <t>09230600</t>
  </si>
  <si>
    <t>09400040</t>
  </si>
  <si>
    <t>09204936</t>
  </si>
  <si>
    <t>09202813</t>
  </si>
  <si>
    <t>09204937</t>
  </si>
  <si>
    <t>09202913</t>
  </si>
  <si>
    <t>09203013</t>
  </si>
  <si>
    <t>09204938</t>
  </si>
  <si>
    <t>09203113</t>
  </si>
  <si>
    <t>09305900</t>
  </si>
  <si>
    <t>09203613</t>
  </si>
  <si>
    <t>09203713</t>
  </si>
  <si>
    <t>09204941</t>
  </si>
  <si>
    <t>09306100</t>
  </si>
  <si>
    <t>09260400</t>
  </si>
  <si>
    <t>09600104</t>
  </si>
  <si>
    <t>09307200</t>
  </si>
  <si>
    <t>09307300</t>
  </si>
  <si>
    <t>09307400</t>
  </si>
  <si>
    <t>09307500</t>
  </si>
  <si>
    <t>09307600</t>
  </si>
  <si>
    <t>09307700</t>
  </si>
  <si>
    <t>09307800</t>
  </si>
  <si>
    <t>09307900</t>
  </si>
  <si>
    <t>09308000</t>
  </si>
  <si>
    <t>09308100</t>
  </si>
  <si>
    <t>09308200</t>
  </si>
  <si>
    <t>09308300</t>
  </si>
  <si>
    <t>09308400</t>
  </si>
  <si>
    <t>09308500</t>
  </si>
  <si>
    <t>09308600</t>
  </si>
  <si>
    <t>09308700</t>
  </si>
  <si>
    <t>09308800</t>
  </si>
  <si>
    <t>09308900</t>
  </si>
  <si>
    <t>09309100</t>
  </si>
  <si>
    <t>09309150</t>
  </si>
  <si>
    <t>09309300</t>
  </si>
  <si>
    <t>09309350</t>
  </si>
  <si>
    <t>09217913</t>
  </si>
  <si>
    <t>09218013</t>
  </si>
  <si>
    <t>09600110</t>
  </si>
  <si>
    <t>09600111</t>
  </si>
  <si>
    <t>09600112</t>
  </si>
  <si>
    <t>09600113</t>
  </si>
  <si>
    <t>09600114</t>
  </si>
  <si>
    <t>09600115</t>
  </si>
  <si>
    <t>09600116</t>
  </si>
  <si>
    <t>09600117</t>
  </si>
  <si>
    <t>09600118</t>
  </si>
  <si>
    <t>09600119</t>
  </si>
  <si>
    <t>09600120</t>
  </si>
  <si>
    <t>09600121</t>
  </si>
  <si>
    <t>09600122</t>
  </si>
  <si>
    <t>09600123</t>
  </si>
  <si>
    <t>09600124</t>
  </si>
  <si>
    <t>09600125</t>
  </si>
  <si>
    <t>09600126</t>
  </si>
  <si>
    <t>09600127</t>
  </si>
  <si>
    <t>09600128</t>
  </si>
  <si>
    <t>09600129</t>
  </si>
  <si>
    <t>09600130</t>
  </si>
  <si>
    <t>09600131</t>
  </si>
  <si>
    <t>09600132</t>
  </si>
  <si>
    <t>09600133</t>
  </si>
  <si>
    <t>09600134</t>
  </si>
  <si>
    <t>09600135</t>
  </si>
  <si>
    <t>09600136</t>
  </si>
  <si>
    <t>09600137</t>
  </si>
  <si>
    <t>09600138</t>
  </si>
  <si>
    <t>09600139</t>
  </si>
  <si>
    <t>09600140</t>
  </si>
  <si>
    <t>09600141</t>
  </si>
  <si>
    <t>09600142</t>
  </si>
  <si>
    <t>09600143</t>
  </si>
  <si>
    <t>09600144</t>
  </si>
  <si>
    <t>09600145</t>
  </si>
  <si>
    <t>09600146</t>
  </si>
  <si>
    <t>09600147</t>
  </si>
  <si>
    <t>09600148</t>
  </si>
  <si>
    <t>09600149</t>
  </si>
  <si>
    <t>09600150</t>
  </si>
  <si>
    <t>09600151</t>
  </si>
  <si>
    <t>09600152</t>
  </si>
  <si>
    <t>09600153</t>
  </si>
  <si>
    <t>09600154</t>
  </si>
  <si>
    <t>09600155</t>
  </si>
  <si>
    <t>09600156</t>
  </si>
  <si>
    <t>09600157</t>
  </si>
  <si>
    <t>09600158</t>
  </si>
  <si>
    <t>09600159</t>
  </si>
  <si>
    <t>09600160</t>
  </si>
  <si>
    <t>09600161</t>
  </si>
  <si>
    <t>09600162</t>
  </si>
  <si>
    <t>09600163</t>
  </si>
  <si>
    <t>09600164</t>
  </si>
  <si>
    <t>09600165</t>
  </si>
  <si>
    <t>09600166</t>
  </si>
  <si>
    <t>09600167</t>
  </si>
  <si>
    <t>09600168</t>
  </si>
  <si>
    <t>09600169</t>
  </si>
  <si>
    <t>09600170</t>
  </si>
  <si>
    <t>09600171</t>
  </si>
  <si>
    <t>09600172</t>
  </si>
  <si>
    <t>09600173</t>
  </si>
  <si>
    <t>09600174</t>
  </si>
  <si>
    <t>09600175</t>
  </si>
  <si>
    <t>09600176</t>
  </si>
  <si>
    <t>09600177</t>
  </si>
  <si>
    <t>09600178</t>
  </si>
  <si>
    <t>09600179</t>
  </si>
  <si>
    <t>09600180</t>
  </si>
  <si>
    <t>09600181</t>
  </si>
  <si>
    <t>09600182</t>
  </si>
  <si>
    <t>09600183</t>
  </si>
  <si>
    <t>09600184</t>
  </si>
  <si>
    <t>09600185</t>
  </si>
  <si>
    <t>09600186</t>
  </si>
  <si>
    <t>09600187</t>
  </si>
  <si>
    <t>09600188</t>
  </si>
  <si>
    <t>09600189</t>
  </si>
  <si>
    <t>09600190</t>
  </si>
  <si>
    <t>09600191</t>
  </si>
  <si>
    <t>09600192</t>
  </si>
  <si>
    <t>09600193</t>
  </si>
  <si>
    <t>09600194</t>
  </si>
  <si>
    <t>09600195</t>
  </si>
  <si>
    <t>09600196</t>
  </si>
  <si>
    <t>09600197</t>
  </si>
  <si>
    <t>09600198</t>
  </si>
  <si>
    <t>09600199</t>
  </si>
  <si>
    <t>09600200</t>
  </si>
  <si>
    <t>09600201</t>
  </si>
  <si>
    <t>09600202</t>
  </si>
  <si>
    <t>01030100</t>
  </si>
  <si>
    <t>01030200</t>
  </si>
  <si>
    <t>01030300</t>
  </si>
  <si>
    <t>01030400</t>
  </si>
  <si>
    <t>01090010</t>
  </si>
  <si>
    <t>01090020</t>
  </si>
  <si>
    <t>01060100</t>
  </si>
  <si>
    <t>01060101</t>
  </si>
  <si>
    <t>01070000</t>
  </si>
  <si>
    <t>01080000</t>
  </si>
  <si>
    <t>Niños 10 a 14 años</t>
  </si>
  <si>
    <t>tres o más profesionales</t>
  </si>
  <si>
    <t>29000006</t>
  </si>
  <si>
    <t>29000044</t>
  </si>
  <si>
    <t>30000057</t>
  </si>
  <si>
    <t>Cìrculos de Escucha</t>
  </si>
  <si>
    <t>CIRUGÍA MAYOR ABDOMINAL</t>
  </si>
  <si>
    <t>09600203</t>
  </si>
  <si>
    <t>09307000</t>
  </si>
  <si>
    <t>09307100</t>
  </si>
  <si>
    <t>VISITAS CON OTROS FINES  A PERSONAS CON DEPENDENCIA SEVERA</t>
  </si>
  <si>
    <t xml:space="preserve">Versión 1.1: ENERO 2020 </t>
  </si>
  <si>
    <t>SECCIÓN A: TIPOS DE MEDICINA COMPLEMENTARIA Y PRÁCTICAS DE BIENESTAR DE LA SALUD ENTREGADAS EN ATENCIÓN INDIVIDUAL</t>
  </si>
  <si>
    <t>REM-31.  MEDICINA COMPLEMENTARIA Y PRÁCTICAS DE BIENESTAR DE LA SALUD</t>
  </si>
  <si>
    <t xml:space="preserve">SECCIÓN B: MEDICINA COMPLEMENTARIA Y PRÁCTICAS DE BIENESTAR DE LA SALUD EN ATENCIONES INDIVIDUALES O GRUPALES, SEGÚN PROFESIONAL </t>
  </si>
  <si>
    <r>
      <t>Farmac</t>
    </r>
    <r>
      <rPr>
        <b/>
        <sz val="8"/>
        <rFont val="Verdana"/>
        <family val="2"/>
      </rPr>
      <t>é</t>
    </r>
    <r>
      <rPr>
        <sz val="8"/>
        <rFont val="Verdana"/>
        <family val="2"/>
      </rPr>
      <t>utico</t>
    </r>
  </si>
  <si>
    <t>SECCIÓN C: ORIGEN DE LA ATENCIÓN CON MEDICINA COMPLEMENTARIA Y PRÁCTICAS DE BIENESTAR DE LA SALUD</t>
  </si>
  <si>
    <t>SECCIÓN D: TIPOS DE MEDICINA COMPLEMENTARIA Y PRÁCTICAS DE BIENESTAR DE LA SALUD ENTREGADAS EN ATENCION GRUPAL Y COMUNITARIA</t>
  </si>
  <si>
    <r>
      <rPr>
        <b/>
        <sz val="8"/>
        <rFont val="Verdana"/>
        <family val="2"/>
      </rPr>
      <t>TIPO DE</t>
    </r>
    <r>
      <rPr>
        <sz val="8"/>
        <rFont val="Verdana"/>
        <family val="2"/>
      </rPr>
      <t xml:space="preserve"> </t>
    </r>
    <r>
      <rPr>
        <b/>
        <sz val="8"/>
        <rFont val="Verdana"/>
        <family val="2"/>
      </rPr>
      <t xml:space="preserve"> MEDICINA COMPLEMENTARIA O PRÁCTICA DE BIENESTAR DE LA SALUD</t>
    </r>
  </si>
  <si>
    <t>Programa Crónicos Cardiovascular</t>
  </si>
  <si>
    <t>Otros programas de crónicos</t>
  </si>
  <si>
    <t>Programa de Salud Mental</t>
  </si>
  <si>
    <t>Programa de Salud Oral</t>
  </si>
  <si>
    <t xml:space="preserve">Programa de Salud sexual y reproductiva </t>
  </si>
  <si>
    <t>Programa de Cáncer (QT/RT)</t>
  </si>
  <si>
    <t>Programa de Dependencia  severa</t>
  </si>
  <si>
    <t>Programa de Hospitalización Domiciliaria</t>
  </si>
  <si>
    <t>Programa de Rehabilitación física</t>
  </si>
  <si>
    <t>Programa de Cuidados Paliativos y Manejo del Dolor</t>
  </si>
  <si>
    <t>Otros programas</t>
  </si>
  <si>
    <r>
      <t xml:space="preserve">TOTAL INTERCONSULTAS GENERADAS EN APS PARA RESOLUCIÓN POR ESPECIALIDAD </t>
    </r>
    <r>
      <rPr>
        <b/>
        <sz val="8"/>
        <rFont val="Verdana"/>
        <family val="2"/>
      </rPr>
      <t>OFTALMOLOGÍA (UAPO Y CANASTA INTEGRAL)</t>
    </r>
  </si>
  <si>
    <r>
      <t xml:space="preserve">TOTAL INTERCONSULTAS GENERADAS EN APS PARA RESOLUCIÓN POR ESPECIALIDAD </t>
    </r>
    <r>
      <rPr>
        <b/>
        <sz val="8"/>
        <rFont val="Verdana"/>
        <family val="2"/>
      </rPr>
      <t>OTORRINOLARINGOLOGÍA (UAPORRINO Y</t>
    </r>
    <r>
      <rPr>
        <sz val="8"/>
        <rFont val="Verdana"/>
        <family val="2"/>
      </rPr>
      <t xml:space="preserve"> </t>
    </r>
    <r>
      <rPr>
        <b/>
        <sz val="8"/>
        <rFont val="Verdana"/>
        <family val="2"/>
      </rPr>
      <t>CANASTA INTEGRAL)</t>
    </r>
  </si>
  <si>
    <r>
      <t xml:space="preserve">OFTALMOLOGÍA </t>
    </r>
    <r>
      <rPr>
        <b/>
        <sz val="8"/>
        <rFont val="Verdana"/>
        <family val="2"/>
      </rPr>
      <t>/UAPO</t>
    </r>
  </si>
  <si>
    <t xml:space="preserve">TECNÓLOGO MÉDICO (OFTALMOLOGÍA) OTRAS CONSULTAS </t>
  </si>
  <si>
    <t>SIALOGRAFÍAS (POR PROCEDIMIENTO)</t>
  </si>
  <si>
    <t>TOMOGRAFÍA COMPUTACIONAL MAXILO FACIAL CONE BEAM (POR ADQUISICIÓN)</t>
  </si>
  <si>
    <t>TELERRADIOGRAFÍA (POR PLACA)</t>
  </si>
  <si>
    <t>CAE/CDT/CRS/HOSPITALIZACION</t>
  </si>
  <si>
    <t xml:space="preserve"> 0  -  4 Meses</t>
  </si>
  <si>
    <t xml:space="preserve"> 5  -  9 Meses</t>
  </si>
  <si>
    <t xml:space="preserve"> 10 - 14  Meses</t>
  </si>
  <si>
    <t>15 a 19 Meses</t>
  </si>
  <si>
    <t>20 - 24 Meses</t>
  </si>
  <si>
    <t>NORMAL CON REZAGO (desde normal con rezago)</t>
  </si>
  <si>
    <t>RIESGO (desde riesgo)</t>
  </si>
  <si>
    <t>RETRASO (desde retraso)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</si>
</sst>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_-;\-* #,##0_-;_-* &quot;-&quot;_-;_-@_-"/>
    <numFmt numFmtId="165" formatCode="_-* #,##0.00_-;\-* #,##0.00_-;_-* &quot;-&quot;??_-;_-@_-"/>
  </numFmts>
  <fonts count="94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name val="Verdana"/>
      <family val="2"/>
    </font>
    <font>
      <sz val="10"/>
      <name val="Verdana"/>
      <family val="2"/>
    </font>
    <font>
      <b/>
      <sz val="11"/>
      <name val="Verdana"/>
      <family val="2"/>
    </font>
    <font>
      <sz val="12"/>
      <name val="Verdana"/>
      <family val="2"/>
    </font>
    <font>
      <sz val="8"/>
      <name val="Verdana"/>
      <family val="2"/>
    </font>
    <font>
      <sz val="7"/>
      <name val="Verdana"/>
      <family val="2"/>
    </font>
    <font>
      <sz val="11"/>
      <color indexed="8"/>
      <name val="Calibri"/>
      <family val="2"/>
    </font>
    <font>
      <sz val="11"/>
      <name val="Calibri"/>
      <family val="2"/>
    </font>
    <font>
      <sz val="11"/>
      <name val="Verdana"/>
      <family val="2"/>
    </font>
    <font>
      <sz val="10"/>
      <name val="Comic Sans MS"/>
      <family val="4"/>
    </font>
    <font>
      <b/>
      <sz val="9"/>
      <name val="Verdana"/>
      <family val="2"/>
    </font>
    <font>
      <sz val="9"/>
      <name val="Verdana"/>
      <family val="2"/>
    </font>
    <font>
      <sz val="10"/>
      <name val="Arial"/>
      <family val="2"/>
    </font>
    <font>
      <b/>
      <sz val="8"/>
      <name val="Verdana"/>
      <family val="2"/>
    </font>
    <font>
      <sz val="8"/>
      <name val="Arial"/>
      <family val="2"/>
    </font>
    <font>
      <sz val="8"/>
      <color indexed="10"/>
      <name val="Verdana"/>
      <family val="2"/>
    </font>
    <font>
      <sz val="9"/>
      <color indexed="10"/>
      <name val="Verdana"/>
      <family val="2"/>
    </font>
    <font>
      <b/>
      <sz val="8"/>
      <color indexed="10"/>
      <name val="Verdana"/>
      <family val="2"/>
    </font>
    <font>
      <sz val="8"/>
      <color indexed="8"/>
      <name val="Verdana"/>
      <family val="2"/>
    </font>
    <font>
      <b/>
      <sz val="11"/>
      <color indexed="8"/>
      <name val="Verdana"/>
      <family val="2"/>
    </font>
    <font>
      <sz val="16"/>
      <name val="Verdana"/>
      <family val="2"/>
    </font>
    <font>
      <b/>
      <sz val="10"/>
      <name val="Verdana"/>
      <family val="2"/>
    </font>
    <font>
      <sz val="8"/>
      <name val="Calibri"/>
      <family val="2"/>
    </font>
    <font>
      <sz val="11"/>
      <color indexed="8"/>
      <name val="Calibri"/>
      <family val="2"/>
    </font>
    <font>
      <sz val="11"/>
      <color indexed="8"/>
      <name val="Verdana"/>
      <family val="2"/>
    </font>
    <font>
      <b/>
      <sz val="12"/>
      <color indexed="8"/>
      <name val="Verdana"/>
      <family val="2"/>
    </font>
    <font>
      <b/>
      <sz val="16"/>
      <name val="Verdana"/>
      <family val="2"/>
    </font>
    <font>
      <sz val="28"/>
      <name val="Verdana"/>
      <family val="2"/>
    </font>
    <font>
      <sz val="11"/>
      <color indexed="10"/>
      <name val="Verdana"/>
      <family val="2"/>
    </font>
    <font>
      <sz val="10"/>
      <color indexed="10"/>
      <name val="Verdana"/>
      <family val="2"/>
    </font>
    <font>
      <b/>
      <sz val="7"/>
      <name val="Verdana"/>
      <family val="2"/>
    </font>
    <font>
      <b/>
      <sz val="12"/>
      <color indexed="10"/>
      <name val="Verdana"/>
      <family val="2"/>
    </font>
    <font>
      <b/>
      <sz val="20"/>
      <name val="Verdana"/>
      <family val="2"/>
    </font>
    <font>
      <sz val="11"/>
      <color indexed="10"/>
      <name val="Calibri"/>
      <family val="2"/>
    </font>
    <font>
      <sz val="8"/>
      <color indexed="8"/>
      <name val="Calibri"/>
      <family val="2"/>
    </font>
    <font>
      <b/>
      <sz val="8"/>
      <color indexed="8"/>
      <name val="Verdana"/>
      <family val="2"/>
    </font>
    <font>
      <sz val="10"/>
      <color indexed="10"/>
      <name val="Verdana"/>
      <family val="2"/>
    </font>
    <font>
      <b/>
      <sz val="7"/>
      <color indexed="8"/>
      <name val="Verdana"/>
      <family val="2"/>
    </font>
    <font>
      <sz val="8"/>
      <color rgb="FFFF0000"/>
      <name val="Verdana"/>
      <family val="2"/>
    </font>
    <font>
      <b/>
      <sz val="11"/>
      <color theme="1"/>
      <name val="Calibri"/>
      <family val="2"/>
      <scheme val="minor"/>
    </font>
    <font>
      <sz val="72"/>
      <color indexed="22"/>
      <name val="Verdana"/>
      <family val="2"/>
    </font>
    <font>
      <b/>
      <sz val="10"/>
      <name val="Arial"/>
      <family val="2"/>
    </font>
    <font>
      <b/>
      <sz val="28"/>
      <name val="Verdana"/>
      <family val="2"/>
    </font>
    <font>
      <b/>
      <sz val="10"/>
      <color indexed="60"/>
      <name val="Verdana"/>
      <family val="2"/>
    </font>
    <font>
      <sz val="12"/>
      <color indexed="60"/>
      <name val="Verdana"/>
      <family val="2"/>
    </font>
    <font>
      <sz val="14"/>
      <name val="Verdana"/>
      <family val="2"/>
    </font>
    <font>
      <b/>
      <sz val="14"/>
      <name val="Verdana"/>
      <family val="2"/>
    </font>
    <font>
      <b/>
      <sz val="10"/>
      <color indexed="10"/>
      <name val="Verdana"/>
      <family val="2"/>
    </font>
    <font>
      <b/>
      <sz val="18"/>
      <name val="Verdana"/>
      <family val="2"/>
    </font>
    <font>
      <sz val="8"/>
      <color theme="1"/>
      <name val="Verdana"/>
      <family val="2"/>
    </font>
    <font>
      <b/>
      <sz val="8"/>
      <color theme="1"/>
      <name val="Verdana"/>
      <family val="2"/>
    </font>
    <font>
      <sz val="10"/>
      <color rgb="FFFF0000"/>
      <name val="Verdana"/>
      <family val="2"/>
    </font>
    <font>
      <sz val="11"/>
      <color theme="1"/>
      <name val="Verdana"/>
      <family val="2"/>
    </font>
    <font>
      <b/>
      <sz val="11"/>
      <color theme="1"/>
      <name val="Verdana"/>
      <family val="2"/>
    </font>
    <font>
      <sz val="11"/>
      <color rgb="FFFF0000"/>
      <name val="Verdana"/>
      <family val="2"/>
    </font>
    <font>
      <sz val="7"/>
      <color theme="1"/>
      <name val="Verdana"/>
      <family val="2"/>
    </font>
    <font>
      <sz val="9"/>
      <color theme="1"/>
      <name val="Verdana"/>
      <family val="2"/>
    </font>
    <font>
      <sz val="11"/>
      <name val="Calibri"/>
      <family val="2"/>
      <scheme val="minor"/>
    </font>
    <font>
      <b/>
      <sz val="12"/>
      <color theme="1"/>
      <name val="Verdana"/>
      <family val="2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Verdana"/>
      <family val="2"/>
    </font>
    <font>
      <sz val="11"/>
      <color rgb="FF000000"/>
      <name val="Calibri"/>
      <family val="2"/>
    </font>
    <font>
      <sz val="10"/>
      <color theme="1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8"/>
      <color rgb="FFFF0000"/>
      <name val="Verdana"/>
      <family val="2"/>
    </font>
    <font>
      <b/>
      <sz val="12"/>
      <color rgb="FFFF0000"/>
      <name val="Verdana"/>
      <family val="2"/>
    </font>
    <font>
      <sz val="12"/>
      <color rgb="FFFF0000"/>
      <name val="Verdana"/>
      <family val="2"/>
    </font>
    <font>
      <sz val="8"/>
      <color rgb="FF000000"/>
      <name val="Verdana"/>
      <family val="2"/>
    </font>
    <font>
      <sz val="10"/>
      <name val="Times New Roman"/>
      <family val="1"/>
    </font>
    <font>
      <b/>
      <sz val="16"/>
      <color indexed="10"/>
      <name val="Verdana"/>
      <family val="2"/>
    </font>
    <font>
      <sz val="9"/>
      <color rgb="FFFF0000"/>
      <name val="Verdana"/>
      <family val="2"/>
    </font>
    <font>
      <b/>
      <sz val="8"/>
      <color rgb="FF00B050"/>
      <name val="Verdana"/>
      <family val="2"/>
    </font>
    <font>
      <b/>
      <sz val="9"/>
      <color rgb="FFFF0000"/>
      <name val="Verdana"/>
      <family val="2"/>
    </font>
    <font>
      <sz val="7"/>
      <color rgb="FFFF0000"/>
      <name val="Verdana"/>
      <family val="2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theme="1"/>
      <name val="Verdana"/>
      <family val="2"/>
    </font>
    <font>
      <b/>
      <sz val="11"/>
      <color indexed="10"/>
      <name val="Verdana"/>
      <family val="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rgb="FF4472C4"/>
      <name val="Verdana"/>
      <family val="2"/>
    </font>
    <font>
      <sz val="9"/>
      <color theme="8"/>
      <name val="Verdana"/>
      <family val="2"/>
    </font>
    <font>
      <sz val="8"/>
      <name val="Calibri"/>
      <family val="2"/>
      <scheme val="minor"/>
    </font>
    <font>
      <b/>
      <sz val="8"/>
      <color rgb="FF4472C4"/>
      <name val="Verdana"/>
      <family val="2"/>
    </font>
    <font>
      <sz val="9"/>
      <color rgb="FF4472C4"/>
      <name val="Verdana"/>
      <family val="2"/>
    </font>
    <font>
      <b/>
      <sz val="9"/>
      <color rgb="FF00B050"/>
      <name val="Verdana"/>
      <family val="2"/>
    </font>
    <font>
      <sz val="12"/>
      <color indexed="8"/>
      <name val="Verdana"/>
      <family val="2"/>
    </font>
    <font>
      <b/>
      <sz val="12"/>
      <color rgb="FF4472C4"/>
      <name val="Verdana"/>
      <family val="2"/>
    </font>
    <font>
      <sz val="12"/>
      <color theme="8"/>
      <name val="Verdana"/>
      <family val="2"/>
    </font>
  </fonts>
  <fills count="37">
    <fill>
      <patternFill patternType="none"/>
    </fill>
    <fill>
      <patternFill patternType="gray125"/>
    </fill>
    <fill>
      <patternFill patternType="solid">
        <fgColor indexed="26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FFFFCC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indexed="26"/>
        <bgColor indexed="22"/>
      </patternFill>
    </fill>
    <fill>
      <patternFill patternType="solid">
        <fgColor rgb="FFA5A5A5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rgb="FFFFFFFF"/>
        <bgColor rgb="FF000000"/>
      </patternFill>
    </fill>
    <fill>
      <patternFill patternType="solid">
        <fgColor rgb="FFFFFFCC"/>
        <bgColor rgb="FF000000"/>
      </patternFill>
    </fill>
    <fill>
      <patternFill patternType="solid">
        <fgColor rgb="FFC6E0B4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FF0000"/>
        <bgColor indexed="64"/>
      </patternFill>
    </fill>
  </fills>
  <borders count="971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/>
      <right style="thin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/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indexed="9"/>
      </left>
      <right style="hair">
        <color indexed="9"/>
      </right>
      <top style="hair">
        <color indexed="9"/>
      </top>
      <bottom style="hair">
        <color indexed="9"/>
      </bottom>
      <diagonal/>
    </border>
    <border>
      <left/>
      <right style="hair">
        <color indexed="9"/>
      </right>
      <top style="hair">
        <color indexed="9"/>
      </top>
      <bottom style="hair">
        <color indexed="9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indexed="9"/>
      </left>
      <right style="hair">
        <color indexed="9"/>
      </right>
      <top style="hair">
        <color indexed="9"/>
      </top>
      <bottom/>
      <diagonal/>
    </border>
    <border>
      <left style="hair">
        <color indexed="9"/>
      </left>
      <right style="hair">
        <color indexed="9"/>
      </right>
      <top/>
      <bottom style="hair">
        <color indexed="9"/>
      </bottom>
      <diagonal/>
    </border>
    <border>
      <left style="thin">
        <color auto="1"/>
      </left>
      <right style="thin">
        <color indexed="22"/>
      </right>
      <top style="thin">
        <color indexed="22"/>
      </top>
      <bottom style="thin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auto="1"/>
      </bottom>
      <diagonal/>
    </border>
    <border>
      <left/>
      <right style="hair">
        <color indexed="9"/>
      </right>
      <top style="hair">
        <color indexed="9"/>
      </top>
      <bottom/>
      <diagonal/>
    </border>
    <border>
      <left/>
      <right style="hair">
        <color indexed="9"/>
      </right>
      <top style="hair">
        <color indexed="9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hair">
        <color auto="1"/>
      </bottom>
      <diagonal/>
    </border>
    <border>
      <left/>
      <right style="thin">
        <color auto="1"/>
      </right>
      <top style="double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double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double">
        <color auto="1"/>
      </top>
      <bottom style="hair">
        <color auto="1"/>
      </bottom>
      <diagonal/>
    </border>
    <border>
      <left style="thin">
        <color auto="1"/>
      </left>
      <right/>
      <top style="double">
        <color auto="1"/>
      </top>
      <bottom style="hair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double">
        <color auto="1"/>
      </bottom>
      <diagonal/>
    </border>
    <border>
      <left/>
      <right style="hair">
        <color auto="1"/>
      </right>
      <top style="hair">
        <color auto="1"/>
      </top>
      <bottom style="double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double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/>
      <diagonal/>
    </border>
    <border>
      <left/>
      <right/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/>
      <right/>
      <top style="double">
        <color auto="1"/>
      </top>
      <bottom style="hair">
        <color auto="1"/>
      </bottom>
      <diagonal/>
    </border>
    <border>
      <left/>
      <right style="hair">
        <color auto="1"/>
      </right>
      <top style="double">
        <color auto="1"/>
      </top>
      <bottom style="hair">
        <color auto="1"/>
      </bottom>
      <diagonal/>
    </border>
    <border>
      <left style="hair">
        <color auto="1"/>
      </left>
      <right/>
      <top style="double">
        <color auto="1"/>
      </top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 style="thin">
        <color auto="1"/>
      </bottom>
      <diagonal/>
    </border>
    <border>
      <left style="hair">
        <color auto="1"/>
      </left>
      <right/>
      <top/>
      <bottom style="thin">
        <color auto="1"/>
      </bottom>
      <diagonal/>
    </border>
    <border>
      <left/>
      <right style="hair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double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double">
        <color auto="1"/>
      </left>
      <right style="thin">
        <color auto="1"/>
      </right>
      <top style="hair">
        <color auto="1"/>
      </top>
      <bottom/>
      <diagonal/>
    </border>
    <border>
      <left style="double">
        <color auto="1"/>
      </left>
      <right style="thin">
        <color auto="1"/>
      </right>
      <top/>
      <bottom style="hair">
        <color auto="1"/>
      </bottom>
      <diagonal/>
    </border>
    <border>
      <left style="double">
        <color auto="1"/>
      </left>
      <right style="thin">
        <color auto="1"/>
      </right>
      <top/>
      <bottom style="thin">
        <color auto="1"/>
      </bottom>
      <diagonal/>
    </border>
    <border>
      <left style="hair">
        <color auto="1"/>
      </left>
      <right style="double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double">
        <color auto="1"/>
      </right>
      <top/>
      <bottom style="hair">
        <color auto="1"/>
      </bottom>
      <diagonal/>
    </border>
    <border>
      <left style="hair">
        <color auto="1"/>
      </left>
      <right style="double">
        <color auto="1"/>
      </right>
      <top/>
      <bottom/>
      <diagonal/>
    </border>
    <border>
      <left style="double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/>
      <bottom style="hair">
        <color auto="1"/>
      </bottom>
      <diagonal/>
    </border>
    <border>
      <left style="thin">
        <color auto="1"/>
      </left>
      <right style="double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hair">
        <color auto="1"/>
      </right>
      <top style="double">
        <color auto="1"/>
      </top>
      <bottom style="double">
        <color auto="1"/>
      </bottom>
      <diagonal/>
    </border>
    <border>
      <left style="hair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double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double">
        <color auto="1"/>
      </right>
      <top style="hair">
        <color auto="1"/>
      </top>
      <bottom style="thin">
        <color auto="1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double">
        <color auto="1"/>
      </bottom>
      <diagonal/>
    </border>
    <border>
      <left/>
      <right style="thin">
        <color auto="1"/>
      </right>
      <top style="hair">
        <color auto="1"/>
      </top>
      <bottom style="double">
        <color auto="1"/>
      </bottom>
      <diagonal/>
    </border>
    <border>
      <left style="double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auto="1"/>
      </bottom>
      <diagonal/>
    </border>
    <border>
      <left style="thin">
        <color auto="1"/>
      </left>
      <right style="double">
        <color auto="1"/>
      </right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thin">
        <color indexed="22"/>
      </top>
      <bottom style="thin">
        <color indexed="22"/>
      </bottom>
      <diagonal/>
    </border>
    <border>
      <left style="hair">
        <color auto="1"/>
      </left>
      <right style="double">
        <color auto="1"/>
      </right>
      <top style="hair">
        <color auto="1"/>
      </top>
      <bottom/>
      <diagonal/>
    </border>
    <border>
      <left style="hair">
        <color auto="1"/>
      </left>
      <right style="double">
        <color auto="1"/>
      </right>
      <top/>
      <bottom style="thin">
        <color auto="1"/>
      </bottom>
      <diagonal/>
    </border>
    <border>
      <left style="thin">
        <color indexed="9"/>
      </left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double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double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/>
      <right style="hair">
        <color auto="1"/>
      </right>
      <top style="double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double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double">
        <color auto="1"/>
      </top>
      <bottom style="double">
        <color auto="1"/>
      </bottom>
      <diagonal/>
    </border>
    <border>
      <left style="hair">
        <color auto="1"/>
      </left>
      <right style="thin">
        <color auto="1"/>
      </right>
      <top style="double">
        <color auto="1"/>
      </top>
      <bottom style="double">
        <color auto="1"/>
      </bottom>
      <diagonal/>
    </border>
    <border>
      <left/>
      <right style="thin">
        <color auto="1"/>
      </right>
      <top style="double">
        <color auto="1"/>
      </top>
      <bottom/>
      <diagonal/>
    </border>
    <border>
      <left/>
      <right style="thin">
        <color auto="1"/>
      </right>
      <top style="thin">
        <color indexed="22"/>
      </top>
      <bottom style="thin">
        <color auto="1"/>
      </bottom>
      <diagonal/>
    </border>
    <border>
      <left style="double">
        <color auto="1"/>
      </left>
      <right style="hair">
        <color auto="1"/>
      </right>
      <top/>
      <bottom style="hair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double">
        <color auto="1"/>
      </right>
      <top style="thin">
        <color auto="1"/>
      </top>
      <bottom/>
      <diagonal/>
    </border>
    <border>
      <left style="double">
        <color auto="1"/>
      </left>
      <right/>
      <top style="thin">
        <color auto="1"/>
      </top>
      <bottom/>
      <diagonal/>
    </border>
    <border>
      <left style="double">
        <color auto="1"/>
      </left>
      <right style="hair">
        <color auto="1"/>
      </right>
      <top style="hair">
        <color auto="1"/>
      </top>
      <bottom/>
      <diagonal/>
    </border>
    <border>
      <left style="double">
        <color auto="1"/>
      </left>
      <right style="hair">
        <color auto="1"/>
      </right>
      <top/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thin">
        <color indexed="22"/>
      </bottom>
      <diagonal/>
    </border>
    <border>
      <left style="double">
        <color auto="1"/>
      </left>
      <right style="hair">
        <color auto="1"/>
      </right>
      <top/>
      <bottom/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hair">
        <color auto="1"/>
      </right>
      <top/>
      <bottom style="double">
        <color auto="1"/>
      </bottom>
      <diagonal/>
    </border>
    <border>
      <left/>
      <right style="hair">
        <color auto="1"/>
      </right>
      <top/>
      <bottom style="double">
        <color auto="1"/>
      </bottom>
      <diagonal/>
    </border>
    <border>
      <left style="thin">
        <color indexed="9"/>
      </left>
      <right/>
      <top/>
      <bottom style="thin">
        <color auto="1"/>
      </bottom>
      <diagonal/>
    </border>
    <border>
      <left style="thin">
        <color indexed="9"/>
      </left>
      <right style="thin">
        <color indexed="9"/>
      </right>
      <top/>
      <bottom style="thin">
        <color auto="1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auto="1"/>
      </bottom>
      <diagonal/>
    </border>
    <border>
      <left style="thin">
        <color indexed="9"/>
      </left>
      <right/>
      <top style="thin">
        <color auto="1"/>
      </top>
      <bottom style="thin">
        <color auto="1"/>
      </bottom>
      <diagonal/>
    </border>
    <border>
      <left style="thin">
        <color indexed="9"/>
      </left>
      <right/>
      <top style="thin">
        <color auto="1"/>
      </top>
      <bottom/>
      <diagonal/>
    </border>
    <border>
      <left/>
      <right style="thin">
        <color indexed="9"/>
      </right>
      <top/>
      <bottom/>
      <diagonal/>
    </border>
    <border>
      <left style="thin">
        <color auto="1"/>
      </left>
      <right/>
      <top style="thin">
        <color indexed="9"/>
      </top>
      <bottom style="thin">
        <color indexed="9"/>
      </bottom>
      <diagonal/>
    </border>
    <border>
      <left/>
      <right/>
      <top/>
      <bottom style="thin">
        <color indexed="9"/>
      </bottom>
      <diagonal/>
    </border>
    <border>
      <left style="thin">
        <color auto="1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/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auto="1"/>
      </left>
      <right/>
      <top style="thin">
        <color indexed="9"/>
      </top>
      <bottom/>
      <diagonal/>
    </border>
    <border>
      <left/>
      <right/>
      <top style="thin">
        <color indexed="9"/>
      </top>
      <bottom/>
      <diagonal/>
    </border>
    <border>
      <left/>
      <right style="thin">
        <color indexed="9"/>
      </right>
      <top style="thin">
        <color indexed="9"/>
      </top>
      <bottom/>
      <diagonal/>
    </border>
    <border>
      <left/>
      <right/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/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auto="1"/>
      </left>
      <right/>
      <top/>
      <bottom style="thin">
        <color indexed="9"/>
      </bottom>
      <diagonal/>
    </border>
    <border>
      <left style="hair">
        <color auto="1"/>
      </left>
      <right style="thin">
        <color auto="1"/>
      </right>
      <top/>
      <bottom style="double">
        <color auto="1"/>
      </bottom>
      <diagonal/>
    </border>
    <border>
      <left/>
      <right style="thin">
        <color auto="1"/>
      </right>
      <top style="double">
        <color auto="1"/>
      </top>
      <bottom style="double">
        <color auto="1"/>
      </bottom>
      <diagonal/>
    </border>
    <border>
      <left/>
      <right style="double">
        <color auto="1"/>
      </right>
      <top style="thin">
        <color auto="1"/>
      </top>
      <bottom/>
      <diagonal/>
    </border>
    <border>
      <left style="hair">
        <color indexed="9"/>
      </left>
      <right/>
      <top/>
      <bottom/>
      <diagonal/>
    </border>
    <border>
      <left style="hair">
        <color indexed="9"/>
      </left>
      <right style="hair">
        <color indexed="9"/>
      </right>
      <top/>
      <bottom/>
      <diagonal/>
    </border>
    <border>
      <left style="hair">
        <color indexed="9"/>
      </left>
      <right/>
      <top style="hair">
        <color indexed="9"/>
      </top>
      <bottom style="thin">
        <color auto="1"/>
      </bottom>
      <diagonal/>
    </border>
    <border>
      <left style="hair">
        <color indexed="9"/>
      </left>
      <right style="hair">
        <color indexed="9"/>
      </right>
      <top style="hair">
        <color indexed="9"/>
      </top>
      <bottom style="thin">
        <color auto="1"/>
      </bottom>
      <diagonal/>
    </border>
    <border>
      <left style="hair">
        <color indexed="9"/>
      </left>
      <right style="thin">
        <color indexed="9"/>
      </right>
      <top style="thin">
        <color auto="1"/>
      </top>
      <bottom style="hair">
        <color indexed="9"/>
      </bottom>
      <diagonal/>
    </border>
    <border>
      <left style="thin">
        <color indexed="9"/>
      </left>
      <right/>
      <top style="thin">
        <color auto="1"/>
      </top>
      <bottom style="hair">
        <color indexed="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indexed="22"/>
      </top>
      <bottom style="thin">
        <color indexed="22"/>
      </bottom>
      <diagonal/>
    </border>
    <border>
      <left/>
      <right style="double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22"/>
      </top>
      <bottom style="thin">
        <color auto="1"/>
      </bottom>
      <diagonal/>
    </border>
    <border>
      <left/>
      <right style="thin">
        <color indexed="22"/>
      </right>
      <top style="thin">
        <color indexed="22"/>
      </top>
      <bottom style="thin">
        <color auto="1"/>
      </bottom>
      <diagonal/>
    </border>
    <border>
      <left/>
      <right style="double">
        <color auto="1"/>
      </right>
      <top/>
      <bottom style="hair">
        <color auto="1"/>
      </bottom>
      <diagonal/>
    </border>
    <border>
      <left/>
      <right style="double">
        <color auto="1"/>
      </right>
      <top style="hair">
        <color auto="1"/>
      </top>
      <bottom style="hair">
        <color auto="1"/>
      </bottom>
      <diagonal/>
    </border>
    <border>
      <left/>
      <right style="thin">
        <color indexed="22"/>
      </right>
      <top/>
      <bottom style="thin">
        <color indexed="22"/>
      </bottom>
      <diagonal/>
    </border>
    <border>
      <left/>
      <right style="double">
        <color auto="1"/>
      </right>
      <top style="hair">
        <color auto="1"/>
      </top>
      <bottom style="thin">
        <color auto="1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 style="hair">
        <color auto="1"/>
      </left>
      <right/>
      <top/>
      <bottom style="double">
        <color auto="1"/>
      </bottom>
      <diagonal/>
    </border>
    <border>
      <left style="thin">
        <color auto="1"/>
      </left>
      <right/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/>
      <top style="hair">
        <color auto="1"/>
      </top>
      <bottom style="double">
        <color auto="1"/>
      </bottom>
      <diagonal/>
    </border>
    <border>
      <left style="double">
        <color auto="1"/>
      </left>
      <right/>
      <top style="thin">
        <color auto="1"/>
      </top>
      <bottom style="thin">
        <color auto="1"/>
      </bottom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thin">
        <color auto="1"/>
      </bottom>
      <diagonal/>
    </border>
    <border>
      <left style="double">
        <color auto="1"/>
      </left>
      <right style="double">
        <color auto="1"/>
      </right>
      <top/>
      <bottom/>
      <diagonal/>
    </border>
    <border>
      <left style="double">
        <color auto="1"/>
      </left>
      <right style="double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medium">
        <color auto="1"/>
      </top>
      <bottom/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indexed="12"/>
      </left>
      <right style="medium">
        <color indexed="12"/>
      </right>
      <top style="medium">
        <color indexed="12"/>
      </top>
      <bottom style="medium">
        <color indexed="12"/>
      </bottom>
      <diagonal/>
    </border>
    <border>
      <left/>
      <right style="medium">
        <color indexed="12"/>
      </right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 style="medium">
        <color indexed="12"/>
      </bottom>
      <diagonal/>
    </border>
    <border>
      <left style="medium">
        <color indexed="12"/>
      </left>
      <right/>
      <top style="medium">
        <color indexed="12"/>
      </top>
      <bottom style="medium">
        <color indexed="12"/>
      </bottom>
      <diagonal/>
    </border>
    <border>
      <left style="thin">
        <color auto="1"/>
      </left>
      <right style="double">
        <color auto="1"/>
      </right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indexed="22"/>
      </bottom>
      <diagonal/>
    </border>
    <border>
      <left style="thin">
        <color auto="1"/>
      </left>
      <right style="thin">
        <color indexed="22"/>
      </right>
      <top style="hair">
        <color auto="1"/>
      </top>
      <bottom/>
      <diagonal/>
    </border>
    <border>
      <left style="thin">
        <color indexed="22"/>
      </left>
      <right style="thin">
        <color auto="1"/>
      </right>
      <top style="hair">
        <color auto="1"/>
      </top>
      <bottom/>
      <diagonal/>
    </border>
    <border>
      <left style="thin">
        <color indexed="22"/>
      </left>
      <right style="thin">
        <color auto="1"/>
      </right>
      <top style="thin">
        <color rgb="FFB2B2B2"/>
      </top>
      <bottom style="thin">
        <color auto="1"/>
      </bottom>
      <diagonal/>
    </border>
    <border>
      <left style="thin">
        <color indexed="22"/>
      </left>
      <right style="thin">
        <color indexed="22"/>
      </right>
      <top style="thin">
        <color rgb="FFB2B2B2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indexed="22"/>
      </bottom>
      <diagonal/>
    </border>
    <border>
      <left style="thin">
        <color auto="1"/>
      </left>
      <right style="double">
        <color auto="1"/>
      </right>
      <top/>
      <bottom/>
      <diagonal/>
    </border>
    <border>
      <left/>
      <right style="double">
        <color auto="1"/>
      </right>
      <top style="hair">
        <color auto="1"/>
      </top>
      <bottom/>
      <diagonal/>
    </border>
    <border>
      <left/>
      <right style="hair">
        <color auto="1"/>
      </right>
      <top style="double">
        <color auto="1"/>
      </top>
      <bottom style="double">
        <color auto="1"/>
      </bottom>
      <diagonal/>
    </border>
    <border>
      <left/>
      <right style="double">
        <color auto="1"/>
      </right>
      <top style="double">
        <color auto="1"/>
      </top>
      <bottom style="double">
        <color auto="1"/>
      </bottom>
      <diagonal/>
    </border>
    <border>
      <left style="hair">
        <color auto="1"/>
      </left>
      <right style="hair">
        <color auto="1"/>
      </right>
      <top style="double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double">
        <color auto="1"/>
      </bottom>
      <diagonal/>
    </border>
    <border>
      <left/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 style="thin">
        <color auto="1"/>
      </right>
      <top/>
      <bottom style="thin">
        <color indexed="22"/>
      </bottom>
      <diagonal/>
    </border>
    <border>
      <left style="thin">
        <color indexed="22"/>
      </left>
      <right style="hair">
        <color auto="1"/>
      </right>
      <top style="thin">
        <color auto="1"/>
      </top>
      <bottom style="thin">
        <color indexed="22"/>
      </bottom>
      <diagonal/>
    </border>
    <border>
      <left style="thin">
        <color indexed="22"/>
      </left>
      <right style="hair">
        <color auto="1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hair">
        <color auto="1"/>
      </right>
      <top style="thin">
        <color indexed="22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hair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/>
      <diagonal/>
    </border>
    <border>
      <left style="double">
        <color auto="1"/>
      </left>
      <right style="thin">
        <color auto="1"/>
      </right>
      <top/>
      <bottom/>
      <diagonal/>
    </border>
    <border>
      <left style="hair">
        <color auto="1"/>
      </left>
      <right style="double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double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hair">
        <color auto="1"/>
      </left>
      <right style="double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thin">
        <color indexed="9"/>
      </left>
      <right/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/>
      <diagonal/>
    </border>
    <border>
      <left style="double">
        <color auto="1"/>
      </left>
      <right/>
      <top style="thin">
        <color auto="1"/>
      </top>
      <bottom style="thin">
        <color auto="1"/>
      </bottom>
      <diagonal/>
    </border>
    <border>
      <left style="double">
        <color auto="1"/>
      </left>
      <right style="hair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thin">
        <color auto="1"/>
      </right>
      <top/>
      <bottom style="thin">
        <color auto="1"/>
      </bottom>
      <diagonal/>
    </border>
    <border>
      <left/>
      <right style="hair">
        <color auto="1"/>
      </right>
      <top/>
      <bottom style="thin">
        <color auto="1"/>
      </bottom>
      <diagonal/>
    </border>
    <border>
      <left style="double">
        <color auto="1"/>
      </left>
      <right style="hair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double">
        <color auto="1"/>
      </left>
      <right/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/>
      <right style="double">
        <color auto="1"/>
      </right>
      <top style="thin">
        <color auto="1"/>
      </top>
      <bottom/>
      <diagonal/>
    </border>
    <border>
      <left/>
      <right style="double">
        <color auto="1"/>
      </right>
      <top/>
      <bottom style="thin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 style="hair">
        <color auto="1"/>
      </left>
      <right style="double">
        <color auto="1"/>
      </right>
      <top style="double">
        <color auto="1"/>
      </top>
      <bottom style="hair">
        <color auto="1"/>
      </bottom>
      <diagonal/>
    </border>
    <border>
      <left/>
      <right style="thin">
        <color auto="1"/>
      </right>
      <top/>
      <bottom style="thin">
        <color indexed="22"/>
      </bottom>
      <diagonal/>
    </border>
    <border>
      <left style="thin">
        <color auto="1"/>
      </left>
      <right style="hair">
        <color auto="1"/>
      </right>
      <top/>
      <bottom style="thin">
        <color indexed="22"/>
      </bottom>
      <diagonal/>
    </border>
    <border>
      <left style="hair">
        <color auto="1"/>
      </left>
      <right style="hair">
        <color auto="1"/>
      </right>
      <top/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/>
      <diagonal/>
    </border>
    <border>
      <left/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indexed="22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/>
      <top style="thin">
        <color indexed="9"/>
      </top>
      <bottom/>
      <diagonal/>
    </border>
    <border>
      <left style="thin">
        <color indexed="9"/>
      </left>
      <right/>
      <top style="thin">
        <color indexed="9"/>
      </top>
      <bottom/>
      <diagonal/>
    </border>
    <border>
      <left/>
      <right style="thin">
        <color indexed="9"/>
      </right>
      <top/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9"/>
      </left>
      <right style="thin">
        <color indexed="9"/>
      </right>
      <top style="thin">
        <color auto="1"/>
      </top>
      <bottom style="thin">
        <color theme="1"/>
      </bottom>
      <diagonal/>
    </border>
    <border>
      <left/>
      <right/>
      <top style="thin">
        <color auto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 style="thin">
        <color auto="1"/>
      </right>
      <top style="thin">
        <color theme="1"/>
      </top>
      <bottom/>
      <diagonal/>
    </border>
    <border>
      <left style="thin">
        <color auto="1"/>
      </left>
      <right/>
      <top style="thin">
        <color theme="1"/>
      </top>
      <bottom/>
      <diagonal/>
    </border>
    <border>
      <left style="hair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indexed="22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auto="1"/>
      </right>
      <top style="thin">
        <color rgb="FFB2B2B2"/>
      </top>
      <bottom style="thin">
        <color rgb="FFB2B2B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auto="1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/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tted">
        <color auto="1"/>
      </right>
      <top style="thin">
        <color auto="1"/>
      </top>
      <bottom style="thin">
        <color auto="1"/>
      </bottom>
      <diagonal/>
    </border>
    <border>
      <left style="dotted">
        <color auto="1"/>
      </left>
      <right style="dotted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tted">
        <color auto="1"/>
      </right>
      <top style="thin">
        <color auto="1"/>
      </top>
      <bottom style="hair">
        <color auto="1"/>
      </bottom>
      <diagonal/>
    </border>
    <border>
      <left style="dotted">
        <color auto="1"/>
      </left>
      <right style="dotted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dotted">
        <color auto="1"/>
      </right>
      <top/>
      <bottom style="thin">
        <color auto="1"/>
      </bottom>
      <diagonal/>
    </border>
    <border>
      <left style="dotted">
        <color auto="1"/>
      </left>
      <right style="dotted">
        <color auto="1"/>
      </right>
      <top/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/>
      <diagonal/>
    </border>
    <border>
      <left style="double">
        <color auto="1"/>
      </left>
      <right style="double">
        <color auto="1"/>
      </right>
      <top style="thin">
        <color auto="1"/>
      </top>
      <bottom/>
      <diagonal/>
    </border>
    <border>
      <left style="double">
        <color auto="1"/>
      </left>
      <right style="double">
        <color auto="1"/>
      </right>
      <top/>
      <bottom style="hair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hair">
        <color auto="1"/>
      </top>
      <bottom style="hair">
        <color auto="1"/>
      </bottom>
      <diagonal/>
    </border>
    <border>
      <left style="double">
        <color auto="1"/>
      </left>
      <right style="double">
        <color auto="1"/>
      </right>
      <top style="hair">
        <color auto="1"/>
      </top>
      <bottom/>
      <diagonal/>
    </border>
    <border>
      <left style="double">
        <color auto="1"/>
      </left>
      <right style="double">
        <color auto="1"/>
      </right>
      <top style="hair">
        <color auto="1"/>
      </top>
      <bottom style="thin">
        <color auto="1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auto="1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9"/>
      </left>
      <right style="thin">
        <color indexed="9"/>
      </right>
      <top style="thin">
        <color auto="1"/>
      </top>
      <bottom/>
      <diagonal/>
    </border>
    <border>
      <left style="thin">
        <color indexed="9"/>
      </left>
      <right/>
      <top style="thin">
        <color auto="1"/>
      </top>
      <bottom/>
      <diagonal/>
    </border>
    <border>
      <left style="thin">
        <color indexed="9"/>
      </left>
      <right style="thin">
        <color indexed="9"/>
      </right>
      <top style="thin">
        <color auto="1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9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indexed="9"/>
      </top>
      <bottom/>
      <diagonal/>
    </border>
    <border>
      <left/>
      <right/>
      <top style="thin">
        <color indexed="9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/>
      <right style="double">
        <color auto="1"/>
      </right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22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double">
        <color auto="1"/>
      </right>
      <top style="thin">
        <color auto="1"/>
      </top>
      <bottom/>
      <diagonal/>
    </border>
    <border>
      <left/>
      <right style="double">
        <color auto="1"/>
      </right>
      <top style="thin">
        <color auto="1"/>
      </top>
      <bottom/>
      <diagonal/>
    </border>
    <border>
      <left style="thin">
        <color indexed="9"/>
      </left>
      <right style="thin">
        <color indexed="9"/>
      </right>
      <top/>
      <bottom style="thin">
        <color auto="1"/>
      </bottom>
      <diagonal/>
    </border>
    <border>
      <left/>
      <right style="thin">
        <color indexed="9"/>
      </right>
      <top/>
      <bottom style="thin">
        <color auto="1"/>
      </bottom>
      <diagonal/>
    </border>
    <border>
      <left style="thin">
        <color indexed="9"/>
      </left>
      <right/>
      <top/>
      <bottom style="thin">
        <color auto="1"/>
      </bottom>
      <diagonal/>
    </border>
    <border>
      <left/>
      <right/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auto="1"/>
      </bottom>
      <diagonal/>
    </border>
    <border>
      <left/>
      <right style="thin">
        <color indexed="9"/>
      </right>
      <top style="thin">
        <color indexed="9"/>
      </top>
      <bottom style="thin">
        <color auto="1"/>
      </bottom>
      <diagonal/>
    </border>
    <border>
      <left style="thin">
        <color indexed="9"/>
      </left>
      <right/>
      <top style="thin">
        <color indexed="9"/>
      </top>
      <bottom/>
      <diagonal/>
    </border>
    <border>
      <left/>
      <right/>
      <top/>
      <bottom style="thin">
        <color indexed="9"/>
      </bottom>
      <diagonal/>
    </border>
    <border>
      <left style="double">
        <color auto="1"/>
      </left>
      <right/>
      <top/>
      <bottom style="thin">
        <color auto="1"/>
      </bottom>
      <diagonal/>
    </border>
    <border>
      <left/>
      <right style="double">
        <color auto="1"/>
      </right>
      <top/>
      <bottom style="thin">
        <color auto="1"/>
      </bottom>
      <diagonal/>
    </border>
    <border>
      <left/>
      <right style="hair">
        <color auto="1"/>
      </right>
      <top/>
      <bottom style="thin">
        <color auto="1"/>
      </bottom>
      <diagonal/>
    </border>
    <border>
      <left/>
      <right/>
      <top/>
      <bottom style="thin">
        <color indexed="9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indexed="22"/>
      </top>
      <bottom style="hair">
        <color auto="1"/>
      </bottom>
      <diagonal/>
    </border>
    <border>
      <left/>
      <right style="thin">
        <color auto="1"/>
      </right>
      <top style="thin">
        <color indexed="22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indexed="22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indexed="22"/>
      </top>
      <bottom style="hair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 style="thin">
        <color auto="1"/>
      </top>
      <bottom style="thin">
        <color auto="1"/>
      </bottom>
      <diagonal/>
    </border>
    <border>
      <left style="double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rgb="FF3F3F3F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rgb="FF3F3F3F"/>
      </bottom>
      <diagonal/>
    </border>
    <border>
      <left/>
      <right style="hair">
        <color auto="1"/>
      </right>
      <top style="thin">
        <color auto="1"/>
      </top>
      <bottom style="hair">
        <color rgb="FF3F3F3F"/>
      </bottom>
      <diagonal/>
    </border>
    <border>
      <left style="thin">
        <color auto="1"/>
      </left>
      <right style="hair">
        <color auto="1"/>
      </right>
      <top/>
      <bottom style="hair">
        <color rgb="FF3F3F3F"/>
      </bottom>
      <diagonal/>
    </border>
    <border>
      <left style="hair">
        <color auto="1"/>
      </left>
      <right style="thin">
        <color auto="1"/>
      </right>
      <top/>
      <bottom style="hair">
        <color rgb="FF3F3F3F"/>
      </bottom>
      <diagonal/>
    </border>
    <border>
      <left/>
      <right style="hair">
        <color auto="1"/>
      </right>
      <top/>
      <bottom style="hair">
        <color rgb="FF3F3F3F"/>
      </bottom>
      <diagonal/>
    </border>
    <border>
      <left/>
      <right style="hair">
        <color auto="1"/>
      </right>
      <top style="hair">
        <color auto="1"/>
      </top>
      <bottom style="hair">
        <color rgb="FF3F3F3F"/>
      </bottom>
      <diagonal/>
    </border>
    <border>
      <left/>
      <right style="thin">
        <color auto="1"/>
      </right>
      <top style="hair">
        <color auto="1"/>
      </top>
      <bottom style="hair">
        <color rgb="FF3F3F3F"/>
      </bottom>
      <diagonal/>
    </border>
    <border>
      <left/>
      <right style="hair">
        <color rgb="FF3F3F3F"/>
      </right>
      <top/>
      <bottom style="hair">
        <color rgb="FF3F3F3F"/>
      </bottom>
      <diagonal/>
    </border>
    <border>
      <left style="hair">
        <color rgb="FF3F3F3F"/>
      </left>
      <right style="thin">
        <color rgb="FF3F3F3F"/>
      </right>
      <top/>
      <bottom style="hair">
        <color rgb="FF3F3F3F"/>
      </bottom>
      <diagonal/>
    </border>
    <border>
      <left style="thin">
        <color auto="1"/>
      </left>
      <right style="hair">
        <color rgb="FF3F3F3F"/>
      </right>
      <top style="hair">
        <color auto="1"/>
      </top>
      <bottom style="hair">
        <color auto="1"/>
      </bottom>
      <diagonal/>
    </border>
    <border>
      <left style="hair">
        <color rgb="FF3F3F3F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rgb="FF3F3F3F"/>
      </top>
      <bottom style="hair">
        <color rgb="FF3F3F3F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thick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medium">
        <color auto="1"/>
      </top>
      <bottom style="hair">
        <color auto="1"/>
      </bottom>
      <diagonal/>
    </border>
    <border>
      <left/>
      <right/>
      <top style="medium">
        <color auto="1"/>
      </top>
      <bottom style="hair">
        <color auto="1"/>
      </bottom>
      <diagonal/>
    </border>
    <border>
      <left/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ck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ck">
        <color auto="1"/>
      </top>
      <bottom style="hair">
        <color auto="1"/>
      </bottom>
      <diagonal/>
    </border>
    <border>
      <left/>
      <right style="hair">
        <color auto="1"/>
      </right>
      <top style="thick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ck">
        <color auto="1"/>
      </top>
      <bottom style="hair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9"/>
      </left>
      <right/>
      <top/>
      <bottom style="thin">
        <color indexed="64"/>
      </bottom>
      <diagonal/>
    </border>
    <border>
      <left style="thin">
        <color indexed="9"/>
      </left>
      <right style="thin">
        <color indexed="9"/>
      </right>
      <top/>
      <bottom style="thin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/>
      <top style="thin">
        <color indexed="9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22"/>
      </right>
      <top style="thin">
        <color indexed="22"/>
      </top>
      <bottom style="thin">
        <color indexed="64"/>
      </bottom>
      <diagonal/>
    </border>
    <border>
      <left style="thin">
        <color indexed="22"/>
      </left>
      <right style="thin">
        <color indexed="64"/>
      </right>
      <top style="thin">
        <color indexed="22"/>
      </top>
      <bottom style="thin">
        <color indexed="64"/>
      </bottom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 style="thin">
        <color indexed="22"/>
      </right>
      <top style="thin">
        <color indexed="22"/>
      </top>
      <bottom/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/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/>
      <top style="thin">
        <color indexed="64"/>
      </top>
      <bottom/>
      <diagonal/>
    </border>
    <border>
      <left style="thin">
        <color indexed="9"/>
      </left>
      <right style="thin">
        <color indexed="9"/>
      </right>
      <top style="thin">
        <color indexed="64"/>
      </top>
      <bottom/>
      <diagonal/>
    </border>
    <border>
      <left style="thin">
        <color indexed="9"/>
      </left>
      <right style="thin">
        <color indexed="9"/>
      </right>
      <top/>
      <bottom/>
      <diagonal/>
    </border>
    <border>
      <left/>
      <right/>
      <top style="thin">
        <color indexed="64"/>
      </top>
      <bottom style="thin">
        <color indexed="9"/>
      </bottom>
      <diagonal/>
    </border>
    <border>
      <left/>
      <right style="thin">
        <color indexed="9"/>
      </right>
      <top style="thin">
        <color indexed="64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double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thin">
        <color indexed="22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9"/>
      </left>
      <right/>
      <top style="thin">
        <color indexed="9"/>
      </top>
      <bottom/>
      <diagonal/>
    </border>
    <border>
      <left/>
      <right/>
      <top style="thin">
        <color indexed="9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/>
      <right style="double">
        <color auto="1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hair">
        <color auto="1"/>
      </left>
      <right style="double">
        <color auto="1"/>
      </right>
      <top/>
      <bottom/>
      <diagonal/>
    </border>
    <border>
      <left/>
      <right style="hair">
        <color indexed="9"/>
      </right>
      <top/>
      <bottom/>
      <diagonal/>
    </border>
    <border>
      <left style="hair">
        <color auto="1"/>
      </left>
      <right style="hair">
        <color auto="1"/>
      </right>
      <top style="thin">
        <color indexed="22"/>
      </top>
      <bottom style="thin">
        <color indexed="22"/>
      </bottom>
      <diagonal/>
    </border>
    <border>
      <left/>
      <right style="thin">
        <color auto="1"/>
      </right>
      <top style="thin">
        <color indexed="22"/>
      </top>
      <bottom style="thin">
        <color indexed="22"/>
      </bottom>
      <diagonal/>
    </border>
    <border>
      <left style="hair">
        <color auto="1"/>
      </left>
      <right style="thin">
        <color auto="1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hair">
        <color auto="1"/>
      </right>
      <top style="thin">
        <color indexed="22"/>
      </top>
      <bottom style="double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 style="double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22"/>
      </top>
      <bottom style="thin">
        <color indexed="22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22"/>
      </bottom>
      <diagonal/>
    </border>
    <border>
      <left/>
      <right style="hair">
        <color indexed="64"/>
      </right>
      <top style="thin">
        <color indexed="64"/>
      </top>
      <bottom style="thin">
        <color indexed="22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hair">
        <color indexed="64"/>
      </right>
      <top style="thin">
        <color indexed="22"/>
      </top>
      <bottom style="thin">
        <color indexed="64"/>
      </bottom>
      <diagonal/>
    </border>
    <border>
      <left/>
      <right style="thin">
        <color indexed="64"/>
      </right>
      <top style="thin">
        <color indexed="22"/>
      </top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22"/>
      </bottom>
      <diagonal/>
    </border>
    <border>
      <left/>
      <right style="thin">
        <color indexed="64"/>
      </right>
      <top style="thin">
        <color indexed="64"/>
      </top>
      <bottom style="thin">
        <color indexed="22"/>
      </bottom>
      <diagonal/>
    </border>
    <border>
      <left style="hair">
        <color indexed="64"/>
      </left>
      <right style="hair">
        <color indexed="64"/>
      </right>
      <top style="thin">
        <color indexed="22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double">
        <color auto="1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/>
      <bottom style="hair">
        <color indexed="64"/>
      </bottom>
      <diagonal/>
    </border>
    <border>
      <left style="thin">
        <color indexed="22"/>
      </left>
      <right style="thin">
        <color indexed="64"/>
      </right>
      <top/>
      <bottom style="hair">
        <color indexed="64"/>
      </bottom>
      <diagonal/>
    </border>
    <border>
      <left style="thin">
        <color indexed="22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/>
      <diagonal/>
    </border>
    <border>
      <left/>
      <right style="double">
        <color auto="1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/>
      <bottom style="hair">
        <color indexed="64"/>
      </bottom>
      <diagonal/>
    </border>
    <border>
      <left style="double">
        <color indexed="64"/>
      </left>
      <right style="double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2"/>
      </top>
      <bottom style="thin">
        <color indexed="64"/>
      </bottom>
      <diagonal/>
    </border>
    <border>
      <left style="hair">
        <color indexed="64"/>
      </left>
      <right style="double">
        <color indexed="64"/>
      </right>
      <top/>
      <bottom style="thin">
        <color auto="1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22"/>
      </bottom>
      <diagonal/>
    </border>
    <border>
      <left/>
      <right style="thin">
        <color indexed="64"/>
      </right>
      <top/>
      <bottom style="thin">
        <color indexed="22"/>
      </bottom>
      <diagonal/>
    </border>
    <border>
      <left/>
      <right style="thin">
        <color indexed="64"/>
      </right>
      <top style="thin">
        <color indexed="22"/>
      </top>
      <bottom style="thin">
        <color indexed="22"/>
      </bottom>
      <diagonal/>
    </border>
    <border>
      <left/>
      <right style="thin">
        <color indexed="64"/>
      </right>
      <top style="thin">
        <color indexed="22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double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22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hair">
        <color indexed="64"/>
      </right>
      <top/>
      <bottom style="hair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double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22"/>
      </right>
      <top/>
      <bottom style="thin">
        <color indexed="22"/>
      </bottom>
      <diagonal/>
    </border>
    <border>
      <left style="thin">
        <color indexed="22"/>
      </left>
      <right style="thin">
        <color indexed="64"/>
      </right>
      <top/>
      <bottom style="thin">
        <color indexed="22"/>
      </bottom>
      <diagonal/>
    </border>
    <border>
      <left/>
      <right style="thin">
        <color indexed="22"/>
      </right>
      <top/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 style="thin">
        <color indexed="22"/>
      </left>
      <right/>
      <top/>
      <bottom style="thin">
        <color indexed="22"/>
      </bottom>
      <diagonal/>
    </border>
    <border>
      <left style="thin">
        <color indexed="22"/>
      </left>
      <right style="double">
        <color indexed="64"/>
      </right>
      <top/>
      <bottom style="thin">
        <color indexed="22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double">
        <color indexed="64"/>
      </top>
      <bottom style="thin">
        <color indexed="64"/>
      </bottom>
      <diagonal/>
    </border>
    <border>
      <left/>
      <right style="hair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indexed="64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double">
        <color auto="1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auto="1"/>
      </top>
      <bottom/>
      <diagonal/>
    </border>
    <border>
      <left style="thin">
        <color indexed="64"/>
      </left>
      <right style="thin">
        <color indexed="22"/>
      </right>
      <top style="thin">
        <color indexed="22"/>
      </top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22"/>
      </right>
      <top/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thin">
        <color auto="1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double">
        <color auto="1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auto="1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double">
        <color auto="1"/>
      </right>
      <top style="thin">
        <color auto="1"/>
      </top>
      <bottom style="hair">
        <color auto="1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auto="1"/>
      </right>
      <top style="thin">
        <color auto="1"/>
      </top>
      <bottom/>
      <diagonal/>
    </border>
    <border>
      <left style="double">
        <color auto="1"/>
      </left>
      <right style="thin">
        <color auto="1"/>
      </right>
      <top style="thin">
        <color auto="1"/>
      </top>
      <bottom/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22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22"/>
      </top>
      <bottom style="thin">
        <color indexed="22"/>
      </bottom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9"/>
      </left>
      <right/>
      <top/>
      <bottom style="thin">
        <color auto="1"/>
      </bottom>
      <diagonal/>
    </border>
    <border>
      <left style="double">
        <color auto="1"/>
      </left>
      <right style="hair">
        <color auto="1"/>
      </right>
      <top style="thin">
        <color auto="1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indexed="22"/>
      </top>
      <bottom style="thin">
        <color indexed="22"/>
      </bottom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hair">
        <color auto="1"/>
      </left>
      <right style="hair">
        <color auto="1"/>
      </right>
      <top style="thin">
        <color indexed="22"/>
      </top>
      <bottom style="thin">
        <color auto="1"/>
      </bottom>
      <diagonal/>
    </border>
    <border>
      <left/>
      <right style="thin">
        <color auto="1"/>
      </right>
      <top style="thin">
        <color indexed="22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thin">
        <color indexed="22"/>
      </bottom>
      <diagonal/>
    </border>
    <border>
      <left/>
      <right style="thin">
        <color indexed="22"/>
      </right>
      <top/>
      <bottom style="thin">
        <color indexed="22"/>
      </bottom>
      <diagonal/>
    </border>
    <border>
      <left style="thin">
        <color indexed="64"/>
      </left>
      <right style="thin">
        <color indexed="64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indexed="22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thin">
        <color indexed="22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indexed="22"/>
      </bottom>
      <diagonal/>
    </border>
    <border>
      <left/>
      <right style="hair">
        <color auto="1"/>
      </right>
      <top style="thin">
        <color auto="1"/>
      </top>
      <bottom style="thin">
        <color indexed="22"/>
      </bottom>
      <diagonal/>
    </border>
    <border>
      <left/>
      <right style="double">
        <color auto="1"/>
      </right>
      <top style="thin">
        <color indexed="22"/>
      </top>
      <bottom style="thin">
        <color indexed="22"/>
      </bottom>
      <diagonal/>
    </border>
    <border>
      <left style="double">
        <color auto="1"/>
      </left>
      <right style="hair">
        <color auto="1"/>
      </right>
      <top style="thin">
        <color auto="1"/>
      </top>
      <bottom style="thin">
        <color indexed="22"/>
      </bottom>
      <diagonal/>
    </border>
    <border>
      <left/>
      <right style="thin">
        <color auto="1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hair">
        <color auto="1"/>
      </right>
      <top style="thin">
        <color indexed="22"/>
      </top>
      <bottom style="thin">
        <color indexed="22"/>
      </bottom>
      <diagonal/>
    </border>
    <border>
      <left style="hair">
        <color auto="1"/>
      </left>
      <right style="thin">
        <color auto="1"/>
      </right>
      <top style="thin">
        <color indexed="22"/>
      </top>
      <bottom style="thin">
        <color indexed="22"/>
      </bottom>
      <diagonal/>
    </border>
    <border>
      <left/>
      <right style="hair">
        <color auto="1"/>
      </right>
      <top style="thin">
        <color indexed="22"/>
      </top>
      <bottom style="thin">
        <color indexed="22"/>
      </bottom>
      <diagonal/>
    </border>
    <border>
      <left style="double">
        <color auto="1"/>
      </left>
      <right style="hair">
        <color auto="1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hair">
        <color auto="1"/>
      </right>
      <top style="thin">
        <color indexed="22"/>
      </top>
      <bottom/>
      <diagonal/>
    </border>
    <border>
      <left style="hair">
        <color auto="1"/>
      </left>
      <right style="thin">
        <color auto="1"/>
      </right>
      <top style="thin">
        <color indexed="22"/>
      </top>
      <bottom/>
      <diagonal/>
    </border>
    <border>
      <left/>
      <right style="hair">
        <color auto="1"/>
      </right>
      <top style="thin">
        <color indexed="22"/>
      </top>
      <bottom/>
      <diagonal/>
    </border>
    <border>
      <left/>
      <right style="double">
        <color auto="1"/>
      </right>
      <top style="thin">
        <color indexed="22"/>
      </top>
      <bottom/>
      <diagonal/>
    </border>
    <border>
      <left style="double">
        <color auto="1"/>
      </left>
      <right style="hair">
        <color auto="1"/>
      </right>
      <top style="thin">
        <color indexed="22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indexed="22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indexed="22"/>
      </top>
      <bottom style="double">
        <color auto="1"/>
      </bottom>
      <diagonal/>
    </border>
    <border>
      <left style="hair">
        <color auto="1"/>
      </left>
      <right style="thin">
        <color auto="1"/>
      </right>
      <top style="thin">
        <color indexed="22"/>
      </top>
      <bottom style="double">
        <color auto="1"/>
      </bottom>
      <diagonal/>
    </border>
    <border>
      <left/>
      <right style="hair">
        <color auto="1"/>
      </right>
      <top style="thin">
        <color indexed="22"/>
      </top>
      <bottom style="double">
        <color auto="1"/>
      </bottom>
      <diagonal/>
    </border>
    <border>
      <left/>
      <right style="double">
        <color auto="1"/>
      </right>
      <top style="thin">
        <color indexed="22"/>
      </top>
      <bottom style="double">
        <color auto="1"/>
      </bottom>
      <diagonal/>
    </border>
    <border>
      <left style="hair">
        <color auto="1"/>
      </left>
      <right style="hair">
        <color auto="1"/>
      </right>
      <top style="thin">
        <color indexed="22"/>
      </top>
      <bottom style="double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double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double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hair">
        <color auto="1"/>
      </bottom>
      <diagonal/>
    </border>
    <border>
      <left/>
      <right style="double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/>
      <top/>
      <bottom style="thin">
        <color auto="1"/>
      </bottom>
      <diagonal/>
    </border>
    <border>
      <left style="double">
        <color auto="1"/>
      </left>
      <right style="thin">
        <color auto="1"/>
      </right>
      <top/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/>
      <bottom style="thin">
        <color auto="1"/>
      </bottom>
      <diagonal/>
    </border>
    <border>
      <left/>
      <right style="hair">
        <color auto="1"/>
      </right>
      <top/>
      <bottom/>
      <diagonal/>
    </border>
    <border>
      <left style="thin">
        <color indexed="9"/>
      </left>
      <right style="thin">
        <color indexed="9"/>
      </right>
      <top/>
      <bottom style="thin">
        <color auto="1"/>
      </bottom>
      <diagonal/>
    </border>
    <border>
      <left style="thin">
        <color indexed="9"/>
      </left>
      <right/>
      <top/>
      <bottom style="thin">
        <color auto="1"/>
      </bottom>
      <diagonal/>
    </border>
    <border>
      <left/>
      <right style="thin">
        <color indexed="9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/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double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 style="thin">
        <color indexed="22"/>
      </right>
      <top style="thin">
        <color auto="1"/>
      </top>
      <bottom style="thin">
        <color indexed="22"/>
      </bottom>
      <diagonal/>
    </border>
    <border>
      <left style="thin">
        <color indexed="22"/>
      </left>
      <right/>
      <top style="thin">
        <color auto="1"/>
      </top>
      <bottom style="thin">
        <color indexed="22"/>
      </bottom>
      <diagonal/>
    </border>
    <border>
      <left style="thin">
        <color auto="1"/>
      </left>
      <right style="thin">
        <color indexed="22"/>
      </right>
      <top style="thin">
        <color auto="1"/>
      </top>
      <bottom style="thin">
        <color indexed="22"/>
      </bottom>
      <diagonal/>
    </border>
    <border>
      <left style="thin">
        <color indexed="22"/>
      </left>
      <right style="thin">
        <color auto="1"/>
      </right>
      <top style="thin">
        <color auto="1"/>
      </top>
      <bottom style="thin">
        <color indexed="22"/>
      </bottom>
      <diagonal/>
    </border>
    <border>
      <left style="thin">
        <color auto="1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auto="1"/>
      </right>
      <top style="thin">
        <color indexed="22"/>
      </top>
      <bottom style="thin">
        <color indexed="22"/>
      </bottom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indexed="22"/>
      </right>
      <top style="thin">
        <color indexed="22"/>
      </top>
      <bottom style="thin">
        <color auto="1"/>
      </bottom>
      <diagonal/>
    </border>
    <border>
      <left style="thin">
        <color indexed="22"/>
      </left>
      <right style="thin">
        <color auto="1"/>
      </right>
      <top style="thin">
        <color indexed="22"/>
      </top>
      <bottom style="thin">
        <color auto="1"/>
      </bottom>
      <diagonal/>
    </border>
    <border>
      <left/>
      <right style="thin">
        <color indexed="22"/>
      </right>
      <top style="thin">
        <color indexed="22"/>
      </top>
      <bottom style="thin">
        <color auto="1"/>
      </bottom>
      <diagonal/>
    </border>
    <border>
      <left style="thin">
        <color indexed="22"/>
      </left>
      <right/>
      <top style="thin">
        <color indexed="22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auto="1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double">
        <color indexed="64"/>
      </right>
      <top style="double">
        <color auto="1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double">
        <color auto="1"/>
      </left>
      <right style="thin">
        <color auto="1"/>
      </right>
      <top style="thin">
        <color auto="1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double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 style="double">
        <color auto="1"/>
      </right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0">
    <xf numFmtId="0" fontId="0" fillId="0" borderId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1" fillId="0" borderId="0"/>
    <xf numFmtId="0" fontId="25" fillId="7" borderId="205" applyNumberFormat="0" applyFont="0" applyAlignment="0" applyProtection="0"/>
    <xf numFmtId="0" fontId="14" fillId="2" borderId="1" applyNumberFormat="0" applyFont="0" applyAlignment="0" applyProtection="0"/>
    <xf numFmtId="0" fontId="43" fillId="0" borderId="0" applyFont="0" applyBorder="0" applyAlignment="0" applyProtection="0"/>
    <xf numFmtId="0" fontId="14" fillId="10" borderId="207" applyNumberFormat="0">
      <protection locked="0"/>
    </xf>
    <xf numFmtId="0" fontId="14" fillId="10" borderId="14" applyBorder="0">
      <protection locked="0"/>
    </xf>
    <xf numFmtId="164" fontId="1" fillId="0" borderId="0" applyFont="0" applyFill="0" applyBorder="0" applyAlignment="0" applyProtection="0"/>
    <xf numFmtId="0" fontId="1" fillId="7" borderId="205" applyNumberFormat="0" applyFont="0" applyAlignment="0" applyProtection="0"/>
    <xf numFmtId="0" fontId="14" fillId="2" borderId="248" applyNumberFormat="0" applyFont="0" applyAlignment="0" applyProtection="0"/>
    <xf numFmtId="0" fontId="14" fillId="10" borderId="240" applyBorder="0">
      <protection locked="0"/>
    </xf>
    <xf numFmtId="0" fontId="16" fillId="0" borderId="0"/>
    <xf numFmtId="0" fontId="14" fillId="2" borderId="1" applyNumberFormat="0" applyFont="0" applyAlignment="0" applyProtection="0"/>
    <xf numFmtId="0" fontId="78" fillId="29" borderId="450" applyNumberFormat="0" applyAlignment="0" applyProtection="0"/>
    <xf numFmtId="0" fontId="82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4" fillId="31" borderId="0" applyNumberFormat="0" applyBorder="0" applyAlignment="0" applyProtection="0"/>
    <xf numFmtId="0" fontId="14" fillId="2" borderId="929" applyNumberFormat="0" applyFont="0" applyAlignment="0" applyProtection="0"/>
  </cellStyleXfs>
  <cellXfs count="6966">
    <xf numFmtId="0" fontId="0" fillId="0" borderId="0" xfId="0"/>
    <xf numFmtId="0" fontId="6" fillId="3" borderId="0" xfId="0" applyFont="1" applyFill="1"/>
    <xf numFmtId="0" fontId="6" fillId="3" borderId="0" xfId="0" applyFont="1" applyFill="1" applyAlignment="1">
      <alignment horizontal="center"/>
    </xf>
    <xf numFmtId="0" fontId="3" fillId="3" borderId="0" xfId="0" applyFont="1" applyFill="1"/>
    <xf numFmtId="0" fontId="6" fillId="0" borderId="0" xfId="0" applyFont="1"/>
    <xf numFmtId="0" fontId="6" fillId="3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left"/>
    </xf>
    <xf numFmtId="0" fontId="6" fillId="0" borderId="0" xfId="0" applyFont="1" applyAlignment="1">
      <alignment horizontal="left"/>
    </xf>
    <xf numFmtId="0" fontId="4" fillId="3" borderId="0" xfId="0" applyFont="1" applyFill="1" applyAlignment="1">
      <alignment horizontal="center"/>
    </xf>
    <xf numFmtId="0" fontId="6" fillId="8" borderId="0" xfId="0" applyFont="1" applyFill="1"/>
    <xf numFmtId="49" fontId="6" fillId="3" borderId="0" xfId="0" applyNumberFormat="1" applyFont="1" applyFill="1" applyAlignment="1">
      <alignment horizontal="center"/>
    </xf>
    <xf numFmtId="0" fontId="42" fillId="3" borderId="0" xfId="0" applyFont="1" applyFill="1" applyAlignment="1">
      <alignment vertical="center" wrapText="1"/>
    </xf>
    <xf numFmtId="0" fontId="6" fillId="0" borderId="0" xfId="16" applyFont="1"/>
    <xf numFmtId="1" fontId="6" fillId="3" borderId="0" xfId="0" applyNumberFormat="1" applyFont="1" applyFill="1" applyAlignment="1">
      <alignment horizontal="right"/>
    </xf>
    <xf numFmtId="0" fontId="3" fillId="3" borderId="4" xfId="0" applyFont="1" applyFill="1" applyBorder="1"/>
    <xf numFmtId="0" fontId="3" fillId="5" borderId="14" xfId="0" applyFont="1" applyFill="1" applyBorder="1" applyAlignment="1" applyProtection="1">
      <alignment horizontal="center"/>
      <protection locked="0"/>
    </xf>
    <xf numFmtId="0" fontId="23" fillId="0" borderId="10" xfId="0" applyFont="1" applyBorder="1"/>
    <xf numFmtId="0" fontId="23" fillId="0" borderId="14" xfId="0" applyFont="1" applyBorder="1" applyAlignment="1">
      <alignment wrapText="1"/>
    </xf>
    <xf numFmtId="0" fontId="3" fillId="3" borderId="0" xfId="0" applyFont="1" applyFill="1" applyAlignment="1">
      <alignment horizontal="left"/>
    </xf>
    <xf numFmtId="0" fontId="23" fillId="3" borderId="4" xfId="0" applyFont="1" applyFill="1" applyBorder="1" applyAlignment="1">
      <alignment horizontal="centerContinuous" vertical="center"/>
    </xf>
    <xf numFmtId="0" fontId="23" fillId="3" borderId="4" xfId="0" applyFont="1" applyFill="1" applyBorder="1" applyAlignment="1">
      <alignment horizontal="left" vertical="center"/>
    </xf>
    <xf numFmtId="0" fontId="15" fillId="5" borderId="0" xfId="17" applyFont="1" applyFill="1" applyBorder="1">
      <protection locked="0"/>
    </xf>
    <xf numFmtId="0" fontId="2" fillId="0" borderId="14" xfId="0" applyFont="1" applyBorder="1" applyAlignment="1">
      <alignment horizontal="center"/>
    </xf>
    <xf numFmtId="0" fontId="23" fillId="0" borderId="4" xfId="0" applyFont="1" applyBorder="1" applyAlignment="1">
      <alignment horizontal="left" vertical="center"/>
    </xf>
    <xf numFmtId="0" fontId="6" fillId="5" borderId="0" xfId="17" applyFont="1" applyFill="1" applyBorder="1">
      <protection locked="0"/>
    </xf>
    <xf numFmtId="0" fontId="6" fillId="0" borderId="0" xfId="0" applyFont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19" fillId="0" borderId="0" xfId="0" applyFont="1" applyAlignment="1">
      <alignment horizontal="left" vertical="center"/>
    </xf>
    <xf numFmtId="0" fontId="4" fillId="8" borderId="13" xfId="0" applyFont="1" applyFill="1" applyBorder="1" applyAlignment="1" applyProtection="1">
      <alignment horizontal="center"/>
      <protection locked="0"/>
    </xf>
    <xf numFmtId="0" fontId="4" fillId="8" borderId="6" xfId="0" applyFont="1" applyFill="1" applyBorder="1" applyAlignment="1" applyProtection="1">
      <alignment horizontal="center"/>
      <protection locked="0"/>
    </xf>
    <xf numFmtId="0" fontId="23" fillId="5" borderId="14" xfId="18" applyFont="1" applyFill="1" applyAlignment="1">
      <alignment horizontal="center"/>
      <protection locked="0"/>
    </xf>
    <xf numFmtId="0" fontId="6" fillId="3" borderId="0" xfId="0" applyFont="1" applyFill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4" fillId="3" borderId="35" xfId="0" applyFont="1" applyFill="1" applyBorder="1" applyAlignment="1">
      <alignment horizontal="center"/>
    </xf>
    <xf numFmtId="0" fontId="15" fillId="0" borderId="0" xfId="0" applyFont="1" applyAlignment="1">
      <alignment vertical="center"/>
    </xf>
    <xf numFmtId="0" fontId="19" fillId="0" borderId="35" xfId="0" applyFont="1" applyBorder="1" applyAlignment="1">
      <alignment vertical="center"/>
    </xf>
    <xf numFmtId="0" fontId="4" fillId="8" borderId="13" xfId="16" applyFont="1" applyFill="1" applyBorder="1" applyAlignment="1" applyProtection="1">
      <alignment horizontal="center"/>
      <protection locked="0"/>
    </xf>
    <xf numFmtId="0" fontId="4" fillId="8" borderId="12" xfId="16" applyFont="1" applyFill="1" applyBorder="1" applyAlignment="1" applyProtection="1">
      <alignment horizontal="center"/>
      <protection locked="0"/>
    </xf>
    <xf numFmtId="0" fontId="4" fillId="8" borderId="47" xfId="16" applyFont="1" applyFill="1" applyBorder="1" applyAlignment="1" applyProtection="1">
      <alignment horizontal="center"/>
      <protection locked="0"/>
    </xf>
    <xf numFmtId="0" fontId="19" fillId="0" borderId="0" xfId="0" applyFont="1" applyAlignment="1">
      <alignment vertical="center"/>
    </xf>
    <xf numFmtId="0" fontId="23" fillId="5" borderId="14" xfId="0" applyFont="1" applyFill="1" applyBorder="1" applyAlignment="1" applyProtection="1">
      <alignment horizontal="center"/>
      <protection locked="0"/>
    </xf>
    <xf numFmtId="0" fontId="3" fillId="0" borderId="0" xfId="0" applyFont="1"/>
    <xf numFmtId="0" fontId="3" fillId="11" borderId="0" xfId="0" applyFont="1" applyFill="1"/>
    <xf numFmtId="0" fontId="23" fillId="12" borderId="0" xfId="0" applyFont="1" applyFill="1" applyAlignment="1">
      <alignment horizontal="center" vertical="center" wrapText="1"/>
    </xf>
    <xf numFmtId="0" fontId="2" fillId="0" borderId="14" xfId="0" applyFont="1" applyBorder="1" applyAlignment="1" applyProtection="1">
      <alignment vertical="center"/>
      <protection hidden="1"/>
    </xf>
    <xf numFmtId="0" fontId="5" fillId="0" borderId="14" xfId="0" applyFont="1" applyBorder="1" applyProtection="1">
      <protection hidden="1"/>
    </xf>
    <xf numFmtId="0" fontId="6" fillId="0" borderId="14" xfId="0" applyFont="1" applyBorder="1" applyProtection="1">
      <protection locked="0"/>
    </xf>
    <xf numFmtId="0" fontId="3" fillId="0" borderId="14" xfId="0" applyFont="1" applyBorder="1" applyProtection="1">
      <protection locked="0"/>
    </xf>
    <xf numFmtId="0" fontId="46" fillId="0" borderId="14" xfId="0" applyFont="1" applyBorder="1" applyAlignment="1" applyProtection="1">
      <alignment horizontal="center"/>
      <protection hidden="1"/>
    </xf>
    <xf numFmtId="0" fontId="6" fillId="0" borderId="14" xfId="0" applyFont="1" applyBorder="1" applyAlignment="1" applyProtection="1">
      <alignment wrapText="1"/>
      <protection locked="0"/>
    </xf>
    <xf numFmtId="0" fontId="2" fillId="0" borderId="14" xfId="0" applyFont="1" applyBorder="1" applyAlignment="1" applyProtection="1">
      <alignment horizontal="center" vertical="center" wrapText="1"/>
      <protection hidden="1"/>
    </xf>
    <xf numFmtId="0" fontId="2" fillId="0" borderId="14" xfId="0" applyFont="1" applyBorder="1" applyAlignment="1" applyProtection="1">
      <alignment horizontal="center" vertical="center"/>
      <protection hidden="1"/>
    </xf>
    <xf numFmtId="0" fontId="23" fillId="12" borderId="0" xfId="0" applyFont="1" applyFill="1" applyAlignment="1">
      <alignment vertical="center"/>
    </xf>
    <xf numFmtId="0" fontId="3" fillId="0" borderId="26" xfId="0" applyFont="1" applyBorder="1" applyProtection="1">
      <protection hidden="1"/>
    </xf>
    <xf numFmtId="0" fontId="22" fillId="0" borderId="50" xfId="0" applyFont="1" applyBorder="1" applyProtection="1">
      <protection hidden="1"/>
    </xf>
    <xf numFmtId="0" fontId="47" fillId="0" borderId="11" xfId="0" applyFont="1" applyBorder="1" applyAlignment="1" applyProtection="1">
      <alignment vertical="center"/>
      <protection hidden="1"/>
    </xf>
    <xf numFmtId="0" fontId="3" fillId="0" borderId="81" xfId="0" applyFont="1" applyBorder="1" applyProtection="1">
      <protection hidden="1"/>
    </xf>
    <xf numFmtId="0" fontId="22" fillId="0" borderId="0" xfId="0" applyFont="1" applyProtection="1">
      <protection hidden="1"/>
    </xf>
    <xf numFmtId="0" fontId="47" fillId="0" borderId="35" xfId="0" applyFont="1" applyBorder="1" applyAlignment="1" applyProtection="1">
      <alignment vertical="center"/>
      <protection hidden="1"/>
    </xf>
    <xf numFmtId="0" fontId="3" fillId="0" borderId="5" xfId="0" applyFont="1" applyBorder="1" applyProtection="1">
      <protection hidden="1"/>
    </xf>
    <xf numFmtId="0" fontId="48" fillId="0" borderId="4" xfId="0" applyFont="1" applyBorder="1" applyAlignment="1" applyProtection="1">
      <alignment vertical="center"/>
      <protection hidden="1"/>
    </xf>
    <xf numFmtId="0" fontId="48" fillId="0" borderId="3" xfId="0" applyFont="1" applyBorder="1" applyAlignment="1" applyProtection="1">
      <alignment vertical="center"/>
      <protection hidden="1"/>
    </xf>
    <xf numFmtId="0" fontId="23" fillId="0" borderId="0" xfId="0" applyFont="1"/>
    <xf numFmtId="0" fontId="23" fillId="12" borderId="213" xfId="0" applyFont="1" applyFill="1" applyBorder="1" applyAlignment="1">
      <alignment horizontal="center" vertical="center" wrapText="1"/>
    </xf>
    <xf numFmtId="0" fontId="5" fillId="0" borderId="0" xfId="0" applyFont="1"/>
    <xf numFmtId="0" fontId="23" fillId="0" borderId="0" xfId="0" applyFont="1" applyAlignment="1">
      <alignment vertical="center"/>
    </xf>
    <xf numFmtId="3" fontId="5" fillId="0" borderId="14" xfId="0" applyNumberFormat="1" applyFont="1" applyBorder="1" applyProtection="1">
      <protection hidden="1"/>
    </xf>
    <xf numFmtId="0" fontId="53" fillId="14" borderId="3" xfId="0" applyFont="1" applyFill="1" applyBorder="1" applyAlignment="1">
      <alignment vertical="center" wrapText="1"/>
    </xf>
    <xf numFmtId="0" fontId="53" fillId="14" borderId="4" xfId="0" applyFont="1" applyFill="1" applyBorder="1" applyAlignment="1">
      <alignment vertical="center" wrapText="1"/>
    </xf>
    <xf numFmtId="0" fontId="53" fillId="14" borderId="5" xfId="0" applyFont="1" applyFill="1" applyBorder="1" applyAlignment="1">
      <alignment vertical="center" wrapText="1"/>
    </xf>
    <xf numFmtId="0" fontId="53" fillId="14" borderId="11" xfId="0" applyFont="1" applyFill="1" applyBorder="1" applyAlignment="1">
      <alignment vertical="center" wrapText="1"/>
    </xf>
    <xf numFmtId="0" fontId="53" fillId="14" borderId="50" xfId="0" applyFont="1" applyFill="1" applyBorder="1" applyAlignment="1">
      <alignment vertical="center" wrapText="1"/>
    </xf>
    <xf numFmtId="0" fontId="53" fillId="14" borderId="26" xfId="0" applyFont="1" applyFill="1" applyBorder="1" applyAlignment="1">
      <alignment vertical="center" wrapText="1"/>
    </xf>
    <xf numFmtId="0" fontId="53" fillId="15" borderId="0" xfId="0" applyFont="1" applyFill="1" applyAlignment="1">
      <alignment vertical="center" wrapText="1"/>
    </xf>
    <xf numFmtId="0" fontId="23" fillId="14" borderId="50" xfId="0" applyFont="1" applyFill="1" applyBorder="1" applyAlignment="1">
      <alignment horizontal="center" vertical="center" wrapText="1"/>
    </xf>
    <xf numFmtId="0" fontId="6" fillId="14" borderId="0" xfId="0" applyFont="1" applyFill="1"/>
    <xf numFmtId="0" fontId="6" fillId="14" borderId="0" xfId="16" applyFont="1" applyFill="1"/>
    <xf numFmtId="0" fontId="0" fillId="14" borderId="0" xfId="0" applyFill="1"/>
    <xf numFmtId="1" fontId="37" fillId="3" borderId="0" xfId="0" applyNumberFormat="1" applyFont="1" applyFill="1"/>
    <xf numFmtId="1" fontId="26" fillId="3" borderId="0" xfId="0" applyNumberFormat="1" applyFont="1" applyFill="1" applyProtection="1">
      <protection locked="0"/>
    </xf>
    <xf numFmtId="1" fontId="26" fillId="3" borderId="0" xfId="0" applyNumberFormat="1" applyFont="1" applyFill="1"/>
    <xf numFmtId="1" fontId="3" fillId="3" borderId="0" xfId="0" applyNumberFormat="1" applyFont="1" applyFill="1"/>
    <xf numFmtId="1" fontId="2" fillId="3" borderId="0" xfId="0" applyNumberFormat="1" applyFont="1" applyFill="1" applyAlignment="1">
      <alignment horizontal="center" vertical="center" wrapText="1"/>
    </xf>
    <xf numFmtId="1" fontId="20" fillId="3" borderId="0" xfId="0" applyNumberFormat="1" applyFont="1" applyFill="1"/>
    <xf numFmtId="1" fontId="5" fillId="3" borderId="0" xfId="0" applyNumberFormat="1" applyFont="1" applyFill="1"/>
    <xf numFmtId="1" fontId="4" fillId="3" borderId="0" xfId="0" applyNumberFormat="1" applyFont="1" applyFill="1"/>
    <xf numFmtId="1" fontId="2" fillId="3" borderId="0" xfId="0" applyNumberFormat="1" applyFont="1" applyFill="1"/>
    <xf numFmtId="1" fontId="2" fillId="3" borderId="50" xfId="0" applyNumberFormat="1" applyFont="1" applyFill="1" applyBorder="1"/>
    <xf numFmtId="1" fontId="6" fillId="0" borderId="12" xfId="0" applyNumberFormat="1" applyFont="1" applyBorder="1" applyAlignment="1">
      <alignment horizontal="center" vertical="center" wrapText="1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1" fontId="6" fillId="0" borderId="47" xfId="0" applyNumberFormat="1" applyFont="1" applyBorder="1" applyAlignment="1">
      <alignment horizontal="center" vertical="center"/>
    </xf>
    <xf numFmtId="1" fontId="6" fillId="0" borderId="2" xfId="0" applyNumberFormat="1" applyFont="1" applyBorder="1" applyAlignment="1">
      <alignment horizontal="center" vertical="center" wrapText="1"/>
    </xf>
    <xf numFmtId="1" fontId="6" fillId="0" borderId="14" xfId="0" applyNumberFormat="1" applyFont="1" applyBorder="1" applyAlignment="1">
      <alignment horizontal="center" vertical="center" wrapText="1"/>
    </xf>
    <xf numFmtId="1" fontId="26" fillId="15" borderId="0" xfId="0" applyNumberFormat="1" applyFont="1" applyFill="1"/>
    <xf numFmtId="1" fontId="6" fillId="0" borderId="19" xfId="0" applyNumberFormat="1" applyFont="1" applyBorder="1"/>
    <xf numFmtId="1" fontId="6" fillId="4" borderId="16" xfId="0" applyNumberFormat="1" applyFont="1" applyFill="1" applyBorder="1"/>
    <xf numFmtId="1" fontId="6" fillId="5" borderId="64" xfId="0" applyNumberFormat="1" applyFont="1" applyFill="1" applyBorder="1" applyProtection="1">
      <protection locked="0"/>
    </xf>
    <xf numFmtId="1" fontId="6" fillId="4" borderId="45" xfId="0" applyNumberFormat="1" applyFont="1" applyFill="1" applyBorder="1"/>
    <xf numFmtId="1" fontId="6" fillId="4" borderId="18" xfId="0" applyNumberFormat="1" applyFont="1" applyFill="1" applyBorder="1"/>
    <xf numFmtId="1" fontId="6" fillId="0" borderId="24" xfId="0" applyNumberFormat="1" applyFont="1" applyBorder="1"/>
    <xf numFmtId="1" fontId="6" fillId="4" borderId="20" xfId="0" applyNumberFormat="1" applyFont="1" applyFill="1" applyBorder="1"/>
    <xf numFmtId="1" fontId="6" fillId="5" borderId="46" xfId="0" applyNumberFormat="1" applyFont="1" applyFill="1" applyBorder="1" applyProtection="1">
      <protection locked="0"/>
    </xf>
    <xf numFmtId="1" fontId="6" fillId="4" borderId="46" xfId="0" applyNumberFormat="1" applyFont="1" applyFill="1" applyBorder="1"/>
    <xf numFmtId="1" fontId="6" fillId="4" borderId="22" xfId="0" applyNumberFormat="1" applyFont="1" applyFill="1" applyBorder="1"/>
    <xf numFmtId="1" fontId="6" fillId="5" borderId="24" xfId="0" applyNumberFormat="1" applyFont="1" applyFill="1" applyBorder="1" applyProtection="1">
      <protection locked="0"/>
    </xf>
    <xf numFmtId="1" fontId="6" fillId="4" borderId="24" xfId="0" applyNumberFormat="1" applyFont="1" applyFill="1" applyBorder="1"/>
    <xf numFmtId="1" fontId="6" fillId="0" borderId="25" xfId="0" applyNumberFormat="1" applyFont="1" applyBorder="1"/>
    <xf numFmtId="1" fontId="6" fillId="3" borderId="25" xfId="0" applyNumberFormat="1" applyFont="1" applyFill="1" applyBorder="1"/>
    <xf numFmtId="1" fontId="6" fillId="4" borderId="41" xfId="0" applyNumberFormat="1" applyFont="1" applyFill="1" applyBorder="1"/>
    <xf numFmtId="1" fontId="6" fillId="5" borderId="45" xfId="0" applyNumberFormat="1" applyFont="1" applyFill="1" applyBorder="1" applyProtection="1">
      <protection locked="0"/>
    </xf>
    <xf numFmtId="1" fontId="6" fillId="4" borderId="42" xfId="0" applyNumberFormat="1" applyFont="1" applyFill="1" applyBorder="1"/>
    <xf numFmtId="1" fontId="6" fillId="5" borderId="25" xfId="0" applyNumberFormat="1" applyFont="1" applyFill="1" applyBorder="1" applyProtection="1">
      <protection locked="0"/>
    </xf>
    <xf numFmtId="1" fontId="6" fillId="0" borderId="29" xfId="0" applyNumberFormat="1" applyFont="1" applyBorder="1"/>
    <xf numFmtId="1" fontId="6" fillId="3" borderId="9" xfId="0" applyNumberFormat="1" applyFont="1" applyFill="1" applyBorder="1"/>
    <xf numFmtId="1" fontId="6" fillId="4" borderId="30" xfId="0" applyNumberFormat="1" applyFont="1" applyFill="1" applyBorder="1"/>
    <xf numFmtId="1" fontId="6" fillId="5" borderId="66" xfId="0" applyNumberFormat="1" applyFont="1" applyFill="1" applyBorder="1" applyProtection="1">
      <protection locked="0"/>
    </xf>
    <xf numFmtId="1" fontId="6" fillId="5" borderId="49" xfId="0" applyNumberFormat="1" applyFont="1" applyFill="1" applyBorder="1" applyProtection="1">
      <protection locked="0"/>
    </xf>
    <xf numFmtId="1" fontId="6" fillId="4" borderId="32" xfId="0" applyNumberFormat="1" applyFont="1" applyFill="1" applyBorder="1"/>
    <xf numFmtId="1" fontId="6" fillId="5" borderId="29" xfId="0" applyNumberFormat="1" applyFont="1" applyFill="1" applyBorder="1" applyProtection="1">
      <protection locked="0"/>
    </xf>
    <xf numFmtId="1" fontId="6" fillId="0" borderId="52" xfId="0" applyNumberFormat="1" applyFont="1" applyBorder="1"/>
    <xf numFmtId="1" fontId="6" fillId="4" borderId="49" xfId="0" applyNumberFormat="1" applyFont="1" applyFill="1" applyBorder="1"/>
    <xf numFmtId="1" fontId="6" fillId="4" borderId="28" xfId="0" applyNumberFormat="1" applyFont="1" applyFill="1" applyBorder="1"/>
    <xf numFmtId="1" fontId="6" fillId="5" borderId="18" xfId="0" applyNumberFormat="1" applyFont="1" applyFill="1" applyBorder="1" applyProtection="1">
      <protection locked="0"/>
    </xf>
    <xf numFmtId="1" fontId="6" fillId="5" borderId="56" xfId="0" applyNumberFormat="1" applyFont="1" applyFill="1" applyBorder="1" applyProtection="1">
      <protection locked="0"/>
    </xf>
    <xf numFmtId="1" fontId="6" fillId="5" borderId="22" xfId="0" applyNumberFormat="1" applyFont="1" applyFill="1" applyBorder="1" applyProtection="1">
      <protection locked="0"/>
    </xf>
    <xf numFmtId="1" fontId="6" fillId="5" borderId="58" xfId="0" applyNumberFormat="1" applyFont="1" applyFill="1" applyBorder="1" applyProtection="1">
      <protection locked="0"/>
    </xf>
    <xf numFmtId="1" fontId="5" fillId="15" borderId="0" xfId="0" applyNumberFormat="1" applyFont="1" applyFill="1"/>
    <xf numFmtId="1" fontId="3" fillId="15" borderId="0" xfId="0" applyNumberFormat="1" applyFont="1" applyFill="1"/>
    <xf numFmtId="1" fontId="6" fillId="0" borderId="10" xfId="0" applyNumberFormat="1" applyFont="1" applyBorder="1" applyAlignment="1">
      <alignment horizontal="center" vertical="center"/>
    </xf>
    <xf numFmtId="1" fontId="6" fillId="0" borderId="14" xfId="0" applyNumberFormat="1" applyFont="1" applyBorder="1" applyAlignment="1">
      <alignment horizontal="center" vertical="center"/>
    </xf>
    <xf numFmtId="1" fontId="6" fillId="0" borderId="8" xfId="0" applyNumberFormat="1" applyFont="1" applyBorder="1" applyAlignment="1">
      <alignment horizontal="center" vertical="center" wrapText="1"/>
    </xf>
    <xf numFmtId="1" fontId="6" fillId="0" borderId="50" xfId="0" applyNumberFormat="1" applyFont="1" applyBorder="1" applyAlignment="1">
      <alignment horizontal="center" vertical="center" wrapText="1"/>
    </xf>
    <xf numFmtId="1" fontId="6" fillId="0" borderId="48" xfId="0" applyNumberFormat="1" applyFont="1" applyBorder="1" applyAlignment="1">
      <alignment horizontal="center" vertical="center" wrapText="1"/>
    </xf>
    <xf numFmtId="1" fontId="6" fillId="3" borderId="47" xfId="0" applyNumberFormat="1" applyFont="1" applyFill="1" applyBorder="1" applyAlignment="1">
      <alignment horizontal="center" vertical="center"/>
    </xf>
    <xf numFmtId="1" fontId="6" fillId="3" borderId="13" xfId="0" applyNumberFormat="1" applyFont="1" applyFill="1" applyBorder="1" applyAlignment="1">
      <alignment horizontal="center" vertical="center" wrapText="1"/>
    </xf>
    <xf numFmtId="1" fontId="6" fillId="3" borderId="0" xfId="0" applyNumberFormat="1" applyFont="1" applyFill="1" applyProtection="1">
      <protection locked="0"/>
    </xf>
    <xf numFmtId="1" fontId="6" fillId="5" borderId="16" xfId="0" applyNumberFormat="1" applyFont="1" applyFill="1" applyBorder="1" applyProtection="1">
      <protection locked="0"/>
    </xf>
    <xf numFmtId="1" fontId="17" fillId="3" borderId="0" xfId="0" applyNumberFormat="1" applyFont="1" applyFill="1"/>
    <xf numFmtId="1" fontId="6" fillId="3" borderId="0" xfId="0" applyNumberFormat="1" applyFont="1" applyFill="1" applyAlignment="1">
      <alignment wrapText="1"/>
    </xf>
    <xf numFmtId="1" fontId="6" fillId="0" borderId="37" xfId="0" applyNumberFormat="1" applyFont="1" applyBorder="1"/>
    <xf numFmtId="1" fontId="6" fillId="5" borderId="38" xfId="0" applyNumberFormat="1" applyFont="1" applyFill="1" applyBorder="1" applyProtection="1">
      <protection locked="0"/>
    </xf>
    <xf numFmtId="1" fontId="6" fillId="5" borderId="63" xfId="0" applyNumberFormat="1" applyFont="1" applyFill="1" applyBorder="1" applyProtection="1">
      <protection locked="0"/>
    </xf>
    <xf numFmtId="1" fontId="6" fillId="5" borderId="85" xfId="0" applyNumberFormat="1" applyFont="1" applyFill="1" applyBorder="1" applyProtection="1">
      <protection locked="0"/>
    </xf>
    <xf numFmtId="1" fontId="6" fillId="5" borderId="57" xfId="0" applyNumberFormat="1" applyFont="1" applyFill="1" applyBorder="1" applyProtection="1">
      <protection locked="0"/>
    </xf>
    <xf numFmtId="1" fontId="6" fillId="4" borderId="63" xfId="0" applyNumberFormat="1" applyFont="1" applyFill="1" applyBorder="1"/>
    <xf numFmtId="1" fontId="6" fillId="5" borderId="89" xfId="0" applyNumberFormat="1" applyFont="1" applyFill="1" applyBorder="1" applyProtection="1">
      <protection locked="0"/>
    </xf>
    <xf numFmtId="1" fontId="6" fillId="5" borderId="61" xfId="0" applyNumberFormat="1" applyFont="1" applyFill="1" applyBorder="1" applyProtection="1">
      <protection locked="0"/>
    </xf>
    <xf numFmtId="1" fontId="6" fillId="5" borderId="87" xfId="0" applyNumberFormat="1" applyFont="1" applyFill="1" applyBorder="1" applyProtection="1">
      <protection locked="0"/>
    </xf>
    <xf numFmtId="1" fontId="6" fillId="4" borderId="37" xfId="0" applyNumberFormat="1" applyFont="1" applyFill="1" applyBorder="1"/>
    <xf numFmtId="1" fontId="6" fillId="4" borderId="69" xfId="0" applyNumberFormat="1" applyFont="1" applyFill="1" applyBorder="1"/>
    <xf numFmtId="1" fontId="6" fillId="4" borderId="86" xfId="0" applyNumberFormat="1" applyFont="1" applyFill="1" applyBorder="1"/>
    <xf numFmtId="1" fontId="4" fillId="0" borderId="50" xfId="0" applyNumberFormat="1" applyFont="1" applyBorder="1"/>
    <xf numFmtId="1" fontId="4" fillId="3" borderId="50" xfId="0" applyNumberFormat="1" applyFont="1" applyFill="1" applyBorder="1"/>
    <xf numFmtId="1" fontId="26" fillId="0" borderId="0" xfId="0" applyNumberFormat="1" applyFont="1"/>
    <xf numFmtId="1" fontId="26" fillId="0" borderId="158" xfId="0" applyNumberFormat="1" applyFont="1" applyBorder="1"/>
    <xf numFmtId="1" fontId="26" fillId="0" borderId="156" xfId="0" applyNumberFormat="1" applyFont="1" applyBorder="1"/>
    <xf numFmtId="1" fontId="26" fillId="0" borderId="155" xfId="0" applyNumberFormat="1" applyFont="1" applyBorder="1"/>
    <xf numFmtId="1" fontId="6" fillId="0" borderId="3" xfId="0" applyNumberFormat="1" applyFont="1" applyBorder="1" applyAlignment="1">
      <alignment horizontal="center" vertical="center"/>
    </xf>
    <xf numFmtId="1" fontId="6" fillId="4" borderId="54" xfId="0" applyNumberFormat="1" applyFont="1" applyFill="1" applyBorder="1"/>
    <xf numFmtId="1" fontId="6" fillId="0" borderId="37" xfId="0" applyNumberFormat="1" applyFont="1" applyBorder="1" applyAlignment="1">
      <alignment horizontal="left"/>
    </xf>
    <xf numFmtId="1" fontId="6" fillId="4" borderId="55" xfId="0" applyNumberFormat="1" applyFont="1" applyFill="1" applyBorder="1"/>
    <xf numFmtId="1" fontId="6" fillId="4" borderId="36" xfId="0" applyNumberFormat="1" applyFont="1" applyFill="1" applyBorder="1"/>
    <xf numFmtId="1" fontId="6" fillId="5" borderId="36" xfId="0" applyNumberFormat="1" applyFont="1" applyFill="1" applyBorder="1" applyProtection="1">
      <protection locked="0"/>
    </xf>
    <xf numFmtId="1" fontId="6" fillId="5" borderId="37" xfId="0" applyNumberFormat="1" applyFont="1" applyFill="1" applyBorder="1" applyProtection="1">
      <protection locked="0"/>
    </xf>
    <xf numFmtId="1" fontId="6" fillId="4" borderId="64" xfId="0" applyNumberFormat="1" applyFont="1" applyFill="1" applyBorder="1"/>
    <xf numFmtId="1" fontId="6" fillId="5" borderId="20" xfId="0" applyNumberFormat="1" applyFont="1" applyFill="1" applyBorder="1" applyProtection="1">
      <protection locked="0"/>
    </xf>
    <xf numFmtId="1" fontId="6" fillId="0" borderId="24" xfId="0" applyNumberFormat="1" applyFont="1" applyBorder="1" applyAlignment="1">
      <alignment horizontal="left"/>
    </xf>
    <xf numFmtId="1" fontId="6" fillId="5" borderId="21" xfId="0" applyNumberFormat="1" applyFont="1" applyFill="1" applyBorder="1" applyProtection="1">
      <protection locked="0"/>
    </xf>
    <xf numFmtId="1" fontId="6" fillId="4" borderId="21" xfId="0" applyNumberFormat="1" applyFont="1" applyFill="1" applyBorder="1"/>
    <xf numFmtId="1" fontId="6" fillId="5" borderId="41" xfId="0" applyNumberFormat="1" applyFont="1" applyFill="1" applyBorder="1" applyProtection="1">
      <protection locked="0"/>
    </xf>
    <xf numFmtId="1" fontId="6" fillId="5" borderId="42" xfId="0" applyNumberFormat="1" applyFont="1" applyFill="1" applyBorder="1" applyProtection="1">
      <protection locked="0"/>
    </xf>
    <xf numFmtId="1" fontId="6" fillId="4" borderId="31" xfId="0" applyNumberFormat="1" applyFont="1" applyFill="1" applyBorder="1"/>
    <xf numFmtId="1" fontId="6" fillId="4" borderId="38" xfId="0" applyNumberFormat="1" applyFont="1" applyFill="1" applyBorder="1"/>
    <xf numFmtId="1" fontId="6" fillId="4" borderId="51" xfId="0" applyNumberFormat="1" applyFont="1" applyFill="1" applyBorder="1"/>
    <xf numFmtId="1" fontId="6" fillId="4" borderId="40" xfId="0" applyNumberFormat="1" applyFont="1" applyFill="1" applyBorder="1"/>
    <xf numFmtId="1" fontId="6" fillId="4" borderId="23" xfId="0" applyNumberFormat="1" applyFont="1" applyFill="1" applyBorder="1"/>
    <xf numFmtId="1" fontId="4" fillId="0" borderId="0" xfId="0" applyNumberFormat="1" applyFont="1"/>
    <xf numFmtId="1" fontId="6" fillId="5" borderId="54" xfId="0" applyNumberFormat="1" applyFont="1" applyFill="1" applyBorder="1" applyProtection="1">
      <protection locked="0"/>
    </xf>
    <xf numFmtId="1" fontId="6" fillId="0" borderId="40" xfId="0" applyNumberFormat="1" applyFont="1" applyBorder="1"/>
    <xf numFmtId="1" fontId="6" fillId="5" borderId="55" xfId="0" applyNumberFormat="1" applyFont="1" applyFill="1" applyBorder="1" applyProtection="1">
      <protection locked="0"/>
    </xf>
    <xf numFmtId="1" fontId="6" fillId="0" borderId="62" xfId="0" applyNumberFormat="1" applyFont="1" applyBorder="1"/>
    <xf numFmtId="1" fontId="6" fillId="5" borderId="30" xfId="0" applyNumberFormat="1" applyFont="1" applyFill="1" applyBorder="1" applyProtection="1">
      <protection locked="0"/>
    </xf>
    <xf numFmtId="1" fontId="6" fillId="5" borderId="32" xfId="0" applyNumberFormat="1" applyFont="1" applyFill="1" applyBorder="1" applyProtection="1">
      <protection locked="0"/>
    </xf>
    <xf numFmtId="1" fontId="6" fillId="0" borderId="6" xfId="0" applyNumberFormat="1" applyFont="1" applyBorder="1"/>
    <xf numFmtId="1" fontId="6" fillId="0" borderId="47" xfId="0" applyNumberFormat="1" applyFont="1" applyBorder="1"/>
    <xf numFmtId="1" fontId="6" fillId="0" borderId="8" xfId="0" applyNumberFormat="1" applyFont="1" applyBorder="1"/>
    <xf numFmtId="1" fontId="6" fillId="0" borderId="14" xfId="0" applyNumberFormat="1" applyFont="1" applyBorder="1"/>
    <xf numFmtId="1" fontId="6" fillId="0" borderId="48" xfId="0" applyNumberFormat="1" applyFont="1" applyBorder="1"/>
    <xf numFmtId="1" fontId="6" fillId="0" borderId="7" xfId="0" applyNumberFormat="1" applyFont="1" applyBorder="1"/>
    <xf numFmtId="1" fontId="6" fillId="3" borderId="0" xfId="0" applyNumberFormat="1" applyFont="1" applyFill="1"/>
    <xf numFmtId="1" fontId="6" fillId="0" borderId="13" xfId="0" applyNumberFormat="1" applyFont="1" applyBorder="1" applyAlignment="1">
      <alignment horizontal="center" vertical="center" wrapText="1"/>
    </xf>
    <xf numFmtId="1" fontId="6" fillId="3" borderId="37" xfId="0" applyNumberFormat="1" applyFont="1" applyFill="1" applyBorder="1"/>
    <xf numFmtId="1" fontId="6" fillId="3" borderId="24" xfId="0" applyNumberFormat="1" applyFont="1" applyFill="1" applyBorder="1"/>
    <xf numFmtId="1" fontId="3" fillId="3" borderId="0" xfId="0" quotePrefix="1" applyNumberFormat="1" applyFont="1" applyFill="1"/>
    <xf numFmtId="1" fontId="6" fillId="3" borderId="35" xfId="0" applyNumberFormat="1" applyFont="1" applyFill="1" applyBorder="1"/>
    <xf numFmtId="1" fontId="6" fillId="0" borderId="8" xfId="0" applyNumberFormat="1" applyFont="1" applyBorder="1" applyAlignment="1">
      <alignment horizontal="center" vertical="center"/>
    </xf>
    <xf numFmtId="1" fontId="6" fillId="5" borderId="31" xfId="0" applyNumberFormat="1" applyFont="1" applyFill="1" applyBorder="1" applyProtection="1">
      <protection locked="0"/>
    </xf>
    <xf numFmtId="1" fontId="6" fillId="5" borderId="51" xfId="0" applyNumberFormat="1" applyFont="1" applyFill="1" applyBorder="1" applyProtection="1">
      <protection locked="0"/>
    </xf>
    <xf numFmtId="1" fontId="6" fillId="0" borderId="13" xfId="0" applyNumberFormat="1" applyFont="1" applyBorder="1"/>
    <xf numFmtId="1" fontId="6" fillId="0" borderId="51" xfId="0" applyNumberFormat="1" applyFont="1" applyBorder="1"/>
    <xf numFmtId="1" fontId="6" fillId="0" borderId="24" xfId="0" applyNumberFormat="1" applyFont="1" applyBorder="1" applyAlignment="1">
      <alignment horizontal="left" vertical="center"/>
    </xf>
    <xf numFmtId="1" fontId="6" fillId="0" borderId="21" xfId="0" applyNumberFormat="1" applyFont="1" applyBorder="1"/>
    <xf numFmtId="1" fontId="6" fillId="5" borderId="27" xfId="0" applyNumberFormat="1" applyFont="1" applyFill="1" applyBorder="1" applyProtection="1">
      <protection locked="0"/>
    </xf>
    <xf numFmtId="1" fontId="6" fillId="5" borderId="28" xfId="0" applyNumberFormat="1" applyFont="1" applyFill="1" applyBorder="1" applyProtection="1">
      <protection locked="0"/>
    </xf>
    <xf numFmtId="1" fontId="15" fillId="3" borderId="0" xfId="0" applyNumberFormat="1" applyFont="1" applyFill="1"/>
    <xf numFmtId="1" fontId="26" fillId="14" borderId="0" xfId="0" applyNumberFormat="1" applyFont="1" applyFill="1"/>
    <xf numFmtId="1" fontId="52" fillId="3" borderId="0" xfId="0" applyNumberFormat="1" applyFont="1" applyFill="1"/>
    <xf numFmtId="1" fontId="51" fillId="3" borderId="0" xfId="0" applyNumberFormat="1" applyFont="1" applyFill="1"/>
    <xf numFmtId="1" fontId="51" fillId="3" borderId="0" xfId="0" applyNumberFormat="1" applyFont="1" applyFill="1" applyProtection="1">
      <protection locked="0"/>
    </xf>
    <xf numFmtId="1" fontId="0" fillId="3" borderId="0" xfId="0" applyNumberFormat="1" applyFill="1"/>
    <xf numFmtId="1" fontId="0" fillId="3" borderId="0" xfId="0" applyNumberFormat="1" applyFill="1" applyProtection="1">
      <protection locked="0"/>
    </xf>
    <xf numFmtId="1" fontId="5" fillId="3" borderId="160" xfId="0" applyNumberFormat="1" applyFont="1" applyFill="1" applyBorder="1" applyAlignment="1">
      <alignment wrapText="1"/>
    </xf>
    <xf numFmtId="1" fontId="5" fillId="3" borderId="0" xfId="0" applyNumberFormat="1" applyFont="1" applyFill="1" applyAlignment="1">
      <alignment wrapText="1"/>
    </xf>
    <xf numFmtId="1" fontId="6" fillId="0" borderId="8" xfId="0" applyNumberFormat="1" applyFont="1" applyBorder="1" applyAlignment="1">
      <alignment horizontal="right"/>
    </xf>
    <xf numFmtId="1" fontId="6" fillId="5" borderId="13" xfId="0" applyNumberFormat="1" applyFont="1" applyFill="1" applyBorder="1" applyProtection="1">
      <protection locked="0"/>
    </xf>
    <xf numFmtId="1" fontId="6" fillId="0" borderId="31" xfId="0" applyNumberFormat="1" applyFont="1" applyBorder="1" applyAlignment="1">
      <alignment horizontal="right"/>
    </xf>
    <xf numFmtId="1" fontId="6" fillId="0" borderId="21" xfId="0" applyNumberFormat="1" applyFont="1" applyBorder="1" applyAlignment="1">
      <alignment horizontal="right"/>
    </xf>
    <xf numFmtId="1" fontId="6" fillId="2" borderId="1" xfId="15" applyNumberFormat="1" applyFont="1" applyProtection="1">
      <protection locked="0"/>
    </xf>
    <xf numFmtId="1" fontId="6" fillId="0" borderId="0" xfId="0" applyNumberFormat="1" applyFont="1"/>
    <xf numFmtId="1" fontId="6" fillId="0" borderId="99" xfId="0" applyNumberFormat="1" applyFont="1" applyBorder="1"/>
    <xf numFmtId="1" fontId="2" fillId="3" borderId="0" xfId="0" applyNumberFormat="1" applyFont="1" applyFill="1" applyAlignment="1">
      <alignment wrapText="1"/>
    </xf>
    <xf numFmtId="1" fontId="6" fillId="0" borderId="6" xfId="0" applyNumberFormat="1" applyFont="1" applyBorder="1" applyAlignment="1">
      <alignment horizontal="center" vertical="center" wrapText="1"/>
    </xf>
    <xf numFmtId="1" fontId="6" fillId="5" borderId="52" xfId="0" applyNumberFormat="1" applyFont="1" applyFill="1" applyBorder="1" applyProtection="1">
      <protection locked="0"/>
    </xf>
    <xf numFmtId="1" fontId="6" fillId="5" borderId="40" xfId="0" applyNumberFormat="1" applyFont="1" applyFill="1" applyBorder="1" applyProtection="1">
      <protection locked="0"/>
    </xf>
    <xf numFmtId="1" fontId="6" fillId="0" borderId="37" xfId="0" applyNumberFormat="1" applyFont="1" applyBorder="1" applyAlignment="1">
      <alignment horizontal="right" wrapText="1"/>
    </xf>
    <xf numFmtId="1" fontId="6" fillId="0" borderId="51" xfId="0" applyNumberFormat="1" applyFont="1" applyBorder="1" applyAlignment="1">
      <alignment horizontal="right"/>
    </xf>
    <xf numFmtId="1" fontId="6" fillId="5" borderId="23" xfId="0" applyNumberFormat="1" applyFont="1" applyFill="1" applyBorder="1" applyProtection="1">
      <protection locked="0"/>
    </xf>
    <xf numFmtId="1" fontId="6" fillId="0" borderId="39" xfId="0" applyNumberFormat="1" applyFont="1" applyBorder="1" applyAlignment="1">
      <alignment horizontal="right"/>
    </xf>
    <xf numFmtId="1" fontId="6" fillId="5" borderId="62" xfId="0" applyNumberFormat="1" applyFont="1" applyFill="1" applyBorder="1" applyProtection="1">
      <protection locked="0"/>
    </xf>
    <xf numFmtId="1" fontId="6" fillId="0" borderId="76" xfId="0" applyNumberFormat="1" applyFont="1" applyBorder="1" applyAlignment="1">
      <alignment horizontal="left" vertical="center" wrapText="1"/>
    </xf>
    <xf numFmtId="1" fontId="6" fillId="5" borderId="78" xfId="0" applyNumberFormat="1" applyFont="1" applyFill="1" applyBorder="1" applyProtection="1">
      <protection locked="0"/>
    </xf>
    <xf numFmtId="1" fontId="6" fillId="5" borderId="79" xfId="0" applyNumberFormat="1" applyFont="1" applyFill="1" applyBorder="1" applyProtection="1">
      <protection locked="0"/>
    </xf>
    <xf numFmtId="1" fontId="6" fillId="5" borderId="80" xfId="0" applyNumberFormat="1" applyFont="1" applyFill="1" applyBorder="1" applyProtection="1">
      <protection locked="0"/>
    </xf>
    <xf numFmtId="1" fontId="4" fillId="0" borderId="7" xfId="0" applyNumberFormat="1" applyFont="1" applyBorder="1"/>
    <xf numFmtId="1" fontId="6" fillId="0" borderId="26" xfId="0" applyNumberFormat="1" applyFont="1" applyBorder="1" applyAlignment="1">
      <alignment horizontal="center" vertical="center" wrapText="1"/>
    </xf>
    <xf numFmtId="1" fontId="6" fillId="0" borderId="3" xfId="0" applyNumberFormat="1" applyFont="1" applyBorder="1" applyAlignment="1">
      <alignment horizontal="center" vertical="center" wrapText="1"/>
    </xf>
    <xf numFmtId="1" fontId="6" fillId="0" borderId="5" xfId="0" applyNumberFormat="1" applyFont="1" applyBorder="1" applyAlignment="1">
      <alignment horizontal="center" vertical="center" wrapText="1"/>
    </xf>
    <xf numFmtId="1" fontId="6" fillId="0" borderId="25" xfId="0" applyNumberFormat="1" applyFont="1" applyBorder="1" applyAlignment="1">
      <alignment vertical="center" wrapText="1"/>
    </xf>
    <xf numFmtId="1" fontId="6" fillId="0" borderId="31" xfId="0" applyNumberFormat="1" applyFont="1" applyBorder="1"/>
    <xf numFmtId="1" fontId="6" fillId="5" borderId="39" xfId="0" applyNumberFormat="1" applyFont="1" applyFill="1" applyBorder="1" applyProtection="1">
      <protection locked="0"/>
    </xf>
    <xf numFmtId="1" fontId="6" fillId="0" borderId="51" xfId="0" applyNumberFormat="1" applyFont="1" applyBorder="1" applyAlignment="1">
      <alignment horizontal="right" wrapText="1"/>
    </xf>
    <xf numFmtId="1" fontId="6" fillId="0" borderId="21" xfId="0" applyNumberFormat="1" applyFont="1" applyBorder="1" applyAlignment="1">
      <alignment horizontal="right" wrapText="1"/>
    </xf>
    <xf numFmtId="1" fontId="10" fillId="3" borderId="0" xfId="0" applyNumberFormat="1" applyFont="1" applyFill="1"/>
    <xf numFmtId="1" fontId="6" fillId="0" borderId="31" xfId="0" applyNumberFormat="1" applyFont="1" applyBorder="1" applyAlignment="1">
      <alignment horizontal="right" wrapText="1"/>
    </xf>
    <xf numFmtId="1" fontId="6" fillId="5" borderId="93" xfId="0" applyNumberFormat="1" applyFont="1" applyFill="1" applyBorder="1" applyProtection="1">
      <protection locked="0"/>
    </xf>
    <xf numFmtId="1" fontId="6" fillId="0" borderId="81" xfId="0" applyNumberFormat="1" applyFont="1" applyBorder="1" applyAlignment="1">
      <alignment horizontal="right" wrapText="1"/>
    </xf>
    <xf numFmtId="1" fontId="6" fillId="5" borderId="60" xfId="0" applyNumberFormat="1" applyFont="1" applyFill="1" applyBorder="1" applyProtection="1">
      <protection locked="0"/>
    </xf>
    <xf numFmtId="1" fontId="6" fillId="0" borderId="172" xfId="0" applyNumberFormat="1" applyFont="1" applyBorder="1" applyAlignment="1">
      <alignment wrapText="1"/>
    </xf>
    <xf numFmtId="1" fontId="6" fillId="16" borderId="20" xfId="0" applyNumberFormat="1" applyFont="1" applyFill="1" applyBorder="1" applyProtection="1">
      <protection locked="0"/>
    </xf>
    <xf numFmtId="1" fontId="6" fillId="16" borderId="22" xfId="0" applyNumberFormat="1" applyFont="1" applyFill="1" applyBorder="1" applyProtection="1">
      <protection locked="0"/>
    </xf>
    <xf numFmtId="1" fontId="6" fillId="0" borderId="121" xfId="0" applyNumberFormat="1" applyFont="1" applyBorder="1" applyAlignment="1">
      <alignment wrapText="1"/>
    </xf>
    <xf numFmtId="1" fontId="6" fillId="3" borderId="14" xfId="0" applyNumberFormat="1" applyFont="1" applyFill="1" applyBorder="1" applyAlignment="1">
      <alignment horizontal="center" vertical="center" wrapText="1"/>
    </xf>
    <xf numFmtId="1" fontId="6" fillId="0" borderId="47" xfId="0" applyNumberFormat="1" applyFont="1" applyBorder="1" applyAlignment="1">
      <alignment horizontal="center" vertical="center" wrapText="1"/>
    </xf>
    <xf numFmtId="1" fontId="6" fillId="3" borderId="172" xfId="0" applyNumberFormat="1" applyFont="1" applyFill="1" applyBorder="1" applyAlignment="1">
      <alignment wrapText="1"/>
    </xf>
    <xf numFmtId="1" fontId="15" fillId="3" borderId="0" xfId="0" applyNumberFormat="1" applyFont="1" applyFill="1" applyAlignment="1">
      <alignment wrapText="1"/>
    </xf>
    <xf numFmtId="1" fontId="7" fillId="0" borderId="14" xfId="0" applyNumberFormat="1" applyFont="1" applyBorder="1" applyAlignment="1">
      <alignment horizontal="center" vertical="center" wrapText="1"/>
    </xf>
    <xf numFmtId="1" fontId="6" fillId="0" borderId="167" xfId="0" applyNumberFormat="1" applyFont="1" applyBorder="1" applyAlignment="1">
      <alignment wrapText="1"/>
    </xf>
    <xf numFmtId="1" fontId="6" fillId="4" borderId="39" xfId="0" applyNumberFormat="1" applyFont="1" applyFill="1" applyBorder="1"/>
    <xf numFmtId="1" fontId="6" fillId="0" borderId="76" xfId="0" applyNumberFormat="1" applyFont="1" applyBorder="1" applyAlignment="1">
      <alignment vertical="center" wrapText="1"/>
    </xf>
    <xf numFmtId="1" fontId="6" fillId="5" borderId="76" xfId="0" applyNumberFormat="1" applyFont="1" applyFill="1" applyBorder="1" applyProtection="1">
      <protection locked="0"/>
    </xf>
    <xf numFmtId="1" fontId="6" fillId="4" borderId="77" xfId="0" applyNumberFormat="1" applyFont="1" applyFill="1" applyBorder="1"/>
    <xf numFmtId="1" fontId="6" fillId="0" borderId="0" xfId="0" applyNumberFormat="1" applyFont="1" applyAlignment="1">
      <alignment wrapText="1"/>
    </xf>
    <xf numFmtId="1" fontId="6" fillId="0" borderId="0" xfId="0" applyNumberFormat="1" applyFont="1" applyAlignment="1">
      <alignment horizontal="left" vertical="center" wrapText="1"/>
    </xf>
    <xf numFmtId="1" fontId="6" fillId="0" borderId="39" xfId="0" applyNumberFormat="1" applyFont="1" applyBorder="1"/>
    <xf numFmtId="1" fontId="6" fillId="5" borderId="86" xfId="0" applyNumberFormat="1" applyFont="1" applyFill="1" applyBorder="1" applyProtection="1">
      <protection locked="0"/>
    </xf>
    <xf numFmtId="1" fontId="6" fillId="0" borderId="39" xfId="0" applyNumberFormat="1" applyFont="1" applyBorder="1" applyAlignment="1">
      <alignment horizontal="right" wrapText="1"/>
    </xf>
    <xf numFmtId="1" fontId="6" fillId="0" borderId="20" xfId="0" applyNumberFormat="1" applyFont="1" applyBorder="1" applyAlignment="1">
      <alignment vertical="center" wrapText="1"/>
    </xf>
    <xf numFmtId="1" fontId="6" fillId="5" borderId="59" xfId="0" applyNumberFormat="1" applyFont="1" applyFill="1" applyBorder="1" applyProtection="1">
      <protection locked="0"/>
    </xf>
    <xf numFmtId="1" fontId="6" fillId="0" borderId="86" xfId="0" applyNumberFormat="1" applyFont="1" applyBorder="1"/>
    <xf numFmtId="1" fontId="6" fillId="5" borderId="69" xfId="0" applyNumberFormat="1" applyFont="1" applyFill="1" applyBorder="1" applyProtection="1">
      <protection locked="0"/>
    </xf>
    <xf numFmtId="1" fontId="6" fillId="5" borderId="91" xfId="0" applyNumberFormat="1" applyFont="1" applyFill="1" applyBorder="1" applyProtection="1">
      <protection locked="0"/>
    </xf>
    <xf numFmtId="1" fontId="6" fillId="0" borderId="9" xfId="0" applyNumberFormat="1" applyFont="1" applyBorder="1"/>
    <xf numFmtId="1" fontId="6" fillId="5" borderId="33" xfId="0" applyNumberFormat="1" applyFont="1" applyFill="1" applyBorder="1" applyProtection="1">
      <protection locked="0"/>
    </xf>
    <xf numFmtId="1" fontId="6" fillId="5" borderId="65" xfId="0" applyNumberFormat="1" applyFont="1" applyFill="1" applyBorder="1" applyProtection="1">
      <protection locked="0"/>
    </xf>
    <xf numFmtId="1" fontId="6" fillId="5" borderId="94" xfId="0" applyNumberFormat="1" applyFont="1" applyFill="1" applyBorder="1" applyProtection="1">
      <protection locked="0"/>
    </xf>
    <xf numFmtId="1" fontId="6" fillId="5" borderId="34" xfId="0" applyNumberFormat="1" applyFont="1" applyFill="1" applyBorder="1" applyProtection="1">
      <protection locked="0"/>
    </xf>
    <xf numFmtId="1" fontId="6" fillId="5" borderId="95" xfId="0" applyNumberFormat="1" applyFont="1" applyFill="1" applyBorder="1" applyProtection="1">
      <protection locked="0"/>
    </xf>
    <xf numFmtId="1" fontId="6" fillId="5" borderId="96" xfId="0" applyNumberFormat="1" applyFont="1" applyFill="1" applyBorder="1" applyProtection="1">
      <protection locked="0"/>
    </xf>
    <xf numFmtId="1" fontId="6" fillId="0" borderId="53" xfId="0" applyNumberFormat="1" applyFont="1" applyBorder="1" applyAlignment="1">
      <alignment horizontal="center" vertical="center"/>
    </xf>
    <xf numFmtId="1" fontId="6" fillId="0" borderId="26" xfId="0" applyNumberFormat="1" applyFont="1" applyBorder="1"/>
    <xf numFmtId="1" fontId="6" fillId="0" borderId="81" xfId="0" applyNumberFormat="1" applyFont="1" applyBorder="1"/>
    <xf numFmtId="1" fontId="6" fillId="0" borderId="24" xfId="0" applyNumberFormat="1" applyFont="1" applyBorder="1" applyAlignment="1">
      <alignment wrapText="1"/>
    </xf>
    <xf numFmtId="1" fontId="6" fillId="0" borderId="23" xfId="0" applyNumberFormat="1" applyFont="1" applyBorder="1"/>
    <xf numFmtId="1" fontId="6" fillId="3" borderId="51" xfId="0" applyNumberFormat="1" applyFont="1" applyFill="1" applyBorder="1" applyAlignment="1">
      <alignment horizontal="right"/>
    </xf>
    <xf numFmtId="1" fontId="6" fillId="5" borderId="51" xfId="0" applyNumberFormat="1" applyFont="1" applyFill="1" applyBorder="1" applyAlignment="1" applyProtection="1">
      <alignment wrapText="1"/>
      <protection locked="0"/>
    </xf>
    <xf numFmtId="1" fontId="6" fillId="5" borderId="31" xfId="0" applyNumberFormat="1" applyFont="1" applyFill="1" applyBorder="1" applyAlignment="1" applyProtection="1">
      <alignment wrapText="1"/>
      <protection locked="0"/>
    </xf>
    <xf numFmtId="1" fontId="6" fillId="5" borderId="21" xfId="0" applyNumberFormat="1" applyFont="1" applyFill="1" applyBorder="1" applyAlignment="1" applyProtection="1">
      <alignment wrapText="1"/>
      <protection locked="0"/>
    </xf>
    <xf numFmtId="1" fontId="6" fillId="3" borderId="172" xfId="0" applyNumberFormat="1" applyFont="1" applyFill="1" applyBorder="1"/>
    <xf numFmtId="1" fontId="6" fillId="0" borderId="172" xfId="0" applyNumberFormat="1" applyFont="1" applyBorder="1" applyProtection="1">
      <protection hidden="1"/>
    </xf>
    <xf numFmtId="1" fontId="6" fillId="0" borderId="172" xfId="0" applyNumberFormat="1" applyFont="1" applyBorder="1"/>
    <xf numFmtId="1" fontId="6" fillId="0" borderId="165" xfId="0" applyNumberFormat="1" applyFont="1" applyBorder="1"/>
    <xf numFmtId="1" fontId="6" fillId="0" borderId="174" xfId="0" applyNumberFormat="1" applyFont="1" applyBorder="1"/>
    <xf numFmtId="1" fontId="4" fillId="3" borderId="4" xfId="0" applyNumberFormat="1" applyFont="1" applyFill="1" applyBorder="1"/>
    <xf numFmtId="1" fontId="6" fillId="5" borderId="24" xfId="0" applyNumberFormat="1" applyFont="1" applyFill="1" applyBorder="1" applyAlignment="1" applyProtection="1">
      <alignment wrapText="1"/>
      <protection locked="0"/>
    </xf>
    <xf numFmtId="1" fontId="4" fillId="0" borderId="99" xfId="0" applyNumberFormat="1" applyFont="1" applyBorder="1"/>
    <xf numFmtId="1" fontId="6" fillId="3" borderId="165" xfId="0" applyNumberFormat="1" applyFont="1" applyFill="1" applyBorder="1"/>
    <xf numFmtId="1" fontId="6" fillId="0" borderId="170" xfId="0" applyNumberFormat="1" applyFont="1" applyBorder="1"/>
    <xf numFmtId="1" fontId="6" fillId="3" borderId="0" xfId="0" applyNumberFormat="1" applyFont="1" applyFill="1" applyProtection="1">
      <protection hidden="1"/>
    </xf>
    <xf numFmtId="1" fontId="17" fillId="3" borderId="0" xfId="0" applyNumberFormat="1" applyFont="1" applyFill="1" applyProtection="1">
      <protection locked="0"/>
    </xf>
    <xf numFmtId="1" fontId="6" fillId="3" borderId="172" xfId="0" applyNumberFormat="1" applyFont="1" applyFill="1" applyBorder="1" applyProtection="1">
      <protection hidden="1"/>
    </xf>
    <xf numFmtId="1" fontId="6" fillId="5" borderId="41" xfId="0" applyNumberFormat="1" applyFont="1" applyFill="1" applyBorder="1" applyAlignment="1" applyProtection="1">
      <alignment horizontal="right"/>
      <protection locked="0"/>
    </xf>
    <xf numFmtId="1" fontId="6" fillId="5" borderId="31" xfId="0" applyNumberFormat="1" applyFont="1" applyFill="1" applyBorder="1" applyAlignment="1" applyProtection="1">
      <alignment horizontal="right"/>
      <protection locked="0"/>
    </xf>
    <xf numFmtId="1" fontId="6" fillId="5" borderId="42" xfId="0" applyNumberFormat="1" applyFont="1" applyFill="1" applyBorder="1" applyAlignment="1" applyProtection="1">
      <alignment horizontal="right"/>
      <protection locked="0"/>
    </xf>
    <xf numFmtId="1" fontId="6" fillId="5" borderId="39" xfId="0" applyNumberFormat="1" applyFont="1" applyFill="1" applyBorder="1" applyAlignment="1" applyProtection="1">
      <alignment horizontal="right"/>
      <protection locked="0"/>
    </xf>
    <xf numFmtId="1" fontId="6" fillId="5" borderId="13" xfId="0" applyNumberFormat="1" applyFont="1" applyFill="1" applyBorder="1" applyAlignment="1" applyProtection="1">
      <alignment horizontal="right"/>
      <protection locked="0"/>
    </xf>
    <xf numFmtId="1" fontId="26" fillId="0" borderId="0" xfId="0" applyNumberFormat="1" applyFont="1" applyProtection="1">
      <protection locked="0"/>
    </xf>
    <xf numFmtId="1" fontId="6" fillId="3" borderId="121" xfId="0" applyNumberFormat="1" applyFont="1" applyFill="1" applyBorder="1" applyProtection="1">
      <protection hidden="1"/>
    </xf>
    <xf numFmtId="1" fontId="21" fillId="0" borderId="0" xfId="0" applyNumberFormat="1" applyFont="1"/>
    <xf numFmtId="1" fontId="26" fillId="0" borderId="50" xfId="0" applyNumberFormat="1" applyFont="1" applyBorder="1"/>
    <xf numFmtId="1" fontId="20" fillId="0" borderId="37" xfId="0" applyNumberFormat="1" applyFont="1" applyBorder="1"/>
    <xf numFmtId="1" fontId="20" fillId="0" borderId="24" xfId="0" applyNumberFormat="1" applyFont="1" applyBorder="1"/>
    <xf numFmtId="1" fontId="21" fillId="3" borderId="0" xfId="0" applyNumberFormat="1" applyFont="1" applyFill="1"/>
    <xf numFmtId="1" fontId="26" fillId="3" borderId="50" xfId="0" applyNumberFormat="1" applyFont="1" applyFill="1" applyBorder="1"/>
    <xf numFmtId="1" fontId="6" fillId="0" borderId="7" xfId="0" applyNumberFormat="1" applyFont="1" applyBorder="1" applyAlignment="1">
      <alignment horizontal="center" vertical="center" wrapText="1"/>
    </xf>
    <xf numFmtId="1" fontId="20" fillId="0" borderId="51" xfId="0" applyNumberFormat="1" applyFont="1" applyBorder="1"/>
    <xf numFmtId="1" fontId="6" fillId="3" borderId="51" xfId="0" applyNumberFormat="1" applyFont="1" applyFill="1" applyBorder="1"/>
    <xf numFmtId="1" fontId="6" fillId="5" borderId="107" xfId="0" applyNumberFormat="1" applyFont="1" applyFill="1" applyBorder="1" applyProtection="1">
      <protection locked="0"/>
    </xf>
    <xf numFmtId="1" fontId="6" fillId="5" borderId="119" xfId="0" applyNumberFormat="1" applyFont="1" applyFill="1" applyBorder="1" applyProtection="1">
      <protection locked="0"/>
    </xf>
    <xf numFmtId="1" fontId="6" fillId="5" borderId="120" xfId="0" applyNumberFormat="1" applyFont="1" applyFill="1" applyBorder="1" applyProtection="1">
      <protection locked="0"/>
    </xf>
    <xf numFmtId="1" fontId="20" fillId="0" borderId="29" xfId="0" applyNumberFormat="1" applyFont="1" applyBorder="1"/>
    <xf numFmtId="1" fontId="26" fillId="3" borderId="172" xfId="0" applyNumberFormat="1" applyFont="1" applyFill="1" applyBorder="1"/>
    <xf numFmtId="1" fontId="2" fillId="3" borderId="0" xfId="0" applyNumberFormat="1" applyFont="1" applyFill="1" applyAlignment="1">
      <alignment vertical="center" wrapText="1"/>
    </xf>
    <xf numFmtId="1" fontId="3" fillId="3" borderId="172" xfId="0" applyNumberFormat="1" applyFont="1" applyFill="1" applyBorder="1"/>
    <xf numFmtId="1" fontId="4" fillId="3" borderId="0" xfId="0" applyNumberFormat="1" applyFont="1" applyFill="1" applyAlignment="1">
      <alignment horizontal="left"/>
    </xf>
    <xf numFmtId="1" fontId="6" fillId="3" borderId="0" xfId="0" applyNumberFormat="1" applyFont="1" applyFill="1" applyAlignment="1">
      <alignment horizontal="center"/>
    </xf>
    <xf numFmtId="1" fontId="3" fillId="0" borderId="172" xfId="0" applyNumberFormat="1" applyFont="1" applyBorder="1"/>
    <xf numFmtId="1" fontId="10" fillId="0" borderId="0" xfId="0" applyNumberFormat="1" applyFont="1"/>
    <xf numFmtId="1" fontId="10" fillId="0" borderId="131" xfId="0" applyNumberFormat="1" applyFont="1" applyBorder="1"/>
    <xf numFmtId="1" fontId="3" fillId="3" borderId="165" xfId="0" applyNumberFormat="1" applyFont="1" applyFill="1" applyBorder="1"/>
    <xf numFmtId="1" fontId="26" fillId="3" borderId="174" xfId="0" applyNumberFormat="1" applyFont="1" applyFill="1" applyBorder="1"/>
    <xf numFmtId="1" fontId="6" fillId="3" borderId="0" xfId="0" applyNumberFormat="1" applyFont="1" applyFill="1" applyAlignment="1">
      <alignment horizontal="left"/>
    </xf>
    <xf numFmtId="1" fontId="10" fillId="0" borderId="121" xfId="0" applyNumberFormat="1" applyFont="1" applyBorder="1"/>
    <xf numFmtId="1" fontId="10" fillId="0" borderId="164" xfId="0" applyNumberFormat="1" applyFont="1" applyBorder="1"/>
    <xf numFmtId="1" fontId="30" fillId="0" borderId="167" xfId="0" applyNumberFormat="1" applyFont="1" applyBorder="1"/>
    <xf numFmtId="1" fontId="30" fillId="0" borderId="166" xfId="0" applyNumberFormat="1" applyFont="1" applyBorder="1"/>
    <xf numFmtId="1" fontId="30" fillId="0" borderId="131" xfId="0" applyNumberFormat="1" applyFont="1" applyBorder="1"/>
    <xf numFmtId="1" fontId="10" fillId="0" borderId="166" xfId="0" applyNumberFormat="1" applyFont="1" applyBorder="1"/>
    <xf numFmtId="1" fontId="19" fillId="3" borderId="0" xfId="0" applyNumberFormat="1" applyFont="1" applyFill="1" applyAlignment="1">
      <alignment wrapText="1"/>
    </xf>
    <xf numFmtId="1" fontId="19" fillId="3" borderId="0" xfId="0" applyNumberFormat="1" applyFont="1" applyFill="1" applyAlignment="1">
      <alignment horizontal="left" wrapText="1"/>
    </xf>
    <xf numFmtId="1" fontId="6" fillId="3" borderId="0" xfId="0" applyNumberFormat="1" applyFont="1" applyFill="1" applyAlignment="1">
      <alignment horizontal="center" vertical="center"/>
    </xf>
    <xf numFmtId="1" fontId="6" fillId="0" borderId="53" xfId="0" applyNumberFormat="1" applyFont="1" applyBorder="1" applyAlignment="1">
      <alignment horizontal="center" vertical="center" wrapText="1"/>
    </xf>
    <xf numFmtId="1" fontId="6" fillId="5" borderId="35" xfId="0" applyNumberFormat="1" applyFont="1" applyFill="1" applyBorder="1" applyProtection="1">
      <protection locked="0"/>
    </xf>
    <xf numFmtId="1" fontId="6" fillId="5" borderId="9" xfId="0" applyNumberFormat="1" applyFont="1" applyFill="1" applyBorder="1" applyProtection="1">
      <protection locked="0"/>
    </xf>
    <xf numFmtId="1" fontId="6" fillId="3" borderId="167" xfId="0" applyNumberFormat="1" applyFont="1" applyFill="1" applyBorder="1" applyAlignment="1">
      <alignment wrapText="1"/>
    </xf>
    <xf numFmtId="1" fontId="10" fillId="3" borderId="0" xfId="0" applyNumberFormat="1" applyFont="1" applyFill="1" applyAlignment="1">
      <alignment wrapText="1"/>
    </xf>
    <xf numFmtId="1" fontId="6" fillId="0" borderId="99" xfId="0" applyNumberFormat="1" applyFont="1" applyBorder="1" applyAlignment="1">
      <alignment wrapText="1"/>
    </xf>
    <xf numFmtId="1" fontId="6" fillId="0" borderId="44" xfId="0" applyNumberFormat="1" applyFont="1" applyBorder="1" applyAlignment="1">
      <alignment horizontal="center" vertical="center" wrapText="1"/>
    </xf>
    <xf numFmtId="1" fontId="6" fillId="0" borderId="171" xfId="0" applyNumberFormat="1" applyFont="1" applyBorder="1"/>
    <xf numFmtId="1" fontId="6" fillId="0" borderId="37" xfId="0" applyNumberFormat="1" applyFont="1" applyBorder="1" applyAlignment="1">
      <alignment horizontal="left" wrapText="1"/>
    </xf>
    <xf numFmtId="1" fontId="6" fillId="0" borderId="169" xfId="0" applyNumberFormat="1" applyFont="1" applyBorder="1"/>
    <xf numFmtId="1" fontId="6" fillId="3" borderId="167" xfId="0" applyNumberFormat="1" applyFont="1" applyFill="1" applyBorder="1"/>
    <xf numFmtId="1" fontId="3" fillId="0" borderId="0" xfId="0" applyNumberFormat="1" applyFont="1"/>
    <xf numFmtId="1" fontId="4" fillId="3" borderId="99" xfId="0" applyNumberFormat="1" applyFont="1" applyFill="1" applyBorder="1"/>
    <xf numFmtId="1" fontId="6" fillId="3" borderId="174" xfId="0" applyNumberFormat="1" applyFont="1" applyFill="1" applyBorder="1"/>
    <xf numFmtId="1" fontId="6" fillId="5" borderId="102" xfId="0" applyNumberFormat="1" applyFont="1" applyFill="1" applyBorder="1" applyProtection="1">
      <protection locked="0"/>
    </xf>
    <xf numFmtId="1" fontId="3" fillId="0" borderId="167" xfId="0" applyNumberFormat="1" applyFont="1" applyBorder="1"/>
    <xf numFmtId="1" fontId="6" fillId="5" borderId="103" xfId="0" applyNumberFormat="1" applyFont="1" applyFill="1" applyBorder="1" applyProtection="1">
      <protection locked="0"/>
    </xf>
    <xf numFmtId="1" fontId="6" fillId="0" borderId="0" xfId="0" applyNumberFormat="1" applyFont="1" applyAlignment="1">
      <alignment horizontal="right"/>
    </xf>
    <xf numFmtId="1" fontId="6" fillId="0" borderId="152" xfId="0" applyNumberFormat="1" applyFont="1" applyBorder="1"/>
    <xf numFmtId="1" fontId="6" fillId="0" borderId="151" xfId="0" applyNumberFormat="1" applyFont="1" applyBorder="1"/>
    <xf numFmtId="1" fontId="6" fillId="0" borderId="153" xfId="0" applyNumberFormat="1" applyFont="1" applyBorder="1"/>
    <xf numFmtId="1" fontId="6" fillId="0" borderId="154" xfId="0" applyNumberFormat="1" applyFont="1" applyBorder="1"/>
    <xf numFmtId="1" fontId="6" fillId="0" borderId="176" xfId="0" applyNumberFormat="1" applyFont="1" applyBorder="1"/>
    <xf numFmtId="1" fontId="26" fillId="0" borderId="172" xfId="0" applyNumberFormat="1" applyFont="1" applyBorder="1"/>
    <xf numFmtId="1" fontId="26" fillId="0" borderId="172" xfId="0" applyNumberFormat="1" applyFont="1" applyBorder="1" applyProtection="1">
      <protection locked="0"/>
    </xf>
    <xf numFmtId="1" fontId="6" fillId="5" borderId="0" xfId="0" applyNumberFormat="1" applyFont="1" applyFill="1" applyProtection="1">
      <protection locked="0"/>
    </xf>
    <xf numFmtId="1" fontId="6" fillId="0" borderId="166" xfId="0" applyNumberFormat="1" applyFont="1" applyBorder="1"/>
    <xf numFmtId="1" fontId="6" fillId="0" borderId="19" xfId="0" applyNumberFormat="1" applyFont="1" applyBorder="1" applyAlignment="1">
      <alignment wrapText="1"/>
    </xf>
    <xf numFmtId="1" fontId="6" fillId="0" borderId="10" xfId="0" applyNumberFormat="1" applyFont="1" applyBorder="1" applyAlignment="1">
      <alignment wrapText="1"/>
    </xf>
    <xf numFmtId="1" fontId="6" fillId="0" borderId="25" xfId="0" applyNumberFormat="1" applyFont="1" applyBorder="1" applyAlignment="1">
      <alignment wrapText="1"/>
    </xf>
    <xf numFmtId="1" fontId="6" fillId="0" borderId="37" xfId="0" applyNumberFormat="1" applyFont="1" applyBorder="1" applyAlignment="1">
      <alignment wrapText="1"/>
    </xf>
    <xf numFmtId="1" fontId="6" fillId="5" borderId="109" xfId="0" applyNumberFormat="1" applyFont="1" applyFill="1" applyBorder="1" applyProtection="1">
      <protection locked="0"/>
    </xf>
    <xf numFmtId="1" fontId="6" fillId="16" borderId="109" xfId="0" applyNumberFormat="1" applyFont="1" applyFill="1" applyBorder="1" applyProtection="1">
      <protection locked="0"/>
    </xf>
    <xf numFmtId="1" fontId="6" fillId="16" borderId="24" xfId="0" applyNumberFormat="1" applyFont="1" applyFill="1" applyBorder="1" applyProtection="1">
      <protection locked="0"/>
    </xf>
    <xf numFmtId="1" fontId="6" fillId="5" borderId="110" xfId="0" applyNumberFormat="1" applyFont="1" applyFill="1" applyBorder="1" applyProtection="1">
      <protection locked="0"/>
    </xf>
    <xf numFmtId="1" fontId="6" fillId="5" borderId="112" xfId="0" applyNumberFormat="1" applyFont="1" applyFill="1" applyBorder="1" applyProtection="1">
      <protection locked="0"/>
    </xf>
    <xf numFmtId="1" fontId="6" fillId="16" borderId="21" xfId="0" applyNumberFormat="1" applyFont="1" applyFill="1" applyBorder="1" applyProtection="1">
      <protection locked="0"/>
    </xf>
    <xf numFmtId="1" fontId="13" fillId="3" borderId="0" xfId="0" applyNumberFormat="1" applyFont="1" applyFill="1"/>
    <xf numFmtId="1" fontId="6" fillId="0" borderId="163" xfId="0" applyNumberFormat="1" applyFont="1" applyBorder="1"/>
    <xf numFmtId="1" fontId="6" fillId="0" borderId="8" xfId="0" applyNumberFormat="1" applyFont="1" applyBorder="1" applyAlignment="1">
      <alignment wrapText="1"/>
    </xf>
    <xf numFmtId="1" fontId="6" fillId="0" borderId="47" xfId="0" applyNumberFormat="1" applyFont="1" applyBorder="1" applyAlignment="1">
      <alignment wrapText="1"/>
    </xf>
    <xf numFmtId="1" fontId="6" fillId="0" borderId="13" xfId="0" applyNumberFormat="1" applyFont="1" applyBorder="1" applyAlignment="1">
      <alignment wrapText="1"/>
    </xf>
    <xf numFmtId="1" fontId="6" fillId="0" borderId="31" xfId="0" applyNumberFormat="1" applyFont="1" applyBorder="1" applyAlignment="1">
      <alignment wrapText="1"/>
    </xf>
    <xf numFmtId="1" fontId="6" fillId="0" borderId="21" xfId="0" applyNumberFormat="1" applyFont="1" applyBorder="1" applyAlignment="1">
      <alignment wrapText="1"/>
    </xf>
    <xf numFmtId="1" fontId="6" fillId="5" borderId="153" xfId="0" applyNumberFormat="1" applyFont="1" applyFill="1" applyBorder="1" applyProtection="1">
      <protection locked="0"/>
    </xf>
    <xf numFmtId="1" fontId="6" fillId="4" borderId="151" xfId="0" applyNumberFormat="1" applyFont="1" applyFill="1" applyBorder="1"/>
    <xf numFmtId="1" fontId="6" fillId="4" borderId="153" xfId="0" applyNumberFormat="1" applyFont="1" applyFill="1" applyBorder="1"/>
    <xf numFmtId="1" fontId="6" fillId="5" borderId="117" xfId="0" applyNumberFormat="1" applyFont="1" applyFill="1" applyBorder="1" applyProtection="1">
      <protection locked="0"/>
    </xf>
    <xf numFmtId="1" fontId="6" fillId="5" borderId="177" xfId="0" applyNumberFormat="1" applyFont="1" applyFill="1" applyBorder="1" applyProtection="1">
      <protection locked="0"/>
    </xf>
    <xf numFmtId="1" fontId="6" fillId="3" borderId="50" xfId="0" applyNumberFormat="1" applyFont="1" applyFill="1" applyBorder="1" applyProtection="1">
      <protection hidden="1"/>
    </xf>
    <xf numFmtId="1" fontId="3" fillId="3" borderId="50" xfId="0" applyNumberFormat="1" applyFont="1" applyFill="1" applyBorder="1" applyProtection="1">
      <protection hidden="1"/>
    </xf>
    <xf numFmtId="1" fontId="6" fillId="3" borderId="26" xfId="0" applyNumberFormat="1" applyFont="1" applyFill="1" applyBorder="1" applyProtection="1">
      <protection hidden="1"/>
    </xf>
    <xf numFmtId="1" fontId="4" fillId="3" borderId="121" xfId="0" applyNumberFormat="1" applyFont="1" applyFill="1" applyBorder="1" applyAlignment="1">
      <alignment horizontal="left"/>
    </xf>
    <xf numFmtId="1" fontId="5" fillId="3" borderId="0" xfId="0" applyNumberFormat="1" applyFont="1" applyFill="1" applyAlignment="1">
      <alignment horizontal="left"/>
    </xf>
    <xf numFmtId="1" fontId="6" fillId="0" borderId="81" xfId="0" applyNumberFormat="1" applyFont="1" applyBorder="1" applyAlignment="1">
      <alignment horizontal="center" vertical="center" wrapText="1"/>
    </xf>
    <xf numFmtId="1" fontId="6" fillId="0" borderId="50" xfId="0" applyNumberFormat="1" applyFont="1" applyBorder="1" applyAlignment="1">
      <alignment horizontal="right"/>
    </xf>
    <xf numFmtId="1" fontId="2" fillId="3" borderId="0" xfId="0" applyNumberFormat="1" applyFont="1" applyFill="1" applyAlignment="1">
      <alignment horizontal="left"/>
    </xf>
    <xf numFmtId="1" fontId="6" fillId="0" borderId="164" xfId="0" applyNumberFormat="1" applyFont="1" applyBorder="1" applyAlignment="1">
      <alignment horizontal="center" vertical="center"/>
    </xf>
    <xf numFmtId="1" fontId="6" fillId="0" borderId="172" xfId="0" applyNumberFormat="1" applyFont="1" applyBorder="1" applyAlignment="1">
      <alignment horizontal="center" vertical="center"/>
    </xf>
    <xf numFmtId="1" fontId="2" fillId="3" borderId="0" xfId="0" applyNumberFormat="1" applyFont="1" applyFill="1" applyAlignment="1">
      <alignment horizontal="left" wrapText="1"/>
    </xf>
    <xf numFmtId="1" fontId="32" fillId="3" borderId="0" xfId="0" applyNumberFormat="1" applyFont="1" applyFill="1" applyAlignment="1">
      <alignment horizontal="left" wrapText="1"/>
    </xf>
    <xf numFmtId="1" fontId="15" fillId="3" borderId="0" xfId="0" applyNumberFormat="1" applyFont="1" applyFill="1" applyAlignment="1">
      <alignment horizontal="left" wrapText="1"/>
    </xf>
    <xf numFmtId="1" fontId="3" fillId="3" borderId="0" xfId="0" applyNumberFormat="1" applyFont="1" applyFill="1" applyProtection="1">
      <protection locked="0"/>
    </xf>
    <xf numFmtId="1" fontId="3" fillId="3" borderId="35" xfId="0" applyNumberFormat="1" applyFont="1" applyFill="1" applyBorder="1" applyProtection="1">
      <protection locked="0"/>
    </xf>
    <xf numFmtId="1" fontId="2" fillId="3" borderId="7" xfId="0" applyNumberFormat="1" applyFont="1" applyFill="1" applyBorder="1" applyAlignment="1" applyProtection="1">
      <alignment horizontal="left"/>
      <protection hidden="1"/>
    </xf>
    <xf numFmtId="1" fontId="2" fillId="3" borderId="50" xfId="0" applyNumberFormat="1" applyFont="1" applyFill="1" applyBorder="1" applyAlignment="1" applyProtection="1">
      <alignment horizontal="left"/>
      <protection hidden="1"/>
    </xf>
    <xf numFmtId="1" fontId="15" fillId="3" borderId="50" xfId="0" applyNumberFormat="1" applyFont="1" applyFill="1" applyBorder="1" applyAlignment="1">
      <alignment horizontal="left" wrapText="1"/>
    </xf>
    <xf numFmtId="1" fontId="15" fillId="3" borderId="50" xfId="0" applyNumberFormat="1" applyFont="1" applyFill="1" applyBorder="1" applyAlignment="1" applyProtection="1">
      <alignment horizontal="left" wrapText="1"/>
      <protection hidden="1"/>
    </xf>
    <xf numFmtId="1" fontId="15" fillId="3" borderId="50" xfId="0" applyNumberFormat="1" applyFont="1" applyFill="1" applyBorder="1" applyProtection="1">
      <protection hidden="1"/>
    </xf>
    <xf numFmtId="1" fontId="15" fillId="3" borderId="50" xfId="0" applyNumberFormat="1" applyFont="1" applyFill="1" applyBorder="1" applyAlignment="1" applyProtection="1">
      <alignment wrapText="1"/>
      <protection hidden="1"/>
    </xf>
    <xf numFmtId="1" fontId="20" fillId="3" borderId="0" xfId="0" applyNumberFormat="1" applyFont="1" applyFill="1" applyProtection="1">
      <protection locked="0"/>
    </xf>
    <xf numFmtId="1" fontId="6" fillId="0" borderId="26" xfId="0" applyNumberFormat="1" applyFont="1" applyBorder="1" applyAlignment="1">
      <alignment horizontal="right"/>
    </xf>
    <xf numFmtId="1" fontId="15" fillId="3" borderId="0" xfId="0" applyNumberFormat="1" applyFont="1" applyFill="1" applyProtection="1">
      <protection hidden="1"/>
    </xf>
    <xf numFmtId="1" fontId="15" fillId="3" borderId="0" xfId="0" applyNumberFormat="1" applyFont="1" applyFill="1" applyAlignment="1" applyProtection="1">
      <alignment wrapText="1"/>
      <protection hidden="1"/>
    </xf>
    <xf numFmtId="1" fontId="4" fillId="3" borderId="7" xfId="0" applyNumberFormat="1" applyFont="1" applyFill="1" applyBorder="1" applyAlignment="1" applyProtection="1">
      <alignment horizontal="left"/>
      <protection hidden="1"/>
    </xf>
    <xf numFmtId="1" fontId="2" fillId="3" borderId="7" xfId="0" applyNumberFormat="1" applyFont="1" applyFill="1" applyBorder="1" applyAlignment="1" applyProtection="1">
      <alignment horizontal="left" wrapText="1"/>
      <protection hidden="1"/>
    </xf>
    <xf numFmtId="1" fontId="2" fillId="3" borderId="50" xfId="0" applyNumberFormat="1" applyFont="1" applyFill="1" applyBorder="1" applyAlignment="1" applyProtection="1">
      <alignment horizontal="left" wrapText="1"/>
      <protection hidden="1"/>
    </xf>
    <xf numFmtId="1" fontId="2" fillId="3" borderId="0" xfId="0" applyNumberFormat="1" applyFont="1" applyFill="1" applyAlignment="1" applyProtection="1">
      <alignment wrapText="1"/>
      <protection hidden="1"/>
    </xf>
    <xf numFmtId="1" fontId="5" fillId="3" borderId="0" xfId="0" applyNumberFormat="1" applyFont="1" applyFill="1" applyProtection="1">
      <protection hidden="1"/>
    </xf>
    <xf numFmtId="1" fontId="15" fillId="3" borderId="172" xfId="0" applyNumberFormat="1" applyFont="1" applyFill="1" applyBorder="1" applyAlignment="1" applyProtection="1">
      <alignment wrapText="1"/>
      <protection hidden="1"/>
    </xf>
    <xf numFmtId="1" fontId="6" fillId="0" borderId="47" xfId="0" applyNumberFormat="1" applyFont="1" applyBorder="1" applyAlignment="1" applyProtection="1">
      <alignment horizontal="center" vertical="center" wrapText="1"/>
      <protection hidden="1"/>
    </xf>
    <xf numFmtId="1" fontId="6" fillId="0" borderId="13" xfId="0" applyNumberFormat="1" applyFont="1" applyBorder="1" applyAlignment="1" applyProtection="1">
      <alignment horizontal="center" vertical="center" wrapText="1"/>
      <protection hidden="1"/>
    </xf>
    <xf numFmtId="1" fontId="6" fillId="0" borderId="118" xfId="0" applyNumberFormat="1" applyFont="1" applyBorder="1" applyAlignment="1" applyProtection="1">
      <alignment horizontal="center" vertical="center" wrapText="1"/>
      <protection hidden="1"/>
    </xf>
    <xf numFmtId="1" fontId="6" fillId="0" borderId="48" xfId="0" applyNumberFormat="1" applyFont="1" applyBorder="1" applyAlignment="1" applyProtection="1">
      <alignment horizontal="center" vertical="center" wrapText="1"/>
      <protection hidden="1"/>
    </xf>
    <xf numFmtId="1" fontId="6" fillId="5" borderId="38" xfId="0" applyNumberFormat="1" applyFont="1" applyFill="1" applyBorder="1" applyAlignment="1" applyProtection="1">
      <alignment wrapText="1"/>
      <protection locked="0"/>
    </xf>
    <xf numFmtId="1" fontId="6" fillId="5" borderId="36" xfId="0" applyNumberFormat="1" applyFont="1" applyFill="1" applyBorder="1" applyAlignment="1" applyProtection="1">
      <alignment wrapText="1"/>
      <protection locked="0"/>
    </xf>
    <xf numFmtId="1" fontId="6" fillId="5" borderId="119" xfId="0" applyNumberFormat="1" applyFont="1" applyFill="1" applyBorder="1" applyAlignment="1" applyProtection="1">
      <alignment wrapText="1"/>
      <protection locked="0"/>
    </xf>
    <xf numFmtId="1" fontId="6" fillId="5" borderId="55" xfId="0" applyNumberFormat="1" applyFont="1" applyFill="1" applyBorder="1" applyAlignment="1" applyProtection="1">
      <alignment wrapText="1"/>
      <protection locked="0"/>
    </xf>
    <xf numFmtId="1" fontId="6" fillId="4" borderId="120" xfId="0" applyNumberFormat="1" applyFont="1" applyFill="1" applyBorder="1"/>
    <xf numFmtId="1" fontId="23" fillId="3" borderId="50" xfId="0" applyNumberFormat="1" applyFont="1" applyFill="1" applyBorder="1" applyAlignment="1" applyProtection="1">
      <alignment horizontal="left"/>
      <protection hidden="1"/>
    </xf>
    <xf numFmtId="1" fontId="23" fillId="3" borderId="0" xfId="0" applyNumberFormat="1" applyFont="1" applyFill="1" applyProtection="1">
      <protection hidden="1"/>
    </xf>
    <xf numFmtId="1" fontId="23" fillId="3" borderId="0" xfId="0" applyNumberFormat="1" applyFont="1" applyFill="1" applyAlignment="1" applyProtection="1">
      <alignment wrapText="1"/>
      <protection hidden="1"/>
    </xf>
    <xf numFmtId="1" fontId="6" fillId="3" borderId="165" xfId="0" applyNumberFormat="1" applyFont="1" applyFill="1" applyBorder="1" applyProtection="1">
      <protection hidden="1"/>
    </xf>
    <xf numFmtId="1" fontId="6" fillId="3" borderId="169" xfId="0" applyNumberFormat="1" applyFont="1" applyFill="1" applyBorder="1" applyAlignment="1" applyProtection="1">
      <alignment wrapText="1"/>
      <protection hidden="1"/>
    </xf>
    <xf numFmtId="1" fontId="5" fillId="3" borderId="169" xfId="0" applyNumberFormat="1" applyFont="1" applyFill="1" applyBorder="1" applyProtection="1">
      <protection hidden="1"/>
    </xf>
    <xf numFmtId="1" fontId="10" fillId="0" borderId="172" xfId="0" applyNumberFormat="1" applyFont="1" applyBorder="1"/>
    <xf numFmtId="1" fontId="6" fillId="3" borderId="0" xfId="0" applyNumberFormat="1" applyFont="1" applyFill="1" applyAlignment="1" applyProtection="1">
      <alignment wrapText="1"/>
      <protection hidden="1"/>
    </xf>
    <xf numFmtId="1" fontId="6" fillId="0" borderId="37" xfId="0" applyNumberFormat="1" applyFont="1" applyBorder="1" applyAlignment="1" applyProtection="1">
      <alignment vertical="center" wrapText="1"/>
      <protection hidden="1"/>
    </xf>
    <xf numFmtId="1" fontId="6" fillId="5" borderId="51" xfId="0" applyNumberFormat="1" applyFont="1" applyFill="1" applyBorder="1" applyAlignment="1" applyProtection="1">
      <alignment horizontal="right"/>
      <protection locked="0"/>
    </xf>
    <xf numFmtId="1" fontId="6" fillId="3" borderId="37" xfId="0" applyNumberFormat="1" applyFont="1" applyFill="1" applyBorder="1" applyAlignment="1" applyProtection="1">
      <alignment vertical="center" wrapText="1"/>
      <protection hidden="1"/>
    </xf>
    <xf numFmtId="1" fontId="10" fillId="0" borderId="167" xfId="0" applyNumberFormat="1" applyFont="1" applyBorder="1"/>
    <xf numFmtId="1" fontId="26" fillId="3" borderId="167" xfId="0" applyNumberFormat="1" applyFont="1" applyFill="1" applyBorder="1"/>
    <xf numFmtId="1" fontId="6" fillId="5" borderId="21" xfId="0" applyNumberFormat="1" applyFont="1" applyFill="1" applyBorder="1" applyAlignment="1" applyProtection="1">
      <alignment horizontal="right"/>
      <protection locked="0"/>
    </xf>
    <xf numFmtId="1" fontId="10" fillId="0" borderId="165" xfId="0" applyNumberFormat="1" applyFont="1" applyBorder="1"/>
    <xf numFmtId="1" fontId="4" fillId="3" borderId="50" xfId="0" applyNumberFormat="1" applyFont="1" applyFill="1" applyBorder="1" applyProtection="1">
      <protection hidden="1"/>
    </xf>
    <xf numFmtId="1" fontId="2" fillId="3" borderId="0" xfId="0" applyNumberFormat="1" applyFont="1" applyFill="1" applyProtection="1">
      <protection hidden="1"/>
    </xf>
    <xf numFmtId="1" fontId="6" fillId="0" borderId="174" xfId="0" applyNumberFormat="1" applyFont="1" applyBorder="1" applyProtection="1">
      <protection hidden="1"/>
    </xf>
    <xf numFmtId="1" fontId="10" fillId="3" borderId="0" xfId="0" applyNumberFormat="1" applyFont="1" applyFill="1" applyProtection="1">
      <protection hidden="1"/>
    </xf>
    <xf numFmtId="1" fontId="3" fillId="3" borderId="0" xfId="0" applyNumberFormat="1" applyFont="1" applyFill="1" applyProtection="1">
      <protection hidden="1"/>
    </xf>
    <xf numFmtId="1" fontId="6" fillId="3" borderId="14" xfId="0" applyNumberFormat="1" applyFont="1" applyFill="1" applyBorder="1" applyAlignment="1">
      <alignment wrapText="1"/>
    </xf>
    <xf numFmtId="1" fontId="2" fillId="0" borderId="121" xfId="0" applyNumberFormat="1" applyFont="1" applyBorder="1" applyAlignment="1">
      <alignment horizontal="left"/>
    </xf>
    <xf numFmtId="1" fontId="5" fillId="3" borderId="50" xfId="0" applyNumberFormat="1" applyFont="1" applyFill="1" applyBorder="1" applyProtection="1">
      <protection hidden="1"/>
    </xf>
    <xf numFmtId="1" fontId="6" fillId="3" borderId="174" xfId="0" applyNumberFormat="1" applyFont="1" applyFill="1" applyBorder="1" applyProtection="1">
      <protection hidden="1"/>
    </xf>
    <xf numFmtId="1" fontId="6" fillId="3" borderId="8" xfId="0" applyNumberFormat="1" applyFont="1" applyFill="1" applyBorder="1" applyProtection="1">
      <protection hidden="1"/>
    </xf>
    <xf numFmtId="1" fontId="6" fillId="5" borderId="20" xfId="0" applyNumberFormat="1" applyFont="1" applyFill="1" applyBorder="1" applyAlignment="1" applyProtection="1">
      <alignment horizontal="right"/>
      <protection locked="0"/>
    </xf>
    <xf numFmtId="1" fontId="6" fillId="5" borderId="22" xfId="0" applyNumberFormat="1" applyFont="1" applyFill="1" applyBorder="1" applyAlignment="1" applyProtection="1">
      <alignment horizontal="right"/>
      <protection locked="0"/>
    </xf>
    <xf numFmtId="1" fontId="6" fillId="3" borderId="0" xfId="0" applyNumberFormat="1" applyFont="1" applyFill="1" applyAlignment="1">
      <alignment vertical="center"/>
    </xf>
    <xf numFmtId="1" fontId="6" fillId="3" borderId="0" xfId="0" applyNumberFormat="1" applyFont="1" applyFill="1" applyAlignment="1">
      <alignment horizontal="center" vertical="center" wrapText="1"/>
    </xf>
    <xf numFmtId="1" fontId="6" fillId="3" borderId="47" xfId="0" applyNumberFormat="1" applyFont="1" applyFill="1" applyBorder="1" applyAlignment="1">
      <alignment horizontal="center" vertical="center" wrapText="1"/>
    </xf>
    <xf numFmtId="1" fontId="6" fillId="0" borderId="12" xfId="0" applyNumberFormat="1" applyFont="1" applyBorder="1"/>
    <xf numFmtId="1" fontId="20" fillId="3" borderId="14" xfId="0" applyNumberFormat="1" applyFont="1" applyFill="1" applyBorder="1"/>
    <xf numFmtId="1" fontId="20" fillId="3" borderId="7" xfId="0" applyNumberFormat="1" applyFont="1" applyFill="1" applyBorder="1"/>
    <xf numFmtId="1" fontId="4" fillId="0" borderId="4" xfId="0" applyNumberFormat="1" applyFont="1" applyBorder="1"/>
    <xf numFmtId="1" fontId="6" fillId="0" borderId="19" xfId="0" applyNumberFormat="1" applyFont="1" applyBorder="1" applyAlignment="1">
      <alignment vertical="center"/>
    </xf>
    <xf numFmtId="1" fontId="6" fillId="0" borderId="24" xfId="0" applyNumberFormat="1" applyFont="1" applyBorder="1" applyAlignment="1">
      <alignment vertical="center"/>
    </xf>
    <xf numFmtId="1" fontId="6" fillId="0" borderId="37" xfId="0" applyNumberFormat="1" applyFont="1" applyBorder="1" applyAlignment="1">
      <alignment vertical="center"/>
    </xf>
    <xf numFmtId="1" fontId="6" fillId="5" borderId="81" xfId="0" applyNumberFormat="1" applyFont="1" applyFill="1" applyBorder="1" applyProtection="1">
      <protection locked="0"/>
    </xf>
    <xf numFmtId="1" fontId="6" fillId="0" borderId="40" xfId="0" applyNumberFormat="1" applyFont="1" applyBorder="1" applyAlignment="1">
      <alignment horizontal="center" vertical="center" wrapText="1"/>
    </xf>
    <xf numFmtId="1" fontId="6" fillId="0" borderId="23" xfId="0" applyNumberFormat="1" applyFont="1" applyBorder="1" applyAlignment="1">
      <alignment horizontal="center" vertical="center" wrapText="1"/>
    </xf>
    <xf numFmtId="1" fontId="15" fillId="3" borderId="0" xfId="0" applyNumberFormat="1" applyFont="1" applyFill="1" applyAlignment="1">
      <alignment horizontal="left"/>
    </xf>
    <xf numFmtId="1" fontId="6" fillId="0" borderId="35" xfId="0" applyNumberFormat="1" applyFont="1" applyBorder="1" applyAlignment="1">
      <alignment vertical="center" wrapText="1"/>
    </xf>
    <xf numFmtId="1" fontId="6" fillId="0" borderId="19" xfId="0" applyNumberFormat="1" applyFont="1" applyBorder="1" applyAlignment="1">
      <alignment horizontal="right" wrapText="1"/>
    </xf>
    <xf numFmtId="1" fontId="6" fillId="5" borderId="56" xfId="0" applyNumberFormat="1" applyFont="1" applyFill="1" applyBorder="1" applyAlignment="1" applyProtection="1">
      <alignment horizontal="right"/>
      <protection locked="0"/>
    </xf>
    <xf numFmtId="1" fontId="6" fillId="5" borderId="38" xfId="0" applyNumberFormat="1" applyFont="1" applyFill="1" applyBorder="1" applyAlignment="1" applyProtection="1">
      <alignment horizontal="right"/>
      <protection locked="0"/>
    </xf>
    <xf numFmtId="1" fontId="6" fillId="5" borderId="36" xfId="0" applyNumberFormat="1" applyFont="1" applyFill="1" applyBorder="1" applyAlignment="1" applyProtection="1">
      <alignment horizontal="right"/>
      <protection locked="0"/>
    </xf>
    <xf numFmtId="1" fontId="6" fillId="5" borderId="55" xfId="0" applyNumberFormat="1" applyFont="1" applyFill="1" applyBorder="1" applyAlignment="1" applyProtection="1">
      <alignment horizontal="right"/>
      <protection locked="0"/>
    </xf>
    <xf numFmtId="1" fontId="6" fillId="5" borderId="60" xfId="0" applyNumberFormat="1" applyFont="1" applyFill="1" applyBorder="1" applyAlignment="1" applyProtection="1">
      <alignment horizontal="right"/>
      <protection locked="0"/>
    </xf>
    <xf numFmtId="1" fontId="6" fillId="5" borderId="58" xfId="0" applyNumberFormat="1" applyFont="1" applyFill="1" applyBorder="1" applyAlignment="1" applyProtection="1">
      <alignment horizontal="right"/>
      <protection locked="0"/>
    </xf>
    <xf numFmtId="1" fontId="6" fillId="5" borderId="69" xfId="0" applyNumberFormat="1" applyFont="1" applyFill="1" applyBorder="1" applyAlignment="1" applyProtection="1">
      <alignment horizontal="right"/>
      <protection locked="0"/>
    </xf>
    <xf numFmtId="1" fontId="23" fillId="3" borderId="0" xfId="0" applyNumberFormat="1" applyFont="1" applyFill="1"/>
    <xf numFmtId="1" fontId="6" fillId="0" borderId="19" xfId="0" applyNumberFormat="1" applyFont="1" applyBorder="1" applyAlignment="1">
      <alignment horizontal="left" wrapText="1"/>
    </xf>
    <xf numFmtId="1" fontId="6" fillId="0" borderId="24" xfId="0" applyNumberFormat="1" applyFont="1" applyBorder="1" applyAlignment="1">
      <alignment horizontal="left" wrapText="1"/>
    </xf>
    <xf numFmtId="1" fontId="6" fillId="0" borderId="23" xfId="0" applyNumberFormat="1" applyFont="1" applyBorder="1" applyAlignment="1">
      <alignment vertical="center"/>
    </xf>
    <xf numFmtId="1" fontId="6" fillId="0" borderId="86" xfId="0" applyNumberFormat="1" applyFont="1" applyBorder="1" applyAlignment="1">
      <alignment vertical="center"/>
    </xf>
    <xf numFmtId="1" fontId="4" fillId="0" borderId="0" xfId="0" applyNumberFormat="1" applyFont="1" applyAlignment="1">
      <alignment horizontal="left"/>
    </xf>
    <xf numFmtId="1" fontId="6" fillId="3" borderId="24" xfId="0" applyNumberFormat="1" applyFont="1" applyFill="1" applyBorder="1" applyAlignment="1">
      <alignment horizontal="right" wrapText="1"/>
    </xf>
    <xf numFmtId="1" fontId="6" fillId="3" borderId="24" xfId="0" applyNumberFormat="1" applyFont="1" applyFill="1" applyBorder="1" applyAlignment="1">
      <alignment horizontal="right"/>
    </xf>
    <xf numFmtId="1" fontId="6" fillId="5" borderId="63" xfId="0" applyNumberFormat="1" applyFont="1" applyFill="1" applyBorder="1" applyAlignment="1" applyProtection="1">
      <alignment horizontal="right"/>
      <protection locked="0"/>
    </xf>
    <xf numFmtId="1" fontId="0" fillId="14" borderId="0" xfId="0" applyNumberFormat="1" applyFill="1"/>
    <xf numFmtId="1" fontId="12" fillId="3" borderId="0" xfId="0" applyNumberFormat="1" applyFont="1" applyFill="1" applyAlignment="1">
      <alignment horizontal="center" vertical="center" wrapText="1"/>
    </xf>
    <xf numFmtId="1" fontId="13" fillId="3" borderId="0" xfId="0" applyNumberFormat="1" applyFont="1" applyFill="1" applyAlignment="1">
      <alignment horizontal="left" vertical="top"/>
    </xf>
    <xf numFmtId="1" fontId="13" fillId="3" borderId="0" xfId="0" applyNumberFormat="1" applyFont="1" applyFill="1" applyAlignment="1">
      <alignment vertical="top"/>
    </xf>
    <xf numFmtId="1" fontId="6" fillId="5" borderId="88" xfId="0" applyNumberFormat="1" applyFont="1" applyFill="1" applyBorder="1" applyProtection="1">
      <protection locked="0"/>
    </xf>
    <xf numFmtId="1" fontId="13" fillId="0" borderId="0" xfId="0" applyNumberFormat="1" applyFont="1"/>
    <xf numFmtId="1" fontId="6" fillId="0" borderId="178" xfId="0" applyNumberFormat="1" applyFont="1" applyBorder="1" applyAlignment="1">
      <alignment horizontal="center" vertical="center" wrapText="1"/>
    </xf>
    <xf numFmtId="1" fontId="13" fillId="5" borderId="19" xfId="0" applyNumberFormat="1" applyFont="1" applyFill="1" applyBorder="1" applyProtection="1">
      <protection locked="0"/>
    </xf>
    <xf numFmtId="1" fontId="6" fillId="4" borderId="57" xfId="0" applyNumberFormat="1" applyFont="1" applyFill="1" applyBorder="1"/>
    <xf numFmtId="1" fontId="6" fillId="5" borderId="191" xfId="0" applyNumberFormat="1" applyFont="1" applyFill="1" applyBorder="1" applyProtection="1">
      <protection locked="0"/>
    </xf>
    <xf numFmtId="1" fontId="13" fillId="5" borderId="37" xfId="0" applyNumberFormat="1" applyFont="1" applyFill="1" applyBorder="1" applyProtection="1">
      <protection locked="0"/>
    </xf>
    <xf numFmtId="1" fontId="6" fillId="5" borderId="190" xfId="0" applyNumberFormat="1" applyFont="1" applyFill="1" applyBorder="1" applyProtection="1">
      <protection locked="0"/>
    </xf>
    <xf numFmtId="1" fontId="13" fillId="5" borderId="25" xfId="0" applyNumberFormat="1" applyFont="1" applyFill="1" applyBorder="1" applyProtection="1">
      <protection locked="0"/>
    </xf>
    <xf numFmtId="1" fontId="13" fillId="5" borderId="51" xfId="0" applyNumberFormat="1" applyFont="1" applyFill="1" applyBorder="1" applyProtection="1">
      <protection locked="0"/>
    </xf>
    <xf numFmtId="1" fontId="6" fillId="5" borderId="201" xfId="0" applyNumberFormat="1" applyFont="1" applyFill="1" applyBorder="1" applyProtection="1">
      <protection locked="0"/>
    </xf>
    <xf numFmtId="1" fontId="13" fillId="3" borderId="0" xfId="0" applyNumberFormat="1" applyFont="1" applyFill="1" applyAlignment="1">
      <alignment horizontal="left"/>
    </xf>
    <xf numFmtId="1" fontId="12" fillId="3" borderId="0" xfId="0" applyNumberFormat="1" applyFont="1" applyFill="1"/>
    <xf numFmtId="1" fontId="6" fillId="4" borderId="85" xfId="0" applyNumberFormat="1" applyFont="1" applyFill="1" applyBorder="1"/>
    <xf numFmtId="1" fontId="6" fillId="4" borderId="119" xfId="0" applyNumberFormat="1" applyFont="1" applyFill="1" applyBorder="1"/>
    <xf numFmtId="1" fontId="6" fillId="0" borderId="118" xfId="0" applyNumberFormat="1" applyFont="1" applyBorder="1" applyAlignment="1">
      <alignment horizontal="center" vertical="center" wrapText="1"/>
    </xf>
    <xf numFmtId="1" fontId="13" fillId="3" borderId="0" xfId="0" applyNumberFormat="1" applyFont="1" applyFill="1" applyAlignment="1">
      <alignment horizontal="left" vertical="center" wrapText="1"/>
    </xf>
    <xf numFmtId="1" fontId="13" fillId="3" borderId="0" xfId="0" applyNumberFormat="1" applyFont="1" applyFill="1" applyAlignment="1">
      <alignment horizontal="right"/>
    </xf>
    <xf numFmtId="1" fontId="18" fillId="0" borderId="0" xfId="0" applyNumberFormat="1" applyFont="1"/>
    <xf numFmtId="1" fontId="18" fillId="0" borderId="0" xfId="0" applyNumberFormat="1" applyFont="1" applyAlignment="1">
      <alignment vertical="center"/>
    </xf>
    <xf numFmtId="1" fontId="6" fillId="5" borderId="127" xfId="0" applyNumberFormat="1" applyFont="1" applyFill="1" applyBorder="1" applyProtection="1">
      <protection locked="0"/>
    </xf>
    <xf numFmtId="1" fontId="6" fillId="0" borderId="47" xfId="0" applyNumberFormat="1" applyFont="1" applyBorder="1" applyAlignment="1">
      <alignment horizontal="right"/>
    </xf>
    <xf numFmtId="1" fontId="6" fillId="0" borderId="7" xfId="0" applyNumberFormat="1" applyFont="1" applyBorder="1" applyAlignment="1">
      <alignment horizontal="right"/>
    </xf>
    <xf numFmtId="1" fontId="6" fillId="0" borderId="12" xfId="0" applyNumberFormat="1" applyFont="1" applyBorder="1" applyAlignment="1">
      <alignment horizontal="right"/>
    </xf>
    <xf numFmtId="1" fontId="6" fillId="5" borderId="106" xfId="0" applyNumberFormat="1" applyFont="1" applyFill="1" applyBorder="1" applyProtection="1">
      <protection locked="0"/>
    </xf>
    <xf numFmtId="1" fontId="6" fillId="4" borderId="34" xfId="0" applyNumberFormat="1" applyFont="1" applyFill="1" applyBorder="1"/>
    <xf numFmtId="1" fontId="6" fillId="5" borderId="130" xfId="0" applyNumberFormat="1" applyFont="1" applyFill="1" applyBorder="1" applyProtection="1">
      <protection locked="0"/>
    </xf>
    <xf numFmtId="1" fontId="6" fillId="0" borderId="118" xfId="0" applyNumberFormat="1" applyFont="1" applyBorder="1"/>
    <xf numFmtId="1" fontId="6" fillId="5" borderId="108" xfId="0" applyNumberFormat="1" applyFont="1" applyFill="1" applyBorder="1" applyProtection="1">
      <protection locked="0"/>
    </xf>
    <xf numFmtId="1" fontId="6" fillId="4" borderId="13" xfId="0" applyNumberFormat="1" applyFont="1" applyFill="1" applyBorder="1"/>
    <xf numFmtId="1" fontId="26" fillId="0" borderId="180" xfId="0" applyNumberFormat="1" applyFont="1" applyBorder="1"/>
    <xf numFmtId="1" fontId="26" fillId="0" borderId="179" xfId="0" applyNumberFormat="1" applyFont="1" applyBorder="1"/>
    <xf numFmtId="1" fontId="26" fillId="0" borderId="180" xfId="0" applyNumberFormat="1" applyFont="1" applyBorder="1" applyProtection="1">
      <protection locked="0"/>
    </xf>
    <xf numFmtId="1" fontId="6" fillId="3" borderId="0" xfId="0" applyNumberFormat="1" applyFont="1" applyFill="1" applyAlignment="1">
      <alignment horizontal="left" wrapText="1"/>
    </xf>
    <xf numFmtId="1" fontId="6" fillId="0" borderId="41" xfId="0" applyNumberFormat="1" applyFont="1" applyBorder="1" applyAlignment="1">
      <alignment horizontal="right" wrapText="1"/>
    </xf>
    <xf numFmtId="1" fontId="6" fillId="0" borderId="38" xfId="0" applyNumberFormat="1" applyFont="1" applyBorder="1" applyAlignment="1">
      <alignment horizontal="right" wrapText="1"/>
    </xf>
    <xf numFmtId="1" fontId="6" fillId="0" borderId="20" xfId="0" applyNumberFormat="1" applyFont="1" applyBorder="1" applyAlignment="1">
      <alignment horizontal="right" wrapText="1"/>
    </xf>
    <xf numFmtId="1" fontId="6" fillId="5" borderId="20" xfId="0" applyNumberFormat="1" applyFont="1" applyFill="1" applyBorder="1" applyAlignment="1" applyProtection="1">
      <alignment wrapText="1"/>
      <protection locked="0"/>
    </xf>
    <xf numFmtId="1" fontId="6" fillId="4" borderId="38" xfId="0" applyNumberFormat="1" applyFont="1" applyFill="1" applyBorder="1" applyAlignment="1">
      <alignment wrapText="1"/>
    </xf>
    <xf numFmtId="1" fontId="6" fillId="3" borderId="20" xfId="0" applyNumberFormat="1" applyFont="1" applyFill="1" applyBorder="1" applyAlignment="1">
      <alignment horizontal="right" wrapText="1"/>
    </xf>
    <xf numFmtId="1" fontId="6" fillId="5" borderId="193" xfId="0" applyNumberFormat="1" applyFont="1" applyFill="1" applyBorder="1" applyProtection="1">
      <protection locked="0"/>
    </xf>
    <xf numFmtId="1" fontId="6" fillId="0" borderId="29" xfId="0" applyNumberFormat="1" applyFont="1" applyBorder="1" applyAlignment="1">
      <alignment vertical="center" wrapText="1"/>
    </xf>
    <xf numFmtId="1" fontId="6" fillId="0" borderId="43" xfId="0" applyNumberFormat="1" applyFont="1" applyBorder="1" applyAlignment="1">
      <alignment horizontal="center" vertical="center" wrapText="1"/>
    </xf>
    <xf numFmtId="1" fontId="6" fillId="5" borderId="122" xfId="0" applyNumberFormat="1" applyFont="1" applyFill="1" applyBorder="1" applyProtection="1">
      <protection locked="0"/>
    </xf>
    <xf numFmtId="1" fontId="6" fillId="5" borderId="83" xfId="0" applyNumberFormat="1" applyFont="1" applyFill="1" applyBorder="1" applyProtection="1">
      <protection locked="0"/>
    </xf>
    <xf numFmtId="1" fontId="6" fillId="5" borderId="84" xfId="0" applyNumberFormat="1" applyFont="1" applyFill="1" applyBorder="1" applyProtection="1">
      <protection locked="0"/>
    </xf>
    <xf numFmtId="1" fontId="27" fillId="3" borderId="0" xfId="0" applyNumberFormat="1" applyFont="1" applyFill="1"/>
    <xf numFmtId="1" fontId="2" fillId="3" borderId="0" xfId="13" applyNumberFormat="1" applyFont="1" applyFill="1" applyAlignment="1">
      <alignment vertical="center" wrapText="1"/>
    </xf>
    <xf numFmtId="1" fontId="20" fillId="3" borderId="14" xfId="0" applyNumberFormat="1" applyFont="1" applyFill="1" applyBorder="1" applyAlignment="1">
      <alignment horizontal="center" vertical="center" wrapText="1"/>
    </xf>
    <xf numFmtId="1" fontId="6" fillId="3" borderId="24" xfId="13" applyNumberFormat="1" applyFont="1" applyFill="1" applyBorder="1" applyAlignment="1">
      <alignment horizontal="center" vertical="center"/>
    </xf>
    <xf numFmtId="1" fontId="6" fillId="0" borderId="2" xfId="13" applyNumberFormat="1" applyFont="1" applyBorder="1" applyAlignment="1">
      <alignment horizontal="center" vertical="center" wrapText="1"/>
    </xf>
    <xf numFmtId="1" fontId="6" fillId="0" borderId="53" xfId="13" applyNumberFormat="1" applyFont="1" applyBorder="1" applyAlignment="1">
      <alignment horizontal="center" vertical="center" wrapText="1"/>
    </xf>
    <xf numFmtId="1" fontId="6" fillId="0" borderId="43" xfId="13" applyNumberFormat="1" applyFont="1" applyBorder="1" applyAlignment="1">
      <alignment horizontal="center" vertical="center" wrapText="1"/>
    </xf>
    <xf numFmtId="1" fontId="6" fillId="0" borderId="44" xfId="13" applyNumberFormat="1" applyFont="1" applyBorder="1" applyAlignment="1">
      <alignment horizontal="center" vertical="center" wrapText="1"/>
    </xf>
    <xf numFmtId="1" fontId="6" fillId="0" borderId="14" xfId="13" applyNumberFormat="1" applyFont="1" applyBorder="1" applyAlignment="1">
      <alignment horizontal="center" vertical="center" wrapText="1"/>
    </xf>
    <xf numFmtId="1" fontId="6" fillId="0" borderId="14" xfId="13" applyNumberFormat="1" applyFont="1" applyBorder="1" applyAlignment="1">
      <alignment horizontal="center" vertical="center"/>
    </xf>
    <xf numFmtId="1" fontId="6" fillId="0" borderId="14" xfId="8" applyNumberFormat="1" applyFont="1" applyBorder="1" applyAlignment="1">
      <alignment horizontal="center" vertical="center" wrapText="1"/>
    </xf>
    <xf numFmtId="1" fontId="6" fillId="0" borderId="14" xfId="8" applyNumberFormat="1" applyFont="1" applyBorder="1" applyAlignment="1">
      <alignment horizontal="center" vertical="center"/>
    </xf>
    <xf numFmtId="1" fontId="6" fillId="0" borderId="48" xfId="13" applyNumberFormat="1" applyFont="1" applyBorder="1" applyAlignment="1">
      <alignment horizontal="center" vertical="center" wrapText="1"/>
    </xf>
    <xf numFmtId="1" fontId="6" fillId="0" borderId="13" xfId="13" applyNumberFormat="1" applyFont="1" applyBorder="1" applyAlignment="1">
      <alignment horizontal="center" vertical="center" wrapText="1"/>
    </xf>
    <xf numFmtId="1" fontId="6" fillId="0" borderId="37" xfId="0" applyNumberFormat="1" applyFont="1" applyBorder="1" applyAlignment="1">
      <alignment horizontal="right" vertical="center"/>
    </xf>
    <xf numFmtId="1" fontId="6" fillId="5" borderId="119" xfId="0" applyNumberFormat="1" applyFont="1" applyFill="1" applyBorder="1" applyAlignment="1" applyProtection="1">
      <alignment horizontal="right"/>
      <protection locked="0"/>
    </xf>
    <xf numFmtId="1" fontId="6" fillId="0" borderId="25" xfId="0" applyNumberFormat="1" applyFont="1" applyBorder="1" applyAlignment="1">
      <alignment horizontal="right" vertical="center"/>
    </xf>
    <xf numFmtId="1" fontId="6" fillId="0" borderId="51" xfId="0" applyNumberFormat="1" applyFont="1" applyBorder="1" applyAlignment="1">
      <alignment horizontal="right" vertical="center"/>
    </xf>
    <xf numFmtId="1" fontId="6" fillId="0" borderId="7" xfId="0" applyNumberFormat="1" applyFont="1" applyBorder="1" applyAlignment="1">
      <alignment horizontal="center" vertical="center"/>
    </xf>
    <xf numFmtId="1" fontId="6" fillId="3" borderId="35" xfId="0" applyNumberFormat="1" applyFont="1" applyFill="1" applyBorder="1" applyProtection="1">
      <protection locked="0"/>
    </xf>
    <xf numFmtId="1" fontId="15" fillId="3" borderId="0" xfId="0" applyNumberFormat="1" applyFont="1" applyFill="1" applyAlignment="1">
      <alignment horizontal="center" vertical="center"/>
    </xf>
    <xf numFmtId="1" fontId="7" fillId="0" borderId="8" xfId="0" applyNumberFormat="1" applyFont="1" applyBorder="1" applyAlignment="1">
      <alignment horizontal="center" vertical="center" wrapText="1"/>
    </xf>
    <xf numFmtId="1" fontId="6" fillId="0" borderId="12" xfId="0" applyNumberFormat="1" applyFont="1" applyBorder="1" applyAlignment="1">
      <alignment wrapText="1"/>
    </xf>
    <xf numFmtId="1" fontId="6" fillId="0" borderId="48" xfId="0" applyNumberFormat="1" applyFont="1" applyBorder="1" applyAlignment="1">
      <alignment wrapText="1"/>
    </xf>
    <xf numFmtId="1" fontId="6" fillId="0" borderId="25" xfId="0" applyNumberFormat="1" applyFont="1" applyBorder="1" applyAlignment="1">
      <alignment horizontal="left"/>
    </xf>
    <xf numFmtId="1" fontId="6" fillId="0" borderId="56" xfId="0" applyNumberFormat="1" applyFont="1" applyBorder="1"/>
    <xf numFmtId="1" fontId="6" fillId="0" borderId="55" xfId="0" applyNumberFormat="1" applyFont="1" applyBorder="1"/>
    <xf numFmtId="1" fontId="6" fillId="0" borderId="82" xfId="0" applyNumberFormat="1" applyFont="1" applyBorder="1" applyAlignment="1">
      <alignment horizontal="left"/>
    </xf>
    <xf numFmtId="1" fontId="6" fillId="0" borderId="83" xfId="0" applyNumberFormat="1" applyFont="1" applyBorder="1"/>
    <xf numFmtId="1" fontId="6" fillId="5" borderId="132" xfId="0" applyNumberFormat="1" applyFont="1" applyFill="1" applyBorder="1" applyProtection="1">
      <protection locked="0"/>
    </xf>
    <xf numFmtId="1" fontId="6" fillId="0" borderId="132" xfId="0" applyNumberFormat="1" applyFont="1" applyBorder="1"/>
    <xf numFmtId="1" fontId="6" fillId="0" borderId="98" xfId="0" applyNumberFormat="1" applyFont="1" applyBorder="1" applyAlignment="1">
      <alignment horizontal="left"/>
    </xf>
    <xf numFmtId="1" fontId="6" fillId="4" borderId="136" xfId="0" applyNumberFormat="1" applyFont="1" applyFill="1" applyBorder="1"/>
    <xf numFmtId="1" fontId="6" fillId="0" borderId="136" xfId="0" applyNumberFormat="1" applyFont="1" applyBorder="1"/>
    <xf numFmtId="1" fontId="6" fillId="5" borderId="137" xfId="0" applyNumberFormat="1" applyFont="1" applyFill="1" applyBorder="1" applyProtection="1">
      <protection locked="0"/>
    </xf>
    <xf numFmtId="1" fontId="6" fillId="5" borderId="135" xfId="0" applyNumberFormat="1" applyFont="1" applyFill="1" applyBorder="1" applyProtection="1">
      <protection locked="0"/>
    </xf>
    <xf numFmtId="1" fontId="6" fillId="0" borderId="137" xfId="0" applyNumberFormat="1" applyFont="1" applyBorder="1"/>
    <xf numFmtId="1" fontId="6" fillId="5" borderId="138" xfId="0" applyNumberFormat="1" applyFont="1" applyFill="1" applyBorder="1" applyProtection="1">
      <protection locked="0"/>
    </xf>
    <xf numFmtId="1" fontId="6" fillId="5" borderId="139" xfId="0" applyNumberFormat="1" applyFont="1" applyFill="1" applyBorder="1" applyProtection="1">
      <protection locked="0"/>
    </xf>
    <xf numFmtId="1" fontId="6" fillId="4" borderId="133" xfId="0" applyNumberFormat="1" applyFont="1" applyFill="1" applyBorder="1"/>
    <xf numFmtId="1" fontId="6" fillId="3" borderId="0" xfId="0" applyNumberFormat="1" applyFont="1" applyFill="1" applyAlignment="1">
      <alignment horizontal="left" vertical="center"/>
    </xf>
    <xf numFmtId="1" fontId="13" fillId="3" borderId="0" xfId="0" applyNumberFormat="1" applyFont="1" applyFill="1" applyAlignment="1" applyProtection="1">
      <alignment horizontal="right"/>
      <protection locked="0"/>
    </xf>
    <xf numFmtId="1" fontId="6" fillId="0" borderId="14" xfId="0" applyNumberFormat="1" applyFont="1" applyBorder="1" applyAlignment="1">
      <alignment horizontal="left" wrapText="1"/>
    </xf>
    <xf numFmtId="1" fontId="13" fillId="5" borderId="24" xfId="0" applyNumberFormat="1" applyFont="1" applyFill="1" applyBorder="1" applyProtection="1">
      <protection locked="0"/>
    </xf>
    <xf numFmtId="1" fontId="13" fillId="5" borderId="8" xfId="0" applyNumberFormat="1" applyFont="1" applyFill="1" applyBorder="1" applyProtection="1">
      <protection locked="0"/>
    </xf>
    <xf numFmtId="1" fontId="15" fillId="3" borderId="0" xfId="0" applyNumberFormat="1" applyFont="1" applyFill="1" applyAlignment="1">
      <alignment vertical="center"/>
    </xf>
    <xf numFmtId="1" fontId="6" fillId="4" borderId="66" xfId="0" applyNumberFormat="1" applyFont="1" applyFill="1" applyBorder="1"/>
    <xf numFmtId="1" fontId="6" fillId="0" borderId="28" xfId="0" applyNumberFormat="1" applyFont="1" applyBorder="1"/>
    <xf numFmtId="1" fontId="6" fillId="0" borderId="27" xfId="0" applyNumberFormat="1" applyFont="1" applyBorder="1"/>
    <xf numFmtId="1" fontId="6" fillId="5" borderId="22" xfId="0" applyNumberFormat="1" applyFont="1" applyFill="1" applyBorder="1" applyAlignment="1" applyProtection="1">
      <alignment wrapText="1"/>
      <protection locked="0"/>
    </xf>
    <xf numFmtId="1" fontId="6" fillId="0" borderId="59" xfId="0" applyNumberFormat="1" applyFont="1" applyBorder="1"/>
    <xf numFmtId="1" fontId="6" fillId="5" borderId="142" xfId="0" applyNumberFormat="1" applyFont="1" applyFill="1" applyBorder="1" applyAlignment="1" applyProtection="1">
      <alignment horizontal="right"/>
      <protection locked="0"/>
    </xf>
    <xf numFmtId="1" fontId="6" fillId="5" borderId="143" xfId="0" applyNumberFormat="1" applyFont="1" applyFill="1" applyBorder="1" applyAlignment="1" applyProtection="1">
      <alignment horizontal="right"/>
      <protection locked="0"/>
    </xf>
    <xf numFmtId="1" fontId="6" fillId="5" borderId="143" xfId="0" applyNumberFormat="1" applyFont="1" applyFill="1" applyBorder="1" applyProtection="1">
      <protection locked="0"/>
    </xf>
    <xf numFmtId="1" fontId="6" fillId="5" borderId="129" xfId="0" applyNumberFormat="1" applyFont="1" applyFill="1" applyBorder="1" applyProtection="1">
      <protection locked="0"/>
    </xf>
    <xf numFmtId="1" fontId="13" fillId="0" borderId="37" xfId="0" applyNumberFormat="1" applyFont="1" applyBorder="1" applyAlignment="1">
      <alignment vertical="center" wrapText="1"/>
    </xf>
    <xf numFmtId="1" fontId="13" fillId="0" borderId="24" xfId="0" applyNumberFormat="1" applyFont="1" applyBorder="1" applyAlignment="1">
      <alignment vertical="center" wrapText="1"/>
    </xf>
    <xf numFmtId="1" fontId="6" fillId="0" borderId="125" xfId="0" applyNumberFormat="1" applyFont="1" applyBorder="1" applyAlignment="1">
      <alignment horizontal="center" vertical="center" wrapText="1"/>
    </xf>
    <xf numFmtId="1" fontId="6" fillId="5" borderId="142" xfId="0" applyNumberFormat="1" applyFont="1" applyFill="1" applyBorder="1" applyProtection="1">
      <protection locked="0"/>
    </xf>
    <xf numFmtId="1" fontId="6" fillId="5" borderId="147" xfId="0" applyNumberFormat="1" applyFont="1" applyFill="1" applyBorder="1" applyProtection="1">
      <protection locked="0"/>
    </xf>
    <xf numFmtId="1" fontId="6" fillId="4" borderId="58" xfId="0" applyNumberFormat="1" applyFont="1" applyFill="1" applyBorder="1"/>
    <xf numFmtId="1" fontId="6" fillId="4" borderId="144" xfId="0" applyNumberFormat="1" applyFont="1" applyFill="1" applyBorder="1"/>
    <xf numFmtId="1" fontId="6" fillId="4" borderId="124" xfId="0" applyNumberFormat="1" applyFont="1" applyFill="1" applyBorder="1"/>
    <xf numFmtId="1" fontId="6" fillId="4" borderId="106" xfId="0" applyNumberFormat="1" applyFont="1" applyFill="1" applyBorder="1"/>
    <xf numFmtId="1" fontId="6" fillId="4" borderId="143" xfId="0" applyNumberFormat="1" applyFont="1" applyFill="1" applyBorder="1"/>
    <xf numFmtId="1" fontId="6" fillId="0" borderId="125" xfId="0" applyNumberFormat="1" applyFont="1" applyBorder="1"/>
    <xf numFmtId="1" fontId="15" fillId="3" borderId="0" xfId="0" applyNumberFormat="1" applyFont="1" applyFill="1" applyAlignment="1">
      <alignment vertical="center" wrapText="1"/>
    </xf>
    <xf numFmtId="1" fontId="6" fillId="3" borderId="37" xfId="0" applyNumberFormat="1" applyFont="1" applyFill="1" applyBorder="1" applyAlignment="1">
      <alignment vertical="center" wrapText="1"/>
    </xf>
    <xf numFmtId="1" fontId="6" fillId="0" borderId="69" xfId="0" applyNumberFormat="1" applyFont="1" applyBorder="1"/>
    <xf numFmtId="1" fontId="6" fillId="3" borderId="37" xfId="0" applyNumberFormat="1" applyFont="1" applyFill="1" applyBorder="1" applyAlignment="1">
      <alignment horizontal="left"/>
    </xf>
    <xf numFmtId="1" fontId="6" fillId="3" borderId="24" xfId="0" applyNumberFormat="1" applyFont="1" applyFill="1" applyBorder="1" applyAlignment="1">
      <alignment wrapText="1"/>
    </xf>
    <xf numFmtId="1" fontId="13" fillId="0" borderId="0" xfId="0" applyNumberFormat="1" applyFont="1" applyProtection="1">
      <protection locked="0"/>
    </xf>
    <xf numFmtId="1" fontId="6" fillId="5" borderId="118" xfId="0" applyNumberFormat="1" applyFont="1" applyFill="1" applyBorder="1" applyProtection="1">
      <protection locked="0"/>
    </xf>
    <xf numFmtId="1" fontId="53" fillId="3" borderId="0" xfId="0" applyNumberFormat="1" applyFont="1" applyFill="1"/>
    <xf numFmtId="1" fontId="6" fillId="13" borderId="24" xfId="0" applyNumberFormat="1" applyFont="1" applyFill="1" applyBorder="1"/>
    <xf numFmtId="1" fontId="20" fillId="3" borderId="8" xfId="0" applyNumberFormat="1" applyFont="1" applyFill="1" applyBorder="1"/>
    <xf numFmtId="1" fontId="20" fillId="0" borderId="25" xfId="0" applyNumberFormat="1" applyFont="1" applyBorder="1"/>
    <xf numFmtId="1" fontId="20" fillId="0" borderId="37" xfId="0" applyNumberFormat="1" applyFont="1" applyBorder="1" applyAlignment="1">
      <alignment vertical="center" wrapText="1"/>
    </xf>
    <xf numFmtId="1" fontId="20" fillId="3" borderId="24" xfId="0" applyNumberFormat="1" applyFont="1" applyFill="1" applyBorder="1" applyAlignment="1">
      <alignment wrapText="1"/>
    </xf>
    <xf numFmtId="1" fontId="20" fillId="3" borderId="24" xfId="0" applyNumberFormat="1" applyFont="1" applyFill="1" applyBorder="1"/>
    <xf numFmtId="1" fontId="6" fillId="0" borderId="125" xfId="0" applyNumberFormat="1" applyFont="1" applyBorder="1" applyAlignment="1">
      <alignment horizontal="center" vertical="center"/>
    </xf>
    <xf numFmtId="1" fontId="6" fillId="0" borderId="118" xfId="0" applyNumberFormat="1" applyFont="1" applyBorder="1" applyAlignment="1">
      <alignment horizontal="center" vertical="center"/>
    </xf>
    <xf numFmtId="1" fontId="6" fillId="0" borderId="144" xfId="0" applyNumberFormat="1" applyFont="1" applyBorder="1"/>
    <xf numFmtId="1" fontId="6" fillId="0" borderId="120" xfId="0" applyNumberFormat="1" applyFont="1" applyBorder="1"/>
    <xf numFmtId="1" fontId="6" fillId="0" borderId="58" xfId="0" applyNumberFormat="1" applyFont="1" applyBorder="1"/>
    <xf numFmtId="1" fontId="6" fillId="5" borderId="124" xfId="0" applyNumberFormat="1" applyFont="1" applyFill="1" applyBorder="1" applyProtection="1">
      <protection locked="0"/>
    </xf>
    <xf numFmtId="1" fontId="6" fillId="6" borderId="124" xfId="0" applyNumberFormat="1" applyFont="1" applyFill="1" applyBorder="1" applyProtection="1">
      <protection locked="0"/>
    </xf>
    <xf numFmtId="1" fontId="6" fillId="6" borderId="18" xfId="0" applyNumberFormat="1" applyFont="1" applyFill="1" applyBorder="1" applyProtection="1">
      <protection locked="0"/>
    </xf>
    <xf numFmtId="1" fontId="6" fillId="6" borderId="16" xfId="0" applyNumberFormat="1" applyFont="1" applyFill="1" applyBorder="1" applyProtection="1">
      <protection locked="0"/>
    </xf>
    <xf numFmtId="1" fontId="6" fillId="0" borderId="57" xfId="0" applyNumberFormat="1" applyFont="1" applyBorder="1"/>
    <xf numFmtId="1" fontId="6" fillId="0" borderId="32" xfId="0" applyNumberFormat="1" applyFont="1" applyBorder="1"/>
    <xf numFmtId="1" fontId="6" fillId="0" borderId="30" xfId="0" applyNumberFormat="1" applyFont="1" applyBorder="1"/>
    <xf numFmtId="1" fontId="6" fillId="0" borderId="61" xfId="0" applyNumberFormat="1" applyFont="1" applyBorder="1"/>
    <xf numFmtId="1" fontId="6" fillId="6" borderId="147" xfId="0" applyNumberFormat="1" applyFont="1" applyFill="1" applyBorder="1" applyProtection="1">
      <protection locked="0"/>
    </xf>
    <xf numFmtId="1" fontId="6" fillId="6" borderId="32" xfId="0" applyNumberFormat="1" applyFont="1" applyFill="1" applyBorder="1" applyProtection="1">
      <protection locked="0"/>
    </xf>
    <xf numFmtId="1" fontId="6" fillId="6" borderId="30" xfId="0" applyNumberFormat="1" applyFont="1" applyFill="1" applyBorder="1" applyProtection="1">
      <protection locked="0"/>
    </xf>
    <xf numFmtId="1" fontId="6" fillId="5" borderId="144" xfId="0" applyNumberFormat="1" applyFont="1" applyFill="1" applyBorder="1" applyProtection="1">
      <protection locked="0"/>
    </xf>
    <xf numFmtId="1" fontId="6" fillId="6" borderId="144" xfId="0" applyNumberFormat="1" applyFont="1" applyFill="1" applyBorder="1" applyProtection="1">
      <protection locked="0"/>
    </xf>
    <xf numFmtId="1" fontId="6" fillId="6" borderId="22" xfId="0" applyNumberFormat="1" applyFont="1" applyFill="1" applyBorder="1" applyProtection="1">
      <protection locked="0"/>
    </xf>
    <xf numFmtId="1" fontId="6" fillId="6" borderId="20" xfId="0" applyNumberFormat="1" applyFont="1" applyFill="1" applyBorder="1" applyProtection="1">
      <protection locked="0"/>
    </xf>
    <xf numFmtId="1" fontId="6" fillId="5" borderId="125" xfId="0" applyNumberFormat="1" applyFont="1" applyFill="1" applyBorder="1" applyProtection="1">
      <protection locked="0"/>
    </xf>
    <xf numFmtId="1" fontId="6" fillId="5" borderId="150" xfId="0" applyNumberFormat="1" applyFont="1" applyFill="1" applyBorder="1" applyProtection="1">
      <protection locked="0"/>
    </xf>
    <xf numFmtId="1" fontId="6" fillId="4" borderId="191" xfId="0" applyNumberFormat="1" applyFont="1" applyFill="1" applyBorder="1"/>
    <xf numFmtId="1" fontId="6" fillId="4" borderId="193" xfId="0" applyNumberFormat="1" applyFont="1" applyFill="1" applyBorder="1"/>
    <xf numFmtId="1" fontId="56" fillId="3" borderId="0" xfId="0" applyNumberFormat="1" applyFont="1" applyFill="1"/>
    <xf numFmtId="1" fontId="6" fillId="3" borderId="8" xfId="0" applyNumberFormat="1" applyFont="1" applyFill="1" applyBorder="1" applyAlignment="1">
      <alignment horizontal="center" vertical="center" wrapText="1"/>
    </xf>
    <xf numFmtId="1" fontId="6" fillId="0" borderId="26" xfId="0" applyNumberFormat="1" applyFont="1" applyBorder="1" applyAlignment="1">
      <alignment horizontal="center" vertical="center"/>
    </xf>
    <xf numFmtId="1" fontId="6" fillId="0" borderId="63" xfId="0" applyNumberFormat="1" applyFont="1" applyBorder="1"/>
    <xf numFmtId="1" fontId="6" fillId="0" borderId="64" xfId="0" applyNumberFormat="1" applyFont="1" applyBorder="1"/>
    <xf numFmtId="1" fontId="6" fillId="0" borderId="33" xfId="0" applyNumberFormat="1" applyFont="1" applyBorder="1" applyAlignment="1">
      <alignment horizontal="right" wrapText="1"/>
    </xf>
    <xf numFmtId="1" fontId="6" fillId="5" borderId="77" xfId="0" applyNumberFormat="1" applyFont="1" applyFill="1" applyBorder="1" applyProtection="1">
      <protection locked="0"/>
    </xf>
    <xf numFmtId="1" fontId="6" fillId="5" borderId="90" xfId="0" applyNumberFormat="1" applyFont="1" applyFill="1" applyBorder="1" applyProtection="1">
      <protection locked="0"/>
    </xf>
    <xf numFmtId="1" fontId="6" fillId="5" borderId="55" xfId="9" applyNumberFormat="1" applyFont="1" applyFill="1" applyBorder="1" applyProtection="1">
      <protection locked="0"/>
    </xf>
    <xf numFmtId="1" fontId="6" fillId="5" borderId="21" xfId="9" applyNumberFormat="1" applyFont="1" applyFill="1" applyBorder="1" applyProtection="1">
      <protection locked="0"/>
    </xf>
    <xf numFmtId="1" fontId="6" fillId="5" borderId="20" xfId="9" applyNumberFormat="1" applyFont="1" applyFill="1" applyBorder="1" applyProtection="1">
      <protection locked="0"/>
    </xf>
    <xf numFmtId="1" fontId="6" fillId="0" borderId="24" xfId="9" applyNumberFormat="1" applyFont="1" applyBorder="1"/>
    <xf numFmtId="1" fontId="6" fillId="5" borderId="225" xfId="0" applyNumberFormat="1" applyFont="1" applyFill="1" applyBorder="1" applyProtection="1">
      <protection locked="0"/>
    </xf>
    <xf numFmtId="1" fontId="6" fillId="0" borderId="27" xfId="0" applyNumberFormat="1" applyFont="1" applyBorder="1" applyAlignment="1">
      <alignment horizontal="right"/>
    </xf>
    <xf numFmtId="1" fontId="6" fillId="0" borderId="125" xfId="0" applyNumberFormat="1" applyFont="1" applyBorder="1" applyAlignment="1">
      <alignment horizontal="right"/>
    </xf>
    <xf numFmtId="1" fontId="6" fillId="0" borderId="148" xfId="0" applyNumberFormat="1" applyFont="1" applyBorder="1" applyAlignment="1">
      <alignment horizontal="right"/>
    </xf>
    <xf numFmtId="1" fontId="6" fillId="0" borderId="49" xfId="0" applyNumberFormat="1" applyFont="1" applyBorder="1" applyAlignment="1">
      <alignment horizontal="right"/>
    </xf>
    <xf numFmtId="1" fontId="7" fillId="0" borderId="125" xfId="0" applyNumberFormat="1" applyFont="1" applyBorder="1" applyAlignment="1">
      <alignment horizontal="center" vertical="center" wrapText="1"/>
    </xf>
    <xf numFmtId="1" fontId="7" fillId="0" borderId="48" xfId="0" applyNumberFormat="1" applyFont="1" applyBorder="1" applyAlignment="1">
      <alignment horizontal="center" vertical="center" wrapText="1"/>
    </xf>
    <xf numFmtId="1" fontId="6" fillId="0" borderId="53" xfId="0" applyNumberFormat="1" applyFont="1" applyBorder="1" applyAlignment="1" applyProtection="1">
      <alignment horizontal="center" vertical="center"/>
      <protection hidden="1"/>
    </xf>
    <xf numFmtId="1" fontId="6" fillId="0" borderId="47" xfId="0" applyNumberFormat="1" applyFont="1" applyBorder="1" applyAlignment="1" applyProtection="1">
      <alignment horizontal="center" vertical="center"/>
      <protection hidden="1"/>
    </xf>
    <xf numFmtId="1" fontId="6" fillId="5" borderId="154" xfId="0" applyNumberFormat="1" applyFont="1" applyFill="1" applyBorder="1" applyProtection="1">
      <protection locked="0"/>
    </xf>
    <xf numFmtId="1" fontId="6" fillId="5" borderId="126" xfId="0" applyNumberFormat="1" applyFont="1" applyFill="1" applyBorder="1" applyProtection="1">
      <protection locked="0"/>
    </xf>
    <xf numFmtId="1" fontId="6" fillId="5" borderId="226" xfId="0" applyNumberFormat="1" applyFont="1" applyFill="1" applyBorder="1" applyProtection="1">
      <protection locked="0"/>
    </xf>
    <xf numFmtId="1" fontId="6" fillId="5" borderId="227" xfId="0" applyNumberFormat="1" applyFont="1" applyFill="1" applyBorder="1" applyProtection="1">
      <protection locked="0"/>
    </xf>
    <xf numFmtId="1" fontId="6" fillId="3" borderId="8" xfId="0" applyNumberFormat="1" applyFont="1" applyFill="1" applyBorder="1" applyAlignment="1">
      <alignment wrapText="1"/>
    </xf>
    <xf numFmtId="1" fontId="6" fillId="3" borderId="47" xfId="0" applyNumberFormat="1" applyFont="1" applyFill="1" applyBorder="1" applyAlignment="1">
      <alignment wrapText="1"/>
    </xf>
    <xf numFmtId="1" fontId="6" fillId="0" borderId="49" xfId="0" applyNumberFormat="1" applyFont="1" applyBorder="1"/>
    <xf numFmtId="1" fontId="20" fillId="3" borderId="47" xfId="0" applyNumberFormat="1" applyFont="1" applyFill="1" applyBorder="1"/>
    <xf numFmtId="1" fontId="20" fillId="3" borderId="12" xfId="0" applyNumberFormat="1" applyFont="1" applyFill="1" applyBorder="1"/>
    <xf numFmtId="1" fontId="6" fillId="0" borderId="12" xfId="0" applyNumberFormat="1" applyFont="1" applyBorder="1" applyAlignment="1" applyProtection="1">
      <alignment horizontal="center" vertical="center" wrapText="1"/>
      <protection hidden="1"/>
    </xf>
    <xf numFmtId="1" fontId="6" fillId="5" borderId="191" xfId="0" applyNumberFormat="1" applyFont="1" applyFill="1" applyBorder="1" applyAlignment="1" applyProtection="1">
      <alignment wrapText="1"/>
      <protection locked="0"/>
    </xf>
    <xf numFmtId="1" fontId="6" fillId="5" borderId="193" xfId="0" applyNumberFormat="1" applyFont="1" applyFill="1" applyBorder="1" applyAlignment="1" applyProtection="1">
      <alignment wrapText="1"/>
      <protection locked="0"/>
    </xf>
    <xf numFmtId="1" fontId="6" fillId="5" borderId="225" xfId="0" applyNumberFormat="1" applyFont="1" applyFill="1" applyBorder="1" applyAlignment="1" applyProtection="1">
      <alignment wrapText="1"/>
      <protection locked="0"/>
    </xf>
    <xf numFmtId="1" fontId="6" fillId="5" borderId="63" xfId="0" applyNumberFormat="1" applyFont="1" applyFill="1" applyBorder="1" applyAlignment="1" applyProtection="1">
      <alignment wrapText="1"/>
      <protection locked="0"/>
    </xf>
    <xf numFmtId="1" fontId="6" fillId="5" borderId="46" xfId="0" applyNumberFormat="1" applyFont="1" applyFill="1" applyBorder="1" applyAlignment="1" applyProtection="1">
      <alignment wrapText="1"/>
      <protection locked="0"/>
    </xf>
    <xf numFmtId="1" fontId="6" fillId="4" borderId="63" xfId="0" applyNumberFormat="1" applyFont="1" applyFill="1" applyBorder="1" applyAlignment="1">
      <alignment wrapText="1"/>
    </xf>
    <xf numFmtId="1" fontId="6" fillId="4" borderId="46" xfId="0" applyNumberFormat="1" applyFont="1" applyFill="1" applyBorder="1" applyAlignment="1">
      <alignment wrapText="1"/>
    </xf>
    <xf numFmtId="1" fontId="6" fillId="5" borderId="89" xfId="0" applyNumberFormat="1" applyFont="1" applyFill="1" applyBorder="1" applyAlignment="1" applyProtection="1">
      <alignment wrapText="1"/>
      <protection locked="0"/>
    </xf>
    <xf numFmtId="1" fontId="6" fillId="5" borderId="58" xfId="0" applyNumberFormat="1" applyFont="1" applyFill="1" applyBorder="1" applyAlignment="1" applyProtection="1">
      <alignment wrapText="1"/>
      <protection locked="0"/>
    </xf>
    <xf numFmtId="1" fontId="6" fillId="4" borderId="55" xfId="0" applyNumberFormat="1" applyFont="1" applyFill="1" applyBorder="1" applyAlignment="1">
      <alignment wrapText="1"/>
    </xf>
    <xf numFmtId="1" fontId="6" fillId="5" borderId="57" xfId="0" applyNumberFormat="1" applyFont="1" applyFill="1" applyBorder="1" applyAlignment="1" applyProtection="1">
      <alignment wrapText="1"/>
      <protection locked="0"/>
    </xf>
    <xf numFmtId="1" fontId="6" fillId="3" borderId="58" xfId="0" applyNumberFormat="1" applyFont="1" applyFill="1" applyBorder="1" applyAlignment="1">
      <alignment horizontal="right" wrapText="1"/>
    </xf>
    <xf numFmtId="1" fontId="6" fillId="4" borderId="36" xfId="0" applyNumberFormat="1" applyFont="1" applyFill="1" applyBorder="1" applyAlignment="1">
      <alignment wrapText="1"/>
    </xf>
    <xf numFmtId="1" fontId="6" fillId="5" borderId="32" xfId="0" applyNumberFormat="1" applyFont="1" applyFill="1" applyBorder="1" applyAlignment="1" applyProtection="1">
      <alignment wrapText="1"/>
      <protection locked="0"/>
    </xf>
    <xf numFmtId="1" fontId="6" fillId="3" borderId="22" xfId="0" applyNumberFormat="1" applyFont="1" applyFill="1" applyBorder="1" applyAlignment="1">
      <alignment horizontal="right" wrapText="1"/>
    </xf>
    <xf numFmtId="1" fontId="6" fillId="5" borderId="143" xfId="0" applyNumberFormat="1" applyFont="1" applyFill="1" applyBorder="1" applyAlignment="1" applyProtection="1">
      <alignment wrapText="1"/>
      <protection locked="0"/>
    </xf>
    <xf numFmtId="1" fontId="6" fillId="5" borderId="144" xfId="0" applyNumberFormat="1" applyFont="1" applyFill="1" applyBorder="1" applyAlignment="1" applyProtection="1">
      <alignment wrapText="1"/>
      <protection locked="0"/>
    </xf>
    <xf numFmtId="1" fontId="6" fillId="4" borderId="143" xfId="0" applyNumberFormat="1" applyFont="1" applyFill="1" applyBorder="1" applyAlignment="1">
      <alignment wrapText="1"/>
    </xf>
    <xf numFmtId="1" fontId="6" fillId="4" borderId="144" xfId="0" applyNumberFormat="1" applyFont="1" applyFill="1" applyBorder="1" applyAlignment="1">
      <alignment wrapText="1"/>
    </xf>
    <xf numFmtId="1" fontId="6" fillId="5" borderId="147" xfId="0" applyNumberFormat="1" applyFont="1" applyFill="1" applyBorder="1" applyAlignment="1" applyProtection="1">
      <alignment wrapText="1"/>
      <protection locked="0"/>
    </xf>
    <xf numFmtId="1" fontId="6" fillId="0" borderId="45" xfId="0" applyNumberFormat="1" applyFont="1" applyBorder="1" applyAlignment="1">
      <alignment horizontal="right" wrapText="1"/>
    </xf>
    <xf numFmtId="1" fontId="6" fillId="0" borderId="63" xfId="0" applyNumberFormat="1" applyFont="1" applyBorder="1" applyAlignment="1">
      <alignment horizontal="right" wrapText="1"/>
    </xf>
    <xf numFmtId="1" fontId="6" fillId="0" borderId="46" xfId="0" applyNumberFormat="1" applyFont="1" applyBorder="1" applyAlignment="1">
      <alignment horizontal="right" wrapText="1"/>
    </xf>
    <xf numFmtId="1" fontId="6" fillId="0" borderId="41" xfId="0" applyNumberFormat="1" applyFont="1" applyBorder="1" applyAlignment="1">
      <alignment vertical="center" wrapText="1"/>
    </xf>
    <xf numFmtId="1" fontId="6" fillId="0" borderId="64" xfId="0" applyNumberFormat="1" applyFont="1" applyBorder="1" applyAlignment="1">
      <alignment vertical="center" wrapText="1"/>
    </xf>
    <xf numFmtId="1" fontId="6" fillId="0" borderId="46" xfId="0" applyNumberFormat="1" applyFont="1" applyBorder="1" applyAlignment="1">
      <alignment vertical="center" wrapText="1"/>
    </xf>
    <xf numFmtId="1" fontId="6" fillId="0" borderId="66" xfId="0" applyNumberFormat="1" applyFont="1" applyBorder="1" applyAlignment="1">
      <alignment horizontal="right" wrapText="1"/>
    </xf>
    <xf numFmtId="1" fontId="6" fillId="0" borderId="38" xfId="0" applyNumberFormat="1" applyFont="1" applyBorder="1" applyAlignment="1">
      <alignment horizontal="right"/>
    </xf>
    <xf numFmtId="1" fontId="6" fillId="0" borderId="63" xfId="0" applyNumberFormat="1" applyFont="1" applyBorder="1" applyAlignment="1">
      <alignment horizontal="right"/>
    </xf>
    <xf numFmtId="1" fontId="6" fillId="0" borderId="46" xfId="0" applyNumberFormat="1" applyFont="1" applyBorder="1" applyAlignment="1">
      <alignment horizontal="right"/>
    </xf>
    <xf numFmtId="1" fontId="6" fillId="0" borderId="89" xfId="0" applyNumberFormat="1" applyFont="1" applyBorder="1"/>
    <xf numFmtId="1" fontId="6" fillId="0" borderId="78" xfId="0" applyNumberFormat="1" applyFont="1" applyBorder="1"/>
    <xf numFmtId="1" fontId="6" fillId="0" borderId="228" xfId="0" applyNumberFormat="1" applyFont="1" applyBorder="1"/>
    <xf numFmtId="1" fontId="6" fillId="0" borderId="33" xfId="0" applyNumberFormat="1" applyFont="1" applyBorder="1"/>
    <xf numFmtId="1" fontId="6" fillId="0" borderId="42" xfId="0" applyNumberFormat="1" applyFont="1" applyBorder="1"/>
    <xf numFmtId="1" fontId="6" fillId="0" borderId="34" xfId="0" applyNumberFormat="1" applyFont="1" applyBorder="1"/>
    <xf numFmtId="1" fontId="6" fillId="0" borderId="89" xfId="0" applyNumberFormat="1" applyFont="1" applyBorder="1" applyAlignment="1">
      <alignment horizontal="right"/>
    </xf>
    <xf numFmtId="1" fontId="6" fillId="0" borderId="229" xfId="0" applyNumberFormat="1" applyFont="1" applyBorder="1"/>
    <xf numFmtId="1" fontId="6" fillId="0" borderId="177" xfId="0" applyNumberFormat="1" applyFont="1" applyBorder="1" applyAlignment="1">
      <alignment wrapText="1"/>
    </xf>
    <xf numFmtId="1" fontId="6" fillId="0" borderId="89" xfId="0" applyNumberFormat="1" applyFont="1" applyBorder="1" applyAlignment="1">
      <alignment wrapText="1"/>
    </xf>
    <xf numFmtId="1" fontId="6" fillId="0" borderId="38" xfId="0" applyNumberFormat="1" applyFont="1" applyBorder="1" applyAlignment="1">
      <alignment wrapText="1"/>
    </xf>
    <xf numFmtId="1" fontId="6" fillId="0" borderId="63" xfId="0" applyNumberFormat="1" applyFont="1" applyBorder="1" applyAlignment="1">
      <alignment wrapText="1"/>
    </xf>
    <xf numFmtId="1" fontId="6" fillId="0" borderId="20" xfId="0" applyNumberFormat="1" applyFont="1" applyBorder="1" applyAlignment="1">
      <alignment wrapText="1"/>
    </xf>
    <xf numFmtId="1" fontId="6" fillId="0" borderId="46" xfId="0" applyNumberFormat="1" applyFont="1" applyBorder="1" applyAlignment="1">
      <alignment wrapText="1"/>
    </xf>
    <xf numFmtId="1" fontId="6" fillId="0" borderId="43" xfId="0" applyNumberFormat="1" applyFont="1" applyBorder="1" applyAlignment="1" applyProtection="1">
      <alignment horizontal="center" vertical="center" wrapText="1"/>
      <protection hidden="1"/>
    </xf>
    <xf numFmtId="1" fontId="6" fillId="0" borderId="117" xfId="0" applyNumberFormat="1" applyFont="1" applyBorder="1"/>
    <xf numFmtId="1" fontId="6" fillId="0" borderId="138" xfId="0" applyNumberFormat="1" applyFont="1" applyBorder="1"/>
    <xf numFmtId="1" fontId="6" fillId="0" borderId="43" xfId="0" applyNumberFormat="1" applyFont="1" applyBorder="1" applyAlignment="1" applyProtection="1">
      <alignment horizontal="center" vertical="center"/>
      <protection hidden="1"/>
    </xf>
    <xf numFmtId="1" fontId="6" fillId="0" borderId="12" xfId="0" applyNumberFormat="1" applyFont="1" applyBorder="1" applyAlignment="1" applyProtection="1">
      <alignment horizontal="center" vertical="center"/>
      <protection hidden="1"/>
    </xf>
    <xf numFmtId="1" fontId="6" fillId="3" borderId="89" xfId="0" applyNumberFormat="1" applyFont="1" applyFill="1" applyBorder="1" applyAlignment="1">
      <alignment horizontal="right"/>
    </xf>
    <xf numFmtId="1" fontId="6" fillId="3" borderId="46" xfId="0" applyNumberFormat="1" applyFont="1" applyFill="1" applyBorder="1" applyAlignment="1">
      <alignment horizontal="right"/>
    </xf>
    <xf numFmtId="1" fontId="6" fillId="3" borderId="38" xfId="0" applyNumberFormat="1" applyFont="1" applyFill="1" applyBorder="1"/>
    <xf numFmtId="1" fontId="6" fillId="3" borderId="63" xfId="0" applyNumberFormat="1" applyFont="1" applyFill="1" applyBorder="1"/>
    <xf numFmtId="1" fontId="6" fillId="0" borderId="31" xfId="0" applyNumberFormat="1" applyFont="1" applyBorder="1" applyAlignment="1">
      <alignment horizontal="right" vertical="center"/>
    </xf>
    <xf numFmtId="1" fontId="6" fillId="5" borderId="190" xfId="0" applyNumberFormat="1" applyFont="1" applyFill="1" applyBorder="1" applyAlignment="1" applyProtection="1">
      <alignment horizontal="right"/>
      <protection locked="0"/>
    </xf>
    <xf numFmtId="1" fontId="6" fillId="0" borderId="63" xfId="0" applyNumberFormat="1" applyFont="1" applyBorder="1" applyAlignment="1">
      <alignment vertical="center" wrapText="1"/>
    </xf>
    <xf numFmtId="1" fontId="6" fillId="3" borderId="38" xfId="0" applyNumberFormat="1" applyFont="1" applyFill="1" applyBorder="1" applyAlignment="1">
      <alignment vertical="center" wrapText="1"/>
    </xf>
    <xf numFmtId="1" fontId="6" fillId="3" borderId="89" xfId="0" applyNumberFormat="1" applyFont="1" applyFill="1" applyBorder="1" applyAlignment="1">
      <alignment vertical="center" wrapText="1"/>
    </xf>
    <xf numFmtId="1" fontId="6" fillId="3" borderId="33" xfId="0" applyNumberFormat="1" applyFont="1" applyFill="1" applyBorder="1" applyAlignment="1">
      <alignment vertical="center" wrapText="1"/>
    </xf>
    <xf numFmtId="1" fontId="6" fillId="3" borderId="30" xfId="0" applyNumberFormat="1" applyFont="1" applyFill="1" applyBorder="1" applyAlignment="1">
      <alignment vertical="center" wrapText="1"/>
    </xf>
    <xf numFmtId="1" fontId="6" fillId="3" borderId="63" xfId="0" applyNumberFormat="1" applyFont="1" applyFill="1" applyBorder="1" applyAlignment="1">
      <alignment vertical="center" wrapText="1"/>
    </xf>
    <xf numFmtId="1" fontId="6" fillId="3" borderId="20" xfId="0" applyNumberFormat="1" applyFont="1" applyFill="1" applyBorder="1" applyAlignment="1">
      <alignment vertical="center" wrapText="1"/>
    </xf>
    <xf numFmtId="1" fontId="6" fillId="3" borderId="46" xfId="0" applyNumberFormat="1" applyFont="1" applyFill="1" applyBorder="1" applyAlignment="1">
      <alignment vertical="center" wrapText="1"/>
    </xf>
    <xf numFmtId="1" fontId="6" fillId="3" borderId="66" xfId="0" applyNumberFormat="1" applyFont="1" applyFill="1" applyBorder="1" applyAlignment="1">
      <alignment vertical="center" wrapText="1"/>
    </xf>
    <xf numFmtId="1" fontId="10" fillId="0" borderId="173" xfId="0" applyNumberFormat="1" applyFont="1" applyBorder="1"/>
    <xf numFmtId="1" fontId="30" fillId="0" borderId="170" xfId="0" applyNumberFormat="1" applyFont="1" applyBorder="1"/>
    <xf numFmtId="1" fontId="6" fillId="0" borderId="19" xfId="0" applyNumberFormat="1" applyFont="1" applyBorder="1" applyAlignment="1">
      <alignment horizontal="left"/>
    </xf>
    <xf numFmtId="1" fontId="6" fillId="0" borderId="10" xfId="0" applyNumberFormat="1" applyFont="1" applyBorder="1" applyAlignment="1">
      <alignment horizontal="left"/>
    </xf>
    <xf numFmtId="1" fontId="6" fillId="0" borderId="23" xfId="0" applyNumberFormat="1" applyFont="1" applyBorder="1" applyAlignment="1">
      <alignment horizontal="left" wrapText="1"/>
    </xf>
    <xf numFmtId="1" fontId="6" fillId="4" borderId="134" xfId="0" applyNumberFormat="1" applyFont="1" applyFill="1" applyBorder="1"/>
    <xf numFmtId="1" fontId="13" fillId="5" borderId="14" xfId="0" applyNumberFormat="1" applyFont="1" applyFill="1" applyBorder="1" applyProtection="1">
      <protection locked="0"/>
    </xf>
    <xf numFmtId="1" fontId="6" fillId="0" borderId="29" xfId="0" applyNumberFormat="1" applyFont="1" applyBorder="1" applyAlignment="1">
      <alignment horizontal="right" wrapText="1"/>
    </xf>
    <xf numFmtId="1" fontId="6" fillId="7" borderId="219" xfId="20" applyNumberFormat="1" applyFont="1" applyBorder="1" applyProtection="1">
      <protection locked="0"/>
    </xf>
    <xf numFmtId="1" fontId="6" fillId="7" borderId="220" xfId="20" applyNumberFormat="1" applyFont="1" applyBorder="1" applyProtection="1">
      <protection locked="0"/>
    </xf>
    <xf numFmtId="1" fontId="6" fillId="7" borderId="38" xfId="20" applyNumberFormat="1" applyFont="1" applyBorder="1" applyProtection="1">
      <protection locked="0"/>
    </xf>
    <xf numFmtId="1" fontId="6" fillId="7" borderId="36" xfId="20" applyNumberFormat="1" applyFont="1" applyBorder="1" applyProtection="1">
      <protection locked="0"/>
    </xf>
    <xf numFmtId="1" fontId="6" fillId="0" borderId="24" xfId="0" applyNumberFormat="1" applyFont="1" applyBorder="1" applyAlignment="1">
      <alignment horizontal="right" wrapText="1"/>
    </xf>
    <xf numFmtId="1" fontId="6" fillId="7" borderId="20" xfId="20" applyNumberFormat="1" applyFont="1" applyBorder="1" applyProtection="1">
      <protection locked="0"/>
    </xf>
    <xf numFmtId="1" fontId="6" fillId="7" borderId="22" xfId="20" applyNumberFormat="1" applyFont="1" applyBorder="1" applyProtection="1">
      <protection locked="0"/>
    </xf>
    <xf numFmtId="1" fontId="6" fillId="4" borderId="91" xfId="0" applyNumberFormat="1" applyFont="1" applyFill="1" applyBorder="1"/>
    <xf numFmtId="1" fontId="6" fillId="4" borderId="228" xfId="0" applyNumberFormat="1" applyFont="1" applyFill="1" applyBorder="1"/>
    <xf numFmtId="1" fontId="6" fillId="4" borderId="79" xfId="0" applyNumberFormat="1" applyFont="1" applyFill="1" applyBorder="1"/>
    <xf numFmtId="1" fontId="6" fillId="4" borderId="78" xfId="0" applyNumberFormat="1" applyFont="1" applyFill="1" applyBorder="1"/>
    <xf numFmtId="1" fontId="7" fillId="0" borderId="47" xfId="0" applyNumberFormat="1" applyFont="1" applyBorder="1" applyAlignment="1">
      <alignment horizontal="center" vertical="center" wrapText="1"/>
    </xf>
    <xf numFmtId="1" fontId="6" fillId="4" borderId="235" xfId="0" applyNumberFormat="1" applyFont="1" applyFill="1" applyBorder="1"/>
    <xf numFmtId="1" fontId="6" fillId="0" borderId="76" xfId="0" applyNumberFormat="1" applyFont="1" applyBorder="1" applyAlignment="1">
      <alignment horizontal="left"/>
    </xf>
    <xf numFmtId="1" fontId="6" fillId="3" borderId="37" xfId="0" applyNumberFormat="1" applyFont="1" applyFill="1" applyBorder="1" applyAlignment="1">
      <alignment horizontal="left" wrapText="1"/>
    </xf>
    <xf numFmtId="1" fontId="20" fillId="0" borderId="37" xfId="0" applyNumberFormat="1" applyFont="1" applyBorder="1" applyAlignment="1">
      <alignment horizontal="left" vertical="center" wrapText="1"/>
    </xf>
    <xf numFmtId="1" fontId="6" fillId="0" borderId="147" xfId="0" applyNumberFormat="1" applyFont="1" applyBorder="1"/>
    <xf numFmtId="1" fontId="6" fillId="0" borderId="129" xfId="0" applyNumberFormat="1" applyFont="1" applyBorder="1"/>
    <xf numFmtId="1" fontId="6" fillId="3" borderId="125" xfId="0" applyNumberFormat="1" applyFont="1" applyFill="1" applyBorder="1"/>
    <xf numFmtId="1" fontId="6" fillId="5" borderId="151" xfId="0" applyNumberFormat="1" applyFont="1" applyFill="1" applyBorder="1" applyProtection="1">
      <protection locked="0"/>
    </xf>
    <xf numFmtId="1" fontId="51" fillId="0" borderId="19" xfId="0" applyNumberFormat="1" applyFont="1" applyBorder="1" applyAlignment="1">
      <alignment horizontal="left" vertical="center" wrapText="1"/>
    </xf>
    <xf numFmtId="1" fontId="55" fillId="3" borderId="0" xfId="0" applyNumberFormat="1" applyFont="1" applyFill="1" applyAlignment="1">
      <alignment horizontal="left"/>
    </xf>
    <xf numFmtId="1" fontId="51" fillId="0" borderId="47" xfId="0" applyNumberFormat="1" applyFont="1" applyBorder="1" applyAlignment="1">
      <alignment horizontal="center" vertical="center" wrapText="1"/>
    </xf>
    <xf numFmtId="1" fontId="51" fillId="0" borderId="48" xfId="0" applyNumberFormat="1" applyFont="1" applyBorder="1" applyAlignment="1">
      <alignment horizontal="center" vertical="center" wrapText="1"/>
    </xf>
    <xf numFmtId="1" fontId="6" fillId="13" borderId="30" xfId="0" applyNumberFormat="1" applyFont="1" applyFill="1" applyBorder="1"/>
    <xf numFmtId="1" fontId="6" fillId="13" borderId="87" xfId="0" applyNumberFormat="1" applyFont="1" applyFill="1" applyBorder="1"/>
    <xf numFmtId="1" fontId="6" fillId="13" borderId="39" xfId="0" applyNumberFormat="1" applyFont="1" applyFill="1" applyBorder="1"/>
    <xf numFmtId="1" fontId="51" fillId="0" borderId="12" xfId="0" applyNumberFormat="1" applyFont="1" applyBorder="1" applyAlignment="1">
      <alignment horizontal="center" vertical="center" wrapText="1"/>
    </xf>
    <xf numFmtId="1" fontId="51" fillId="3" borderId="47" xfId="0" applyNumberFormat="1" applyFont="1" applyFill="1" applyBorder="1" applyAlignment="1">
      <alignment horizontal="center" vertical="center" wrapText="1"/>
    </xf>
    <xf numFmtId="1" fontId="51" fillId="3" borderId="12" xfId="0" applyNumberFormat="1" applyFont="1" applyFill="1" applyBorder="1" applyAlignment="1">
      <alignment horizontal="center" vertical="center" wrapText="1"/>
    </xf>
    <xf numFmtId="1" fontId="20" fillId="0" borderId="9" xfId="0" applyNumberFormat="1" applyFont="1" applyBorder="1"/>
    <xf numFmtId="1" fontId="51" fillId="0" borderId="118" xfId="0" applyNumberFormat="1" applyFont="1" applyBorder="1" applyAlignment="1">
      <alignment vertical="center" wrapText="1"/>
    </xf>
    <xf numFmtId="1" fontId="51" fillId="0" borderId="125" xfId="0" applyNumberFormat="1" applyFont="1" applyBorder="1" applyAlignment="1">
      <alignment horizontal="center" vertical="center"/>
    </xf>
    <xf numFmtId="1" fontId="51" fillId="0" borderId="13" xfId="0" applyNumberFormat="1" applyFont="1" applyBorder="1" applyAlignment="1">
      <alignment horizontal="center" vertical="center"/>
    </xf>
    <xf numFmtId="1" fontId="51" fillId="0" borderId="47" xfId="0" applyNumberFormat="1" applyFont="1" applyBorder="1" applyAlignment="1">
      <alignment horizontal="center" vertical="center"/>
    </xf>
    <xf numFmtId="1" fontId="51" fillId="0" borderId="118" xfId="0" applyNumberFormat="1" applyFont="1" applyBorder="1"/>
    <xf numFmtId="1" fontId="4" fillId="3" borderId="159" xfId="0" applyNumberFormat="1" applyFont="1" applyFill="1" applyBorder="1"/>
    <xf numFmtId="1" fontId="59" fillId="3" borderId="0" xfId="0" applyNumberFormat="1" applyFont="1" applyFill="1"/>
    <xf numFmtId="1" fontId="51" fillId="0" borderId="26" xfId="0" applyNumberFormat="1" applyFont="1" applyBorder="1" applyAlignment="1">
      <alignment horizontal="center" vertical="center" wrapText="1"/>
    </xf>
    <xf numFmtId="1" fontId="51" fillId="0" borderId="13" xfId="0" applyNumberFormat="1" applyFont="1" applyBorder="1" applyAlignment="1">
      <alignment horizontal="center" vertical="center" wrapText="1"/>
    </xf>
    <xf numFmtId="1" fontId="51" fillId="0" borderId="14" xfId="0" applyNumberFormat="1" applyFont="1" applyBorder="1" applyAlignment="1">
      <alignment horizontal="center" vertical="center"/>
    </xf>
    <xf numFmtId="1" fontId="51" fillId="5" borderId="31" xfId="0" applyNumberFormat="1" applyFont="1" applyFill="1" applyBorder="1" applyAlignment="1" applyProtection="1">
      <alignment horizontal="right"/>
      <protection locked="0"/>
    </xf>
    <xf numFmtId="1" fontId="51" fillId="0" borderId="37" xfId="0" applyNumberFormat="1" applyFont="1" applyBorder="1" applyAlignment="1">
      <alignment horizontal="left" vertical="center" wrapText="1"/>
    </xf>
    <xf numFmtId="1" fontId="51" fillId="5" borderId="38" xfId="0" applyNumberFormat="1" applyFont="1" applyFill="1" applyBorder="1" applyAlignment="1" applyProtection="1">
      <alignment horizontal="right"/>
      <protection locked="0"/>
    </xf>
    <xf numFmtId="1" fontId="51" fillId="5" borderId="51" xfId="0" applyNumberFormat="1" applyFont="1" applyFill="1" applyBorder="1" applyAlignment="1" applyProtection="1">
      <alignment horizontal="right"/>
      <protection locked="0"/>
    </xf>
    <xf numFmtId="1" fontId="51" fillId="5" borderId="36" xfId="0" applyNumberFormat="1" applyFont="1" applyFill="1" applyBorder="1" applyAlignment="1" applyProtection="1">
      <alignment horizontal="right"/>
      <protection locked="0"/>
    </xf>
    <xf numFmtId="1" fontId="51" fillId="5" borderId="191" xfId="0" applyNumberFormat="1" applyFont="1" applyFill="1" applyBorder="1" applyAlignment="1" applyProtection="1">
      <alignment horizontal="right"/>
      <protection locked="0"/>
    </xf>
    <xf numFmtId="1" fontId="51" fillId="5" borderId="55" xfId="0" applyNumberFormat="1" applyFont="1" applyFill="1" applyBorder="1" applyAlignment="1" applyProtection="1">
      <alignment horizontal="right"/>
      <protection locked="0"/>
    </xf>
    <xf numFmtId="1" fontId="51" fillId="5" borderId="102" xfId="0" applyNumberFormat="1" applyFont="1" applyFill="1" applyBorder="1" applyAlignment="1" applyProtection="1">
      <alignment horizontal="right"/>
      <protection locked="0"/>
    </xf>
    <xf numFmtId="1" fontId="51" fillId="5" borderId="39" xfId="0" applyNumberFormat="1" applyFont="1" applyFill="1" applyBorder="1" applyAlignment="1" applyProtection="1">
      <alignment horizontal="right"/>
      <protection locked="0"/>
    </xf>
    <xf numFmtId="1" fontId="51" fillId="5" borderId="32" xfId="0" applyNumberFormat="1" applyFont="1" applyFill="1" applyBorder="1" applyAlignment="1" applyProtection="1">
      <alignment horizontal="right"/>
      <protection locked="0"/>
    </xf>
    <xf numFmtId="1" fontId="51" fillId="5" borderId="225" xfId="0" applyNumberFormat="1" applyFont="1" applyFill="1" applyBorder="1" applyAlignment="1" applyProtection="1">
      <alignment horizontal="right"/>
      <protection locked="0"/>
    </xf>
    <xf numFmtId="1" fontId="51" fillId="5" borderId="57" xfId="0" applyNumberFormat="1" applyFont="1" applyFill="1" applyBorder="1" applyAlignment="1" applyProtection="1">
      <alignment horizontal="right"/>
      <protection locked="0"/>
    </xf>
    <xf numFmtId="1" fontId="51" fillId="5" borderId="103" xfId="0" applyNumberFormat="1" applyFont="1" applyFill="1" applyBorder="1" applyAlignment="1" applyProtection="1">
      <alignment horizontal="right"/>
      <protection locked="0"/>
    </xf>
    <xf numFmtId="1" fontId="51" fillId="5" borderId="20" xfId="0" applyNumberFormat="1" applyFont="1" applyFill="1" applyBorder="1" applyAlignment="1" applyProtection="1">
      <alignment horizontal="right"/>
      <protection locked="0"/>
    </xf>
    <xf numFmtId="1" fontId="51" fillId="5" borderId="22" xfId="0" applyNumberFormat="1" applyFont="1" applyFill="1" applyBorder="1" applyAlignment="1" applyProtection="1">
      <alignment horizontal="right"/>
      <protection locked="0"/>
    </xf>
    <xf numFmtId="1" fontId="51" fillId="5" borderId="120" xfId="0" applyNumberFormat="1" applyFont="1" applyFill="1" applyBorder="1" applyAlignment="1" applyProtection="1">
      <alignment horizontal="right"/>
      <protection locked="0"/>
    </xf>
    <xf numFmtId="1" fontId="51" fillId="5" borderId="58" xfId="0" applyNumberFormat="1" applyFont="1" applyFill="1" applyBorder="1" applyAlignment="1" applyProtection="1">
      <alignment horizontal="right"/>
      <protection locked="0"/>
    </xf>
    <xf numFmtId="1" fontId="51" fillId="5" borderId="109" xfId="0" applyNumberFormat="1" applyFont="1" applyFill="1" applyBorder="1" applyAlignment="1" applyProtection="1">
      <alignment horizontal="right"/>
      <protection locked="0"/>
    </xf>
    <xf numFmtId="0" fontId="54" fillId="3" borderId="0" xfId="0" applyFont="1" applyFill="1"/>
    <xf numFmtId="3" fontId="54" fillId="3" borderId="0" xfId="0" applyNumberFormat="1" applyFont="1" applyFill="1"/>
    <xf numFmtId="0" fontId="51" fillId="0" borderId="37" xfId="0" applyFont="1" applyBorder="1" applyAlignment="1">
      <alignment horizontal="left" vertical="center" wrapText="1"/>
    </xf>
    <xf numFmtId="1" fontId="51" fillId="5" borderId="65" xfId="0" applyNumberFormat="1" applyFont="1" applyFill="1" applyBorder="1" applyProtection="1">
      <protection locked="0"/>
    </xf>
    <xf numFmtId="1" fontId="51" fillId="5" borderId="34" xfId="0" applyNumberFormat="1" applyFont="1" applyFill="1" applyBorder="1" applyProtection="1">
      <protection locked="0"/>
    </xf>
    <xf numFmtId="1" fontId="51" fillId="5" borderId="57" xfId="0" applyNumberFormat="1" applyFont="1" applyFill="1" applyBorder="1" applyProtection="1">
      <protection locked="0"/>
    </xf>
    <xf numFmtId="1" fontId="51" fillId="5" borderId="32" xfId="0" applyNumberFormat="1" applyFont="1" applyFill="1" applyBorder="1" applyProtection="1">
      <protection locked="0"/>
    </xf>
    <xf numFmtId="1" fontId="51" fillId="5" borderId="58" xfId="0" applyNumberFormat="1" applyFont="1" applyFill="1" applyBorder="1" applyProtection="1">
      <protection locked="0"/>
    </xf>
    <xf numFmtId="1" fontId="51" fillId="5" borderId="22" xfId="0" applyNumberFormat="1" applyFont="1" applyFill="1" applyBorder="1" applyProtection="1">
      <protection locked="0"/>
    </xf>
    <xf numFmtId="1" fontId="51" fillId="5" borderId="21" xfId="0" applyNumberFormat="1" applyFont="1" applyFill="1" applyBorder="1" applyProtection="1">
      <protection locked="0"/>
    </xf>
    <xf numFmtId="1" fontId="51" fillId="5" borderId="129" xfId="0" applyNumberFormat="1" applyFont="1" applyFill="1" applyBorder="1" applyProtection="1">
      <protection locked="0"/>
    </xf>
    <xf numFmtId="0" fontId="51" fillId="0" borderId="24" xfId="0" applyFont="1" applyBorder="1" applyAlignment="1">
      <alignment horizontal="left" vertical="center" wrapText="1"/>
    </xf>
    <xf numFmtId="1" fontId="51" fillId="5" borderId="120" xfId="0" applyNumberFormat="1" applyFont="1" applyFill="1" applyBorder="1" applyProtection="1">
      <protection locked="0"/>
    </xf>
    <xf numFmtId="1" fontId="51" fillId="5" borderId="38" xfId="0" applyNumberFormat="1" applyFont="1" applyFill="1" applyBorder="1" applyProtection="1">
      <protection locked="0"/>
    </xf>
    <xf numFmtId="1" fontId="51" fillId="5" borderId="63" xfId="0" applyNumberFormat="1" applyFont="1" applyFill="1" applyBorder="1" applyProtection="1">
      <protection locked="0"/>
    </xf>
    <xf numFmtId="1" fontId="51" fillId="5" borderId="55" xfId="0" applyNumberFormat="1" applyFont="1" applyFill="1" applyBorder="1" applyProtection="1">
      <protection locked="0"/>
    </xf>
    <xf numFmtId="1" fontId="51" fillId="5" borderId="51" xfId="0" applyNumberFormat="1" applyFont="1" applyFill="1" applyBorder="1" applyProtection="1">
      <protection locked="0"/>
    </xf>
    <xf numFmtId="1" fontId="51" fillId="5" borderId="20" xfId="0" applyNumberFormat="1" applyFont="1" applyFill="1" applyBorder="1" applyProtection="1">
      <protection locked="0"/>
    </xf>
    <xf numFmtId="1" fontId="51" fillId="5" borderId="46" xfId="0" applyNumberFormat="1" applyFont="1" applyFill="1" applyBorder="1" applyProtection="1">
      <protection locked="0"/>
    </xf>
    <xf numFmtId="1" fontId="51" fillId="5" borderId="41" xfId="0" applyNumberFormat="1" applyFont="1" applyFill="1" applyBorder="1" applyProtection="1">
      <protection locked="0"/>
    </xf>
    <xf numFmtId="1" fontId="51" fillId="5" borderId="56" xfId="0" applyNumberFormat="1" applyFont="1" applyFill="1" applyBorder="1" applyProtection="1">
      <protection locked="0"/>
    </xf>
    <xf numFmtId="1" fontId="51" fillId="5" borderId="31" xfId="0" applyNumberFormat="1" applyFont="1" applyFill="1" applyBorder="1" applyProtection="1">
      <protection locked="0"/>
    </xf>
    <xf numFmtId="1" fontId="51" fillId="5" borderId="33" xfId="0" applyNumberFormat="1" applyFont="1" applyFill="1" applyBorder="1" applyProtection="1">
      <protection locked="0"/>
    </xf>
    <xf numFmtId="1" fontId="51" fillId="5" borderId="66" xfId="0" applyNumberFormat="1" applyFont="1" applyFill="1" applyBorder="1" applyProtection="1">
      <protection locked="0"/>
    </xf>
    <xf numFmtId="1" fontId="51" fillId="5" borderId="30" xfId="0" applyNumberFormat="1" applyFont="1" applyFill="1" applyBorder="1" applyProtection="1">
      <protection locked="0"/>
    </xf>
    <xf numFmtId="1" fontId="51" fillId="5" borderId="89" xfId="0" applyNumberFormat="1" applyFont="1" applyFill="1" applyBorder="1" applyProtection="1">
      <protection locked="0"/>
    </xf>
    <xf numFmtId="1" fontId="51" fillId="5" borderId="225" xfId="0" applyNumberFormat="1" applyFont="1" applyFill="1" applyBorder="1" applyProtection="1">
      <protection locked="0"/>
    </xf>
    <xf numFmtId="1" fontId="51" fillId="5" borderId="191" xfId="0" applyNumberFormat="1" applyFont="1" applyFill="1" applyBorder="1" applyProtection="1">
      <protection locked="0"/>
    </xf>
    <xf numFmtId="1" fontId="51" fillId="5" borderId="49" xfId="0" applyNumberFormat="1" applyFont="1" applyFill="1" applyBorder="1" applyProtection="1">
      <protection locked="0"/>
    </xf>
    <xf numFmtId="1" fontId="51" fillId="0" borderId="0" xfId="0" applyNumberFormat="1" applyFont="1"/>
    <xf numFmtId="1" fontId="51" fillId="3" borderId="0" xfId="0" applyNumberFormat="1" applyFont="1" applyFill="1" applyAlignment="1">
      <alignment wrapText="1"/>
    </xf>
    <xf numFmtId="1" fontId="51" fillId="5" borderId="45" xfId="0" applyNumberFormat="1" applyFont="1" applyFill="1" applyBorder="1" applyProtection="1">
      <protection locked="0"/>
    </xf>
    <xf numFmtId="1" fontId="51" fillId="5" borderId="16" xfId="0" applyNumberFormat="1" applyFont="1" applyFill="1" applyBorder="1" applyProtection="1">
      <protection locked="0"/>
    </xf>
    <xf numFmtId="1" fontId="51" fillId="5" borderId="36" xfId="0" applyNumberFormat="1" applyFont="1" applyFill="1" applyBorder="1" applyProtection="1">
      <protection locked="0"/>
    </xf>
    <xf numFmtId="1" fontId="51" fillId="0" borderId="8" xfId="0" applyNumberFormat="1" applyFont="1" applyBorder="1" applyAlignment="1">
      <alignment horizontal="center" vertical="center" wrapText="1"/>
    </xf>
    <xf numFmtId="1" fontId="51" fillId="5" borderId="40" xfId="0" applyNumberFormat="1" applyFont="1" applyFill="1" applyBorder="1" applyProtection="1">
      <protection locked="0"/>
    </xf>
    <xf numFmtId="1" fontId="58" fillId="3" borderId="0" xfId="0" applyNumberFormat="1" applyFont="1" applyFill="1" applyAlignment="1" applyProtection="1">
      <alignment horizontal="right"/>
      <protection locked="0"/>
    </xf>
    <xf numFmtId="1" fontId="58" fillId="3" borderId="0" xfId="0" applyNumberFormat="1" applyFont="1" applyFill="1" applyAlignment="1">
      <alignment horizontal="right"/>
    </xf>
    <xf numFmtId="1" fontId="51" fillId="3" borderId="0" xfId="0" applyNumberFormat="1" applyFont="1" applyFill="1" applyAlignment="1">
      <alignment vertical="center"/>
    </xf>
    <xf numFmtId="1" fontId="51" fillId="0" borderId="19" xfId="0" applyNumberFormat="1" applyFont="1" applyBorder="1" applyAlignment="1">
      <alignment horizontal="left"/>
    </xf>
    <xf numFmtId="1" fontId="51" fillId="0" borderId="37" xfId="0" applyNumberFormat="1" applyFont="1" applyBorder="1" applyAlignment="1">
      <alignment horizontal="left"/>
    </xf>
    <xf numFmtId="1" fontId="51" fillId="0" borderId="10" xfId="0" applyNumberFormat="1" applyFont="1" applyBorder="1" applyAlignment="1">
      <alignment horizontal="left"/>
    </xf>
    <xf numFmtId="1" fontId="6" fillId="13" borderId="32" xfId="0" applyNumberFormat="1" applyFont="1" applyFill="1" applyBorder="1"/>
    <xf numFmtId="1" fontId="51" fillId="5" borderId="81" xfId="0" applyNumberFormat="1" applyFont="1" applyFill="1" applyBorder="1" applyProtection="1">
      <protection locked="0"/>
    </xf>
    <xf numFmtId="1" fontId="51" fillId="5" borderId="42" xfId="0" applyNumberFormat="1" applyFont="1" applyFill="1" applyBorder="1" applyProtection="1">
      <protection locked="0"/>
    </xf>
    <xf numFmtId="1" fontId="51" fillId="0" borderId="37" xfId="0" applyNumberFormat="1" applyFont="1" applyBorder="1" applyAlignment="1">
      <alignment horizontal="right" vertical="center" wrapText="1"/>
    </xf>
    <xf numFmtId="1" fontId="51" fillId="5" borderId="9" xfId="0" applyNumberFormat="1" applyFont="1" applyFill="1" applyBorder="1" applyProtection="1">
      <protection locked="0"/>
    </xf>
    <xf numFmtId="1" fontId="51" fillId="5" borderId="37" xfId="0" applyNumberFormat="1" applyFont="1" applyFill="1" applyBorder="1" applyProtection="1">
      <protection locked="0"/>
    </xf>
    <xf numFmtId="1" fontId="51" fillId="5" borderId="108" xfId="0" applyNumberFormat="1" applyFont="1" applyFill="1" applyBorder="1" applyProtection="1">
      <protection locked="0"/>
    </xf>
    <xf numFmtId="1" fontId="51" fillId="0" borderId="9" xfId="0" applyNumberFormat="1" applyFont="1" applyBorder="1" applyAlignment="1">
      <alignment horizontal="right" vertical="center" wrapText="1"/>
    </xf>
    <xf numFmtId="1" fontId="51" fillId="0" borderId="47" xfId="0" applyNumberFormat="1" applyFont="1" applyBorder="1" applyAlignment="1">
      <alignment horizontal="right" vertical="center" wrapText="1"/>
    </xf>
    <xf numFmtId="1" fontId="51" fillId="0" borderId="13" xfId="0" applyNumberFormat="1" applyFont="1" applyBorder="1" applyAlignment="1">
      <alignment horizontal="right" vertical="center" wrapText="1"/>
    </xf>
    <xf numFmtId="1" fontId="6" fillId="0" borderId="187" xfId="13" applyNumberFormat="1" applyFont="1" applyBorder="1" applyAlignment="1">
      <alignment horizontal="center" vertical="center" wrapText="1"/>
    </xf>
    <xf numFmtId="1" fontId="6" fillId="0" borderId="47" xfId="13" applyNumberFormat="1" applyFont="1" applyBorder="1" applyAlignment="1">
      <alignment horizontal="center" vertical="center" wrapText="1"/>
    </xf>
    <xf numFmtId="1" fontId="6" fillId="0" borderId="8" xfId="8" applyNumberFormat="1" applyFont="1" applyBorder="1" applyAlignment="1">
      <alignment horizontal="center" vertical="center"/>
    </xf>
    <xf numFmtId="1" fontId="51" fillId="5" borderId="201" xfId="0" applyNumberFormat="1" applyFont="1" applyFill="1" applyBorder="1" applyProtection="1">
      <protection locked="0"/>
    </xf>
    <xf numFmtId="1" fontId="51" fillId="5" borderId="150" xfId="0" applyNumberFormat="1" applyFont="1" applyFill="1" applyBorder="1" applyProtection="1">
      <protection locked="0"/>
    </xf>
    <xf numFmtId="1" fontId="51" fillId="5" borderId="147" xfId="0" applyNumberFormat="1" applyFont="1" applyFill="1" applyBorder="1" applyProtection="1">
      <protection locked="0"/>
    </xf>
    <xf numFmtId="1" fontId="51" fillId="5" borderId="193" xfId="0" applyNumberFormat="1" applyFont="1" applyFill="1" applyBorder="1" applyProtection="1">
      <protection locked="0"/>
    </xf>
    <xf numFmtId="1" fontId="51" fillId="5" borderId="144" xfId="0" applyNumberFormat="1" applyFont="1" applyFill="1" applyBorder="1" applyProtection="1">
      <protection locked="0"/>
    </xf>
    <xf numFmtId="2" fontId="6" fillId="7" borderId="194" xfId="14" applyNumberFormat="1" applyFont="1" applyBorder="1" applyAlignment="1" applyProtection="1">
      <alignment horizontal="center" vertical="center"/>
      <protection locked="0"/>
    </xf>
    <xf numFmtId="2" fontId="6" fillId="7" borderId="205" xfId="14" applyNumberFormat="1" applyFont="1" applyAlignment="1" applyProtection="1">
      <alignment horizontal="center" vertical="center"/>
      <protection locked="0"/>
    </xf>
    <xf numFmtId="2" fontId="6" fillId="7" borderId="222" xfId="14" applyNumberFormat="1" applyFont="1" applyBorder="1" applyAlignment="1" applyProtection="1">
      <alignment horizontal="center" vertical="center"/>
      <protection locked="0"/>
    </xf>
    <xf numFmtId="2" fontId="6" fillId="7" borderId="221" xfId="14" applyNumberFormat="1" applyFont="1" applyBorder="1" applyAlignment="1" applyProtection="1">
      <alignment horizontal="center" vertical="center"/>
      <protection locked="0"/>
    </xf>
    <xf numFmtId="2" fontId="6" fillId="7" borderId="192" xfId="14" applyNumberFormat="1" applyFont="1" applyBorder="1" applyAlignment="1" applyProtection="1">
      <alignment horizontal="center" vertical="center"/>
      <protection locked="0"/>
    </xf>
    <xf numFmtId="2" fontId="6" fillId="7" borderId="230" xfId="14" applyNumberFormat="1" applyFont="1" applyBorder="1" applyAlignment="1" applyProtection="1">
      <alignment horizontal="center" vertical="center"/>
      <protection locked="0"/>
    </xf>
    <xf numFmtId="2" fontId="6" fillId="7" borderId="189" xfId="14" applyNumberFormat="1" applyFont="1" applyBorder="1" applyAlignment="1" applyProtection="1">
      <alignment horizontal="center" vertical="center"/>
      <protection locked="0"/>
    </xf>
    <xf numFmtId="2" fontId="6" fillId="7" borderId="73" xfId="14" applyNumberFormat="1" applyFont="1" applyBorder="1" applyAlignment="1" applyProtection="1">
      <alignment horizontal="center" vertical="center"/>
      <protection locked="0"/>
    </xf>
    <xf numFmtId="2" fontId="6" fillId="7" borderId="232" xfId="14" applyNumberFormat="1" applyFont="1" applyBorder="1" applyAlignment="1" applyProtection="1">
      <alignment horizontal="center" vertical="center"/>
      <protection locked="0"/>
    </xf>
    <xf numFmtId="2" fontId="6" fillId="7" borderId="231" xfId="14" applyNumberFormat="1" applyFont="1" applyBorder="1" applyAlignment="1" applyProtection="1">
      <alignment horizontal="center" vertical="center"/>
      <protection locked="0"/>
    </xf>
    <xf numFmtId="2" fontId="6" fillId="7" borderId="233" xfId="14" applyNumberFormat="1" applyFont="1" applyBorder="1" applyAlignment="1" applyProtection="1">
      <alignment horizontal="center" vertical="center"/>
      <protection locked="0"/>
    </xf>
    <xf numFmtId="2" fontId="6" fillId="7" borderId="128" xfId="14" applyNumberFormat="1" applyFont="1" applyBorder="1" applyAlignment="1" applyProtection="1">
      <alignment horizontal="center" vertical="center"/>
      <protection locked="0"/>
    </xf>
    <xf numFmtId="2" fontId="6" fillId="7" borderId="234" xfId="14" applyNumberFormat="1" applyFont="1" applyBorder="1" applyAlignment="1" applyProtection="1">
      <alignment horizontal="center" vertical="center"/>
      <protection locked="0"/>
    </xf>
    <xf numFmtId="2" fontId="6" fillId="7" borderId="141" xfId="14" applyNumberFormat="1" applyFont="1" applyBorder="1" applyAlignment="1" applyProtection="1">
      <alignment horizontal="center" vertical="center"/>
      <protection locked="0"/>
    </xf>
    <xf numFmtId="1" fontId="51" fillId="0" borderId="40" xfId="0" applyNumberFormat="1" applyFont="1" applyBorder="1"/>
    <xf numFmtId="1" fontId="51" fillId="0" borderId="23" xfId="0" applyNumberFormat="1" applyFont="1" applyBorder="1" applyAlignment="1">
      <alignment horizontal="left"/>
    </xf>
    <xf numFmtId="1" fontId="6" fillId="15" borderId="0" xfId="0" applyNumberFormat="1" applyFont="1" applyFill="1"/>
    <xf numFmtId="1" fontId="26" fillId="0" borderId="247" xfId="0" applyNumberFormat="1" applyFont="1" applyBorder="1"/>
    <xf numFmtId="1" fontId="6" fillId="4" borderId="81" xfId="0" applyNumberFormat="1" applyFont="1" applyFill="1" applyBorder="1"/>
    <xf numFmtId="1" fontId="0" fillId="15" borderId="0" xfId="0" applyNumberFormat="1" applyFill="1"/>
    <xf numFmtId="1" fontId="0" fillId="15" borderId="0" xfId="0" applyNumberFormat="1" applyFill="1" applyProtection="1">
      <protection locked="0"/>
    </xf>
    <xf numFmtId="1" fontId="51" fillId="18" borderId="0" xfId="0" applyNumberFormat="1" applyFont="1" applyFill="1" applyProtection="1">
      <protection locked="0"/>
    </xf>
    <xf numFmtId="1" fontId="0" fillId="18" borderId="0" xfId="0" applyNumberFormat="1" applyFill="1" applyProtection="1">
      <protection locked="0"/>
    </xf>
    <xf numFmtId="1" fontId="19" fillId="3" borderId="0" xfId="0" applyNumberFormat="1" applyFont="1" applyFill="1"/>
    <xf numFmtId="1" fontId="26" fillId="18" borderId="0" xfId="0" applyNumberFormat="1" applyFont="1" applyFill="1" applyProtection="1">
      <protection locked="0"/>
    </xf>
    <xf numFmtId="1" fontId="26" fillId="18" borderId="0" xfId="0" applyNumberFormat="1" applyFont="1" applyFill="1" applyAlignment="1" applyProtection="1">
      <alignment wrapText="1"/>
      <protection locked="0"/>
    </xf>
    <xf numFmtId="1" fontId="26" fillId="15" borderId="0" xfId="0" applyNumberFormat="1" applyFont="1" applyFill="1" applyProtection="1">
      <protection locked="0"/>
    </xf>
    <xf numFmtId="1" fontId="6" fillId="15" borderId="0" xfId="0" applyNumberFormat="1" applyFont="1" applyFill="1" applyAlignment="1">
      <alignment wrapText="1"/>
    </xf>
    <xf numFmtId="1" fontId="6" fillId="15" borderId="160" xfId="0" applyNumberFormat="1" applyFont="1" applyFill="1" applyBorder="1" applyAlignment="1">
      <alignment wrapText="1"/>
    </xf>
    <xf numFmtId="1" fontId="51" fillId="15" borderId="0" xfId="0" applyNumberFormat="1" applyFont="1" applyFill="1"/>
    <xf numFmtId="1" fontId="51" fillId="15" borderId="0" xfId="0" applyNumberFormat="1" applyFont="1" applyFill="1" applyProtection="1">
      <protection locked="0"/>
    </xf>
    <xf numFmtId="1" fontId="6" fillId="15" borderId="167" xfId="0" applyNumberFormat="1" applyFont="1" applyFill="1" applyBorder="1"/>
    <xf numFmtId="1" fontId="6" fillId="15" borderId="131" xfId="0" applyNumberFormat="1" applyFont="1" applyFill="1" applyBorder="1"/>
    <xf numFmtId="1" fontId="6" fillId="15" borderId="172" xfId="0" applyNumberFormat="1" applyFont="1" applyFill="1" applyBorder="1"/>
    <xf numFmtId="1" fontId="51" fillId="15" borderId="0" xfId="0" applyNumberFormat="1" applyFont="1" applyFill="1" applyAlignment="1">
      <alignment wrapText="1"/>
    </xf>
    <xf numFmtId="1" fontId="38" fillId="3" borderId="0" xfId="0" applyNumberFormat="1" applyFont="1" applyFill="1"/>
    <xf numFmtId="1" fontId="38" fillId="3" borderId="35" xfId="0" applyNumberFormat="1" applyFont="1" applyFill="1" applyBorder="1"/>
    <xf numFmtId="1" fontId="3" fillId="18" borderId="0" xfId="0" applyNumberFormat="1" applyFont="1" applyFill="1" applyProtection="1">
      <protection locked="0"/>
    </xf>
    <xf numFmtId="1" fontId="10" fillId="15" borderId="0" xfId="0" applyNumberFormat="1" applyFont="1" applyFill="1"/>
    <xf numFmtId="1" fontId="10" fillId="15" borderId="131" xfId="0" applyNumberFormat="1" applyFont="1" applyFill="1" applyBorder="1"/>
    <xf numFmtId="1" fontId="3" fillId="15" borderId="172" xfId="0" applyNumberFormat="1" applyFont="1" applyFill="1" applyBorder="1"/>
    <xf numFmtId="1" fontId="26" fillId="15" borderId="174" xfId="0" applyNumberFormat="1" applyFont="1" applyFill="1" applyBorder="1"/>
    <xf numFmtId="1" fontId="3" fillId="15" borderId="165" xfId="0" applyNumberFormat="1" applyFont="1" applyFill="1" applyBorder="1"/>
    <xf numFmtId="1" fontId="26" fillId="15" borderId="172" xfId="0" applyNumberFormat="1" applyFont="1" applyFill="1" applyBorder="1"/>
    <xf numFmtId="1" fontId="6" fillId="15" borderId="165" xfId="0" applyNumberFormat="1" applyFont="1" applyFill="1" applyBorder="1"/>
    <xf numFmtId="1" fontId="10" fillId="15" borderId="0" xfId="0" applyNumberFormat="1" applyFont="1" applyFill="1" applyAlignment="1">
      <alignment wrapText="1"/>
    </xf>
    <xf numFmtId="1" fontId="6" fillId="15" borderId="174" xfId="0" applyNumberFormat="1" applyFont="1" applyFill="1" applyBorder="1"/>
    <xf numFmtId="1" fontId="6" fillId="15" borderId="174" xfId="0" applyNumberFormat="1" applyFont="1" applyFill="1" applyBorder="1" applyAlignment="1">
      <alignment horizontal="center" vertical="center" wrapText="1"/>
    </xf>
    <xf numFmtId="1" fontId="6" fillId="15" borderId="172" xfId="0" applyNumberFormat="1" applyFont="1" applyFill="1" applyBorder="1" applyProtection="1">
      <protection locked="0"/>
    </xf>
    <xf numFmtId="1" fontId="6" fillId="15" borderId="167" xfId="0" applyNumberFormat="1" applyFont="1" applyFill="1" applyBorder="1" applyProtection="1">
      <protection locked="0"/>
    </xf>
    <xf numFmtId="1" fontId="6" fillId="15" borderId="170" xfId="0" applyNumberFormat="1" applyFont="1" applyFill="1" applyBorder="1"/>
    <xf numFmtId="1" fontId="6" fillId="15" borderId="165" xfId="0" applyNumberFormat="1" applyFont="1" applyFill="1" applyBorder="1" applyProtection="1">
      <protection locked="0"/>
    </xf>
    <xf numFmtId="1" fontId="26" fillId="18" borderId="172" xfId="0" applyNumberFormat="1" applyFont="1" applyFill="1" applyBorder="1" applyProtection="1">
      <protection locked="0"/>
    </xf>
    <xf numFmtId="1" fontId="6" fillId="0" borderId="163" xfId="0" applyNumberFormat="1" applyFont="1" applyBorder="1" applyAlignment="1">
      <alignment horizontal="center" vertical="center"/>
    </xf>
    <xf numFmtId="1" fontId="6" fillId="3" borderId="168" xfId="0" applyNumberFormat="1" applyFont="1" applyFill="1" applyBorder="1"/>
    <xf numFmtId="1" fontId="26" fillId="0" borderId="175" xfId="0" applyNumberFormat="1" applyFont="1" applyBorder="1"/>
    <xf numFmtId="1" fontId="26" fillId="0" borderId="161" xfId="0" applyNumberFormat="1" applyFont="1" applyBorder="1"/>
    <xf numFmtId="1" fontId="6" fillId="15" borderId="0" xfId="0" applyNumberFormat="1" applyFont="1" applyFill="1" applyProtection="1">
      <protection hidden="1"/>
    </xf>
    <xf numFmtId="1" fontId="20" fillId="15" borderId="0" xfId="0" applyNumberFormat="1" applyFont="1" applyFill="1" applyProtection="1">
      <protection locked="0"/>
    </xf>
    <xf numFmtId="1" fontId="6" fillId="15" borderId="0" xfId="0" applyNumberFormat="1" applyFont="1" applyFill="1" applyProtection="1">
      <protection locked="0"/>
    </xf>
    <xf numFmtId="1" fontId="6" fillId="15" borderId="172" xfId="0" applyNumberFormat="1" applyFont="1" applyFill="1" applyBorder="1" applyProtection="1">
      <protection hidden="1"/>
    </xf>
    <xf numFmtId="1" fontId="20" fillId="18" borderId="0" xfId="0" applyNumberFormat="1" applyFont="1" applyFill="1" applyProtection="1">
      <protection locked="0"/>
    </xf>
    <xf numFmtId="1" fontId="20" fillId="15" borderId="0" xfId="0" applyNumberFormat="1" applyFont="1" applyFill="1"/>
    <xf numFmtId="1" fontId="4" fillId="15" borderId="0" xfId="0" applyNumberFormat="1" applyFont="1" applyFill="1"/>
    <xf numFmtId="1" fontId="2" fillId="15" borderId="0" xfId="0" applyNumberFormat="1" applyFont="1" applyFill="1" applyAlignment="1">
      <alignment wrapText="1"/>
    </xf>
    <xf numFmtId="1" fontId="5" fillId="15" borderId="0" xfId="0" applyNumberFormat="1" applyFont="1" applyFill="1" applyAlignment="1">
      <alignment wrapText="1"/>
    </xf>
    <xf numFmtId="1" fontId="51" fillId="16" borderId="38" xfId="0" applyNumberFormat="1" applyFont="1" applyFill="1" applyBorder="1" applyProtection="1">
      <protection locked="0"/>
    </xf>
    <xf numFmtId="1" fontId="51" fillId="16" borderId="36" xfId="0" applyNumberFormat="1" applyFont="1" applyFill="1" applyBorder="1" applyProtection="1">
      <protection locked="0"/>
    </xf>
    <xf numFmtId="1" fontId="51" fillId="16" borderId="20" xfId="0" applyNumberFormat="1" applyFont="1" applyFill="1" applyBorder="1" applyProtection="1">
      <protection locked="0"/>
    </xf>
    <xf numFmtId="1" fontId="51" fillId="16" borderId="22" xfId="0" applyNumberFormat="1" applyFont="1" applyFill="1" applyBorder="1" applyProtection="1">
      <protection locked="0"/>
    </xf>
    <xf numFmtId="1" fontId="6" fillId="15" borderId="0" xfId="0" applyNumberFormat="1" applyFont="1" applyFill="1" applyAlignment="1">
      <alignment horizontal="left"/>
    </xf>
    <xf numFmtId="1" fontId="6" fillId="13" borderId="38" xfId="0" applyNumberFormat="1" applyFont="1" applyFill="1" applyBorder="1"/>
    <xf numFmtId="1" fontId="6" fillId="13" borderId="36" xfId="0" applyNumberFormat="1" applyFont="1" applyFill="1" applyBorder="1"/>
    <xf numFmtId="1" fontId="6" fillId="13" borderId="22" xfId="0" applyNumberFormat="1" applyFont="1" applyFill="1" applyBorder="1"/>
    <xf numFmtId="1" fontId="6" fillId="13" borderId="37" xfId="0" applyNumberFormat="1" applyFont="1" applyFill="1" applyBorder="1"/>
    <xf numFmtId="1" fontId="6" fillId="13" borderId="16" xfId="0" applyNumberFormat="1" applyFont="1" applyFill="1" applyBorder="1"/>
    <xf numFmtId="1" fontId="6" fillId="13" borderId="51" xfId="0" applyNumberFormat="1" applyFont="1" applyFill="1" applyBorder="1"/>
    <xf numFmtId="1" fontId="6" fillId="0" borderId="68" xfId="13" applyNumberFormat="1" applyFont="1" applyBorder="1" applyAlignment="1">
      <alignment horizontal="center" vertical="center" wrapText="1"/>
    </xf>
    <xf numFmtId="1" fontId="51" fillId="16" borderId="81" xfId="0" applyNumberFormat="1" applyFont="1" applyFill="1" applyBorder="1" applyProtection="1">
      <protection locked="0"/>
    </xf>
    <xf numFmtId="1" fontId="6" fillId="0" borderId="0" xfId="0" applyNumberFormat="1" applyFont="1" applyAlignment="1">
      <alignment horizontal="right" vertical="center" wrapText="1"/>
    </xf>
    <xf numFmtId="1" fontId="6" fillId="0" borderId="243" xfId="0" applyNumberFormat="1" applyFont="1" applyBorder="1" applyAlignment="1">
      <alignment horizontal="right" vertical="center" wrapText="1"/>
    </xf>
    <xf numFmtId="1" fontId="6" fillId="0" borderId="9" xfId="0" applyNumberFormat="1" applyFont="1" applyBorder="1" applyAlignment="1">
      <alignment horizontal="right" vertical="center" wrapText="1"/>
    </xf>
    <xf numFmtId="1" fontId="40" fillId="15" borderId="0" xfId="0" applyNumberFormat="1" applyFont="1" applyFill="1"/>
    <xf numFmtId="1" fontId="17" fillId="3" borderId="35" xfId="0" applyNumberFormat="1" applyFont="1" applyFill="1" applyBorder="1"/>
    <xf numFmtId="1" fontId="31" fillId="3" borderId="0" xfId="0" applyNumberFormat="1" applyFont="1" applyFill="1"/>
    <xf numFmtId="1" fontId="34" fillId="3" borderId="0" xfId="0" applyNumberFormat="1" applyFont="1" applyFill="1"/>
    <xf numFmtId="1" fontId="26" fillId="15" borderId="179" xfId="0" applyNumberFormat="1" applyFont="1" applyFill="1" applyBorder="1" applyProtection="1">
      <protection locked="0"/>
    </xf>
    <xf numFmtId="1" fontId="26" fillId="0" borderId="157" xfId="0" applyNumberFormat="1" applyFont="1" applyBorder="1"/>
    <xf numFmtId="1" fontId="0" fillId="0" borderId="0" xfId="0" applyNumberFormat="1"/>
    <xf numFmtId="1" fontId="0" fillId="0" borderId="160" xfId="0" applyNumberFormat="1" applyBorder="1"/>
    <xf numFmtId="1" fontId="0" fillId="15" borderId="160" xfId="0" applyNumberFormat="1" applyFill="1" applyBorder="1"/>
    <xf numFmtId="1" fontId="17" fillId="15" borderId="0" xfId="0" applyNumberFormat="1" applyFont="1" applyFill="1"/>
    <xf numFmtId="1" fontId="35" fillId="15" borderId="0" xfId="0" applyNumberFormat="1" applyFont="1" applyFill="1"/>
    <xf numFmtId="1" fontId="35" fillId="3" borderId="0" xfId="0" applyNumberFormat="1" applyFont="1" applyFill="1"/>
    <xf numFmtId="1" fontId="55" fillId="0" borderId="0" xfId="0" applyNumberFormat="1" applyFont="1"/>
    <xf numFmtId="1" fontId="41" fillId="0" borderId="0" xfId="0" applyNumberFormat="1" applyFont="1"/>
    <xf numFmtId="1" fontId="55" fillId="3" borderId="0" xfId="0" applyNumberFormat="1" applyFont="1" applyFill="1"/>
    <xf numFmtId="1" fontId="4" fillId="3" borderId="156" xfId="0" applyNumberFormat="1" applyFont="1" applyFill="1" applyBorder="1"/>
    <xf numFmtId="1" fontId="3" fillId="15" borderId="167" xfId="0" applyNumberFormat="1" applyFont="1" applyFill="1" applyBorder="1"/>
    <xf numFmtId="1" fontId="3" fillId="15" borderId="173" xfId="0" applyNumberFormat="1" applyFont="1" applyFill="1" applyBorder="1"/>
    <xf numFmtId="1" fontId="3" fillId="15" borderId="162" xfId="0" applyNumberFormat="1" applyFont="1" applyFill="1" applyBorder="1"/>
    <xf numFmtId="1" fontId="3" fillId="0" borderId="174" xfId="0" applyNumberFormat="1" applyFont="1" applyBorder="1"/>
    <xf numFmtId="1" fontId="55" fillId="0" borderId="99" xfId="0" applyNumberFormat="1" applyFont="1" applyBorder="1"/>
    <xf numFmtId="1" fontId="3" fillId="0" borderId="164" xfId="0" applyNumberFormat="1" applyFont="1" applyBorder="1"/>
    <xf numFmtId="1" fontId="2" fillId="0" borderId="0" xfId="0" applyNumberFormat="1" applyFont="1"/>
    <xf numFmtId="1" fontId="33" fillId="0" borderId="0" xfId="0" applyNumberFormat="1" applyFont="1"/>
    <xf numFmtId="1" fontId="6" fillId="0" borderId="34" xfId="0" applyNumberFormat="1" applyFont="1" applyBorder="1" applyAlignment="1">
      <alignment horizontal="center" vertical="center" wrapText="1"/>
    </xf>
    <xf numFmtId="1" fontId="6" fillId="0" borderId="50" xfId="0" applyNumberFormat="1" applyFont="1" applyBorder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1" fontId="6" fillId="0" borderId="0" xfId="0" applyNumberFormat="1" applyFont="1" applyAlignment="1">
      <alignment horizontal="center" vertical="center" wrapText="1"/>
    </xf>
    <xf numFmtId="1" fontId="6" fillId="0" borderId="81" xfId="0" applyNumberFormat="1" applyFont="1" applyBorder="1" applyAlignment="1" applyProtection="1">
      <alignment horizontal="center" vertical="center" wrapText="1"/>
      <protection hidden="1"/>
    </xf>
    <xf numFmtId="1" fontId="6" fillId="0" borderId="26" xfId="0" applyNumberFormat="1" applyFont="1" applyBorder="1" applyAlignment="1" applyProtection="1">
      <alignment horizontal="center" vertical="center" wrapText="1"/>
      <protection hidden="1"/>
    </xf>
    <xf numFmtId="1" fontId="6" fillId="0" borderId="2" xfId="0" applyNumberFormat="1" applyFont="1" applyBorder="1" applyAlignment="1" applyProtection="1">
      <alignment horizontal="center" vertical="center"/>
      <protection hidden="1"/>
    </xf>
    <xf numFmtId="1" fontId="6" fillId="0" borderId="5" xfId="0" applyNumberFormat="1" applyFont="1" applyBorder="1" applyAlignment="1" applyProtection="1">
      <alignment horizontal="center" vertical="center"/>
      <protection hidden="1"/>
    </xf>
    <xf numFmtId="1" fontId="6" fillId="0" borderId="6" xfId="0" applyNumberFormat="1" applyFont="1" applyBorder="1" applyAlignment="1" applyProtection="1">
      <alignment horizontal="center" vertical="center" wrapText="1"/>
      <protection hidden="1"/>
    </xf>
    <xf numFmtId="1" fontId="6" fillId="0" borderId="8" xfId="0" applyNumberFormat="1" applyFont="1" applyBorder="1" applyAlignment="1" applyProtection="1">
      <alignment horizontal="center" vertical="center" wrapText="1"/>
      <protection hidden="1"/>
    </xf>
    <xf numFmtId="1" fontId="6" fillId="0" borderId="53" xfId="0" applyNumberFormat="1" applyFont="1" applyBorder="1" applyAlignment="1" applyProtection="1">
      <alignment horizontal="center" vertical="center" wrapText="1"/>
      <protection hidden="1"/>
    </xf>
    <xf numFmtId="1" fontId="15" fillId="0" borderId="6" xfId="0" applyNumberFormat="1" applyFont="1" applyBorder="1" applyAlignment="1">
      <alignment horizontal="center" vertical="center"/>
    </xf>
    <xf numFmtId="1" fontId="54" fillId="3" borderId="0" xfId="0" applyNumberFormat="1" applyFont="1" applyFill="1"/>
    <xf numFmtId="1" fontId="54" fillId="3" borderId="0" xfId="0" applyNumberFormat="1" applyFont="1" applyFill="1" applyProtection="1">
      <protection locked="0"/>
    </xf>
    <xf numFmtId="1" fontId="54" fillId="18" borderId="0" xfId="0" applyNumberFormat="1" applyFont="1" applyFill="1" applyProtection="1">
      <protection locked="0"/>
    </xf>
    <xf numFmtId="1" fontId="54" fillId="3" borderId="0" xfId="0" applyNumberFormat="1" applyFont="1" applyFill="1" applyAlignment="1">
      <alignment horizontal="center"/>
    </xf>
    <xf numFmtId="1" fontId="54" fillId="15" borderId="0" xfId="0" applyNumberFormat="1" applyFont="1" applyFill="1"/>
    <xf numFmtId="1" fontId="54" fillId="3" borderId="35" xfId="0" applyNumberFormat="1" applyFont="1" applyFill="1" applyBorder="1"/>
    <xf numFmtId="1" fontId="21" fillId="3" borderId="0" xfId="0" applyNumberFormat="1" applyFont="1" applyFill="1" applyProtection="1">
      <protection locked="0"/>
    </xf>
    <xf numFmtId="1" fontId="21" fillId="18" borderId="0" xfId="0" applyNumberFormat="1" applyFont="1" applyFill="1" applyProtection="1">
      <protection locked="0"/>
    </xf>
    <xf numFmtId="1" fontId="54" fillId="14" borderId="0" xfId="0" applyNumberFormat="1" applyFont="1" applyFill="1"/>
    <xf numFmtId="1" fontId="17" fillId="3" borderId="0" xfId="0" applyNumberFormat="1" applyFont="1" applyFill="1" applyAlignment="1">
      <alignment wrapText="1"/>
    </xf>
    <xf numFmtId="1" fontId="17" fillId="15" borderId="174" xfId="0" applyNumberFormat="1" applyFont="1" applyFill="1" applyBorder="1"/>
    <xf numFmtId="1" fontId="20" fillId="0" borderId="33" xfId="0" applyNumberFormat="1" applyFont="1" applyBorder="1"/>
    <xf numFmtId="1" fontId="20" fillId="0" borderId="66" xfId="0" applyNumberFormat="1" applyFont="1" applyBorder="1"/>
    <xf numFmtId="1" fontId="20" fillId="0" borderId="27" xfId="0" applyNumberFormat="1" applyFont="1" applyBorder="1"/>
    <xf numFmtId="1" fontId="20" fillId="0" borderId="49" xfId="0" applyNumberFormat="1" applyFont="1" applyBorder="1"/>
    <xf numFmtId="0" fontId="54" fillId="15" borderId="0" xfId="0" applyFont="1" applyFill="1"/>
    <xf numFmtId="0" fontId="54" fillId="15" borderId="0" xfId="0" applyFont="1" applyFill="1" applyProtection="1">
      <protection locked="0"/>
    </xf>
    <xf numFmtId="0" fontId="54" fillId="18" borderId="0" xfId="0" applyFont="1" applyFill="1" applyProtection="1">
      <protection locked="0"/>
    </xf>
    <xf numFmtId="1" fontId="6" fillId="13" borderId="21" xfId="0" applyNumberFormat="1" applyFont="1" applyFill="1" applyBorder="1"/>
    <xf numFmtId="0" fontId="54" fillId="0" borderId="0" xfId="0" applyFont="1"/>
    <xf numFmtId="0" fontId="51" fillId="0" borderId="0" xfId="0" applyFont="1"/>
    <xf numFmtId="1" fontId="51" fillId="0" borderId="37" xfId="0" applyNumberFormat="1" applyFont="1" applyBorder="1"/>
    <xf numFmtId="1" fontId="51" fillId="0" borderId="24" xfId="0" applyNumberFormat="1" applyFont="1" applyBorder="1"/>
    <xf numFmtId="0" fontId="62" fillId="0" borderId="0" xfId="0" applyFont="1"/>
    <xf numFmtId="1" fontId="51" fillId="0" borderId="51" xfId="0" applyNumberFormat="1" applyFont="1" applyBorder="1"/>
    <xf numFmtId="1" fontId="51" fillId="0" borderId="25" xfId="0" applyNumberFormat="1" applyFont="1" applyBorder="1"/>
    <xf numFmtId="1" fontId="51" fillId="0" borderId="12" xfId="0" applyNumberFormat="1" applyFont="1" applyBorder="1" applyAlignment="1">
      <alignment horizontal="right" vertical="center" wrapText="1"/>
    </xf>
    <xf numFmtId="0" fontId="0" fillId="18" borderId="0" xfId="0" applyFill="1" applyProtection="1">
      <protection locked="0"/>
    </xf>
    <xf numFmtId="0" fontId="51" fillId="18" borderId="0" xfId="0" applyFont="1" applyFill="1" applyProtection="1">
      <protection locked="0"/>
    </xf>
    <xf numFmtId="0" fontId="62" fillId="18" borderId="0" xfId="0" applyFont="1" applyFill="1" applyProtection="1">
      <protection locked="0"/>
    </xf>
    <xf numFmtId="1" fontId="5" fillId="18" borderId="0" xfId="0" applyNumberFormat="1" applyFont="1" applyFill="1" applyProtection="1">
      <protection locked="0"/>
    </xf>
    <xf numFmtId="1" fontId="35" fillId="18" borderId="0" xfId="0" applyNumberFormat="1" applyFont="1" applyFill="1" applyProtection="1">
      <protection locked="0"/>
    </xf>
    <xf numFmtId="1" fontId="6" fillId="18" borderId="0" xfId="0" applyNumberFormat="1" applyFont="1" applyFill="1" applyProtection="1">
      <protection locked="0"/>
    </xf>
    <xf numFmtId="1" fontId="26" fillId="14" borderId="0" xfId="0" applyNumberFormat="1" applyFont="1" applyFill="1" applyProtection="1">
      <protection locked="0"/>
    </xf>
    <xf numFmtId="1" fontId="26" fillId="21" borderId="0" xfId="0" applyNumberFormat="1" applyFont="1" applyFill="1" applyProtection="1">
      <protection locked="0"/>
    </xf>
    <xf numFmtId="1" fontId="5" fillId="21" borderId="0" xfId="0" applyNumberFormat="1" applyFont="1" applyFill="1" applyProtection="1">
      <protection locked="0"/>
    </xf>
    <xf numFmtId="1" fontId="3" fillId="21" borderId="0" xfId="0" applyNumberFormat="1" applyFont="1" applyFill="1" applyProtection="1">
      <protection locked="0"/>
    </xf>
    <xf numFmtId="1" fontId="26" fillId="20" borderId="0" xfId="0" applyNumberFormat="1" applyFont="1" applyFill="1" applyProtection="1">
      <protection locked="0"/>
    </xf>
    <xf numFmtId="1" fontId="26" fillId="20" borderId="172" xfId="0" applyNumberFormat="1" applyFont="1" applyFill="1" applyBorder="1" applyProtection="1">
      <protection locked="0"/>
    </xf>
    <xf numFmtId="1" fontId="20" fillId="20" borderId="0" xfId="0" applyNumberFormat="1" applyFont="1" applyFill="1" applyProtection="1">
      <protection locked="0"/>
    </xf>
    <xf numFmtId="1" fontId="54" fillId="20" borderId="0" xfId="0" applyNumberFormat="1" applyFont="1" applyFill="1" applyProtection="1">
      <protection locked="0"/>
    </xf>
    <xf numFmtId="1" fontId="6" fillId="20" borderId="0" xfId="0" applyNumberFormat="1" applyFont="1" applyFill="1" applyProtection="1">
      <protection locked="0"/>
    </xf>
    <xf numFmtId="1" fontId="21" fillId="20" borderId="0" xfId="0" applyNumberFormat="1" applyFont="1" applyFill="1" applyProtection="1">
      <protection locked="0"/>
    </xf>
    <xf numFmtId="1" fontId="54" fillId="14" borderId="0" xfId="0" applyNumberFormat="1" applyFont="1" applyFill="1" applyProtection="1">
      <protection locked="0"/>
    </xf>
    <xf numFmtId="1" fontId="6" fillId="0" borderId="243" xfId="0" applyNumberFormat="1" applyFont="1" applyBorder="1"/>
    <xf numFmtId="1" fontId="6" fillId="0" borderId="239" xfId="0" applyNumberFormat="1" applyFont="1" applyBorder="1" applyAlignment="1">
      <alignment horizontal="center" vertical="center"/>
    </xf>
    <xf numFmtId="1" fontId="26" fillId="19" borderId="0" xfId="0" applyNumberFormat="1" applyFont="1" applyFill="1"/>
    <xf numFmtId="1" fontId="26" fillId="19" borderId="0" xfId="0" applyNumberFormat="1" applyFont="1" applyFill="1" applyProtection="1">
      <protection locked="0"/>
    </xf>
    <xf numFmtId="1" fontId="26" fillId="18" borderId="0" xfId="0" applyNumberFormat="1" applyFont="1" applyFill="1"/>
    <xf numFmtId="0" fontId="5" fillId="15" borderId="14" xfId="0" applyFont="1" applyFill="1" applyBorder="1" applyProtection="1">
      <protection hidden="1"/>
    </xf>
    <xf numFmtId="0" fontId="6" fillId="15" borderId="14" xfId="0" applyFont="1" applyFill="1" applyBorder="1" applyProtection="1">
      <protection locked="0"/>
    </xf>
    <xf numFmtId="0" fontId="46" fillId="15" borderId="14" xfId="0" applyFont="1" applyFill="1" applyBorder="1" applyAlignment="1" applyProtection="1">
      <alignment horizontal="center"/>
      <protection hidden="1"/>
    </xf>
    <xf numFmtId="3" fontId="5" fillId="15" borderId="14" xfId="0" applyNumberFormat="1" applyFont="1" applyFill="1" applyBorder="1" applyProtection="1">
      <protection hidden="1"/>
    </xf>
    <xf numFmtId="0" fontId="3" fillId="15" borderId="14" xfId="0" applyFont="1" applyFill="1" applyBorder="1" applyProtection="1">
      <protection locked="0"/>
    </xf>
    <xf numFmtId="1" fontId="17" fillId="15" borderId="0" xfId="0" applyNumberFormat="1" applyFont="1" applyFill="1" applyAlignment="1">
      <alignment vertical="center"/>
    </xf>
    <xf numFmtId="0" fontId="3" fillId="15" borderId="14" xfId="0" applyFont="1" applyFill="1" applyBorder="1" applyProtection="1">
      <protection locked="0" hidden="1"/>
    </xf>
    <xf numFmtId="0" fontId="51" fillId="22" borderId="0" xfId="0" applyFont="1" applyFill="1" applyProtection="1">
      <protection locked="0"/>
    </xf>
    <xf numFmtId="0" fontId="54" fillId="22" borderId="0" xfId="0" applyFont="1" applyFill="1" applyProtection="1">
      <protection locked="0"/>
    </xf>
    <xf numFmtId="2" fontId="6" fillId="3" borderId="48" xfId="0" applyNumberFormat="1" applyFont="1" applyFill="1" applyBorder="1" applyAlignment="1">
      <alignment horizontal="center" vertical="center"/>
    </xf>
    <xf numFmtId="2" fontId="6" fillId="3" borderId="12" xfId="0" applyNumberFormat="1" applyFont="1" applyFill="1" applyBorder="1" applyAlignment="1">
      <alignment horizontal="center" vertical="center"/>
    </xf>
    <xf numFmtId="2" fontId="6" fillId="3" borderId="8" xfId="0" applyNumberFormat="1" applyFont="1" applyFill="1" applyBorder="1" applyAlignment="1">
      <alignment horizontal="center" vertical="center"/>
    </xf>
    <xf numFmtId="2" fontId="6" fillId="3" borderId="47" xfId="0" applyNumberFormat="1" applyFont="1" applyFill="1" applyBorder="1" applyAlignment="1">
      <alignment horizontal="center" vertical="center"/>
    </xf>
    <xf numFmtId="1" fontId="6" fillId="3" borderId="25" xfId="0" applyNumberFormat="1" applyFont="1" applyFill="1" applyBorder="1" applyAlignment="1">
      <alignment horizontal="center" vertical="center"/>
    </xf>
    <xf numFmtId="1" fontId="6" fillId="7" borderId="194" xfId="14" applyNumberFormat="1" applyFont="1" applyBorder="1" applyAlignment="1" applyProtection="1">
      <alignment horizontal="center" vertical="center"/>
      <protection locked="0"/>
    </xf>
    <xf numFmtId="2" fontId="6" fillId="3" borderId="41" xfId="0" applyNumberFormat="1" applyFont="1" applyFill="1" applyBorder="1" applyAlignment="1">
      <alignment horizontal="center" vertical="center"/>
    </xf>
    <xf numFmtId="2" fontId="6" fillId="3" borderId="16" xfId="0" applyNumberFormat="1" applyFont="1" applyFill="1" applyBorder="1" applyAlignment="1">
      <alignment horizontal="center" vertical="center"/>
    </xf>
    <xf numFmtId="1" fontId="6" fillId="3" borderId="37" xfId="0" applyNumberFormat="1" applyFont="1" applyFill="1" applyBorder="1" applyAlignment="1">
      <alignment horizontal="center" vertical="center"/>
    </xf>
    <xf numFmtId="1" fontId="6" fillId="7" borderId="205" xfId="14" applyNumberFormat="1" applyFont="1" applyAlignment="1" applyProtection="1">
      <alignment horizontal="center" vertical="center"/>
      <protection locked="0"/>
    </xf>
    <xf numFmtId="2" fontId="6" fillId="3" borderId="33" xfId="0" applyNumberFormat="1" applyFont="1" applyFill="1" applyBorder="1" applyAlignment="1">
      <alignment horizontal="center" vertical="center"/>
    </xf>
    <xf numFmtId="2" fontId="6" fillId="3" borderId="38" xfId="0" applyNumberFormat="1" applyFont="1" applyFill="1" applyBorder="1" applyAlignment="1">
      <alignment horizontal="center" vertical="center"/>
    </xf>
    <xf numFmtId="1" fontId="6" fillId="7" borderId="72" xfId="14" applyNumberFormat="1" applyFont="1" applyBorder="1" applyAlignment="1" applyProtection="1">
      <alignment horizontal="center" vertical="center"/>
      <protection locked="0"/>
    </xf>
    <xf numFmtId="2" fontId="6" fillId="3" borderId="27" xfId="0" applyNumberFormat="1" applyFont="1" applyFill="1" applyBorder="1" applyAlignment="1">
      <alignment horizontal="center" vertical="center"/>
    </xf>
    <xf numFmtId="2" fontId="6" fillId="3" borderId="20" xfId="0" applyNumberFormat="1" applyFont="1" applyFill="1" applyBorder="1" applyAlignment="1">
      <alignment horizontal="center" vertical="center"/>
    </xf>
    <xf numFmtId="1" fontId="6" fillId="15" borderId="172" xfId="0" applyNumberFormat="1" applyFont="1" applyFill="1" applyBorder="1" applyAlignment="1">
      <alignment horizontal="center" vertical="center" wrapText="1"/>
    </xf>
    <xf numFmtId="1" fontId="40" fillId="15" borderId="35" xfId="0" applyNumberFormat="1" applyFont="1" applyFill="1" applyBorder="1" applyAlignment="1" applyProtection="1">
      <alignment vertical="center"/>
      <protection locked="0"/>
    </xf>
    <xf numFmtId="1" fontId="40" fillId="15" borderId="0" xfId="0" applyNumberFormat="1" applyFont="1" applyFill="1" applyAlignment="1">
      <alignment vertical="top" wrapText="1"/>
    </xf>
    <xf numFmtId="2" fontId="26" fillId="15" borderId="0" xfId="0" applyNumberFormat="1" applyFont="1" applyFill="1"/>
    <xf numFmtId="1" fontId="26" fillId="15" borderId="155" xfId="0" applyNumberFormat="1" applyFont="1" applyFill="1" applyBorder="1"/>
    <xf numFmtId="1" fontId="26" fillId="15" borderId="35" xfId="0" applyNumberFormat="1" applyFont="1" applyFill="1" applyBorder="1"/>
    <xf numFmtId="0" fontId="61" fillId="15" borderId="0" xfId="0" applyFont="1" applyFill="1" applyAlignment="1">
      <alignment vertical="top" wrapText="1"/>
    </xf>
    <xf numFmtId="1" fontId="15" fillId="15" borderId="0" xfId="0" applyNumberFormat="1" applyFont="1" applyFill="1" applyAlignment="1">
      <alignment wrapText="1"/>
    </xf>
    <xf numFmtId="1" fontId="4" fillId="15" borderId="0" xfId="0" applyNumberFormat="1" applyFont="1" applyFill="1" applyAlignment="1">
      <alignment horizontal="left" wrapText="1"/>
    </xf>
    <xf numFmtId="1" fontId="17" fillId="15" borderId="0" xfId="0" applyNumberFormat="1" applyFont="1" applyFill="1" applyAlignment="1">
      <alignment wrapText="1"/>
    </xf>
    <xf numFmtId="1" fontId="6" fillId="15" borderId="164" xfId="0" applyNumberFormat="1" applyFont="1" applyFill="1" applyBorder="1"/>
    <xf numFmtId="1" fontId="6" fillId="15" borderId="166" xfId="0" applyNumberFormat="1" applyFont="1" applyFill="1" applyBorder="1"/>
    <xf numFmtId="1" fontId="56" fillId="15" borderId="0" xfId="0" applyNumberFormat="1" applyFont="1" applyFill="1"/>
    <xf numFmtId="1" fontId="17" fillId="15" borderId="172" xfId="0" applyNumberFormat="1" applyFont="1" applyFill="1" applyBorder="1"/>
    <xf numFmtId="1" fontId="54" fillId="15" borderId="35" xfId="0" applyNumberFormat="1" applyFont="1" applyFill="1" applyBorder="1"/>
    <xf numFmtId="1" fontId="13" fillId="15" borderId="0" xfId="0" applyNumberFormat="1" applyFont="1" applyFill="1"/>
    <xf numFmtId="1" fontId="23" fillId="15" borderId="0" xfId="0" applyNumberFormat="1" applyFont="1" applyFill="1"/>
    <xf numFmtId="1" fontId="2" fillId="15" borderId="0" xfId="0" applyNumberFormat="1" applyFont="1" applyFill="1"/>
    <xf numFmtId="1" fontId="21" fillId="15" borderId="0" xfId="0" applyNumberFormat="1" applyFont="1" applyFill="1"/>
    <xf numFmtId="1" fontId="18" fillId="15" borderId="0" xfId="0" applyNumberFormat="1" applyFont="1" applyFill="1"/>
    <xf numFmtId="1" fontId="26" fillId="15" borderId="179" xfId="0" applyNumberFormat="1" applyFont="1" applyFill="1" applyBorder="1"/>
    <xf numFmtId="1" fontId="6" fillId="15" borderId="182" xfId="0" applyNumberFormat="1" applyFont="1" applyFill="1" applyBorder="1" applyAlignment="1">
      <alignment wrapText="1"/>
    </xf>
    <xf numFmtId="1" fontId="6" fillId="15" borderId="181" xfId="0" applyNumberFormat="1" applyFont="1" applyFill="1" applyBorder="1" applyAlignment="1">
      <alignment wrapText="1"/>
    </xf>
    <xf numFmtId="1" fontId="40" fillId="15" borderId="0" xfId="0" applyNumberFormat="1" applyFont="1" applyFill="1" applyAlignment="1">
      <alignment vertical="center"/>
    </xf>
    <xf numFmtId="1" fontId="15" fillId="15" borderId="0" xfId="0" applyNumberFormat="1" applyFont="1" applyFill="1"/>
    <xf numFmtId="1" fontId="6" fillId="15" borderId="0" xfId="0" applyNumberFormat="1" applyFont="1" applyFill="1" applyAlignment="1">
      <alignment vertical="top" wrapText="1"/>
    </xf>
    <xf numFmtId="1" fontId="6" fillId="15" borderId="0" xfId="0" applyNumberFormat="1" applyFont="1" applyFill="1" applyAlignment="1">
      <alignment horizontal="left" vertical="center"/>
    </xf>
    <xf numFmtId="1" fontId="4" fillId="15" borderId="0" xfId="0" applyNumberFormat="1" applyFont="1" applyFill="1" applyAlignment="1">
      <alignment horizontal="center"/>
    </xf>
    <xf numFmtId="1" fontId="4" fillId="15" borderId="0" xfId="0" applyNumberFormat="1" applyFont="1" applyFill="1" applyAlignment="1">
      <alignment horizontal="left"/>
    </xf>
    <xf numFmtId="1" fontId="40" fillId="15" borderId="0" xfId="0" applyNumberFormat="1" applyFont="1" applyFill="1" applyAlignment="1">
      <alignment vertical="center" wrapText="1"/>
    </xf>
    <xf numFmtId="1" fontId="2" fillId="15" borderId="0" xfId="0" applyNumberFormat="1" applyFont="1" applyFill="1" applyAlignment="1">
      <alignment horizontal="center" vertical="center" wrapText="1"/>
    </xf>
    <xf numFmtId="1" fontId="26" fillId="15" borderId="163" xfId="0" applyNumberFormat="1" applyFont="1" applyFill="1" applyBorder="1"/>
    <xf numFmtId="1" fontId="40" fillId="15" borderId="35" xfId="0" applyNumberFormat="1" applyFont="1" applyFill="1" applyBorder="1"/>
    <xf numFmtId="0" fontId="51" fillId="15" borderId="0" xfId="0" applyFont="1" applyFill="1"/>
    <xf numFmtId="1" fontId="6" fillId="13" borderId="63" xfId="0" applyNumberFormat="1" applyFont="1" applyFill="1" applyBorder="1"/>
    <xf numFmtId="1" fontId="40" fillId="15" borderId="0" xfId="0" applyNumberFormat="1" applyFont="1" applyFill="1" applyAlignment="1" applyProtection="1">
      <alignment vertical="center"/>
      <protection locked="0"/>
    </xf>
    <xf numFmtId="1" fontId="6" fillId="0" borderId="246" xfId="0" applyNumberFormat="1" applyFont="1" applyBorder="1" applyAlignment="1">
      <alignment wrapText="1"/>
    </xf>
    <xf numFmtId="1" fontId="6" fillId="4" borderId="138" xfId="0" applyNumberFormat="1" applyFont="1" applyFill="1" applyBorder="1"/>
    <xf numFmtId="1" fontId="6" fillId="0" borderId="242" xfId="0" applyNumberFormat="1" applyFont="1" applyBorder="1" applyAlignment="1">
      <alignment wrapText="1"/>
    </xf>
    <xf numFmtId="1" fontId="40" fillId="5" borderId="38" xfId="0" applyNumberFormat="1" applyFont="1" applyFill="1" applyBorder="1" applyProtection="1">
      <protection locked="0"/>
    </xf>
    <xf numFmtId="1" fontId="63" fillId="3" borderId="0" xfId="0" applyNumberFormat="1" applyFont="1" applyFill="1" applyAlignment="1">
      <alignment horizontal="left"/>
    </xf>
    <xf numFmtId="1" fontId="40" fillId="5" borderId="51" xfId="0" applyNumberFormat="1" applyFont="1" applyFill="1" applyBorder="1" applyProtection="1">
      <protection locked="0"/>
    </xf>
    <xf numFmtId="1" fontId="13" fillId="0" borderId="179" xfId="0" applyNumberFormat="1" applyFont="1" applyBorder="1"/>
    <xf numFmtId="1" fontId="6" fillId="3" borderId="247" xfId="0" applyNumberFormat="1" applyFont="1" applyFill="1" applyBorder="1"/>
    <xf numFmtId="1" fontId="6" fillId="0" borderId="247" xfId="0" applyNumberFormat="1" applyFont="1" applyBorder="1"/>
    <xf numFmtId="1" fontId="6" fillId="0" borderId="0" xfId="0" applyNumberFormat="1" applyFont="1" applyAlignment="1">
      <alignment horizontal="left" vertical="center"/>
    </xf>
    <xf numFmtId="1" fontId="6" fillId="0" borderId="258" xfId="0" applyNumberFormat="1" applyFont="1" applyBorder="1" applyAlignment="1">
      <alignment horizontal="center" vertical="center" wrapText="1"/>
    </xf>
    <xf numFmtId="1" fontId="26" fillId="0" borderId="131" xfId="0" applyNumberFormat="1" applyFont="1" applyBorder="1"/>
    <xf numFmtId="1" fontId="6" fillId="13" borderId="38" xfId="0" applyNumberFormat="1" applyFont="1" applyFill="1" applyBorder="1" applyProtection="1">
      <protection locked="0"/>
    </xf>
    <xf numFmtId="1" fontId="6" fillId="13" borderId="51" xfId="0" applyNumberFormat="1" applyFont="1" applyFill="1" applyBorder="1" applyProtection="1">
      <protection locked="0"/>
    </xf>
    <xf numFmtId="1" fontId="6" fillId="0" borderId="258" xfId="0" applyNumberFormat="1" applyFont="1" applyBorder="1"/>
    <xf numFmtId="0" fontId="0" fillId="23" borderId="38" xfId="0" applyFill="1" applyBorder="1"/>
    <xf numFmtId="0" fontId="0" fillId="23" borderId="36" xfId="0" applyFill="1" applyBorder="1"/>
    <xf numFmtId="1" fontId="6" fillId="13" borderId="16" xfId="0" applyNumberFormat="1" applyFont="1" applyFill="1" applyBorder="1" applyProtection="1">
      <protection locked="0"/>
    </xf>
    <xf numFmtId="1" fontId="6" fillId="3" borderId="257" xfId="0" applyNumberFormat="1" applyFont="1" applyFill="1" applyBorder="1" applyAlignment="1">
      <alignment vertical="center"/>
    </xf>
    <xf numFmtId="1" fontId="6" fillId="3" borderId="258" xfId="0" applyNumberFormat="1" applyFont="1" applyFill="1" applyBorder="1" applyAlignment="1">
      <alignment vertical="center"/>
    </xf>
    <xf numFmtId="1" fontId="6" fillId="0" borderId="60" xfId="0" applyNumberFormat="1" applyFont="1" applyBorder="1"/>
    <xf numFmtId="1" fontId="6" fillId="6" borderId="143" xfId="0" applyNumberFormat="1" applyFont="1" applyFill="1" applyBorder="1" applyProtection="1">
      <protection locked="0"/>
    </xf>
    <xf numFmtId="1" fontId="6" fillId="6" borderId="36" xfId="0" applyNumberFormat="1" applyFont="1" applyFill="1" applyBorder="1" applyProtection="1">
      <protection locked="0"/>
    </xf>
    <xf numFmtId="1" fontId="6" fillId="6" borderId="38" xfId="0" applyNumberFormat="1" applyFont="1" applyFill="1" applyBorder="1" applyProtection="1">
      <protection locked="0"/>
    </xf>
    <xf numFmtId="1" fontId="6" fillId="0" borderId="266" xfId="0" applyNumberFormat="1" applyFont="1" applyBorder="1" applyAlignment="1">
      <alignment horizontal="center" vertical="center" wrapText="1"/>
    </xf>
    <xf numFmtId="1" fontId="6" fillId="5" borderId="277" xfId="0" applyNumberFormat="1" applyFont="1" applyFill="1" applyBorder="1" applyProtection="1">
      <protection locked="0"/>
    </xf>
    <xf numFmtId="1" fontId="6" fillId="5" borderId="279" xfId="0" applyNumberFormat="1" applyFont="1" applyFill="1" applyBorder="1" applyAlignment="1" applyProtection="1">
      <alignment horizontal="right"/>
      <protection locked="0"/>
    </xf>
    <xf numFmtId="1" fontId="6" fillId="5" borderId="277" xfId="0" applyNumberFormat="1" applyFont="1" applyFill="1" applyBorder="1" applyAlignment="1" applyProtection="1">
      <alignment horizontal="right"/>
      <protection locked="0"/>
    </xf>
    <xf numFmtId="1" fontId="6" fillId="5" borderId="278" xfId="0" applyNumberFormat="1" applyFont="1" applyFill="1" applyBorder="1" applyAlignment="1" applyProtection="1">
      <alignment horizontal="right"/>
      <protection locked="0"/>
    </xf>
    <xf numFmtId="1" fontId="6" fillId="5" borderId="282" xfId="0" applyNumberFormat="1" applyFont="1" applyFill="1" applyBorder="1" applyProtection="1">
      <protection locked="0"/>
    </xf>
    <xf numFmtId="1" fontId="6" fillId="5" borderId="279" xfId="0" applyNumberFormat="1" applyFont="1" applyFill="1" applyBorder="1" applyProtection="1">
      <protection locked="0"/>
    </xf>
    <xf numFmtId="1" fontId="6" fillId="5" borderId="276" xfId="0" applyNumberFormat="1" applyFont="1" applyFill="1" applyBorder="1" applyProtection="1">
      <protection locked="0"/>
    </xf>
    <xf numFmtId="1" fontId="6" fillId="13" borderId="56" xfId="0" applyNumberFormat="1" applyFont="1" applyFill="1" applyBorder="1" applyProtection="1">
      <protection locked="0"/>
    </xf>
    <xf numFmtId="1" fontId="6" fillId="13" borderId="31" xfId="0" applyNumberFormat="1" applyFont="1" applyFill="1" applyBorder="1" applyProtection="1">
      <protection locked="0"/>
    </xf>
    <xf numFmtId="1" fontId="6" fillId="5" borderId="292" xfId="0" applyNumberFormat="1" applyFont="1" applyFill="1" applyBorder="1" applyProtection="1">
      <protection locked="0"/>
    </xf>
    <xf numFmtId="1" fontId="6" fillId="0" borderId="265" xfId="0" applyNumberFormat="1" applyFont="1" applyBorder="1" applyAlignment="1">
      <alignment horizontal="center" vertical="center"/>
    </xf>
    <xf numFmtId="1" fontId="6" fillId="0" borderId="266" xfId="0" applyNumberFormat="1" applyFont="1" applyBorder="1" applyAlignment="1">
      <alignment horizontal="center" vertical="center"/>
    </xf>
    <xf numFmtId="1" fontId="6" fillId="0" borderId="267" xfId="0" applyNumberFormat="1" applyFont="1" applyBorder="1" applyAlignment="1">
      <alignment horizontal="center" vertical="center"/>
    </xf>
    <xf numFmtId="1" fontId="6" fillId="0" borderId="285" xfId="0" applyNumberFormat="1" applyFont="1" applyBorder="1" applyAlignment="1">
      <alignment horizontal="center" vertical="center"/>
    </xf>
    <xf numFmtId="1" fontId="6" fillId="0" borderId="284" xfId="0" applyNumberFormat="1" applyFont="1" applyBorder="1" applyAlignment="1">
      <alignment horizontal="center" vertical="center" wrapText="1"/>
    </xf>
    <xf numFmtId="1" fontId="6" fillId="0" borderId="286" xfId="0" applyNumberFormat="1" applyFont="1" applyBorder="1" applyAlignment="1">
      <alignment horizontal="center" vertical="center" wrapText="1"/>
    </xf>
    <xf numFmtId="1" fontId="6" fillId="13" borderId="24" xfId="0" applyNumberFormat="1" applyFont="1" applyFill="1" applyBorder="1" applyAlignment="1">
      <alignment horizontal="right" wrapText="1"/>
    </xf>
    <xf numFmtId="1" fontId="6" fillId="5" borderId="264" xfId="0" applyNumberFormat="1" applyFont="1" applyFill="1" applyBorder="1" applyProtection="1">
      <protection locked="0"/>
    </xf>
    <xf numFmtId="1" fontId="6" fillId="4" borderId="277" xfId="0" applyNumberFormat="1" applyFont="1" applyFill="1" applyBorder="1"/>
    <xf numFmtId="1" fontId="6" fillId="4" borderId="278" xfId="0" applyNumberFormat="1" applyFont="1" applyFill="1" applyBorder="1"/>
    <xf numFmtId="1" fontId="6" fillId="5" borderId="278" xfId="0" applyNumberFormat="1" applyFont="1" applyFill="1" applyBorder="1" applyProtection="1">
      <protection locked="0"/>
    </xf>
    <xf numFmtId="1" fontId="6" fillId="0" borderId="266" xfId="0" applyNumberFormat="1" applyFont="1" applyBorder="1"/>
    <xf numFmtId="1" fontId="6" fillId="0" borderId="290" xfId="0" applyNumberFormat="1" applyFont="1" applyBorder="1"/>
    <xf numFmtId="1" fontId="6" fillId="0" borderId="286" xfId="0" applyNumberFormat="1" applyFont="1" applyBorder="1"/>
    <xf numFmtId="1" fontId="6" fillId="5" borderId="191" xfId="0" applyNumberFormat="1" applyFont="1" applyFill="1" applyBorder="1" applyAlignment="1" applyProtection="1">
      <alignment horizontal="right"/>
      <protection locked="0"/>
    </xf>
    <xf numFmtId="1" fontId="6" fillId="5" borderId="289" xfId="0" applyNumberFormat="1" applyFont="1" applyFill="1" applyBorder="1" applyAlignment="1" applyProtection="1">
      <alignment horizontal="right"/>
      <protection locked="0"/>
    </xf>
    <xf numFmtId="1" fontId="6" fillId="5" borderId="280" xfId="0" applyNumberFormat="1" applyFont="1" applyFill="1" applyBorder="1" applyAlignment="1" applyProtection="1">
      <alignment horizontal="right"/>
      <protection locked="0"/>
    </xf>
    <xf numFmtId="1" fontId="6" fillId="5" borderId="144" xfId="0" applyNumberFormat="1" applyFont="1" applyFill="1" applyBorder="1" applyAlignment="1" applyProtection="1">
      <alignment horizontal="right"/>
      <protection locked="0"/>
    </xf>
    <xf numFmtId="1" fontId="55" fillId="0" borderId="50" xfId="0" applyNumberFormat="1" applyFont="1" applyBorder="1"/>
    <xf numFmtId="1" fontId="51" fillId="5" borderId="119" xfId="0" applyNumberFormat="1" applyFont="1" applyFill="1" applyBorder="1" applyProtection="1">
      <protection locked="0"/>
    </xf>
    <xf numFmtId="0" fontId="56" fillId="0" borderId="0" xfId="0" applyFont="1"/>
    <xf numFmtId="1" fontId="6" fillId="13" borderId="40" xfId="0" applyNumberFormat="1" applyFont="1" applyFill="1" applyBorder="1"/>
    <xf numFmtId="1" fontId="6" fillId="0" borderId="285" xfId="0" applyNumberFormat="1" applyFont="1" applyBorder="1" applyAlignment="1">
      <alignment horizontal="center" vertical="center" wrapText="1"/>
    </xf>
    <xf numFmtId="1" fontId="51" fillId="5" borderId="107" xfId="0" applyNumberFormat="1" applyFont="1" applyFill="1" applyBorder="1" applyProtection="1">
      <protection locked="0"/>
    </xf>
    <xf numFmtId="1" fontId="6" fillId="13" borderId="21" xfId="0" applyNumberFormat="1" applyFont="1" applyFill="1" applyBorder="1" applyProtection="1">
      <protection locked="0"/>
    </xf>
    <xf numFmtId="1" fontId="6" fillId="13" borderId="85" xfId="0" applyNumberFormat="1" applyFont="1" applyFill="1" applyBorder="1"/>
    <xf numFmtId="1" fontId="6" fillId="13" borderId="20" xfId="0" applyNumberFormat="1" applyFont="1" applyFill="1" applyBorder="1" applyProtection="1">
      <protection locked="0"/>
    </xf>
    <xf numFmtId="1" fontId="7" fillId="0" borderId="285" xfId="0" applyNumberFormat="1" applyFont="1" applyBorder="1" applyAlignment="1">
      <alignment horizontal="center" vertical="center" wrapText="1"/>
    </xf>
    <xf numFmtId="1" fontId="6" fillId="0" borderId="285" xfId="0" applyNumberFormat="1" applyFont="1" applyBorder="1" applyAlignment="1">
      <alignment wrapText="1"/>
    </xf>
    <xf numFmtId="1" fontId="6" fillId="4" borderId="137" xfId="0" applyNumberFormat="1" applyFont="1" applyFill="1" applyBorder="1"/>
    <xf numFmtId="1" fontId="6" fillId="0" borderId="307" xfId="0" applyNumberFormat="1" applyFont="1" applyBorder="1" applyAlignment="1">
      <alignment horizontal="center" vertical="center" wrapText="1"/>
    </xf>
    <xf numFmtId="1" fontId="6" fillId="0" borderId="309" xfId="0" applyNumberFormat="1" applyFont="1" applyBorder="1" applyAlignment="1">
      <alignment horizontal="center" vertical="center" wrapText="1"/>
    </xf>
    <xf numFmtId="1" fontId="6" fillId="7" borderId="30" xfId="20" applyNumberFormat="1" applyFont="1" applyBorder="1" applyProtection="1">
      <protection locked="0"/>
    </xf>
    <xf numFmtId="1" fontId="6" fillId="7" borderId="310" xfId="20" applyNumberFormat="1" applyFont="1" applyBorder="1" applyProtection="1">
      <protection locked="0"/>
    </xf>
    <xf numFmtId="1" fontId="6" fillId="0" borderId="10" xfId="0" applyNumberFormat="1" applyFont="1" applyBorder="1" applyAlignment="1">
      <alignment horizontal="left" wrapText="1"/>
    </xf>
    <xf numFmtId="1" fontId="40" fillId="15" borderId="0" xfId="0" applyNumberFormat="1" applyFont="1" applyFill="1" applyAlignment="1">
      <alignment vertical="top"/>
    </xf>
    <xf numFmtId="1" fontId="26" fillId="20" borderId="0" xfId="0" applyNumberFormat="1" applyFont="1" applyFill="1"/>
    <xf numFmtId="1" fontId="26" fillId="18" borderId="0" xfId="0" applyNumberFormat="1" applyFont="1" applyFill="1" applyAlignment="1">
      <alignment wrapText="1"/>
    </xf>
    <xf numFmtId="1" fontId="40" fillId="15" borderId="35" xfId="0" applyNumberFormat="1" applyFont="1" applyFill="1" applyBorder="1" applyAlignment="1">
      <alignment vertical="center"/>
    </xf>
    <xf numFmtId="0" fontId="51" fillId="18" borderId="0" xfId="0" applyFont="1" applyFill="1"/>
    <xf numFmtId="0" fontId="51" fillId="22" borderId="0" xfId="0" applyFont="1" applyFill="1"/>
    <xf numFmtId="0" fontId="61" fillId="15" borderId="0" xfId="0" applyFont="1" applyFill="1" applyAlignment="1" applyProtection="1">
      <alignment vertical="top"/>
      <protection locked="0"/>
    </xf>
    <xf numFmtId="1" fontId="6" fillId="15" borderId="0" xfId="0" applyNumberFormat="1" applyFont="1" applyFill="1" applyAlignment="1" applyProtection="1">
      <alignment wrapText="1"/>
      <protection locked="0"/>
    </xf>
    <xf numFmtId="1" fontId="40" fillId="15" borderId="0" xfId="0" applyNumberFormat="1" applyFont="1" applyFill="1" applyAlignment="1" applyProtection="1">
      <alignment vertical="top"/>
      <protection locked="0"/>
    </xf>
    <xf numFmtId="1" fontId="40" fillId="15" borderId="0" xfId="0" applyNumberFormat="1" applyFont="1" applyFill="1" applyAlignment="1" applyProtection="1">
      <alignment vertical="top" wrapText="1"/>
      <protection locked="0"/>
    </xf>
    <xf numFmtId="1" fontId="54" fillId="15" borderId="0" xfId="0" applyNumberFormat="1" applyFont="1" applyFill="1" applyProtection="1">
      <protection locked="0"/>
    </xf>
    <xf numFmtId="1" fontId="6" fillId="15" borderId="0" xfId="0" applyNumberFormat="1" applyFont="1" applyFill="1" applyAlignment="1" applyProtection="1">
      <alignment horizontal="left"/>
      <protection locked="0"/>
    </xf>
    <xf numFmtId="1" fontId="17" fillId="3" borderId="0" xfId="0" applyNumberFormat="1" applyFont="1" applyFill="1" applyAlignment="1" applyProtection="1">
      <alignment wrapText="1"/>
      <protection locked="0"/>
    </xf>
    <xf numFmtId="0" fontId="61" fillId="0" borderId="0" xfId="0" applyFont="1" applyProtection="1">
      <protection locked="0"/>
    </xf>
    <xf numFmtId="1" fontId="63" fillId="3" borderId="0" xfId="0" applyNumberFormat="1" applyFont="1" applyFill="1"/>
    <xf numFmtId="1" fontId="51" fillId="0" borderId="12" xfId="0" applyNumberFormat="1" applyFont="1" applyBorder="1" applyAlignment="1">
      <alignment horizontal="center" vertical="center"/>
    </xf>
    <xf numFmtId="1" fontId="51" fillId="0" borderId="6" xfId="0" applyNumberFormat="1" applyFont="1" applyBorder="1" applyAlignment="1">
      <alignment horizontal="center" vertical="center" wrapText="1"/>
    </xf>
    <xf numFmtId="1" fontId="0" fillId="24" borderId="0" xfId="0" applyNumberFormat="1" applyFill="1"/>
    <xf numFmtId="1" fontId="0" fillId="24" borderId="0" xfId="0" applyNumberFormat="1" applyFill="1" applyProtection="1">
      <protection locked="0"/>
    </xf>
    <xf numFmtId="0" fontId="51" fillId="0" borderId="25" xfId="0" applyFont="1" applyBorder="1" applyAlignment="1">
      <alignment horizontal="left" vertical="center" wrapText="1"/>
    </xf>
    <xf numFmtId="1" fontId="51" fillId="5" borderId="282" xfId="0" applyNumberFormat="1" applyFont="1" applyFill="1" applyBorder="1" applyProtection="1">
      <protection locked="0"/>
    </xf>
    <xf numFmtId="1" fontId="51" fillId="0" borderId="31" xfId="0" applyNumberFormat="1" applyFont="1" applyBorder="1"/>
    <xf numFmtId="1" fontId="51" fillId="0" borderId="40" xfId="0" applyNumberFormat="1" applyFont="1" applyBorder="1" applyAlignment="1">
      <alignment wrapText="1"/>
    </xf>
    <xf numFmtId="1" fontId="51" fillId="0" borderId="52" xfId="0" applyNumberFormat="1" applyFont="1" applyBorder="1"/>
    <xf numFmtId="1" fontId="51" fillId="0" borderId="37" xfId="0" applyNumberFormat="1" applyFont="1" applyBorder="1" applyAlignment="1">
      <alignment vertical="center" wrapText="1"/>
    </xf>
    <xf numFmtId="1" fontId="51" fillId="0" borderId="266" xfId="0" applyNumberFormat="1" applyFont="1" applyBorder="1" applyAlignment="1">
      <alignment horizontal="center" vertical="center" wrapText="1"/>
    </xf>
    <xf numFmtId="1" fontId="51" fillId="0" borderId="258" xfId="0" applyNumberFormat="1" applyFont="1" applyBorder="1" applyAlignment="1">
      <alignment horizontal="center" vertical="center" wrapText="1"/>
    </xf>
    <xf numFmtId="1" fontId="51" fillId="0" borderId="267" xfId="0" applyNumberFormat="1" applyFont="1" applyBorder="1" applyAlignment="1">
      <alignment horizontal="center" vertical="center" wrapText="1"/>
    </xf>
    <xf numFmtId="1" fontId="51" fillId="0" borderId="261" xfId="0" applyNumberFormat="1" applyFont="1" applyBorder="1" applyAlignment="1">
      <alignment horizontal="center" vertical="center" wrapText="1"/>
    </xf>
    <xf numFmtId="1" fontId="51" fillId="15" borderId="40" xfId="0" applyNumberFormat="1" applyFont="1" applyFill="1" applyBorder="1"/>
    <xf numFmtId="1" fontId="51" fillId="0" borderId="37" xfId="0" applyNumberFormat="1" applyFont="1" applyBorder="1" applyAlignment="1">
      <alignment wrapText="1"/>
    </xf>
    <xf numFmtId="1" fontId="51" fillId="15" borderId="24" xfId="0" applyNumberFormat="1" applyFont="1" applyFill="1" applyBorder="1"/>
    <xf numFmtId="1" fontId="51" fillId="3" borderId="40" xfId="0" applyNumberFormat="1" applyFont="1" applyFill="1" applyBorder="1" applyAlignment="1">
      <alignment horizontal="left" wrapText="1"/>
    </xf>
    <xf numFmtId="1" fontId="51" fillId="0" borderId="24" xfId="0" applyNumberFormat="1" applyFont="1" applyBorder="1" applyAlignment="1">
      <alignment horizontal="left" vertical="center"/>
    </xf>
    <xf numFmtId="1" fontId="51" fillId="0" borderId="25" xfId="0" applyNumberFormat="1" applyFont="1" applyBorder="1" applyAlignment="1">
      <alignment horizontal="left" vertical="center"/>
    </xf>
    <xf numFmtId="1" fontId="51" fillId="3" borderId="246" xfId="0" applyNumberFormat="1" applyFont="1" applyFill="1" applyBorder="1" applyAlignment="1">
      <alignment horizontal="center" vertical="center" wrapText="1"/>
    </xf>
    <xf numFmtId="1" fontId="51" fillId="3" borderId="242" xfId="0" applyNumberFormat="1" applyFont="1" applyFill="1" applyBorder="1" applyAlignment="1">
      <alignment horizontal="center" vertical="center" wrapText="1"/>
    </xf>
    <xf numFmtId="1" fontId="57" fillId="0" borderId="285" xfId="0" applyNumberFormat="1" applyFont="1" applyBorder="1" applyAlignment="1">
      <alignment horizontal="center" vertical="center" wrapText="1"/>
    </xf>
    <xf numFmtId="1" fontId="55" fillId="15" borderId="0" xfId="0" applyNumberFormat="1" applyFont="1" applyFill="1"/>
    <xf numFmtId="1" fontId="51" fillId="0" borderId="14" xfId="0" applyNumberFormat="1" applyFont="1" applyBorder="1" applyAlignment="1">
      <alignment horizontal="center" vertical="center" wrapText="1"/>
    </xf>
    <xf numFmtId="1" fontId="51" fillId="0" borderId="24" xfId="0" applyNumberFormat="1" applyFont="1" applyBorder="1" applyAlignment="1">
      <alignment horizontal="left" vertical="center" wrapText="1"/>
    </xf>
    <xf numFmtId="1" fontId="51" fillId="16" borderId="24" xfId="0" applyNumberFormat="1" applyFont="1" applyFill="1" applyBorder="1" applyProtection="1">
      <protection locked="0"/>
    </xf>
    <xf numFmtId="2" fontId="51" fillId="3" borderId="47" xfId="0" applyNumberFormat="1" applyFont="1" applyFill="1" applyBorder="1" applyAlignment="1">
      <alignment horizontal="center" vertical="center"/>
    </xf>
    <xf numFmtId="2" fontId="51" fillId="3" borderId="12" xfId="0" applyNumberFormat="1" applyFont="1" applyFill="1" applyBorder="1" applyAlignment="1">
      <alignment horizontal="center" vertical="center"/>
    </xf>
    <xf numFmtId="2" fontId="51" fillId="3" borderId="8" xfId="0" applyNumberFormat="1" applyFont="1" applyFill="1" applyBorder="1" applyAlignment="1">
      <alignment horizontal="center" vertical="center"/>
    </xf>
    <xf numFmtId="2" fontId="51" fillId="3" borderId="16" xfId="0" applyNumberFormat="1" applyFont="1" applyFill="1" applyBorder="1" applyAlignment="1">
      <alignment horizontal="center" vertical="center"/>
    </xf>
    <xf numFmtId="2" fontId="51" fillId="7" borderId="192" xfId="14" applyNumberFormat="1" applyFont="1" applyBorder="1" applyAlignment="1" applyProtection="1">
      <alignment horizontal="center" vertical="center"/>
      <protection locked="0"/>
    </xf>
    <xf numFmtId="2" fontId="51" fillId="7" borderId="194" xfId="14" applyNumberFormat="1" applyFont="1" applyBorder="1" applyAlignment="1" applyProtection="1">
      <alignment horizontal="center" vertical="center"/>
      <protection locked="0"/>
    </xf>
    <xf numFmtId="2" fontId="51" fillId="7" borderId="232" xfId="14" applyNumberFormat="1" applyFont="1" applyBorder="1" applyAlignment="1" applyProtection="1">
      <alignment horizontal="center" vertical="center"/>
      <protection locked="0"/>
    </xf>
    <xf numFmtId="2" fontId="51" fillId="7" borderId="231" xfId="14" applyNumberFormat="1" applyFont="1" applyBorder="1" applyAlignment="1" applyProtection="1">
      <alignment horizontal="center" vertical="center"/>
      <protection locked="0"/>
    </xf>
    <xf numFmtId="2" fontId="51" fillId="3" borderId="38" xfId="0" applyNumberFormat="1" applyFont="1" applyFill="1" applyBorder="1" applyAlignment="1">
      <alignment horizontal="center" vertical="center"/>
    </xf>
    <xf numFmtId="2" fontId="51" fillId="7" borderId="230" xfId="14" applyNumberFormat="1" applyFont="1" applyBorder="1" applyAlignment="1" applyProtection="1">
      <alignment horizontal="center" vertical="center"/>
      <protection locked="0"/>
    </xf>
    <xf numFmtId="2" fontId="51" fillId="7" borderId="205" xfId="14" applyNumberFormat="1" applyFont="1" applyAlignment="1" applyProtection="1">
      <alignment horizontal="center" vertical="center"/>
      <protection locked="0"/>
    </xf>
    <xf numFmtId="2" fontId="51" fillId="7" borderId="233" xfId="14" applyNumberFormat="1" applyFont="1" applyBorder="1" applyAlignment="1" applyProtection="1">
      <alignment horizontal="center" vertical="center"/>
      <protection locked="0"/>
    </xf>
    <xf numFmtId="2" fontId="51" fillId="7" borderId="128" xfId="14" applyNumberFormat="1" applyFont="1" applyBorder="1" applyAlignment="1" applyProtection="1">
      <alignment horizontal="center" vertical="center"/>
      <protection locked="0"/>
    </xf>
    <xf numFmtId="2" fontId="51" fillId="3" borderId="20" xfId="0" applyNumberFormat="1" applyFont="1" applyFill="1" applyBorder="1" applyAlignment="1">
      <alignment horizontal="center" vertical="center"/>
    </xf>
    <xf numFmtId="2" fontId="51" fillId="7" borderId="189" xfId="14" applyNumberFormat="1" applyFont="1" applyBorder="1" applyAlignment="1" applyProtection="1">
      <alignment horizontal="center" vertical="center"/>
      <protection locked="0"/>
    </xf>
    <xf numFmtId="2" fontId="51" fillId="7" borderId="73" xfId="14" applyNumberFormat="1" applyFont="1" applyBorder="1" applyAlignment="1" applyProtection="1">
      <alignment horizontal="center" vertical="center"/>
      <protection locked="0"/>
    </xf>
    <xf numFmtId="2" fontId="51" fillId="7" borderId="234" xfId="14" applyNumberFormat="1" applyFont="1" applyBorder="1" applyAlignment="1" applyProtection="1">
      <alignment horizontal="center" vertical="center"/>
      <protection locked="0"/>
    </xf>
    <xf numFmtId="2" fontId="51" fillId="7" borderId="141" xfId="14" applyNumberFormat="1" applyFont="1" applyBorder="1" applyAlignment="1" applyProtection="1">
      <alignment horizontal="center" vertical="center"/>
      <protection locked="0"/>
    </xf>
    <xf numFmtId="1" fontId="51" fillId="0" borderId="268" xfId="0" applyNumberFormat="1" applyFont="1" applyBorder="1" applyAlignment="1">
      <alignment horizontal="center" vertical="center" wrapText="1"/>
    </xf>
    <xf numFmtId="1" fontId="51" fillId="0" borderId="38" xfId="0" applyNumberFormat="1" applyFont="1" applyBorder="1"/>
    <xf numFmtId="1" fontId="51" fillId="0" borderId="63" xfId="0" applyNumberFormat="1" applyFont="1" applyBorder="1"/>
    <xf numFmtId="1" fontId="51" fillId="0" borderId="37" xfId="0" applyNumberFormat="1" applyFont="1" applyBorder="1" applyAlignment="1">
      <alignment horizontal="center" vertical="center" wrapText="1"/>
    </xf>
    <xf numFmtId="1" fontId="51" fillId="0" borderId="35" xfId="0" applyNumberFormat="1" applyFont="1" applyBorder="1"/>
    <xf numFmtId="1" fontId="57" fillId="0" borderId="47" xfId="0" applyNumberFormat="1" applyFont="1" applyBorder="1" applyAlignment="1">
      <alignment horizontal="center" vertical="center" wrapText="1"/>
    </xf>
    <xf numFmtId="1" fontId="57" fillId="0" borderId="13" xfId="0" applyNumberFormat="1" applyFont="1" applyBorder="1" applyAlignment="1">
      <alignment horizontal="center" vertical="center" wrapText="1"/>
    </xf>
    <xf numFmtId="1" fontId="65" fillId="0" borderId="269" xfId="0" applyNumberFormat="1" applyFont="1" applyBorder="1" applyAlignment="1">
      <alignment horizontal="center" vertical="center" wrapText="1"/>
    </xf>
    <xf numFmtId="1" fontId="65" fillId="0" borderId="0" xfId="0" applyNumberFormat="1" applyFont="1" applyAlignment="1">
      <alignment horizontal="center" vertical="center" wrapText="1"/>
    </xf>
    <xf numFmtId="1" fontId="65" fillId="0" borderId="50" xfId="0" applyNumberFormat="1" applyFont="1" applyBorder="1" applyAlignment="1">
      <alignment horizontal="center" vertical="center" wrapText="1"/>
    </xf>
    <xf numFmtId="1" fontId="65" fillId="3" borderId="50" xfId="0" applyNumberFormat="1" applyFont="1" applyFill="1" applyBorder="1" applyAlignment="1" applyProtection="1">
      <alignment horizontal="center" vertical="center" wrapText="1"/>
      <protection hidden="1"/>
    </xf>
    <xf numFmtId="1" fontId="51" fillId="3" borderId="0" xfId="0" applyNumberFormat="1" applyFont="1" applyFill="1" applyProtection="1">
      <protection hidden="1"/>
    </xf>
    <xf numFmtId="1" fontId="60" fillId="3" borderId="0" xfId="0" applyNumberFormat="1" applyFont="1" applyFill="1" applyAlignment="1">
      <alignment horizontal="left"/>
    </xf>
    <xf numFmtId="1" fontId="51" fillId="0" borderId="113" xfId="0" applyNumberFormat="1" applyFont="1" applyBorder="1" applyAlignment="1">
      <alignment horizontal="center" vertical="center"/>
    </xf>
    <xf numFmtId="1" fontId="51" fillId="5" borderId="23" xfId="0" applyNumberFormat="1" applyFont="1" applyFill="1" applyBorder="1" applyProtection="1">
      <protection locked="0"/>
    </xf>
    <xf numFmtId="1" fontId="55" fillId="3" borderId="99" xfId="0" applyNumberFormat="1" applyFont="1" applyFill="1" applyBorder="1"/>
    <xf numFmtId="1" fontId="6" fillId="0" borderId="77" xfId="0" applyNumberFormat="1" applyFont="1" applyBorder="1"/>
    <xf numFmtId="1" fontId="6" fillId="0" borderId="299" xfId="0" applyNumberFormat="1" applyFont="1" applyBorder="1" applyAlignment="1">
      <alignment horizontal="center" vertical="center" wrapText="1"/>
    </xf>
    <xf numFmtId="1" fontId="51" fillId="0" borderId="243" xfId="0" applyNumberFormat="1" applyFont="1" applyBorder="1" applyAlignment="1">
      <alignment horizontal="center" vertical="center" wrapText="1"/>
    </xf>
    <xf numFmtId="1" fontId="51" fillId="0" borderId="307" xfId="0" applyNumberFormat="1" applyFont="1" applyBorder="1" applyAlignment="1">
      <alignment horizontal="center" vertical="center" wrapText="1"/>
    </xf>
    <xf numFmtId="1" fontId="51" fillId="0" borderId="81" xfId="0" applyNumberFormat="1" applyFont="1" applyBorder="1" applyAlignment="1">
      <alignment horizontal="center" vertical="center" wrapText="1"/>
    </xf>
    <xf numFmtId="1" fontId="6" fillId="0" borderId="314" xfId="0" applyNumberFormat="1" applyFont="1" applyBorder="1" applyAlignment="1">
      <alignment horizontal="center" vertical="center" wrapText="1"/>
    </xf>
    <xf numFmtId="1" fontId="6" fillId="0" borderId="0" xfId="0" applyNumberFormat="1" applyFont="1" applyBorder="1"/>
    <xf numFmtId="1" fontId="6" fillId="3" borderId="317" xfId="0" applyNumberFormat="1" applyFont="1" applyFill="1" applyBorder="1"/>
    <xf numFmtId="1" fontId="6" fillId="0" borderId="317" xfId="0" applyNumberFormat="1" applyFont="1" applyBorder="1"/>
    <xf numFmtId="1" fontId="6" fillId="0" borderId="9" xfId="0" applyNumberFormat="1" applyFont="1" applyBorder="1" applyAlignment="1">
      <alignment horizontal="center" vertical="center"/>
    </xf>
    <xf numFmtId="1" fontId="6" fillId="0" borderId="282" xfId="0" applyNumberFormat="1" applyFont="1" applyBorder="1" applyAlignment="1">
      <alignment vertical="center" wrapText="1"/>
    </xf>
    <xf numFmtId="1" fontId="6" fillId="0" borderId="37" xfId="0" applyNumberFormat="1" applyFont="1" applyBorder="1" applyAlignment="1">
      <alignment vertical="center" wrapText="1"/>
    </xf>
    <xf numFmtId="1" fontId="6" fillId="0" borderId="24" xfId="0" applyNumberFormat="1" applyFont="1" applyBorder="1" applyAlignment="1">
      <alignment vertical="center" wrapText="1"/>
    </xf>
    <xf numFmtId="1" fontId="6" fillId="0" borderId="31" xfId="0" applyNumberFormat="1" applyFont="1" applyBorder="1" applyAlignment="1">
      <alignment vertical="center" wrapText="1"/>
    </xf>
    <xf numFmtId="1" fontId="6" fillId="0" borderId="37" xfId="6" applyNumberFormat="1" applyFont="1" applyBorder="1" applyAlignment="1">
      <alignment horizontal="left" vertical="center" wrapText="1"/>
    </xf>
    <xf numFmtId="1" fontId="6" fillId="0" borderId="36" xfId="0" applyNumberFormat="1" applyFont="1" applyBorder="1" applyAlignment="1">
      <alignment vertical="center" wrapText="1"/>
    </xf>
    <xf numFmtId="1" fontId="6" fillId="0" borderId="88" xfId="6" applyNumberFormat="1" applyFont="1" applyBorder="1" applyAlignment="1">
      <alignment horizontal="left" vertical="center" wrapText="1"/>
    </xf>
    <xf numFmtId="1" fontId="6" fillId="0" borderId="85" xfId="6" applyNumberFormat="1" applyFont="1" applyBorder="1" applyAlignment="1">
      <alignment horizontal="left" vertical="center" wrapText="1"/>
    </xf>
    <xf numFmtId="1" fontId="6" fillId="0" borderId="87" xfId="6" applyNumberFormat="1" applyFont="1" applyBorder="1" applyAlignment="1">
      <alignment horizontal="left" vertical="center" wrapText="1"/>
    </xf>
    <xf numFmtId="1" fontId="6" fillId="25" borderId="38" xfId="0" applyNumberFormat="1" applyFont="1" applyFill="1" applyBorder="1" applyProtection="1">
      <protection locked="0"/>
    </xf>
    <xf numFmtId="1" fontId="6" fillId="25" borderId="55" xfId="0" applyNumberFormat="1" applyFont="1" applyFill="1" applyBorder="1" applyProtection="1">
      <protection locked="0"/>
    </xf>
    <xf numFmtId="1" fontId="6" fillId="25" borderId="63" xfId="0" applyNumberFormat="1" applyFont="1" applyFill="1" applyBorder="1" applyProtection="1">
      <protection locked="0"/>
    </xf>
    <xf numFmtId="1" fontId="51" fillId="0" borderId="201" xfId="0" applyNumberFormat="1" applyFont="1" applyBorder="1" applyAlignment="1">
      <alignment horizontal="center" vertical="center" wrapText="1"/>
    </xf>
    <xf numFmtId="1" fontId="6" fillId="15" borderId="319" xfId="0" applyNumberFormat="1" applyFont="1" applyFill="1" applyBorder="1"/>
    <xf numFmtId="1" fontId="26" fillId="3" borderId="0" xfId="0" applyNumberFormat="1" applyFont="1" applyFill="1" applyBorder="1"/>
    <xf numFmtId="1" fontId="3" fillId="0" borderId="320" xfId="0" applyNumberFormat="1" applyFont="1" applyBorder="1"/>
    <xf numFmtId="1" fontId="3" fillId="0" borderId="321" xfId="0" applyNumberFormat="1" applyFont="1" applyBorder="1"/>
    <xf numFmtId="1" fontId="3" fillId="0" borderId="131" xfId="0" applyNumberFormat="1" applyFont="1" applyBorder="1"/>
    <xf numFmtId="1" fontId="3" fillId="0" borderId="99" xfId="0" applyNumberFormat="1" applyFont="1" applyBorder="1"/>
    <xf numFmtId="1" fontId="6" fillId="0" borderId="323" xfId="0" applyNumberFormat="1" applyFont="1" applyBorder="1"/>
    <xf numFmtId="1" fontId="26" fillId="3" borderId="324" xfId="0" applyNumberFormat="1" applyFont="1" applyFill="1" applyBorder="1"/>
    <xf numFmtId="1" fontId="6" fillId="3" borderId="0" xfId="0" applyNumberFormat="1" applyFont="1" applyFill="1" applyBorder="1"/>
    <xf numFmtId="1" fontId="4" fillId="0" borderId="325" xfId="0" applyNumberFormat="1" applyFont="1" applyBorder="1"/>
    <xf numFmtId="1" fontId="26" fillId="0" borderId="326" xfId="0" applyNumberFormat="1" applyFont="1" applyBorder="1"/>
    <xf numFmtId="1" fontId="26" fillId="3" borderId="326" xfId="0" applyNumberFormat="1" applyFont="1" applyFill="1" applyBorder="1"/>
    <xf numFmtId="1" fontId="6" fillId="0" borderId="95" xfId="0" applyNumberFormat="1" applyFont="1" applyBorder="1" applyAlignment="1">
      <alignment horizontal="center" vertical="center"/>
    </xf>
    <xf numFmtId="1" fontId="6" fillId="5" borderId="229" xfId="0" applyNumberFormat="1" applyFont="1" applyFill="1" applyBorder="1" applyProtection="1">
      <protection locked="0"/>
    </xf>
    <xf numFmtId="1" fontId="6" fillId="5" borderId="330" xfId="0" applyNumberFormat="1" applyFont="1" applyFill="1" applyBorder="1" applyProtection="1">
      <protection locked="0"/>
    </xf>
    <xf numFmtId="1" fontId="6" fillId="5" borderId="152" xfId="0" applyNumberFormat="1" applyFont="1" applyFill="1" applyBorder="1" applyProtection="1">
      <protection locked="0"/>
    </xf>
    <xf numFmtId="1" fontId="5" fillId="0" borderId="14" xfId="0" applyNumberFormat="1" applyFont="1" applyBorder="1" applyProtection="1">
      <protection hidden="1"/>
    </xf>
    <xf numFmtId="1" fontId="6" fillId="0" borderId="259" xfId="0" applyNumberFormat="1" applyFont="1" applyFill="1" applyBorder="1" applyAlignment="1" applyProtection="1">
      <alignment horizontal="left" wrapText="1"/>
      <protection hidden="1"/>
    </xf>
    <xf numFmtId="1" fontId="6" fillId="0" borderId="37" xfId="0" applyNumberFormat="1" applyFont="1" applyFill="1" applyBorder="1" applyAlignment="1" applyProtection="1">
      <alignment horizontal="left" wrapText="1"/>
      <protection hidden="1"/>
    </xf>
    <xf numFmtId="1" fontId="6" fillId="0" borderId="24" xfId="0" applyNumberFormat="1" applyFont="1" applyFill="1" applyBorder="1" applyAlignment="1" applyProtection="1">
      <alignment horizontal="left" wrapText="1"/>
      <protection hidden="1"/>
    </xf>
    <xf numFmtId="1" fontId="6" fillId="0" borderId="282" xfId="0" applyNumberFormat="1" applyFont="1" applyFill="1" applyBorder="1" applyAlignment="1" applyProtection="1">
      <alignment horizontal="left" wrapText="1"/>
      <protection hidden="1"/>
    </xf>
    <xf numFmtId="1" fontId="6" fillId="0" borderId="151" xfId="0" applyNumberFormat="1" applyFont="1" applyFill="1" applyBorder="1" applyAlignment="1" applyProtection="1">
      <alignment horizontal="left" wrapText="1"/>
      <protection hidden="1"/>
    </xf>
    <xf numFmtId="1" fontId="6" fillId="0" borderId="31" xfId="0" applyNumberFormat="1" applyFont="1" applyFill="1" applyBorder="1" applyAlignment="1" applyProtection="1">
      <alignment horizontal="left" wrapText="1"/>
      <protection hidden="1"/>
    </xf>
    <xf numFmtId="1" fontId="6" fillId="0" borderId="167" xfId="0" applyNumberFormat="1" applyFont="1" applyBorder="1" applyAlignment="1" applyProtection="1">
      <alignment wrapText="1"/>
      <protection locked="0"/>
    </xf>
    <xf numFmtId="1" fontId="3" fillId="15" borderId="0" xfId="0" applyNumberFormat="1" applyFont="1" applyFill="1" applyProtection="1">
      <protection locked="0"/>
    </xf>
    <xf numFmtId="1" fontId="3" fillId="15" borderId="172" xfId="0" applyNumberFormat="1" applyFont="1" applyFill="1" applyBorder="1" applyProtection="1">
      <protection locked="0"/>
    </xf>
    <xf numFmtId="1" fontId="6" fillId="0" borderId="163" xfId="0" applyNumberFormat="1" applyFont="1" applyBorder="1" applyProtection="1">
      <protection locked="0"/>
    </xf>
    <xf numFmtId="1" fontId="10" fillId="3" borderId="0" xfId="0" applyNumberFormat="1" applyFont="1" applyFill="1" applyAlignment="1" applyProtection="1">
      <alignment wrapText="1"/>
      <protection locked="0"/>
    </xf>
    <xf numFmtId="1" fontId="17" fillId="15" borderId="174" xfId="0" applyNumberFormat="1" applyFont="1" applyFill="1" applyBorder="1" applyProtection="1">
      <protection locked="0"/>
    </xf>
    <xf numFmtId="1" fontId="17" fillId="15" borderId="0" xfId="0" applyNumberFormat="1" applyFont="1" applyFill="1" applyProtection="1">
      <protection locked="0"/>
    </xf>
    <xf numFmtId="1" fontId="40" fillId="0" borderId="13" xfId="0" applyNumberFormat="1" applyFont="1" applyBorder="1" applyAlignment="1">
      <alignment horizontal="center" vertical="center" wrapText="1"/>
    </xf>
    <xf numFmtId="1" fontId="40" fillId="0" borderId="26" xfId="0" applyNumberFormat="1" applyFont="1" applyBorder="1" applyProtection="1">
      <protection locked="0"/>
    </xf>
    <xf numFmtId="1" fontId="40" fillId="0" borderId="25" xfId="0" applyNumberFormat="1" applyFont="1" applyBorder="1"/>
    <xf numFmtId="1" fontId="40" fillId="3" borderId="13" xfId="0" applyNumberFormat="1" applyFont="1" applyFill="1" applyBorder="1" applyAlignment="1">
      <alignment horizontal="center" vertical="center" wrapText="1"/>
    </xf>
    <xf numFmtId="1" fontId="63" fillId="0" borderId="0" xfId="0" applyNumberFormat="1" applyFont="1"/>
    <xf numFmtId="1" fontId="6" fillId="0" borderId="304" xfId="0" applyNumberFormat="1" applyFont="1" applyBorder="1" applyAlignment="1">
      <alignment horizontal="center" vertical="center" wrapText="1"/>
    </xf>
    <xf numFmtId="1" fontId="6" fillId="0" borderId="287" xfId="0" applyNumberFormat="1" applyFont="1" applyBorder="1" applyAlignment="1">
      <alignment horizontal="center" vertical="center" wrapText="1"/>
    </xf>
    <xf numFmtId="1" fontId="40" fillId="0" borderId="40" xfId="0" applyNumberFormat="1" applyFont="1" applyBorder="1" applyAlignment="1">
      <alignment vertical="center" wrapText="1"/>
    </xf>
    <xf numFmtId="1" fontId="40" fillId="3" borderId="37" xfId="0" applyNumberFormat="1" applyFont="1" applyFill="1" applyBorder="1"/>
    <xf numFmtId="1" fontId="40" fillId="0" borderId="37" xfId="0" applyNumberFormat="1" applyFont="1" applyBorder="1"/>
    <xf numFmtId="1" fontId="6" fillId="0" borderId="307" xfId="0" applyNumberFormat="1" applyFont="1" applyBorder="1" applyAlignment="1">
      <alignment horizontal="center" vertical="center" wrapText="1"/>
    </xf>
    <xf numFmtId="1" fontId="51" fillId="0" borderId="309" xfId="0" applyNumberFormat="1" applyFont="1" applyBorder="1" applyAlignment="1">
      <alignment horizontal="center" vertical="center" wrapText="1"/>
    </xf>
    <xf numFmtId="1" fontId="40" fillId="15" borderId="40" xfId="0" applyNumberFormat="1" applyFont="1" applyFill="1" applyBorder="1" applyAlignment="1">
      <alignment vertical="center" wrapText="1"/>
    </xf>
    <xf numFmtId="1" fontId="40" fillId="3" borderId="40" xfId="0" applyNumberFormat="1" applyFont="1" applyFill="1" applyBorder="1" applyAlignment="1">
      <alignment horizontal="left" wrapText="1"/>
    </xf>
    <xf numFmtId="1" fontId="51" fillId="0" borderId="314" xfId="0" applyNumberFormat="1" applyFont="1" applyBorder="1" applyAlignment="1">
      <alignment horizontal="center" vertical="center" wrapText="1"/>
    </xf>
    <xf numFmtId="1" fontId="40" fillId="0" borderId="47" xfId="0" applyNumberFormat="1" applyFont="1" applyBorder="1" applyAlignment="1">
      <alignment horizontal="center" vertical="center" wrapText="1"/>
    </xf>
    <xf numFmtId="1" fontId="70" fillId="3" borderId="275" xfId="0" applyNumberFormat="1" applyFont="1" applyFill="1" applyBorder="1" applyProtection="1">
      <protection hidden="1"/>
    </xf>
    <xf numFmtId="1" fontId="40" fillId="3" borderId="275" xfId="0" applyNumberFormat="1" applyFont="1" applyFill="1" applyBorder="1" applyProtection="1">
      <protection hidden="1"/>
    </xf>
    <xf numFmtId="1" fontId="6" fillId="0" borderId="104" xfId="0" applyNumberFormat="1" applyFont="1" applyBorder="1" applyAlignment="1">
      <alignment horizontal="center" vertical="center" wrapText="1"/>
    </xf>
    <xf numFmtId="1" fontId="6" fillId="0" borderId="260" xfId="13" applyNumberFormat="1" applyFont="1" applyBorder="1" applyAlignment="1">
      <alignment horizontal="center" vertical="center" wrapText="1"/>
    </xf>
    <xf numFmtId="1" fontId="2" fillId="3" borderId="0" xfId="0" applyNumberFormat="1" applyFont="1" applyFill="1" applyAlignment="1">
      <alignment horizontal="center" vertical="center" wrapText="1"/>
    </xf>
    <xf numFmtId="1" fontId="6" fillId="0" borderId="51" xfId="0" applyNumberFormat="1" applyFont="1" applyBorder="1" applyAlignment="1">
      <alignment vertical="center" wrapText="1"/>
    </xf>
    <xf numFmtId="1" fontId="6" fillId="0" borderId="21" xfId="0" applyNumberFormat="1" applyFont="1" applyBorder="1" applyAlignment="1">
      <alignment vertical="center" wrapText="1"/>
    </xf>
    <xf numFmtId="1" fontId="6" fillId="0" borderId="37" xfId="0" applyNumberFormat="1" applyFont="1" applyBorder="1" applyAlignment="1">
      <alignment horizontal="left"/>
    </xf>
    <xf numFmtId="1" fontId="6" fillId="0" borderId="24" xfId="0" applyNumberFormat="1" applyFont="1" applyBorder="1" applyAlignment="1">
      <alignment horizontal="left"/>
    </xf>
    <xf numFmtId="1" fontId="4" fillId="3" borderId="0" xfId="0" applyNumberFormat="1" applyFont="1" applyFill="1" applyAlignment="1">
      <alignment wrapText="1"/>
    </xf>
    <xf numFmtId="1" fontId="6" fillId="0" borderId="19" xfId="0" applyNumberFormat="1" applyFont="1" applyBorder="1" applyAlignment="1">
      <alignment horizontal="left" vertical="center"/>
    </xf>
    <xf numFmtId="1" fontId="6" fillId="0" borderId="47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306" xfId="0" applyNumberFormat="1" applyFont="1" applyBorder="1" applyAlignment="1">
      <alignment horizontal="center" vertical="center" wrapText="1"/>
    </xf>
    <xf numFmtId="1" fontId="6" fillId="0" borderId="324" xfId="0" applyNumberFormat="1" applyFont="1" applyBorder="1" applyAlignment="1">
      <alignment horizontal="center" vertical="center" wrapText="1"/>
    </xf>
    <xf numFmtId="1" fontId="51" fillId="0" borderId="309" xfId="0" applyNumberFormat="1" applyFont="1" applyBorder="1" applyAlignment="1">
      <alignment horizontal="center" vertical="center" wrapText="1"/>
    </xf>
    <xf numFmtId="1" fontId="6" fillId="0" borderId="47" xfId="0" applyNumberFormat="1" applyFont="1" applyBorder="1" applyAlignment="1">
      <alignment horizontal="center" vertical="center" wrapText="1"/>
    </xf>
    <xf numFmtId="1" fontId="6" fillId="0" borderId="309" xfId="0" applyNumberFormat="1" applyFont="1" applyBorder="1" applyAlignment="1">
      <alignment horizontal="center" vertical="center" wrapText="1"/>
    </xf>
    <xf numFmtId="1" fontId="55" fillId="0" borderId="0" xfId="0" applyNumberFormat="1" applyFont="1"/>
    <xf numFmtId="1" fontId="51" fillId="0" borderId="0" xfId="0" applyNumberFormat="1" applyFont="1"/>
    <xf numFmtId="1" fontId="6" fillId="0" borderId="39" xfId="0" applyNumberFormat="1" applyFont="1" applyBorder="1" applyAlignment="1">
      <alignment horizontal="left" vertical="center"/>
    </xf>
    <xf numFmtId="1" fontId="6" fillId="0" borderId="243" xfId="0" applyNumberFormat="1" applyFont="1" applyBorder="1" applyAlignment="1">
      <alignment horizontal="center" vertical="center" wrapText="1"/>
    </xf>
    <xf numFmtId="1" fontId="51" fillId="0" borderId="51" xfId="0" applyNumberFormat="1" applyFont="1" applyBorder="1" applyAlignment="1">
      <alignment horizontal="left" vertical="center"/>
    </xf>
    <xf numFmtId="1" fontId="6" fillId="0" borderId="260" xfId="0" applyNumberFormat="1" applyFont="1" applyBorder="1" applyAlignment="1">
      <alignment horizontal="center" vertical="center"/>
    </xf>
    <xf numFmtId="1" fontId="6" fillId="5" borderId="335" xfId="0" applyNumberFormat="1" applyFont="1" applyFill="1" applyBorder="1" applyProtection="1">
      <protection locked="0"/>
    </xf>
    <xf numFmtId="1" fontId="6" fillId="13" borderId="20" xfId="0" applyNumberFormat="1" applyFont="1" applyFill="1" applyBorder="1"/>
    <xf numFmtId="1" fontId="6" fillId="0" borderId="335" xfId="0" applyNumberFormat="1" applyFont="1" applyBorder="1" applyAlignment="1">
      <alignment horizontal="center" vertical="center" wrapText="1"/>
    </xf>
    <xf numFmtId="1" fontId="6" fillId="0" borderId="260" xfId="0" applyNumberFormat="1" applyFont="1" applyBorder="1" applyAlignment="1">
      <alignment horizontal="center" vertical="center" wrapText="1"/>
    </xf>
    <xf numFmtId="1" fontId="51" fillId="0" borderId="339" xfId="0" applyNumberFormat="1" applyFont="1" applyBorder="1" applyAlignment="1">
      <alignment horizontal="center" vertical="center"/>
    </xf>
    <xf numFmtId="1" fontId="26" fillId="3" borderId="340" xfId="0" applyNumberFormat="1" applyFont="1" applyFill="1" applyBorder="1"/>
    <xf numFmtId="1" fontId="21" fillId="0" borderId="340" xfId="0" applyNumberFormat="1" applyFont="1" applyBorder="1"/>
    <xf numFmtId="1" fontId="68" fillId="3" borderId="266" xfId="0" applyNumberFormat="1" applyFont="1" applyFill="1" applyBorder="1" applyAlignment="1">
      <alignment horizontal="center" vertical="center" wrapText="1"/>
    </xf>
    <xf numFmtId="1" fontId="68" fillId="3" borderId="12" xfId="0" applyNumberFormat="1" applyFont="1" applyFill="1" applyBorder="1" applyAlignment="1">
      <alignment horizontal="center" vertical="center" wrapText="1"/>
    </xf>
    <xf numFmtId="1" fontId="68" fillId="3" borderId="307" xfId="0" applyNumberFormat="1" applyFont="1" applyFill="1" applyBorder="1" applyAlignment="1">
      <alignment horizontal="center" vertical="center" wrapText="1"/>
    </xf>
    <xf numFmtId="2" fontId="68" fillId="3" borderId="266" xfId="0" applyNumberFormat="1" applyFont="1" applyFill="1" applyBorder="1" applyAlignment="1">
      <alignment horizontal="center" vertical="center"/>
    </xf>
    <xf numFmtId="1" fontId="52" fillId="3" borderId="0" xfId="0" applyNumberFormat="1" applyFont="1" applyFill="1" applyProtection="1">
      <protection locked="0"/>
    </xf>
    <xf numFmtId="1" fontId="52" fillId="18" borderId="0" xfId="0" applyNumberFormat="1" applyFont="1" applyFill="1" applyProtection="1">
      <protection locked="0"/>
    </xf>
    <xf numFmtId="1" fontId="2" fillId="3" borderId="0" xfId="0" applyNumberFormat="1" applyFont="1" applyFill="1" applyAlignment="1">
      <alignment horizontal="center"/>
    </xf>
    <xf numFmtId="1" fontId="55" fillId="3" borderId="340" xfId="0" applyNumberFormat="1" applyFont="1" applyFill="1" applyBorder="1"/>
    <xf numFmtId="1" fontId="0" fillId="20" borderId="0" xfId="0" applyNumberFormat="1" applyFill="1" applyProtection="1">
      <protection locked="0"/>
    </xf>
    <xf numFmtId="1" fontId="6" fillId="0" borderId="336" xfId="0" applyNumberFormat="1" applyFont="1" applyBorder="1" applyAlignment="1">
      <alignment horizontal="center" vertical="center" wrapText="1"/>
    </xf>
    <xf numFmtId="1" fontId="6" fillId="0" borderId="290" xfId="0" applyNumberFormat="1" applyFont="1" applyBorder="1" applyAlignment="1">
      <alignment horizontal="center" vertical="center" wrapText="1"/>
    </xf>
    <xf numFmtId="1" fontId="6" fillId="0" borderId="346" xfId="0" applyNumberFormat="1" applyFont="1" applyBorder="1" applyAlignment="1">
      <alignment horizontal="center" vertical="center" wrapText="1"/>
    </xf>
    <xf numFmtId="1" fontId="6" fillId="0" borderId="254" xfId="0" applyNumberFormat="1" applyFont="1" applyBorder="1" applyAlignment="1">
      <alignment horizontal="center" vertical="center" wrapText="1"/>
    </xf>
    <xf numFmtId="1" fontId="6" fillId="0" borderId="296" xfId="0" applyNumberFormat="1" applyFont="1" applyBorder="1"/>
    <xf numFmtId="1" fontId="6" fillId="5" borderId="301" xfId="0" applyNumberFormat="1" applyFont="1" applyFill="1" applyBorder="1" applyProtection="1">
      <protection locked="0"/>
    </xf>
    <xf numFmtId="1" fontId="6" fillId="5" borderId="336" xfId="0" applyNumberFormat="1" applyFont="1" applyFill="1" applyBorder="1" applyProtection="1">
      <protection locked="0"/>
    </xf>
    <xf numFmtId="1" fontId="6" fillId="4" borderId="346" xfId="0" applyNumberFormat="1" applyFont="1" applyFill="1" applyBorder="1"/>
    <xf numFmtId="1" fontId="6" fillId="4" borderId="347" xfId="0" applyNumberFormat="1" applyFont="1" applyFill="1" applyBorder="1"/>
    <xf numFmtId="1" fontId="6" fillId="4" borderId="336" xfId="0" applyNumberFormat="1" applyFont="1" applyFill="1" applyBorder="1"/>
    <xf numFmtId="1" fontId="6" fillId="4" borderId="298" xfId="0" applyNumberFormat="1" applyFont="1" applyFill="1" applyBorder="1"/>
    <xf numFmtId="1" fontId="6" fillId="4" borderId="284" xfId="0" applyNumberFormat="1" applyFont="1" applyFill="1" applyBorder="1"/>
    <xf numFmtId="1" fontId="6" fillId="4" borderId="254" xfId="0" applyNumberFormat="1" applyFont="1" applyFill="1" applyBorder="1"/>
    <xf numFmtId="1" fontId="6" fillId="4" borderId="335" xfId="0" applyNumberFormat="1" applyFont="1" applyFill="1" applyBorder="1"/>
    <xf numFmtId="1" fontId="51" fillId="0" borderId="282" xfId="0" applyNumberFormat="1" applyFont="1" applyBorder="1" applyAlignment="1">
      <alignment vertical="center"/>
    </xf>
    <xf numFmtId="1" fontId="0" fillId="18" borderId="0" xfId="0" applyNumberFormat="1" applyFill="1"/>
    <xf numFmtId="1" fontId="0" fillId="20" borderId="0" xfId="0" applyNumberFormat="1" applyFill="1"/>
    <xf numFmtId="1" fontId="51" fillId="0" borderId="37" xfId="0" applyNumberFormat="1" applyFont="1" applyBorder="1" applyAlignment="1">
      <alignment horizontal="left" vertical="center"/>
    </xf>
    <xf numFmtId="1" fontId="51" fillId="0" borderId="339" xfId="0" applyNumberFormat="1" applyFont="1" applyBorder="1" applyAlignment="1">
      <alignment horizontal="left" vertical="center"/>
    </xf>
    <xf numFmtId="1" fontId="6" fillId="0" borderId="339" xfId="0" applyNumberFormat="1" applyFont="1" applyBorder="1"/>
    <xf numFmtId="1" fontId="6" fillId="5" borderId="342" xfId="0" applyNumberFormat="1" applyFont="1" applyFill="1" applyBorder="1" applyProtection="1">
      <protection locked="0"/>
    </xf>
    <xf numFmtId="1" fontId="6" fillId="4" borderId="60" xfId="0" applyNumberFormat="1" applyFont="1" applyFill="1" applyBorder="1"/>
    <xf numFmtId="1" fontId="6" fillId="0" borderId="335" xfId="0" applyNumberFormat="1" applyFont="1" applyBorder="1" applyAlignment="1">
      <alignment horizontal="left" vertical="center"/>
    </xf>
    <xf numFmtId="1" fontId="6" fillId="4" borderId="272" xfId="0" applyNumberFormat="1" applyFont="1" applyFill="1" applyBorder="1"/>
    <xf numFmtId="1" fontId="6" fillId="4" borderId="89" xfId="0" applyNumberFormat="1" applyFont="1" applyFill="1" applyBorder="1"/>
    <xf numFmtId="1" fontId="6" fillId="4" borderId="61" xfId="0" applyNumberFormat="1" applyFont="1" applyFill="1" applyBorder="1"/>
    <xf numFmtId="1" fontId="6" fillId="4" borderId="147" xfId="0" applyNumberFormat="1" applyFont="1" applyFill="1" applyBorder="1"/>
    <xf numFmtId="1" fontId="6" fillId="4" borderId="129" xfId="0" applyNumberFormat="1" applyFont="1" applyFill="1" applyBorder="1"/>
    <xf numFmtId="1" fontId="6" fillId="4" borderId="282" xfId="0" applyNumberFormat="1" applyFont="1" applyFill="1" applyBorder="1"/>
    <xf numFmtId="1" fontId="6" fillId="4" borderId="59" xfId="0" applyNumberFormat="1" applyFont="1" applyFill="1" applyBorder="1"/>
    <xf numFmtId="1" fontId="6" fillId="0" borderId="339" xfId="0" applyNumberFormat="1" applyFont="1" applyBorder="1" applyAlignment="1">
      <alignment horizontal="left" vertical="center"/>
    </xf>
    <xf numFmtId="1" fontId="6" fillId="0" borderId="283" xfId="0" applyNumberFormat="1" applyFont="1" applyBorder="1" applyAlignment="1">
      <alignment horizontal="left" wrapText="1"/>
    </xf>
    <xf numFmtId="1" fontId="6" fillId="3" borderId="85" xfId="0" applyNumberFormat="1" applyFont="1" applyFill="1" applyBorder="1" applyAlignment="1">
      <alignment horizontal="left" wrapText="1"/>
    </xf>
    <xf numFmtId="1" fontId="6" fillId="0" borderId="86" xfId="0" applyNumberFormat="1" applyFont="1" applyBorder="1" applyAlignment="1">
      <alignment horizontal="left" wrapText="1"/>
    </xf>
    <xf numFmtId="1" fontId="6" fillId="4" borderId="148" xfId="0" applyNumberFormat="1" applyFont="1" applyFill="1" applyBorder="1"/>
    <xf numFmtId="1" fontId="6" fillId="4" borderId="130" xfId="0" applyNumberFormat="1" applyFont="1" applyFill="1" applyBorder="1"/>
    <xf numFmtId="1" fontId="6" fillId="4" borderId="342" xfId="0" applyNumberFormat="1" applyFont="1" applyFill="1" applyBorder="1"/>
    <xf numFmtId="1" fontId="6" fillId="0" borderId="260" xfId="0" applyNumberFormat="1" applyFont="1" applyBorder="1"/>
    <xf numFmtId="1" fontId="6" fillId="0" borderId="285" xfId="0" applyNumberFormat="1" applyFont="1" applyBorder="1"/>
    <xf numFmtId="1" fontId="6" fillId="0" borderId="337" xfId="0" applyNumberFormat="1" applyFont="1" applyBorder="1"/>
    <xf numFmtId="1" fontId="6" fillId="0" borderId="304" xfId="0" applyNumberFormat="1" applyFont="1" applyBorder="1"/>
    <xf numFmtId="1" fontId="6" fillId="0" borderId="291" xfId="0" applyNumberFormat="1" applyFont="1" applyBorder="1"/>
    <xf numFmtId="1" fontId="6" fillId="0" borderId="287" xfId="0" applyNumberFormat="1" applyFont="1" applyBorder="1"/>
    <xf numFmtId="1" fontId="23" fillId="3" borderId="340" xfId="0" applyNumberFormat="1" applyFont="1" applyFill="1" applyBorder="1"/>
    <xf numFmtId="1" fontId="3" fillId="3" borderId="340" xfId="0" applyNumberFormat="1" applyFont="1" applyFill="1" applyBorder="1"/>
    <xf numFmtId="1" fontId="6" fillId="0" borderId="301" xfId="0" applyNumberFormat="1" applyFont="1" applyBorder="1" applyAlignment="1">
      <alignment horizontal="center" vertical="center" wrapText="1"/>
    </xf>
    <xf numFmtId="1" fontId="51" fillId="0" borderId="300" xfId="0" applyNumberFormat="1" applyFont="1" applyBorder="1" applyAlignment="1">
      <alignment horizontal="center" vertical="center" wrapText="1"/>
    </xf>
    <xf numFmtId="1" fontId="51" fillId="0" borderId="342" xfId="0" applyNumberFormat="1" applyFont="1" applyBorder="1" applyAlignment="1">
      <alignment horizontal="left" vertical="center"/>
    </xf>
    <xf numFmtId="1" fontId="6" fillId="0" borderId="260" xfId="0" applyNumberFormat="1" applyFont="1" applyBorder="1" applyAlignment="1">
      <alignment horizontal="left" vertical="center"/>
    </xf>
    <xf numFmtId="1" fontId="6" fillId="0" borderId="85" xfId="0" applyNumberFormat="1" applyFont="1" applyBorder="1" applyAlignment="1">
      <alignment horizontal="left" wrapText="1"/>
    </xf>
    <xf numFmtId="1" fontId="6" fillId="0" borderId="309" xfId="0" applyNumberFormat="1" applyFont="1" applyBorder="1"/>
    <xf numFmtId="1" fontId="6" fillId="0" borderId="300" xfId="0" applyNumberFormat="1" applyFont="1" applyBorder="1"/>
    <xf numFmtId="1" fontId="63" fillId="3" borderId="340" xfId="0" applyNumberFormat="1" applyFont="1" applyFill="1" applyBorder="1"/>
    <xf numFmtId="1" fontId="13" fillId="3" borderId="35" xfId="0" applyNumberFormat="1" applyFont="1" applyFill="1" applyBorder="1"/>
    <xf numFmtId="1" fontId="6" fillId="0" borderId="306" xfId="0" applyNumberFormat="1" applyFont="1" applyBorder="1"/>
    <xf numFmtId="1" fontId="4" fillId="3" borderId="340" xfId="0" applyNumberFormat="1" applyFont="1" applyFill="1" applyBorder="1"/>
    <xf numFmtId="1" fontId="3" fillId="3" borderId="0" xfId="0" applyNumberFormat="1" applyFont="1" applyFill="1" applyAlignment="1">
      <alignment wrapText="1"/>
    </xf>
    <xf numFmtId="1" fontId="4" fillId="3" borderId="324" xfId="0" applyNumberFormat="1" applyFont="1" applyFill="1" applyBorder="1"/>
    <xf numFmtId="1" fontId="23" fillId="3" borderId="324" xfId="0" applyNumberFormat="1" applyFont="1" applyFill="1" applyBorder="1"/>
    <xf numFmtId="1" fontId="72" fillId="0" borderId="0" xfId="0" applyNumberFormat="1" applyFont="1" applyAlignment="1">
      <alignment wrapText="1"/>
    </xf>
    <xf numFmtId="1" fontId="3" fillId="0" borderId="0" xfId="0" applyNumberFormat="1" applyFont="1" applyAlignment="1">
      <alignment wrapText="1"/>
    </xf>
    <xf numFmtId="1" fontId="6" fillId="5" borderId="16" xfId="0" applyNumberFormat="1" applyFont="1" applyFill="1" applyBorder="1" applyAlignment="1" applyProtection="1">
      <alignment vertical="center"/>
      <protection locked="0"/>
    </xf>
    <xf numFmtId="1" fontId="6" fillId="5" borderId="18" xfId="0" applyNumberFormat="1" applyFont="1" applyFill="1" applyBorder="1" applyAlignment="1" applyProtection="1">
      <alignment vertical="center"/>
      <protection locked="0"/>
    </xf>
    <xf numFmtId="1" fontId="6" fillId="5" borderId="38" xfId="0" applyNumberFormat="1" applyFont="1" applyFill="1" applyBorder="1" applyAlignment="1" applyProtection="1">
      <alignment vertical="center"/>
      <protection locked="0"/>
    </xf>
    <xf numFmtId="1" fontId="6" fillId="5" borderId="36" xfId="0" applyNumberFormat="1" applyFont="1" applyFill="1" applyBorder="1" applyAlignment="1" applyProtection="1">
      <alignment vertical="center"/>
      <protection locked="0"/>
    </xf>
    <xf numFmtId="1" fontId="6" fillId="5" borderId="20" xfId="0" applyNumberFormat="1" applyFont="1" applyFill="1" applyBorder="1" applyAlignment="1" applyProtection="1">
      <alignment vertical="center"/>
      <protection locked="0"/>
    </xf>
    <xf numFmtId="1" fontId="6" fillId="5" borderId="22" xfId="0" applyNumberFormat="1" applyFont="1" applyFill="1" applyBorder="1" applyAlignment="1" applyProtection="1">
      <alignment vertical="center"/>
      <protection locked="0"/>
    </xf>
    <xf numFmtId="1" fontId="63" fillId="3" borderId="324" xfId="0" applyNumberFormat="1" applyFont="1" applyFill="1" applyBorder="1"/>
    <xf numFmtId="1" fontId="51" fillId="0" borderId="285" xfId="0" applyNumberFormat="1" applyFont="1" applyBorder="1" applyAlignment="1">
      <alignment horizontal="center" vertical="center" wrapText="1"/>
    </xf>
    <xf numFmtId="1" fontId="51" fillId="0" borderId="285" xfId="0" applyNumberFormat="1" applyFont="1" applyBorder="1" applyAlignment="1">
      <alignment horizontal="center" vertical="center"/>
    </xf>
    <xf numFmtId="1" fontId="51" fillId="0" borderId="286" xfId="0" applyNumberFormat="1" applyFont="1" applyBorder="1" applyAlignment="1">
      <alignment horizontal="center" vertical="center"/>
    </xf>
    <xf numFmtId="1" fontId="6" fillId="5" borderId="19" xfId="0" applyNumberFormat="1" applyFont="1" applyFill="1" applyBorder="1" applyAlignment="1" applyProtection="1">
      <alignment vertical="center"/>
      <protection locked="0"/>
    </xf>
    <xf numFmtId="1" fontId="6" fillId="15" borderId="282" xfId="0" applyNumberFormat="1" applyFont="1" applyFill="1" applyBorder="1" applyAlignment="1" applyProtection="1">
      <alignment vertical="center"/>
      <protection locked="0"/>
    </xf>
    <xf numFmtId="1" fontId="6" fillId="5" borderId="45" xfId="0" applyNumberFormat="1" applyFont="1" applyFill="1" applyBorder="1" applyAlignment="1" applyProtection="1">
      <alignment vertical="center"/>
      <protection locked="0"/>
    </xf>
    <xf numFmtId="1" fontId="6" fillId="5" borderId="106" xfId="0" applyNumberFormat="1" applyFont="1" applyFill="1" applyBorder="1" applyAlignment="1" applyProtection="1">
      <alignment vertical="center"/>
      <protection locked="0"/>
    </xf>
    <xf numFmtId="1" fontId="6" fillId="5" borderId="282" xfId="0" applyNumberFormat="1" applyFont="1" applyFill="1" applyBorder="1" applyAlignment="1" applyProtection="1">
      <alignment vertical="center"/>
      <protection locked="0"/>
    </xf>
    <xf numFmtId="1" fontId="6" fillId="5" borderId="37" xfId="0" applyNumberFormat="1" applyFont="1" applyFill="1" applyBorder="1" applyAlignment="1" applyProtection="1">
      <alignment vertical="center"/>
      <protection locked="0"/>
    </xf>
    <xf numFmtId="1" fontId="6" fillId="15" borderId="51" xfId="0" applyNumberFormat="1" applyFont="1" applyFill="1" applyBorder="1" applyAlignment="1" applyProtection="1">
      <alignment vertical="center"/>
      <protection locked="0"/>
    </xf>
    <xf numFmtId="1" fontId="6" fillId="5" borderId="55" xfId="0" applyNumberFormat="1" applyFont="1" applyFill="1" applyBorder="1" applyAlignment="1" applyProtection="1">
      <alignment vertical="center"/>
      <protection locked="0"/>
    </xf>
    <xf numFmtId="1" fontId="6" fillId="5" borderId="63" xfId="0" applyNumberFormat="1" applyFont="1" applyFill="1" applyBorder="1" applyAlignment="1" applyProtection="1">
      <alignment vertical="center"/>
      <protection locked="0"/>
    </xf>
    <xf numFmtId="1" fontId="6" fillId="5" borderId="119" xfId="0" applyNumberFormat="1" applyFont="1" applyFill="1" applyBorder="1" applyAlignment="1" applyProtection="1">
      <alignment vertical="center"/>
      <protection locked="0"/>
    </xf>
    <xf numFmtId="1" fontId="6" fillId="5" borderId="51" xfId="0" applyNumberFormat="1" applyFont="1" applyFill="1" applyBorder="1" applyAlignment="1" applyProtection="1">
      <alignment vertical="center"/>
      <protection locked="0"/>
    </xf>
    <xf numFmtId="1" fontId="6" fillId="5" borderId="24" xfId="0" applyNumberFormat="1" applyFont="1" applyFill="1" applyBorder="1" applyAlignment="1" applyProtection="1">
      <alignment vertical="center"/>
      <protection locked="0"/>
    </xf>
    <xf numFmtId="1" fontId="6" fillId="15" borderId="21" xfId="0" applyNumberFormat="1" applyFont="1" applyFill="1" applyBorder="1" applyAlignment="1" applyProtection="1">
      <alignment vertical="center"/>
      <protection locked="0"/>
    </xf>
    <xf numFmtId="1" fontId="6" fillId="5" borderId="58" xfId="0" applyNumberFormat="1" applyFont="1" applyFill="1" applyBorder="1" applyAlignment="1" applyProtection="1">
      <alignment vertical="center"/>
      <protection locked="0"/>
    </xf>
    <xf numFmtId="1" fontId="6" fillId="5" borderId="46" xfId="0" applyNumberFormat="1" applyFont="1" applyFill="1" applyBorder="1" applyAlignment="1" applyProtection="1">
      <alignment vertical="center"/>
      <protection locked="0"/>
    </xf>
    <xf numFmtId="1" fontId="6" fillId="5" borderId="120" xfId="0" applyNumberFormat="1" applyFont="1" applyFill="1" applyBorder="1" applyAlignment="1" applyProtection="1">
      <alignment vertical="center"/>
      <protection locked="0"/>
    </xf>
    <xf numFmtId="1" fontId="6" fillId="5" borderId="21" xfId="0" applyNumberFormat="1" applyFont="1" applyFill="1" applyBorder="1" applyAlignment="1" applyProtection="1">
      <alignment vertical="center"/>
      <protection locked="0"/>
    </xf>
    <xf numFmtId="1" fontId="6" fillId="0" borderId="337" xfId="0" applyNumberFormat="1" applyFont="1" applyBorder="1" applyAlignment="1">
      <alignment horizontal="center" vertical="center" wrapText="1"/>
    </xf>
    <xf numFmtId="1" fontId="63" fillId="3" borderId="316" xfId="0" applyNumberFormat="1" applyFont="1" applyFill="1" applyBorder="1"/>
    <xf numFmtId="1" fontId="51" fillId="0" borderId="348" xfId="0" applyNumberFormat="1" applyFont="1" applyBorder="1" applyAlignment="1">
      <alignment horizontal="center" vertical="center" wrapText="1"/>
    </xf>
    <xf numFmtId="1" fontId="51" fillId="0" borderId="342" xfId="0" applyNumberFormat="1" applyFont="1" applyBorder="1" applyAlignment="1">
      <alignment horizontal="center" vertical="center" wrapText="1"/>
    </xf>
    <xf numFmtId="1" fontId="51" fillId="0" borderId="339" xfId="0" applyNumberFormat="1" applyFont="1" applyBorder="1" applyAlignment="1">
      <alignment horizontal="center" vertical="center" wrapText="1"/>
    </xf>
    <xf numFmtId="1" fontId="51" fillId="0" borderId="260" xfId="0" applyNumberFormat="1" applyFont="1" applyBorder="1" applyAlignment="1">
      <alignment vertical="center"/>
    </xf>
    <xf numFmtId="1" fontId="51" fillId="5" borderId="348" xfId="0" applyNumberFormat="1" applyFont="1" applyFill="1" applyBorder="1" applyProtection="1">
      <protection locked="0"/>
    </xf>
    <xf numFmtId="1" fontId="51" fillId="5" borderId="304" xfId="0" applyNumberFormat="1" applyFont="1" applyFill="1" applyBorder="1" applyProtection="1">
      <protection locked="0"/>
    </xf>
    <xf numFmtId="1" fontId="51" fillId="5" borderId="260" xfId="0" applyNumberFormat="1" applyFont="1" applyFill="1" applyBorder="1" applyProtection="1">
      <protection locked="0"/>
    </xf>
    <xf numFmtId="1" fontId="0" fillId="3" borderId="35" xfId="0" applyNumberFormat="1" applyFill="1" applyBorder="1"/>
    <xf numFmtId="1" fontId="55" fillId="3" borderId="324" xfId="0" applyNumberFormat="1" applyFont="1" applyFill="1" applyBorder="1"/>
    <xf numFmtId="1" fontId="51" fillId="0" borderId="349" xfId="0" applyNumberFormat="1" applyFont="1" applyBorder="1" applyAlignment="1">
      <alignment horizontal="center" vertical="center" wrapText="1"/>
    </xf>
    <xf numFmtId="1" fontId="51" fillId="0" borderId="350" xfId="0" applyNumberFormat="1" applyFont="1" applyBorder="1" applyAlignment="1">
      <alignment horizontal="center" vertical="center" wrapText="1"/>
    </xf>
    <xf numFmtId="1" fontId="51" fillId="0" borderId="337" xfId="0" applyNumberFormat="1" applyFont="1" applyBorder="1" applyAlignment="1">
      <alignment horizontal="center" vertical="center" wrapText="1"/>
    </xf>
    <xf numFmtId="1" fontId="51" fillId="0" borderId="19" xfId="0" applyNumberFormat="1" applyFont="1" applyBorder="1" applyAlignment="1">
      <alignment vertical="center" wrapText="1"/>
    </xf>
    <xf numFmtId="1" fontId="0" fillId="3" borderId="19" xfId="0" applyNumberFormat="1" applyFill="1" applyBorder="1"/>
    <xf numFmtId="1" fontId="51" fillId="5" borderId="351" xfId="0" applyNumberFormat="1" applyFont="1" applyFill="1" applyBorder="1" applyProtection="1">
      <protection locked="0"/>
    </xf>
    <xf numFmtId="1" fontId="51" fillId="5" borderId="352" xfId="0" applyNumberFormat="1" applyFont="1" applyFill="1" applyBorder="1" applyProtection="1">
      <protection locked="0"/>
    </xf>
    <xf numFmtId="1" fontId="51" fillId="0" borderId="339" xfId="0" applyNumberFormat="1" applyFont="1" applyBorder="1" applyAlignment="1">
      <alignment vertical="center" wrapText="1"/>
    </xf>
    <xf numFmtId="1" fontId="0" fillId="3" borderId="339" xfId="0" applyNumberFormat="1" applyFill="1" applyBorder="1"/>
    <xf numFmtId="1" fontId="51" fillId="5" borderId="353" xfId="0" applyNumberFormat="1" applyFont="1" applyFill="1" applyBorder="1" applyProtection="1">
      <protection locked="0"/>
    </xf>
    <xf numFmtId="1" fontId="51" fillId="5" borderId="354" xfId="0" applyNumberFormat="1" applyFont="1" applyFill="1" applyBorder="1" applyProtection="1">
      <protection locked="0"/>
    </xf>
    <xf numFmtId="1" fontId="51" fillId="5" borderId="342" xfId="0" applyNumberFormat="1" applyFont="1" applyFill="1" applyBorder="1" applyProtection="1">
      <protection locked="0"/>
    </xf>
    <xf numFmtId="1" fontId="51" fillId="5" borderId="27" xfId="0" applyNumberFormat="1" applyFont="1" applyFill="1" applyBorder="1" applyProtection="1">
      <protection locked="0"/>
    </xf>
    <xf numFmtId="1" fontId="61" fillId="3" borderId="0" xfId="0" applyNumberFormat="1" applyFont="1" applyFill="1"/>
    <xf numFmtId="1" fontId="51" fillId="0" borderId="304" xfId="0" applyNumberFormat="1" applyFont="1" applyBorder="1" applyAlignment="1">
      <alignment horizontal="center" vertical="center" wrapText="1"/>
    </xf>
    <xf numFmtId="1" fontId="0" fillId="14" borderId="0" xfId="0" applyNumberFormat="1" applyFill="1" applyProtection="1">
      <protection locked="0"/>
    </xf>
    <xf numFmtId="1" fontId="6" fillId="3" borderId="266" xfId="0" applyNumberFormat="1" applyFont="1" applyFill="1" applyBorder="1" applyAlignment="1">
      <alignment horizontal="center" vertical="center"/>
    </xf>
    <xf numFmtId="1" fontId="6" fillId="3" borderId="337" xfId="0" applyNumberFormat="1" applyFont="1" applyFill="1" applyBorder="1" applyAlignment="1">
      <alignment horizontal="center" vertical="center"/>
    </xf>
    <xf numFmtId="1" fontId="6" fillId="0" borderId="266" xfId="0" applyNumberFormat="1" applyFont="1" applyBorder="1" applyAlignment="1">
      <alignment horizontal="right"/>
    </xf>
    <xf numFmtId="1" fontId="6" fillId="0" borderId="285" xfId="0" applyNumberFormat="1" applyFont="1" applyBorder="1" applyAlignment="1">
      <alignment horizontal="right"/>
    </xf>
    <xf numFmtId="1" fontId="6" fillId="3" borderId="56" xfId="0" applyNumberFormat="1" applyFont="1" applyFill="1" applyBorder="1" applyAlignment="1">
      <alignment horizontal="center" vertical="center"/>
    </xf>
    <xf numFmtId="1" fontId="6" fillId="3" borderId="41" xfId="0" applyNumberFormat="1" applyFont="1" applyFill="1" applyBorder="1" applyAlignment="1">
      <alignment horizontal="center" vertical="center"/>
    </xf>
    <xf numFmtId="1" fontId="6" fillId="3" borderId="348" xfId="0" applyNumberFormat="1" applyFont="1" applyFill="1" applyBorder="1" applyAlignment="1">
      <alignment horizontal="center" vertical="center"/>
    </xf>
    <xf numFmtId="1" fontId="6" fillId="3" borderId="357" xfId="0" applyNumberFormat="1" applyFont="1" applyFill="1" applyBorder="1" applyAlignment="1">
      <alignment horizontal="center" vertical="center"/>
    </xf>
    <xf numFmtId="1" fontId="6" fillId="3" borderId="358" xfId="0" applyNumberFormat="1" applyFont="1" applyFill="1" applyBorder="1" applyAlignment="1">
      <alignment horizontal="center" vertical="center"/>
    </xf>
    <xf numFmtId="1" fontId="6" fillId="5" borderId="359" xfId="0" applyNumberFormat="1" applyFont="1" applyFill="1" applyBorder="1" applyAlignment="1" applyProtection="1">
      <alignment wrapText="1"/>
      <protection locked="0"/>
    </xf>
    <xf numFmtId="1" fontId="6" fillId="4" borderId="62" xfId="0" applyNumberFormat="1" applyFont="1" applyFill="1" applyBorder="1"/>
    <xf numFmtId="1" fontId="6" fillId="5" borderId="360" xfId="0" applyNumberFormat="1" applyFont="1" applyFill="1" applyBorder="1" applyAlignment="1" applyProtection="1">
      <alignment wrapText="1"/>
      <protection locked="0"/>
    </xf>
    <xf numFmtId="1" fontId="6" fillId="5" borderId="39" xfId="0" applyNumberFormat="1" applyFont="1" applyFill="1" applyBorder="1" applyAlignment="1" applyProtection="1">
      <alignment wrapText="1"/>
      <protection locked="0"/>
    </xf>
    <xf numFmtId="1" fontId="6" fillId="3" borderId="342" xfId="0" applyNumberFormat="1" applyFont="1" applyFill="1" applyBorder="1" applyAlignment="1">
      <alignment horizontal="right"/>
    </xf>
    <xf numFmtId="1" fontId="6" fillId="5" borderId="361" xfId="0" applyNumberFormat="1" applyFont="1" applyFill="1" applyBorder="1" applyAlignment="1" applyProtection="1">
      <alignment wrapText="1"/>
      <protection locked="0"/>
    </xf>
    <xf numFmtId="1" fontId="4" fillId="3" borderId="269" xfId="0" applyNumberFormat="1" applyFont="1" applyFill="1" applyBorder="1"/>
    <xf numFmtId="1" fontId="6" fillId="3" borderId="324" xfId="0" applyNumberFormat="1" applyFont="1" applyFill="1" applyBorder="1"/>
    <xf numFmtId="1" fontId="17" fillId="3" borderId="316" xfId="0" applyNumberFormat="1" applyFont="1" applyFill="1" applyBorder="1"/>
    <xf numFmtId="1" fontId="6" fillId="15" borderId="316" xfId="0" applyNumberFormat="1" applyFont="1" applyFill="1" applyBorder="1"/>
    <xf numFmtId="1" fontId="6" fillId="0" borderId="342" xfId="0" applyNumberFormat="1" applyFont="1" applyBorder="1" applyAlignment="1">
      <alignment horizontal="center" vertical="center" wrapText="1"/>
    </xf>
    <xf numFmtId="1" fontId="6" fillId="0" borderId="333" xfId="0" applyNumberFormat="1" applyFont="1" applyBorder="1" applyAlignment="1">
      <alignment horizontal="center" vertical="center" wrapText="1"/>
    </xf>
    <xf numFmtId="1" fontId="6" fillId="0" borderId="316" xfId="0" applyNumberFormat="1" applyFont="1" applyBorder="1" applyAlignment="1">
      <alignment horizontal="center" vertical="center" wrapText="1"/>
    </xf>
    <xf numFmtId="1" fontId="6" fillId="5" borderId="127" xfId="0" applyNumberFormat="1" applyFont="1" applyFill="1" applyBorder="1" applyAlignment="1" applyProtection="1">
      <alignment wrapText="1"/>
      <protection locked="0"/>
    </xf>
    <xf numFmtId="1" fontId="6" fillId="13" borderId="36" xfId="0" applyNumberFormat="1" applyFont="1" applyFill="1" applyBorder="1" applyProtection="1">
      <protection locked="0"/>
    </xf>
    <xf numFmtId="1" fontId="6" fillId="5" borderId="110" xfId="0" applyNumberFormat="1" applyFont="1" applyFill="1" applyBorder="1" applyAlignment="1" applyProtection="1">
      <alignment wrapText="1"/>
      <protection locked="0"/>
    </xf>
    <xf numFmtId="1" fontId="6" fillId="15" borderId="121" xfId="0" applyNumberFormat="1" applyFont="1" applyFill="1" applyBorder="1" applyProtection="1">
      <protection hidden="1"/>
    </xf>
    <xf numFmtId="1" fontId="6" fillId="15" borderId="164" xfId="0" applyNumberFormat="1" applyFont="1" applyFill="1" applyBorder="1" applyProtection="1">
      <protection hidden="1"/>
    </xf>
    <xf numFmtId="1" fontId="6" fillId="15" borderId="322" xfId="0" applyNumberFormat="1" applyFont="1" applyFill="1" applyBorder="1" applyProtection="1">
      <protection hidden="1"/>
    </xf>
    <xf numFmtId="1" fontId="6" fillId="3" borderId="362" xfId="0" applyNumberFormat="1" applyFont="1" applyFill="1" applyBorder="1"/>
    <xf numFmtId="1" fontId="6" fillId="3" borderId="362" xfId="0" applyNumberFormat="1" applyFont="1" applyFill="1" applyBorder="1" applyAlignment="1">
      <alignment wrapText="1"/>
    </xf>
    <xf numFmtId="1" fontId="6" fillId="15" borderId="362" xfId="0" applyNumberFormat="1" applyFont="1" applyFill="1" applyBorder="1" applyProtection="1">
      <protection hidden="1"/>
    </xf>
    <xf numFmtId="1" fontId="15" fillId="3" borderId="362" xfId="0" applyNumberFormat="1" applyFont="1" applyFill="1" applyBorder="1" applyAlignment="1">
      <alignment horizontal="right"/>
    </xf>
    <xf numFmtId="1" fontId="17" fillId="0" borderId="362" xfId="0" applyNumberFormat="1" applyFont="1" applyBorder="1"/>
    <xf numFmtId="1" fontId="6" fillId="0" borderId="362" xfId="0" applyNumberFormat="1" applyFont="1" applyBorder="1"/>
    <xf numFmtId="1" fontId="15" fillId="3" borderId="362" xfId="0" applyNumberFormat="1" applyFont="1" applyFill="1" applyBorder="1"/>
    <xf numFmtId="1" fontId="4" fillId="0" borderId="340" xfId="0" applyNumberFormat="1" applyFont="1" applyBorder="1"/>
    <xf numFmtId="1" fontId="4" fillId="0" borderId="363" xfId="0" applyNumberFormat="1" applyFont="1" applyBorder="1"/>
    <xf numFmtId="1" fontId="4" fillId="0" borderId="364" xfId="0" applyNumberFormat="1" applyFont="1" applyBorder="1"/>
    <xf numFmtId="1" fontId="6" fillId="0" borderId="362" xfId="0" applyNumberFormat="1" applyFont="1" applyBorder="1" applyProtection="1">
      <protection hidden="1"/>
    </xf>
    <xf numFmtId="1" fontId="6" fillId="0" borderId="340" xfId="0" applyNumberFormat="1" applyFont="1" applyBorder="1" applyAlignment="1">
      <alignment horizontal="center" vertical="center" wrapText="1"/>
    </xf>
    <xf numFmtId="1" fontId="6" fillId="0" borderId="88" xfId="0" applyNumberFormat="1" applyFont="1" applyBorder="1"/>
    <xf numFmtId="1" fontId="4" fillId="0" borderId="371" xfId="0" applyNumberFormat="1" applyFont="1" applyBorder="1"/>
    <xf numFmtId="1" fontId="4" fillId="0" borderId="372" xfId="0" applyNumberFormat="1" applyFont="1" applyBorder="1" applyAlignment="1">
      <alignment wrapText="1"/>
    </xf>
    <xf numFmtId="1" fontId="4" fillId="0" borderId="373" xfId="0" applyNumberFormat="1" applyFont="1" applyBorder="1" applyAlignment="1">
      <alignment wrapText="1"/>
    </xf>
    <xf numFmtId="1" fontId="6" fillId="15" borderId="121" xfId="0" applyNumberFormat="1" applyFont="1" applyFill="1" applyBorder="1"/>
    <xf numFmtId="1" fontId="6" fillId="15" borderId="99" xfId="0" applyNumberFormat="1" applyFont="1" applyFill="1" applyBorder="1"/>
    <xf numFmtId="1" fontId="6" fillId="0" borderId="374" xfId="0" applyNumberFormat="1" applyFont="1" applyBorder="1"/>
    <xf numFmtId="1" fontId="6" fillId="0" borderId="374" xfId="0" applyNumberFormat="1" applyFont="1" applyBorder="1" applyProtection="1">
      <protection hidden="1"/>
    </xf>
    <xf numFmtId="1" fontId="6" fillId="0" borderId="121" xfId="0" applyNumberFormat="1" applyFont="1" applyBorder="1"/>
    <xf numFmtId="1" fontId="6" fillId="15" borderId="379" xfId="0" applyNumberFormat="1" applyFont="1" applyFill="1" applyBorder="1"/>
    <xf numFmtId="1" fontId="6" fillId="15" borderId="374" xfId="0" applyNumberFormat="1" applyFont="1" applyFill="1" applyBorder="1"/>
    <xf numFmtId="1" fontId="6" fillId="0" borderId="380" xfId="0" applyNumberFormat="1" applyFont="1" applyBorder="1"/>
    <xf numFmtId="1" fontId="6" fillId="0" borderId="379" xfId="0" applyNumberFormat="1" applyFont="1" applyBorder="1" applyProtection="1">
      <protection hidden="1"/>
    </xf>
    <xf numFmtId="1" fontId="6" fillId="0" borderId="381" xfId="0" applyNumberFormat="1" applyFont="1" applyBorder="1" applyAlignment="1">
      <alignment horizontal="center" vertical="center" wrapText="1"/>
    </xf>
    <xf numFmtId="1" fontId="6" fillId="0" borderId="382" xfId="0" applyNumberFormat="1" applyFont="1" applyBorder="1" applyAlignment="1">
      <alignment horizontal="center" vertical="center" wrapText="1"/>
    </xf>
    <xf numFmtId="1" fontId="6" fillId="0" borderId="383" xfId="0" applyNumberFormat="1" applyFont="1" applyBorder="1" applyAlignment="1">
      <alignment horizontal="center" vertical="center" wrapText="1"/>
    </xf>
    <xf numFmtId="1" fontId="6" fillId="0" borderId="376" xfId="0" applyNumberFormat="1" applyFont="1" applyBorder="1" applyAlignment="1">
      <alignment horizontal="center" vertical="center" wrapText="1"/>
    </xf>
    <xf numFmtId="1" fontId="6" fillId="0" borderId="377" xfId="0" applyNumberFormat="1" applyFont="1" applyBorder="1" applyAlignment="1">
      <alignment horizontal="center" vertical="center" wrapText="1"/>
    </xf>
    <xf numFmtId="1" fontId="6" fillId="3" borderId="380" xfId="0" applyNumberFormat="1" applyFont="1" applyFill="1" applyBorder="1"/>
    <xf numFmtId="1" fontId="6" fillId="3" borderId="374" xfId="0" applyNumberFormat="1" applyFont="1" applyFill="1" applyBorder="1"/>
    <xf numFmtId="1" fontId="17" fillId="0" borderId="374" xfId="0" applyNumberFormat="1" applyFont="1" applyBorder="1"/>
    <xf numFmtId="1" fontId="4" fillId="3" borderId="384" xfId="0" applyNumberFormat="1" applyFont="1" applyFill="1" applyBorder="1"/>
    <xf numFmtId="1" fontId="6" fillId="0" borderId="385" xfId="0" applyNumberFormat="1" applyFont="1" applyBorder="1" applyAlignment="1">
      <alignment horizontal="center" wrapText="1"/>
    </xf>
    <xf numFmtId="1" fontId="6" fillId="3" borderId="0" xfId="0" applyNumberFormat="1" applyFont="1" applyFill="1" applyAlignment="1">
      <alignment horizontal="right" wrapText="1"/>
    </xf>
    <xf numFmtId="1" fontId="15" fillId="15" borderId="374" xfId="0" applyNumberFormat="1" applyFont="1" applyFill="1" applyBorder="1"/>
    <xf numFmtId="1" fontId="15" fillId="3" borderId="374" xfId="0" applyNumberFormat="1" applyFont="1" applyFill="1" applyBorder="1" applyAlignment="1">
      <alignment wrapText="1"/>
    </xf>
    <xf numFmtId="1" fontId="4" fillId="0" borderId="121" xfId="0" applyNumberFormat="1" applyFont="1" applyBorder="1"/>
    <xf numFmtId="1" fontId="4" fillId="0" borderId="131" xfId="0" applyNumberFormat="1" applyFont="1" applyBorder="1"/>
    <xf numFmtId="1" fontId="6" fillId="0" borderId="386" xfId="0" applyNumberFormat="1" applyFont="1" applyBorder="1"/>
    <xf numFmtId="1" fontId="6" fillId="3" borderId="379" xfId="0" applyNumberFormat="1" applyFont="1" applyFill="1" applyBorder="1"/>
    <xf numFmtId="1" fontId="6" fillId="0" borderId="379" xfId="0" applyNumberFormat="1" applyFont="1" applyBorder="1"/>
    <xf numFmtId="1" fontId="6" fillId="0" borderId="389" xfId="0" applyNumberFormat="1" applyFont="1" applyBorder="1"/>
    <xf numFmtId="1" fontId="6" fillId="0" borderId="390" xfId="0" applyNumberFormat="1" applyFont="1" applyBorder="1"/>
    <xf numFmtId="1" fontId="51" fillId="0" borderId="0" xfId="0" applyNumberFormat="1" applyFont="1" applyProtection="1">
      <protection hidden="1"/>
    </xf>
    <xf numFmtId="1" fontId="51" fillId="0" borderId="155" xfId="0" applyNumberFormat="1" applyFont="1" applyBorder="1" applyProtection="1">
      <protection hidden="1"/>
    </xf>
    <xf numFmtId="1" fontId="51" fillId="0" borderId="156" xfId="0" applyNumberFormat="1" applyFont="1" applyBorder="1" applyProtection="1">
      <protection hidden="1"/>
    </xf>
    <xf numFmtId="1" fontId="51" fillId="0" borderId="121" xfId="0" applyNumberFormat="1" applyFont="1" applyBorder="1" applyProtection="1">
      <protection hidden="1"/>
    </xf>
    <xf numFmtId="1" fontId="51" fillId="0" borderId="374" xfId="0" applyNumberFormat="1" applyFont="1" applyBorder="1" applyProtection="1">
      <protection hidden="1"/>
    </xf>
    <xf numFmtId="1" fontId="6" fillId="0" borderId="317" xfId="0" applyNumberFormat="1" applyFont="1" applyBorder="1" applyProtection="1">
      <protection hidden="1"/>
    </xf>
    <xf numFmtId="1" fontId="51" fillId="0" borderId="381" xfId="0" applyNumberFormat="1" applyFont="1" applyBorder="1" applyAlignment="1">
      <alignment horizontal="center" vertical="center" wrapText="1"/>
    </xf>
    <xf numFmtId="1" fontId="51" fillId="0" borderId="395" xfId="0" applyNumberFormat="1" applyFont="1" applyBorder="1" applyAlignment="1">
      <alignment horizontal="center" vertical="center" wrapText="1"/>
    </xf>
    <xf numFmtId="1" fontId="51" fillId="0" borderId="370" xfId="0" applyNumberFormat="1" applyFont="1" applyBorder="1" applyAlignment="1">
      <alignment horizontal="center" vertical="center" wrapText="1"/>
    </xf>
    <xf numFmtId="1" fontId="6" fillId="5" borderId="342" xfId="0" applyNumberFormat="1" applyFont="1" applyFill="1" applyBorder="1" applyAlignment="1" applyProtection="1">
      <alignment horizontal="right"/>
      <protection locked="0"/>
    </xf>
    <xf numFmtId="1" fontId="6" fillId="0" borderId="317" xfId="0" applyNumberFormat="1" applyFont="1" applyBorder="1" applyProtection="1">
      <protection locked="0"/>
    </xf>
    <xf numFmtId="1" fontId="51" fillId="5" borderId="129" xfId="0" applyNumberFormat="1" applyFont="1" applyFill="1" applyBorder="1" applyAlignment="1" applyProtection="1">
      <alignment horizontal="right"/>
      <protection locked="0"/>
    </xf>
    <xf numFmtId="1" fontId="6" fillId="5" borderId="103" xfId="0" applyNumberFormat="1" applyFont="1" applyFill="1" applyBorder="1" applyAlignment="1" applyProtection="1">
      <alignment horizontal="right"/>
      <protection locked="0"/>
    </xf>
    <xf numFmtId="1" fontId="17" fillId="3" borderId="0" xfId="0" applyNumberFormat="1" applyFont="1" applyFill="1" applyProtection="1">
      <protection hidden="1"/>
    </xf>
    <xf numFmtId="1" fontId="6" fillId="0" borderId="322" xfId="0" applyNumberFormat="1" applyFont="1" applyBorder="1" applyProtection="1">
      <protection hidden="1"/>
    </xf>
    <xf numFmtId="1" fontId="6" fillId="0" borderId="0" xfId="0" applyNumberFormat="1" applyFont="1" applyProtection="1">
      <protection hidden="1"/>
    </xf>
    <xf numFmtId="1" fontId="6" fillId="0" borderId="164" xfId="0" applyNumberFormat="1" applyFont="1" applyBorder="1" applyProtection="1">
      <protection hidden="1"/>
    </xf>
    <xf numFmtId="1" fontId="6" fillId="3" borderId="317" xfId="0" applyNumberFormat="1" applyFont="1" applyFill="1" applyBorder="1" applyProtection="1">
      <protection hidden="1"/>
    </xf>
    <xf numFmtId="1" fontId="6" fillId="15" borderId="317" xfId="0" applyNumberFormat="1" applyFont="1" applyFill="1" applyBorder="1"/>
    <xf numFmtId="1" fontId="6" fillId="15" borderId="317" xfId="0" applyNumberFormat="1" applyFont="1" applyFill="1" applyBorder="1" applyProtection="1">
      <protection hidden="1"/>
    </xf>
    <xf numFmtId="1" fontId="17" fillId="15" borderId="317" xfId="0" applyNumberFormat="1" applyFont="1" applyFill="1" applyBorder="1" applyProtection="1">
      <protection hidden="1"/>
    </xf>
    <xf numFmtId="1" fontId="73" fillId="3" borderId="0" xfId="0" applyNumberFormat="1" applyFont="1" applyFill="1" applyAlignment="1">
      <alignment vertical="center" wrapText="1"/>
    </xf>
    <xf numFmtId="1" fontId="6" fillId="0" borderId="121" xfId="0" applyNumberFormat="1" applyFont="1" applyBorder="1" applyProtection="1">
      <protection hidden="1"/>
    </xf>
    <xf numFmtId="1" fontId="51" fillId="0" borderId="381" xfId="4" applyNumberFormat="1" applyFont="1" applyBorder="1" applyAlignment="1">
      <alignment horizontal="center" vertical="center" wrapText="1"/>
    </xf>
    <xf numFmtId="1" fontId="51" fillId="0" borderId="382" xfId="4" applyNumberFormat="1" applyFont="1" applyBorder="1" applyAlignment="1">
      <alignment horizontal="center" vertical="center" wrapText="1"/>
    </xf>
    <xf numFmtId="1" fontId="51" fillId="0" borderId="37" xfId="23" applyNumberFormat="1" applyFont="1" applyBorder="1" applyAlignment="1">
      <alignment vertical="center" wrapText="1"/>
    </xf>
    <xf numFmtId="1" fontId="51" fillId="0" borderId="381" xfId="1" applyNumberFormat="1" applyFont="1" applyBorder="1" applyAlignment="1">
      <alignment horizontal="right"/>
    </xf>
    <xf numFmtId="1" fontId="51" fillId="0" borderId="382" xfId="1" applyNumberFormat="1" applyFont="1" applyBorder="1" applyAlignment="1">
      <alignment horizontal="right"/>
    </xf>
    <xf numFmtId="1" fontId="73" fillId="3" borderId="306" xfId="0" applyNumberFormat="1" applyFont="1" applyFill="1" applyBorder="1" applyAlignment="1">
      <alignment vertical="center" wrapText="1"/>
    </xf>
    <xf numFmtId="1" fontId="73" fillId="3" borderId="369" xfId="0" applyNumberFormat="1" applyFont="1" applyFill="1" applyBorder="1" applyAlignment="1">
      <alignment vertical="center" wrapText="1"/>
    </xf>
    <xf numFmtId="1" fontId="26" fillId="0" borderId="269" xfId="0" applyNumberFormat="1" applyFont="1" applyBorder="1"/>
    <xf numFmtId="1" fontId="17" fillId="3" borderId="317" xfId="0" applyNumberFormat="1" applyFont="1" applyFill="1" applyBorder="1" applyProtection="1">
      <protection hidden="1"/>
    </xf>
    <xf numFmtId="1" fontId="20" fillId="0" borderId="385" xfId="0" applyNumberFormat="1" applyFont="1" applyBorder="1" applyAlignment="1">
      <alignment horizontal="center" vertical="center"/>
    </xf>
    <xf numFmtId="1" fontId="20" fillId="0" borderId="370" xfId="0" applyNumberFormat="1" applyFont="1" applyBorder="1" applyAlignment="1">
      <alignment horizontal="center" vertical="center"/>
    </xf>
    <xf numFmtId="1" fontId="6" fillId="5" borderId="51" xfId="1" applyNumberFormat="1" applyFont="1" applyFill="1" applyBorder="1" applyProtection="1">
      <protection locked="0"/>
    </xf>
    <xf numFmtId="1" fontId="6" fillId="5" borderId="37" xfId="1" applyNumberFormat="1" applyFont="1" applyFill="1" applyBorder="1" applyProtection="1">
      <protection locked="0"/>
    </xf>
    <xf numFmtId="1" fontId="6" fillId="5" borderId="21" xfId="1" applyNumberFormat="1" applyFont="1" applyFill="1" applyBorder="1" applyProtection="1">
      <protection locked="0"/>
    </xf>
    <xf numFmtId="1" fontId="6" fillId="5" borderId="24" xfId="1" applyNumberFormat="1" applyFont="1" applyFill="1" applyBorder="1" applyProtection="1">
      <protection locked="0"/>
    </xf>
    <xf numFmtId="1" fontId="6" fillId="0" borderId="399" xfId="0" applyNumberFormat="1" applyFont="1" applyBorder="1"/>
    <xf numFmtId="1" fontId="26" fillId="3" borderId="400" xfId="0" applyNumberFormat="1" applyFont="1" applyFill="1" applyBorder="1"/>
    <xf numFmtId="1" fontId="6" fillId="0" borderId="395" xfId="0" applyNumberFormat="1" applyFont="1" applyBorder="1" applyAlignment="1">
      <alignment horizontal="center" vertical="center" wrapText="1"/>
    </xf>
    <xf numFmtId="1" fontId="6" fillId="0" borderId="370" xfId="0" applyNumberFormat="1" applyFont="1" applyBorder="1" applyAlignment="1">
      <alignment horizontal="center" vertical="center" wrapText="1"/>
    </xf>
    <xf numFmtId="1" fontId="6" fillId="3" borderId="21" xfId="0" applyNumberFormat="1" applyFont="1" applyFill="1" applyBorder="1"/>
    <xf numFmtId="1" fontId="20" fillId="0" borderId="381" xfId="0" applyNumberFormat="1" applyFont="1" applyBorder="1" applyAlignment="1">
      <alignment horizontal="center" vertical="center"/>
    </xf>
    <xf numFmtId="1" fontId="20" fillId="0" borderId="395" xfId="0" applyNumberFormat="1" applyFont="1" applyBorder="1" applyAlignment="1">
      <alignment horizontal="center" vertical="center"/>
    </xf>
    <xf numFmtId="1" fontId="20" fillId="0" borderId="38" xfId="0" applyNumberFormat="1" applyFont="1" applyBorder="1"/>
    <xf numFmtId="1" fontId="20" fillId="0" borderId="63" xfId="0" applyNumberFormat="1" applyFont="1" applyBorder="1"/>
    <xf numFmtId="1" fontId="20" fillId="0" borderId="36" xfId="0" applyNumberFormat="1" applyFont="1" applyBorder="1"/>
    <xf numFmtId="1" fontId="20" fillId="0" borderId="82" xfId="0" applyNumberFormat="1" applyFont="1" applyBorder="1"/>
    <xf numFmtId="1" fontId="0" fillId="3" borderId="153" xfId="0" applyNumberFormat="1" applyFill="1" applyBorder="1"/>
    <xf numFmtId="1" fontId="20" fillId="0" borderId="132" xfId="0" applyNumberFormat="1" applyFont="1" applyBorder="1"/>
    <xf numFmtId="1" fontId="20" fillId="0" borderId="84" xfId="0" applyNumberFormat="1" applyFont="1" applyBorder="1"/>
    <xf numFmtId="1" fontId="20" fillId="0" borderId="40" xfId="0" applyNumberFormat="1" applyFont="1" applyBorder="1"/>
    <xf numFmtId="1" fontId="20" fillId="0" borderId="23" xfId="0" applyNumberFormat="1" applyFont="1" applyBorder="1"/>
    <xf numFmtId="1" fontId="20" fillId="0" borderId="20" xfId="0" applyNumberFormat="1" applyFont="1" applyBorder="1"/>
    <xf numFmtId="1" fontId="20" fillId="0" borderId="46" xfId="0" applyNumberFormat="1" applyFont="1" applyBorder="1"/>
    <xf numFmtId="1" fontId="20" fillId="0" borderId="22" xfId="0" applyNumberFormat="1" applyFont="1" applyBorder="1"/>
    <xf numFmtId="1" fontId="40" fillId="0" borderId="381" xfId="4" applyNumberFormat="1" applyFont="1" applyBorder="1" applyAlignment="1">
      <alignment horizontal="center" vertical="center" wrapText="1"/>
    </xf>
    <xf numFmtId="1" fontId="40" fillId="0" borderId="382" xfId="4" applyNumberFormat="1" applyFont="1" applyBorder="1" applyAlignment="1">
      <alignment horizontal="center" vertical="center" wrapText="1"/>
    </xf>
    <xf numFmtId="1" fontId="6" fillId="0" borderId="276" xfId="0" applyNumberFormat="1" applyFont="1" applyBorder="1" applyAlignment="1">
      <alignment horizontal="center" vertical="center" wrapText="1"/>
    </xf>
    <xf numFmtId="1" fontId="6" fillId="0" borderId="401" xfId="0" applyNumberFormat="1" applyFont="1" applyBorder="1" applyAlignment="1">
      <alignment horizontal="center" vertical="center" wrapText="1"/>
    </xf>
    <xf numFmtId="1" fontId="6" fillId="13" borderId="63" xfId="0" applyNumberFormat="1" applyFont="1" applyFill="1" applyBorder="1" applyProtection="1">
      <protection locked="0"/>
    </xf>
    <xf numFmtId="1" fontId="6" fillId="0" borderId="410" xfId="0" applyNumberFormat="1" applyFont="1" applyBorder="1" applyAlignment="1">
      <alignment horizontal="center" vertical="center" wrapText="1"/>
    </xf>
    <xf numFmtId="1" fontId="6" fillId="0" borderId="410" xfId="0" applyNumberFormat="1" applyFont="1" applyBorder="1" applyAlignment="1">
      <alignment horizontal="center" vertical="center"/>
    </xf>
    <xf numFmtId="1" fontId="6" fillId="0" borderId="411" xfId="0" applyNumberFormat="1" applyFont="1" applyBorder="1" applyAlignment="1">
      <alignment horizontal="center" vertical="center"/>
    </xf>
    <xf numFmtId="1" fontId="6" fillId="0" borderId="412" xfId="0" applyNumberFormat="1" applyFont="1" applyBorder="1" applyAlignment="1">
      <alignment horizontal="center" vertical="center"/>
    </xf>
    <xf numFmtId="1" fontId="6" fillId="5" borderId="414" xfId="0" applyNumberFormat="1" applyFont="1" applyFill="1" applyBorder="1" applyProtection="1">
      <protection locked="0"/>
    </xf>
    <xf numFmtId="1" fontId="6" fillId="5" borderId="415" xfId="0" applyNumberFormat="1" applyFont="1" applyFill="1" applyBorder="1" applyProtection="1">
      <protection locked="0"/>
    </xf>
    <xf numFmtId="1" fontId="6" fillId="5" borderId="416" xfId="0" applyNumberFormat="1" applyFont="1" applyFill="1" applyBorder="1" applyProtection="1">
      <protection locked="0"/>
    </xf>
    <xf numFmtId="1" fontId="6" fillId="5" borderId="413" xfId="0" applyNumberFormat="1" applyFont="1" applyFill="1" applyBorder="1" applyProtection="1">
      <protection locked="0"/>
    </xf>
    <xf numFmtId="1" fontId="6" fillId="13" borderId="55" xfId="0" applyNumberFormat="1" applyFont="1" applyFill="1" applyBorder="1" applyProtection="1">
      <protection locked="0"/>
    </xf>
    <xf numFmtId="1" fontId="6" fillId="16" borderId="63" xfId="0" applyNumberFormat="1" applyFont="1" applyFill="1" applyBorder="1"/>
    <xf numFmtId="1" fontId="6" fillId="16" borderId="37" xfId="0" applyNumberFormat="1" applyFont="1" applyFill="1" applyBorder="1"/>
    <xf numFmtId="1" fontId="6" fillId="16" borderId="191" xfId="0" applyNumberFormat="1" applyFont="1" applyFill="1" applyBorder="1" applyProtection="1">
      <protection locked="0"/>
    </xf>
    <xf numFmtId="1" fontId="6" fillId="0" borderId="407" xfId="0" applyNumberFormat="1" applyFont="1" applyBorder="1" applyAlignment="1">
      <alignment horizontal="right"/>
    </xf>
    <xf numFmtId="1" fontId="6" fillId="0" borderId="410" xfId="0" applyNumberFormat="1" applyFont="1" applyBorder="1" applyAlignment="1">
      <alignment horizontal="right"/>
    </xf>
    <xf numFmtId="1" fontId="6" fillId="0" borderId="411" xfId="0" applyNumberFormat="1" applyFont="1" applyBorder="1" applyAlignment="1">
      <alignment horizontal="right"/>
    </xf>
    <xf numFmtId="1" fontId="6" fillId="0" borderId="412" xfId="0" applyNumberFormat="1" applyFont="1" applyBorder="1" applyAlignment="1">
      <alignment horizontal="right"/>
    </xf>
    <xf numFmtId="1" fontId="6" fillId="0" borderId="417" xfId="0" applyNumberFormat="1" applyFont="1" applyBorder="1" applyAlignment="1">
      <alignment horizontal="right"/>
    </xf>
    <xf numFmtId="1" fontId="6" fillId="0" borderId="418" xfId="0" applyNumberFormat="1" applyFont="1" applyBorder="1" applyAlignment="1">
      <alignment horizontal="right"/>
    </xf>
    <xf numFmtId="1" fontId="6" fillId="0" borderId="413" xfId="0" applyNumberFormat="1" applyFont="1" applyBorder="1"/>
    <xf numFmtId="1" fontId="6" fillId="5" borderId="421" xfId="0" applyNumberFormat="1" applyFont="1" applyFill="1" applyBorder="1" applyProtection="1">
      <protection locked="0"/>
    </xf>
    <xf numFmtId="1" fontId="2" fillId="3" borderId="0" xfId="0" applyNumberFormat="1" applyFont="1" applyFill="1" applyAlignment="1">
      <alignment horizontal="center" vertical="center" wrapText="1"/>
    </xf>
    <xf numFmtId="1" fontId="6" fillId="0" borderId="37" xfId="0" applyNumberFormat="1" applyFont="1" applyBorder="1" applyAlignment="1">
      <alignment horizontal="left" vertical="center" wrapText="1"/>
    </xf>
    <xf numFmtId="1" fontId="6" fillId="0" borderId="29" xfId="0" applyNumberFormat="1" applyFont="1" applyBorder="1" applyAlignment="1">
      <alignment horizontal="left" vertical="center" wrapText="1"/>
    </xf>
    <xf numFmtId="1" fontId="6" fillId="0" borderId="81" xfId="0" applyNumberFormat="1" applyFont="1" applyBorder="1" applyAlignment="1">
      <alignment horizontal="center" vertical="center" wrapText="1"/>
    </xf>
    <xf numFmtId="1" fontId="6" fillId="0" borderId="13" xfId="0" applyNumberFormat="1" applyFont="1" applyBorder="1" applyAlignment="1">
      <alignment horizontal="center" vertical="center" wrapText="1"/>
    </xf>
    <xf numFmtId="1" fontId="51" fillId="0" borderId="81" xfId="0" applyNumberFormat="1" applyFont="1" applyBorder="1" applyAlignment="1">
      <alignment horizontal="center" vertical="center" wrapText="1"/>
    </xf>
    <xf numFmtId="1" fontId="6" fillId="0" borderId="40" xfId="0" applyNumberFormat="1" applyFont="1" applyBorder="1" applyAlignment="1">
      <alignment horizontal="left" vertical="center" wrapText="1"/>
    </xf>
    <xf numFmtId="1" fontId="6" fillId="0" borderId="37" xfId="0" applyNumberFormat="1" applyFont="1" applyBorder="1" applyAlignment="1">
      <alignment horizontal="left" vertical="center"/>
    </xf>
    <xf numFmtId="1" fontId="6" fillId="0" borderId="24" xfId="0" applyNumberFormat="1" applyFont="1" applyBorder="1" applyAlignment="1">
      <alignment horizontal="left" vertical="center" wrapText="1"/>
    </xf>
    <xf numFmtId="1" fontId="6" fillId="0" borderId="40" xfId="0" applyNumberFormat="1" applyFont="1" applyBorder="1" applyAlignment="1">
      <alignment wrapText="1"/>
    </xf>
    <xf numFmtId="1" fontId="6" fillId="0" borderId="275" xfId="0" applyNumberFormat="1" applyFont="1" applyBorder="1" applyAlignment="1">
      <alignment horizontal="center" vertical="center" wrapText="1"/>
    </xf>
    <xf numFmtId="1" fontId="6" fillId="0" borderId="276" xfId="0" applyNumberFormat="1" applyFont="1" applyBorder="1" applyAlignment="1">
      <alignment horizontal="center" vertical="center" wrapText="1"/>
    </xf>
    <xf numFmtId="1" fontId="6" fillId="0" borderId="407" xfId="0" applyNumberFormat="1" applyFont="1" applyBorder="1" applyAlignment="1">
      <alignment horizontal="center" vertical="center" wrapText="1"/>
    </xf>
    <xf numFmtId="1" fontId="6" fillId="0" borderId="413" xfId="0" applyNumberFormat="1" applyFont="1" applyBorder="1" applyAlignment="1">
      <alignment horizontal="left" vertical="center" wrapText="1"/>
    </xf>
    <xf numFmtId="1" fontId="6" fillId="0" borderId="420" xfId="0" applyNumberFormat="1" applyFont="1" applyBorder="1" applyAlignment="1">
      <alignment horizontal="left" vertical="center" wrapText="1"/>
    </xf>
    <xf numFmtId="1" fontId="20" fillId="0" borderId="0" xfId="0" applyNumberFormat="1" applyFont="1"/>
    <xf numFmtId="1" fontId="6" fillId="0" borderId="16" xfId="0" applyNumberFormat="1" applyFont="1" applyBorder="1"/>
    <xf numFmtId="1" fontId="6" fillId="0" borderId="45" xfId="0" applyNumberFormat="1" applyFont="1" applyBorder="1"/>
    <xf numFmtId="1" fontId="6" fillId="0" borderId="38" xfId="0" applyNumberFormat="1" applyFont="1" applyBorder="1"/>
    <xf numFmtId="1" fontId="6" fillId="0" borderId="63" xfId="0" applyNumberFormat="1" applyFont="1" applyBorder="1"/>
    <xf numFmtId="1" fontId="6" fillId="0" borderId="20" xfId="0" applyNumberFormat="1" applyFont="1" applyBorder="1"/>
    <xf numFmtId="1" fontId="6" fillId="0" borderId="46" xfId="0" applyNumberFormat="1" applyFont="1" applyBorder="1"/>
    <xf numFmtId="0" fontId="51" fillId="0" borderId="96" xfId="0" applyFont="1" applyBorder="1" applyAlignment="1">
      <alignment horizontal="center" vertical="center" wrapText="1"/>
    </xf>
    <xf numFmtId="0" fontId="51" fillId="0" borderId="49" xfId="0" applyFont="1" applyBorder="1" applyAlignment="1">
      <alignment horizontal="center" vertical="center" wrapText="1"/>
    </xf>
    <xf numFmtId="0" fontId="51" fillId="15" borderId="51" xfId="0" applyFont="1" applyFill="1" applyBorder="1" applyAlignment="1">
      <alignment horizontal="left" vertical="center" wrapText="1"/>
    </xf>
    <xf numFmtId="0" fontId="51" fillId="0" borderId="27" xfId="0" applyFont="1" applyBorder="1" applyAlignment="1">
      <alignment horizontal="center" vertical="center" wrapText="1"/>
    </xf>
    <xf numFmtId="1" fontId="6" fillId="4" borderId="57" xfId="0" applyNumberFormat="1" applyFont="1" applyFill="1" applyBorder="1" applyAlignment="1">
      <alignment wrapText="1"/>
    </xf>
    <xf numFmtId="1" fontId="6" fillId="4" borderId="32" xfId="0" applyNumberFormat="1" applyFont="1" applyFill="1" applyBorder="1" applyAlignment="1">
      <alignment wrapText="1"/>
    </xf>
    <xf numFmtId="1" fontId="6" fillId="13" borderId="143" xfId="0" applyNumberFormat="1" applyFont="1" applyFill="1" applyBorder="1" applyAlignment="1">
      <alignment wrapText="1"/>
    </xf>
    <xf numFmtId="1" fontId="6" fillId="13" borderId="63" xfId="0" applyNumberFormat="1" applyFont="1" applyFill="1" applyBorder="1" applyAlignment="1">
      <alignment wrapText="1"/>
    </xf>
    <xf numFmtId="1" fontId="6" fillId="13" borderId="63" xfId="0" applyNumberFormat="1" applyFont="1" applyFill="1" applyBorder="1" applyAlignment="1" applyProtection="1">
      <alignment wrapText="1"/>
      <protection locked="0"/>
    </xf>
    <xf numFmtId="1" fontId="6" fillId="13" borderId="144" xfId="0" applyNumberFormat="1" applyFont="1" applyFill="1" applyBorder="1" applyAlignment="1">
      <alignment wrapText="1"/>
    </xf>
    <xf numFmtId="1" fontId="6" fillId="13" borderId="46" xfId="0" applyNumberFormat="1" applyFont="1" applyFill="1" applyBorder="1" applyAlignment="1">
      <alignment wrapText="1"/>
    </xf>
    <xf numFmtId="1" fontId="6" fillId="13" borderId="46" xfId="0" applyNumberFormat="1" applyFont="1" applyFill="1" applyBorder="1" applyAlignment="1" applyProtection="1">
      <alignment wrapText="1"/>
      <protection locked="0"/>
    </xf>
    <xf numFmtId="1" fontId="6" fillId="13" borderId="38" xfId="0" applyNumberFormat="1" applyFont="1" applyFill="1" applyBorder="1" applyAlignment="1">
      <alignment wrapText="1"/>
    </xf>
    <xf numFmtId="1" fontId="6" fillId="13" borderId="36" xfId="0" applyNumberFormat="1" applyFont="1" applyFill="1" applyBorder="1" applyAlignment="1">
      <alignment wrapText="1"/>
    </xf>
    <xf numFmtId="1" fontId="6" fillId="13" borderId="55" xfId="0" applyNumberFormat="1" applyFont="1" applyFill="1" applyBorder="1" applyAlignment="1">
      <alignment wrapText="1"/>
    </xf>
    <xf numFmtId="1" fontId="6" fillId="13" borderId="55" xfId="0" applyNumberFormat="1" applyFont="1" applyFill="1" applyBorder="1" applyAlignment="1" applyProtection="1">
      <alignment wrapText="1"/>
      <protection locked="0"/>
    </xf>
    <xf numFmtId="1" fontId="6" fillId="13" borderId="36" xfId="0" applyNumberFormat="1" applyFont="1" applyFill="1" applyBorder="1" applyAlignment="1" applyProtection="1">
      <alignment wrapText="1"/>
      <protection locked="0"/>
    </xf>
    <xf numFmtId="1" fontId="6" fillId="13" borderId="20" xfId="0" applyNumberFormat="1" applyFont="1" applyFill="1" applyBorder="1" applyAlignment="1">
      <alignment wrapText="1"/>
    </xf>
    <xf numFmtId="1" fontId="6" fillId="13" borderId="22" xfId="0" applyNumberFormat="1" applyFont="1" applyFill="1" applyBorder="1" applyAlignment="1">
      <alignment wrapText="1"/>
    </xf>
    <xf numFmtId="1" fontId="6" fillId="13" borderId="58" xfId="0" applyNumberFormat="1" applyFont="1" applyFill="1" applyBorder="1" applyAlignment="1">
      <alignment wrapText="1"/>
    </xf>
    <xf numFmtId="1" fontId="6" fillId="13" borderId="58" xfId="0" applyNumberFormat="1" applyFont="1" applyFill="1" applyBorder="1" applyAlignment="1" applyProtection="1">
      <alignment wrapText="1"/>
      <protection locked="0"/>
    </xf>
    <xf numFmtId="1" fontId="6" fillId="13" borderId="22" xfId="0" applyNumberFormat="1" applyFont="1" applyFill="1" applyBorder="1" applyAlignment="1" applyProtection="1">
      <alignment wrapText="1"/>
      <protection locked="0"/>
    </xf>
    <xf numFmtId="1" fontId="6" fillId="0" borderId="424" xfId="0" applyNumberFormat="1" applyFont="1" applyBorder="1" applyAlignment="1">
      <alignment horizontal="center" vertical="center" wrapText="1"/>
    </xf>
    <xf numFmtId="1" fontId="6" fillId="13" borderId="89" xfId="0" applyNumberFormat="1" applyFont="1" applyFill="1" applyBorder="1" applyAlignment="1" applyProtection="1">
      <alignment wrapText="1"/>
      <protection locked="0"/>
    </xf>
    <xf numFmtId="1" fontId="6" fillId="0" borderId="418" xfId="13" applyNumberFormat="1" applyFont="1" applyBorder="1" applyAlignment="1">
      <alignment horizontal="center" vertical="center" wrapText="1"/>
    </xf>
    <xf numFmtId="1" fontId="55" fillId="3" borderId="275" xfId="0" applyNumberFormat="1" applyFont="1" applyFill="1" applyBorder="1" applyAlignment="1">
      <alignment horizontal="left"/>
    </xf>
    <xf numFmtId="1" fontId="15" fillId="3" borderId="275" xfId="0" applyNumberFormat="1" applyFont="1" applyFill="1" applyBorder="1" applyAlignment="1">
      <alignment horizontal="left"/>
    </xf>
    <xf numFmtId="1" fontId="6" fillId="0" borderId="428" xfId="0" applyNumberFormat="1" applyFont="1" applyBorder="1" applyAlignment="1">
      <alignment horizontal="center" vertical="center" wrapText="1"/>
    </xf>
    <xf numFmtId="1" fontId="6" fillId="0" borderId="430" xfId="0" applyNumberFormat="1" applyFont="1" applyBorder="1" applyAlignment="1">
      <alignment horizontal="center" vertical="center" wrapText="1"/>
    </xf>
    <xf numFmtId="1" fontId="6" fillId="0" borderId="420" xfId="0" applyNumberFormat="1" applyFont="1" applyBorder="1"/>
    <xf numFmtId="1" fontId="6" fillId="0" borderId="421" xfId="0" applyNumberFormat="1" applyFont="1" applyBorder="1"/>
    <xf numFmtId="1" fontId="6" fillId="5" borderId="401" xfId="0" applyNumberFormat="1" applyFont="1" applyFill="1" applyBorder="1" applyProtection="1">
      <protection locked="0"/>
    </xf>
    <xf numFmtId="1" fontId="6" fillId="5" borderId="428" xfId="0" applyNumberFormat="1" applyFont="1" applyFill="1" applyBorder="1" applyProtection="1">
      <protection locked="0"/>
    </xf>
    <xf numFmtId="1" fontId="6" fillId="5" borderId="402" xfId="0" applyNumberFormat="1" applyFont="1" applyFill="1" applyBorder="1" applyProtection="1">
      <protection locked="0"/>
    </xf>
    <xf numFmtId="1" fontId="6" fillId="5" borderId="391" xfId="0" applyNumberFormat="1" applyFont="1" applyFill="1" applyBorder="1" applyProtection="1">
      <protection locked="0"/>
    </xf>
    <xf numFmtId="1" fontId="6" fillId="5" borderId="145" xfId="0" applyNumberFormat="1" applyFont="1" applyFill="1" applyBorder="1" applyProtection="1">
      <protection locked="0"/>
    </xf>
    <xf numFmtId="1" fontId="6" fillId="13" borderId="413" xfId="0" applyNumberFormat="1" applyFont="1" applyFill="1" applyBorder="1"/>
    <xf numFmtId="1" fontId="6" fillId="0" borderId="85" xfId="0" applyNumberFormat="1" applyFont="1" applyBorder="1"/>
    <xf numFmtId="1" fontId="6" fillId="0" borderId="85" xfId="0" applyNumberFormat="1" applyFont="1" applyBorder="1" applyAlignment="1">
      <alignment wrapText="1"/>
    </xf>
    <xf numFmtId="1" fontId="6" fillId="0" borderId="87" xfId="0" applyNumberFormat="1" applyFont="1" applyBorder="1"/>
    <xf numFmtId="1" fontId="6" fillId="5" borderId="361" xfId="0" applyNumberFormat="1" applyFont="1" applyFill="1" applyBorder="1" applyProtection="1">
      <protection locked="0"/>
    </xf>
    <xf numFmtId="1" fontId="6" fillId="5" borderId="420" xfId="0" applyNumberFormat="1" applyFont="1" applyFill="1" applyBorder="1" applyProtection="1">
      <protection locked="0"/>
    </xf>
    <xf numFmtId="1" fontId="6" fillId="4" borderId="401" xfId="0" applyNumberFormat="1" applyFont="1" applyFill="1" applyBorder="1"/>
    <xf numFmtId="1" fontId="6" fillId="4" borderId="428" xfId="0" applyNumberFormat="1" applyFont="1" applyFill="1" applyBorder="1"/>
    <xf numFmtId="1" fontId="6" fillId="4" borderId="276" xfId="0" applyNumberFormat="1" applyFont="1" applyFill="1" applyBorder="1"/>
    <xf numFmtId="1" fontId="6" fillId="5" borderId="426" xfId="0" applyNumberFormat="1" applyFont="1" applyFill="1" applyBorder="1" applyProtection="1">
      <protection locked="0"/>
    </xf>
    <xf numFmtId="1" fontId="6" fillId="13" borderId="25" xfId="0" applyNumberFormat="1" applyFont="1" applyFill="1" applyBorder="1"/>
    <xf numFmtId="1" fontId="6" fillId="5" borderId="403" xfId="0" applyNumberFormat="1" applyFont="1" applyFill="1" applyBorder="1" applyProtection="1">
      <protection locked="0"/>
    </xf>
    <xf numFmtId="1" fontId="6" fillId="4" borderId="420" xfId="0" applyNumberFormat="1" applyFont="1" applyFill="1" applyBorder="1"/>
    <xf numFmtId="1" fontId="6" fillId="16" borderId="190" xfId="0" applyNumberFormat="1" applyFont="1" applyFill="1" applyBorder="1" applyProtection="1">
      <protection locked="0"/>
    </xf>
    <xf numFmtId="1" fontId="6" fillId="16" borderId="193" xfId="0" applyNumberFormat="1" applyFont="1" applyFill="1" applyBorder="1" applyProtection="1">
      <protection locked="0"/>
    </xf>
    <xf numFmtId="1" fontId="55" fillId="3" borderId="275" xfId="0" applyNumberFormat="1" applyFont="1" applyFill="1" applyBorder="1"/>
    <xf numFmtId="1" fontId="4" fillId="3" borderId="275" xfId="0" applyNumberFormat="1" applyFont="1" applyFill="1" applyBorder="1"/>
    <xf numFmtId="1" fontId="4" fillId="15" borderId="275" xfId="0" applyNumberFormat="1" applyFont="1" applyFill="1" applyBorder="1"/>
    <xf numFmtId="1" fontId="15" fillId="15" borderId="0" xfId="0" applyNumberFormat="1" applyFont="1" applyFill="1" applyAlignment="1">
      <alignment horizontal="left"/>
    </xf>
    <xf numFmtId="1" fontId="6" fillId="15" borderId="275" xfId="0" applyNumberFormat="1" applyFont="1" applyFill="1" applyBorder="1"/>
    <xf numFmtId="1" fontId="6" fillId="0" borderId="411" xfId="0" applyNumberFormat="1" applyFont="1" applyBorder="1" applyAlignment="1">
      <alignment horizontal="center" vertical="center" wrapText="1"/>
    </xf>
    <xf numFmtId="1" fontId="6" fillId="0" borderId="427" xfId="0" applyNumberFormat="1" applyFont="1" applyBorder="1" applyAlignment="1">
      <alignment horizontal="center" vertical="center" wrapText="1"/>
    </xf>
    <xf numFmtId="1" fontId="6" fillId="0" borderId="431" xfId="0" applyNumberFormat="1" applyFont="1" applyBorder="1" applyAlignment="1">
      <alignment horizontal="center" vertical="center" wrapText="1"/>
    </xf>
    <xf numFmtId="1" fontId="6" fillId="0" borderId="416" xfId="0" applyNumberFormat="1" applyFont="1" applyBorder="1"/>
    <xf numFmtId="1" fontId="6" fillId="13" borderId="416" xfId="0" applyNumberFormat="1" applyFont="1" applyFill="1" applyBorder="1"/>
    <xf numFmtId="1" fontId="6" fillId="13" borderId="421" xfId="0" applyNumberFormat="1" applyFont="1" applyFill="1" applyBorder="1"/>
    <xf numFmtId="1" fontId="6" fillId="13" borderId="106" xfId="0" applyNumberFormat="1" applyFont="1" applyFill="1" applyBorder="1"/>
    <xf numFmtId="1" fontId="6" fillId="4" borderId="87" xfId="0" applyNumberFormat="1" applyFont="1" applyFill="1" applyBorder="1"/>
    <xf numFmtId="1" fontId="6" fillId="13" borderId="55" xfId="0" applyNumberFormat="1" applyFont="1" applyFill="1" applyBorder="1"/>
    <xf numFmtId="1" fontId="6" fillId="13" borderId="191" xfId="0" applyNumberFormat="1" applyFont="1" applyFill="1" applyBorder="1"/>
    <xf numFmtId="1" fontId="6" fillId="13" borderId="62" xfId="0" applyNumberFormat="1" applyFont="1" applyFill="1" applyBorder="1"/>
    <xf numFmtId="1" fontId="6" fillId="13" borderId="61" xfId="0" applyNumberFormat="1" applyFont="1" applyFill="1" applyBorder="1"/>
    <xf numFmtId="1" fontId="6" fillId="13" borderId="57" xfId="0" applyNumberFormat="1" applyFont="1" applyFill="1" applyBorder="1"/>
    <xf numFmtId="1" fontId="6" fillId="13" borderId="129" xfId="0" applyNumberFormat="1" applyFont="1" applyFill="1" applyBorder="1"/>
    <xf numFmtId="1" fontId="6" fillId="0" borderId="418" xfId="0" applyNumberFormat="1" applyFont="1" applyBorder="1" applyAlignment="1">
      <alignment horizontal="center" vertical="center"/>
    </xf>
    <xf numFmtId="1" fontId="51" fillId="0" borderId="422" xfId="0" applyNumberFormat="1" applyFont="1" applyBorder="1" applyAlignment="1">
      <alignment horizontal="left" vertical="center" wrapText="1"/>
    </xf>
    <xf numFmtId="1" fontId="6" fillId="5" borderId="422" xfId="0" applyNumberFormat="1" applyFont="1" applyFill="1" applyBorder="1" applyProtection="1">
      <protection locked="0"/>
    </xf>
    <xf numFmtId="1" fontId="4" fillId="3" borderId="405" xfId="0" applyNumberFormat="1" applyFont="1" applyFill="1" applyBorder="1" applyAlignment="1">
      <alignment horizontal="left"/>
    </xf>
    <xf numFmtId="1" fontId="63" fillId="3" borderId="405" xfId="0" applyNumberFormat="1" applyFont="1" applyFill="1" applyBorder="1" applyAlignment="1">
      <alignment horizontal="left"/>
    </xf>
    <xf numFmtId="1" fontId="51" fillId="0" borderId="401" xfId="0" applyNumberFormat="1" applyFont="1" applyBorder="1" applyAlignment="1">
      <alignment horizontal="center" vertical="center" wrapText="1"/>
    </xf>
    <xf numFmtId="1" fontId="51" fillId="0" borderId="424" xfId="0" applyNumberFormat="1" applyFont="1" applyBorder="1" applyAlignment="1">
      <alignment horizontal="center" vertical="center" wrapText="1"/>
    </xf>
    <xf numFmtId="1" fontId="51" fillId="0" borderId="428" xfId="0" applyNumberFormat="1" applyFont="1" applyBorder="1" applyAlignment="1">
      <alignment horizontal="center" vertical="center" wrapText="1"/>
    </xf>
    <xf numFmtId="1" fontId="51" fillId="0" borderId="420" xfId="0" applyNumberFormat="1" applyFont="1" applyBorder="1"/>
    <xf numFmtId="1" fontId="51" fillId="0" borderId="85" xfId="0" applyNumberFormat="1" applyFont="1" applyBorder="1"/>
    <xf numFmtId="1" fontId="51" fillId="0" borderId="23" xfId="0" applyNumberFormat="1" applyFont="1" applyBorder="1"/>
    <xf numFmtId="1" fontId="51" fillId="0" borderId="20" xfId="0" applyNumberFormat="1" applyFont="1" applyBorder="1"/>
    <xf numFmtId="1" fontId="51" fillId="0" borderId="46" xfId="0" applyNumberFormat="1" applyFont="1" applyBorder="1"/>
    <xf numFmtId="1" fontId="51" fillId="0" borderId="86" xfId="0" applyNumberFormat="1" applyFont="1" applyBorder="1"/>
    <xf numFmtId="1" fontId="6" fillId="0" borderId="425" xfId="0" applyNumberFormat="1" applyFont="1" applyBorder="1" applyAlignment="1">
      <alignment horizontal="center" vertical="center" wrapText="1"/>
    </xf>
    <xf numFmtId="1" fontId="6" fillId="0" borderId="145" xfId="0" applyNumberFormat="1" applyFont="1" applyBorder="1" applyAlignment="1">
      <alignment horizontal="center" vertical="center" wrapText="1"/>
    </xf>
    <xf numFmtId="1" fontId="6" fillId="5" borderId="424" xfId="0" applyNumberFormat="1" applyFont="1" applyFill="1" applyBorder="1" applyProtection="1">
      <protection locked="0"/>
    </xf>
    <xf numFmtId="1" fontId="6" fillId="0" borderId="418" xfId="0" applyNumberFormat="1" applyFont="1" applyBorder="1" applyAlignment="1">
      <alignment horizontal="center" vertical="center" wrapText="1"/>
    </xf>
    <xf numFmtId="1" fontId="6" fillId="3" borderId="0" xfId="0" applyNumberFormat="1" applyFont="1" applyFill="1" applyAlignment="1">
      <alignment horizontal="center" wrapText="1"/>
    </xf>
    <xf numFmtId="1" fontId="6" fillId="28" borderId="45" xfId="0" applyNumberFormat="1" applyFont="1" applyFill="1" applyBorder="1" applyProtection="1">
      <protection locked="0"/>
    </xf>
    <xf numFmtId="1" fontId="6" fillId="28" borderId="18" xfId="0" applyNumberFormat="1" applyFont="1" applyFill="1" applyBorder="1" applyProtection="1">
      <protection locked="0"/>
    </xf>
    <xf numFmtId="1" fontId="51" fillId="0" borderId="418" xfId="0" applyNumberFormat="1" applyFont="1" applyBorder="1" applyAlignment="1">
      <alignment horizontal="center" vertical="center"/>
    </xf>
    <xf numFmtId="1" fontId="51" fillId="0" borderId="410" xfId="0" applyNumberFormat="1" applyFont="1" applyBorder="1" applyAlignment="1">
      <alignment horizontal="center" vertical="center"/>
    </xf>
    <xf numFmtId="1" fontId="51" fillId="0" borderId="412" xfId="0" applyNumberFormat="1" applyFont="1" applyBorder="1" applyAlignment="1">
      <alignment horizontal="center" vertical="center" wrapText="1"/>
    </xf>
    <xf numFmtId="1" fontId="51" fillId="0" borderId="411" xfId="0" applyNumberFormat="1" applyFont="1" applyBorder="1" applyAlignment="1">
      <alignment horizontal="center" vertical="center" wrapText="1"/>
    </xf>
    <xf numFmtId="1" fontId="51" fillId="0" borderId="407" xfId="0" applyNumberFormat="1" applyFont="1" applyBorder="1" applyAlignment="1">
      <alignment horizontal="center" vertical="center" wrapText="1"/>
    </xf>
    <xf numFmtId="1" fontId="51" fillId="0" borderId="413" xfId="0" applyNumberFormat="1" applyFont="1" applyBorder="1" applyAlignment="1">
      <alignment horizontal="left" vertical="center" wrapText="1"/>
    </xf>
    <xf numFmtId="1" fontId="51" fillId="5" borderId="414" xfId="0" applyNumberFormat="1" applyFont="1" applyFill="1" applyBorder="1" applyProtection="1">
      <protection locked="0"/>
    </xf>
    <xf numFmtId="1" fontId="51" fillId="28" borderId="45" xfId="0" applyNumberFormat="1" applyFont="1" applyFill="1" applyBorder="1" applyProtection="1">
      <protection locked="0"/>
    </xf>
    <xf numFmtId="1" fontId="51" fillId="28" borderId="416" xfId="0" applyNumberFormat="1" applyFont="1" applyFill="1" applyBorder="1" applyProtection="1">
      <protection locked="0"/>
    </xf>
    <xf numFmtId="1" fontId="0" fillId="19" borderId="0" xfId="0" applyNumberFormat="1" applyFill="1"/>
    <xf numFmtId="1" fontId="0" fillId="19" borderId="0" xfId="0" applyNumberFormat="1" applyFill="1" applyProtection="1">
      <protection locked="0"/>
    </xf>
    <xf numFmtId="1" fontId="2" fillId="3" borderId="0" xfId="0" applyNumberFormat="1" applyFont="1" applyFill="1" applyAlignment="1">
      <alignment vertical="center"/>
    </xf>
    <xf numFmtId="1" fontId="6" fillId="5" borderId="359" xfId="0" applyNumberFormat="1" applyFont="1" applyFill="1" applyBorder="1" applyProtection="1">
      <protection locked="0"/>
    </xf>
    <xf numFmtId="1" fontId="6" fillId="0" borderId="413" xfId="0" applyNumberFormat="1" applyFont="1" applyBorder="1" applyAlignment="1">
      <alignment vertical="center" wrapText="1"/>
    </xf>
    <xf numFmtId="1" fontId="6" fillId="0" borderId="417" xfId="0" applyNumberFormat="1" applyFont="1" applyBorder="1" applyAlignment="1">
      <alignment horizontal="center" vertical="center" wrapText="1"/>
    </xf>
    <xf numFmtId="1" fontId="6" fillId="3" borderId="413" xfId="0" applyNumberFormat="1" applyFont="1" applyFill="1" applyBorder="1"/>
    <xf numFmtId="1" fontId="6" fillId="3" borderId="422" xfId="0" applyNumberFormat="1" applyFont="1" applyFill="1" applyBorder="1"/>
    <xf numFmtId="1" fontId="6" fillId="3" borderId="40" xfId="0" applyNumberFormat="1" applyFont="1" applyFill="1" applyBorder="1"/>
    <xf numFmtId="1" fontId="6" fillId="3" borderId="23" xfId="0" applyNumberFormat="1" applyFont="1" applyFill="1" applyBorder="1"/>
    <xf numFmtId="1" fontId="6" fillId="0" borderId="412" xfId="0" applyNumberFormat="1" applyFont="1" applyBorder="1" applyAlignment="1">
      <alignment horizontal="center" vertical="center" wrapText="1"/>
    </xf>
    <xf numFmtId="1" fontId="6" fillId="0" borderId="24" xfId="0" applyNumberFormat="1" applyFont="1" applyBorder="1" applyAlignment="1" applyProtection="1">
      <alignment vertical="center" wrapText="1"/>
      <protection hidden="1"/>
    </xf>
    <xf numFmtId="1" fontId="6" fillId="5" borderId="410" xfId="0" applyNumberFormat="1" applyFont="1" applyFill="1" applyBorder="1" applyProtection="1">
      <protection locked="0"/>
    </xf>
    <xf numFmtId="1" fontId="6" fillId="5" borderId="412" xfId="0" applyNumberFormat="1" applyFont="1" applyFill="1" applyBorder="1" applyProtection="1">
      <protection locked="0"/>
    </xf>
    <xf numFmtId="1" fontId="6" fillId="5" borderId="407" xfId="0" applyNumberFormat="1" applyFont="1" applyFill="1" applyBorder="1" applyProtection="1">
      <protection locked="0"/>
    </xf>
    <xf numFmtId="1" fontId="51" fillId="0" borderId="412" xfId="0" applyNumberFormat="1" applyFont="1" applyFill="1" applyBorder="1"/>
    <xf numFmtId="1" fontId="51" fillId="0" borderId="410" xfId="0" applyNumberFormat="1" applyFont="1" applyFill="1" applyBorder="1"/>
    <xf numFmtId="1" fontId="51" fillId="0" borderId="407" xfId="0" applyNumberFormat="1" applyFont="1" applyBorder="1"/>
    <xf numFmtId="0" fontId="51" fillId="0" borderId="112" xfId="0" applyFont="1" applyBorder="1" applyAlignment="1">
      <alignment horizontal="left" vertical="center" wrapText="1"/>
    </xf>
    <xf numFmtId="0" fontId="51" fillId="0" borderId="407" xfId="0" applyFont="1" applyFill="1" applyBorder="1" applyAlignment="1">
      <alignment horizontal="center" vertical="center" wrapText="1"/>
    </xf>
    <xf numFmtId="0" fontId="51" fillId="0" borderId="410" xfId="0" applyFont="1" applyFill="1" applyBorder="1" applyAlignment="1">
      <alignment horizontal="center" vertical="center" wrapText="1"/>
    </xf>
    <xf numFmtId="0" fontId="51" fillId="0" borderId="412" xfId="0" applyFont="1" applyFill="1" applyBorder="1" applyAlignment="1">
      <alignment horizontal="center" vertical="center" wrapText="1"/>
    </xf>
    <xf numFmtId="0" fontId="51" fillId="0" borderId="418" xfId="0" applyFont="1" applyBorder="1" applyAlignment="1">
      <alignment horizontal="center" vertical="center" wrapText="1"/>
    </xf>
    <xf numFmtId="0" fontId="51" fillId="0" borderId="407" xfId="0" applyFont="1" applyBorder="1" applyAlignment="1">
      <alignment horizontal="center" vertical="center"/>
    </xf>
    <xf numFmtId="1" fontId="51" fillId="0" borderId="412" xfId="0" applyNumberFormat="1" applyFont="1" applyBorder="1"/>
    <xf numFmtId="1" fontId="51" fillId="0" borderId="410" xfId="0" applyNumberFormat="1" applyFont="1" applyBorder="1"/>
    <xf numFmtId="1" fontId="51" fillId="0" borderId="413" xfId="0" applyNumberFormat="1" applyFont="1" applyBorder="1"/>
    <xf numFmtId="0" fontId="51" fillId="0" borderId="406" xfId="0" applyFont="1" applyBorder="1" applyAlignment="1">
      <alignment horizontal="center" vertical="center" wrapText="1"/>
    </xf>
    <xf numFmtId="1" fontId="51" fillId="0" borderId="418" xfId="0" applyNumberFormat="1" applyFont="1" applyBorder="1"/>
    <xf numFmtId="1" fontId="51" fillId="0" borderId="113" xfId="0" applyNumberFormat="1" applyFont="1" applyBorder="1"/>
    <xf numFmtId="1" fontId="51" fillId="15" borderId="407" xfId="0" applyNumberFormat="1" applyFont="1" applyFill="1" applyBorder="1"/>
    <xf numFmtId="1" fontId="51" fillId="5" borderId="111" xfId="0" applyNumberFormat="1" applyFont="1" applyFill="1" applyBorder="1" applyProtection="1">
      <protection locked="0"/>
    </xf>
    <xf numFmtId="1" fontId="51" fillId="5" borderId="403" xfId="0" applyNumberFormat="1" applyFont="1" applyFill="1" applyBorder="1" applyProtection="1">
      <protection locked="0"/>
    </xf>
    <xf numFmtId="1" fontId="51" fillId="0" borderId="416" xfId="0" applyNumberFormat="1" applyFont="1" applyBorder="1"/>
    <xf numFmtId="0" fontId="51" fillId="0" borderId="410" xfId="0" applyFont="1" applyBorder="1" applyAlignment="1">
      <alignment horizontal="center" vertical="center" wrapText="1"/>
    </xf>
    <xf numFmtId="0" fontId="51" fillId="0" borderId="407" xfId="0" applyFont="1" applyBorder="1" applyAlignment="1">
      <alignment horizontal="center" vertical="center" wrapText="1"/>
    </xf>
    <xf numFmtId="0" fontId="51" fillId="0" borderId="412" xfId="0" applyFont="1" applyBorder="1" applyAlignment="1">
      <alignment horizontal="center" vertical="center" wrapText="1"/>
    </xf>
    <xf numFmtId="0" fontId="51" fillId="0" borderId="428" xfId="0" applyFont="1" applyBorder="1" applyAlignment="1">
      <alignment horizontal="center" vertical="center" wrapText="1"/>
    </xf>
    <xf numFmtId="0" fontId="51" fillId="0" borderId="403" xfId="0" applyFont="1" applyBorder="1" applyAlignment="1">
      <alignment horizontal="center" vertical="center" wrapText="1"/>
    </xf>
    <xf numFmtId="0" fontId="51" fillId="0" borderId="428" xfId="0" applyFont="1" applyBorder="1" applyAlignment="1">
      <alignment horizontal="center" vertical="center"/>
    </xf>
    <xf numFmtId="0" fontId="54" fillId="0" borderId="0" xfId="0" applyFont="1" applyFill="1"/>
    <xf numFmtId="1" fontId="2" fillId="3" borderId="0" xfId="0" applyNumberFormat="1" applyFont="1" applyFill="1" applyAlignment="1">
      <alignment horizontal="center" vertical="center" wrapText="1"/>
    </xf>
    <xf numFmtId="1" fontId="6" fillId="0" borderId="37" xfId="0" applyNumberFormat="1" applyFont="1" applyBorder="1" applyAlignment="1">
      <alignment horizontal="left" vertical="center" wrapText="1"/>
    </xf>
    <xf numFmtId="1" fontId="6" fillId="0" borderId="81" xfId="0" applyNumberFormat="1" applyFont="1" applyBorder="1" applyAlignment="1">
      <alignment horizontal="center" vertical="center" wrapText="1"/>
    </xf>
    <xf numFmtId="1" fontId="6" fillId="0" borderId="25" xfId="0" applyNumberFormat="1" applyFont="1" applyBorder="1" applyAlignment="1">
      <alignment horizontal="left"/>
    </xf>
    <xf numFmtId="1" fontId="6" fillId="0" borderId="37" xfId="0" applyNumberFormat="1" applyFont="1" applyBorder="1" applyAlignment="1">
      <alignment horizontal="left"/>
    </xf>
    <xf numFmtId="1" fontId="6" fillId="0" borderId="37" xfId="0" applyNumberFormat="1" applyFont="1" applyBorder="1" applyAlignment="1">
      <alignment horizontal="left" vertical="center"/>
    </xf>
    <xf numFmtId="1" fontId="6" fillId="0" borderId="24" xfId="0" applyNumberFormat="1" applyFont="1" applyBorder="1" applyAlignment="1">
      <alignment horizontal="left" vertical="center" wrapText="1"/>
    </xf>
    <xf numFmtId="1" fontId="55" fillId="0" borderId="0" xfId="0" applyNumberFormat="1" applyFont="1"/>
    <xf numFmtId="1" fontId="6" fillId="0" borderId="404" xfId="0" applyNumberFormat="1" applyFont="1" applyBorder="1" applyAlignment="1">
      <alignment horizontal="center" vertical="center" wrapText="1"/>
    </xf>
    <xf numFmtId="1" fontId="6" fillId="0" borderId="406" xfId="0" applyNumberFormat="1" applyFont="1" applyBorder="1" applyAlignment="1">
      <alignment horizontal="center" vertical="center" wrapText="1"/>
    </xf>
    <xf numFmtId="1" fontId="6" fillId="0" borderId="404" xfId="0" applyNumberFormat="1" applyFont="1" applyBorder="1" applyAlignment="1">
      <alignment horizontal="center" vertical="center"/>
    </xf>
    <xf numFmtId="1" fontId="6" fillId="0" borderId="403" xfId="0" applyNumberFormat="1" applyFont="1" applyBorder="1" applyAlignment="1">
      <alignment horizontal="center" vertical="center" wrapText="1"/>
    </xf>
    <xf numFmtId="1" fontId="6" fillId="0" borderId="407" xfId="0" applyNumberFormat="1" applyFont="1" applyBorder="1" applyAlignment="1">
      <alignment horizontal="center" vertical="center" wrapText="1"/>
    </xf>
    <xf numFmtId="1" fontId="6" fillId="0" borderId="413" xfId="0" applyNumberFormat="1" applyFont="1" applyBorder="1" applyAlignment="1">
      <alignment horizontal="left" vertical="center" wrapText="1"/>
    </xf>
    <xf numFmtId="1" fontId="6" fillId="0" borderId="418" xfId="0" applyNumberFormat="1" applyFont="1" applyBorder="1" applyAlignment="1">
      <alignment horizontal="center" vertical="center" wrapText="1"/>
    </xf>
    <xf numFmtId="1" fontId="6" fillId="0" borderId="428" xfId="0" applyNumberFormat="1" applyFont="1" applyBorder="1" applyAlignment="1">
      <alignment horizontal="center" vertical="center" wrapText="1"/>
    </xf>
    <xf numFmtId="1" fontId="6" fillId="0" borderId="13" xfId="0" applyNumberFormat="1" applyFont="1" applyBorder="1"/>
    <xf numFmtId="1" fontId="6" fillId="0" borderId="38" xfId="0" applyNumberFormat="1" applyFont="1" applyBorder="1" applyAlignment="1">
      <alignment vertical="center" wrapText="1"/>
    </xf>
    <xf numFmtId="1" fontId="6" fillId="0" borderId="418" xfId="0" applyNumberFormat="1" applyFont="1" applyBorder="1" applyAlignment="1">
      <alignment horizontal="center" vertical="center"/>
    </xf>
    <xf numFmtId="1" fontId="6" fillId="3" borderId="418" xfId="0" applyNumberFormat="1" applyFont="1" applyFill="1" applyBorder="1" applyAlignment="1">
      <alignment horizontal="center" vertical="center" wrapText="1"/>
    </xf>
    <xf numFmtId="1" fontId="6" fillId="0" borderId="431" xfId="0" applyNumberFormat="1" applyFont="1" applyBorder="1" applyAlignment="1">
      <alignment horizontal="center" vertical="center" wrapText="1"/>
    </xf>
    <xf numFmtId="0" fontId="51" fillId="0" borderId="418" xfId="0" applyFont="1" applyBorder="1" applyAlignment="1">
      <alignment horizontal="center" vertical="center"/>
    </xf>
    <xf numFmtId="49" fontId="51" fillId="0" borderId="418" xfId="0" applyNumberFormat="1" applyFont="1" applyBorder="1" applyAlignment="1">
      <alignment horizontal="center" vertical="center" wrapText="1"/>
    </xf>
    <xf numFmtId="1" fontId="6" fillId="0" borderId="422" xfId="0" applyNumberFormat="1" applyFont="1" applyBorder="1"/>
    <xf numFmtId="1" fontId="6" fillId="3" borderId="426" xfId="0" applyNumberFormat="1" applyFont="1" applyFill="1" applyBorder="1" applyAlignment="1">
      <alignment horizontal="left" wrapText="1"/>
    </xf>
    <xf numFmtId="1" fontId="6" fillId="3" borderId="404" xfId="0" applyNumberFormat="1" applyFont="1" applyFill="1" applyBorder="1" applyAlignment="1">
      <alignment horizontal="left" wrapText="1"/>
    </xf>
    <xf numFmtId="1" fontId="6" fillId="0" borderId="422" xfId="0" applyNumberFormat="1" applyFont="1" applyBorder="1" applyAlignment="1">
      <alignment horizontal="left"/>
    </xf>
    <xf numFmtId="1" fontId="6" fillId="0" borderId="407" xfId="0" applyNumberFormat="1" applyFont="1" applyBorder="1"/>
    <xf numFmtId="1" fontId="6" fillId="0" borderId="418" xfId="0" applyNumberFormat="1" applyFont="1" applyBorder="1"/>
    <xf numFmtId="1" fontId="6" fillId="0" borderId="404" xfId="0" applyNumberFormat="1" applyFont="1" applyBorder="1"/>
    <xf numFmtId="1" fontId="6" fillId="0" borderId="410" xfId="0" applyNumberFormat="1" applyFont="1" applyBorder="1"/>
    <xf numFmtId="1" fontId="20" fillId="0" borderId="404" xfId="0" applyNumberFormat="1" applyFont="1" applyBorder="1"/>
    <xf numFmtId="1" fontId="6" fillId="3" borderId="410" xfId="0" applyNumberFormat="1" applyFont="1" applyFill="1" applyBorder="1" applyAlignment="1">
      <alignment horizontal="right" wrapText="1"/>
    </xf>
    <xf numFmtId="1" fontId="6" fillId="5" borderId="404" xfId="0" applyNumberFormat="1" applyFont="1" applyFill="1" applyBorder="1" applyProtection="1">
      <protection locked="0"/>
    </xf>
    <xf numFmtId="1" fontId="6" fillId="3" borderId="411" xfId="0" applyNumberFormat="1" applyFont="1" applyFill="1" applyBorder="1" applyAlignment="1">
      <alignment horizontal="center" vertical="center" wrapText="1"/>
    </xf>
    <xf numFmtId="1" fontId="6" fillId="3" borderId="410" xfId="0" applyNumberFormat="1" applyFont="1" applyFill="1" applyBorder="1" applyAlignment="1">
      <alignment horizontal="center" vertical="center" wrapText="1"/>
    </xf>
    <xf numFmtId="1" fontId="6" fillId="0" borderId="432" xfId="0" applyNumberFormat="1" applyFont="1" applyBorder="1"/>
    <xf numFmtId="1" fontId="6" fillId="0" borderId="433" xfId="0" applyNumberFormat="1" applyFont="1" applyBorder="1"/>
    <xf numFmtId="1" fontId="6" fillId="0" borderId="434" xfId="0" applyNumberFormat="1" applyFont="1" applyBorder="1"/>
    <xf numFmtId="1" fontId="3" fillId="0" borderId="434" xfId="0" applyNumberFormat="1" applyFont="1" applyBorder="1"/>
    <xf numFmtId="1" fontId="3" fillId="0" borderId="432" xfId="0" applyNumberFormat="1" applyFont="1" applyBorder="1"/>
    <xf numFmtId="1" fontId="10" fillId="0" borderId="435" xfId="0" applyNumberFormat="1" applyFont="1" applyBorder="1"/>
    <xf numFmtId="1" fontId="10" fillId="0" borderId="436" xfId="0" applyNumberFormat="1" applyFont="1" applyBorder="1"/>
    <xf numFmtId="1" fontId="13" fillId="0" borderId="437" xfId="0" applyNumberFormat="1" applyFont="1" applyBorder="1" applyAlignment="1">
      <alignment vertical="center"/>
    </xf>
    <xf numFmtId="1" fontId="13" fillId="0" borderId="436" xfId="0" applyNumberFormat="1" applyFont="1" applyBorder="1" applyProtection="1">
      <protection locked="0"/>
    </xf>
    <xf numFmtId="1" fontId="6" fillId="5" borderId="262" xfId="0" applyNumberFormat="1" applyFont="1" applyFill="1" applyBorder="1" applyProtection="1">
      <protection locked="0"/>
    </xf>
    <xf numFmtId="1" fontId="6" fillId="3" borderId="340" xfId="0" applyNumberFormat="1" applyFont="1" applyFill="1" applyBorder="1" applyAlignment="1">
      <alignment vertical="center"/>
    </xf>
    <xf numFmtId="1" fontId="6" fillId="3" borderId="426" xfId="0" applyNumberFormat="1" applyFont="1" applyFill="1" applyBorder="1" applyAlignment="1">
      <alignment vertical="center"/>
    </xf>
    <xf numFmtId="1" fontId="10" fillId="15" borderId="438" xfId="0" applyNumberFormat="1" applyFont="1" applyFill="1" applyBorder="1"/>
    <xf numFmtId="1" fontId="6" fillId="3" borderId="421" xfId="0" applyNumberFormat="1" applyFont="1" applyFill="1" applyBorder="1" applyAlignment="1">
      <alignment vertical="center"/>
    </xf>
    <xf numFmtId="1" fontId="26" fillId="0" borderId="439" xfId="0" applyNumberFormat="1" applyFont="1" applyBorder="1"/>
    <xf numFmtId="1" fontId="26" fillId="18" borderId="439" xfId="0" applyNumberFormat="1" applyFont="1" applyFill="1" applyBorder="1" applyProtection="1">
      <protection locked="0"/>
    </xf>
    <xf numFmtId="1" fontId="26" fillId="20" borderId="439" xfId="0" applyNumberFormat="1" applyFont="1" applyFill="1" applyBorder="1" applyProtection="1">
      <protection locked="0"/>
    </xf>
    <xf numFmtId="1" fontId="6" fillId="3" borderId="416" xfId="0" applyNumberFormat="1" applyFont="1" applyFill="1" applyBorder="1" applyAlignment="1">
      <alignment vertical="center" wrapText="1"/>
    </xf>
    <xf numFmtId="1" fontId="6" fillId="3" borderId="420" xfId="0" applyNumberFormat="1" applyFont="1" applyFill="1" applyBorder="1" applyAlignment="1">
      <alignment vertical="center" wrapText="1"/>
    </xf>
    <xf numFmtId="1" fontId="6" fillId="3" borderId="407" xfId="0" applyNumberFormat="1" applyFont="1" applyFill="1" applyBorder="1"/>
    <xf numFmtId="1" fontId="6" fillId="3" borderId="411" xfId="0" applyNumberFormat="1" applyFont="1" applyFill="1" applyBorder="1"/>
    <xf numFmtId="1" fontId="6" fillId="3" borderId="410" xfId="0" applyNumberFormat="1" applyFont="1" applyFill="1" applyBorder="1"/>
    <xf numFmtId="1" fontId="6" fillId="3" borderId="404" xfId="0" applyNumberFormat="1" applyFont="1" applyFill="1" applyBorder="1" applyAlignment="1">
      <alignment wrapText="1"/>
    </xf>
    <xf numFmtId="1" fontId="6" fillId="3" borderId="413" xfId="0" applyNumberFormat="1" applyFont="1" applyFill="1" applyBorder="1" applyAlignment="1">
      <alignment horizontal="left"/>
    </xf>
    <xf numFmtId="1" fontId="51" fillId="3" borderId="407" xfId="0" applyNumberFormat="1" applyFont="1" applyFill="1" applyBorder="1" applyAlignment="1">
      <alignment horizontal="center" vertical="center" wrapText="1"/>
    </xf>
    <xf numFmtId="1" fontId="6" fillId="3" borderId="407" xfId="0" applyNumberFormat="1" applyFont="1" applyFill="1" applyBorder="1" applyAlignment="1">
      <alignment horizontal="center" vertical="center" wrapText="1"/>
    </xf>
    <xf numFmtId="1" fontId="6" fillId="3" borderId="418" xfId="0" applyNumberFormat="1" applyFont="1" applyFill="1" applyBorder="1" applyAlignment="1">
      <alignment horizontal="center" vertical="center"/>
    </xf>
    <xf numFmtId="1" fontId="6" fillId="3" borderId="412" xfId="0" applyNumberFormat="1" applyFont="1" applyFill="1" applyBorder="1"/>
    <xf numFmtId="1" fontId="6" fillId="0" borderId="404" xfId="0" applyNumberFormat="1" applyFont="1" applyBorder="1" applyAlignment="1">
      <alignment horizontal="left" vertical="center"/>
    </xf>
    <xf numFmtId="1" fontId="6" fillId="0" borderId="342" xfId="0" applyNumberFormat="1" applyFont="1" applyBorder="1" applyAlignment="1">
      <alignment horizontal="right" vertical="center"/>
    </xf>
    <xf numFmtId="1" fontId="6" fillId="0" borderId="413" xfId="0" applyNumberFormat="1" applyFont="1" applyBorder="1" applyAlignment="1">
      <alignment horizontal="right" vertical="center"/>
    </xf>
    <xf numFmtId="1" fontId="6" fillId="5" borderId="407" xfId="0" applyNumberFormat="1" applyFont="1" applyFill="1" applyBorder="1" applyAlignment="1" applyProtection="1">
      <alignment horizontal="right"/>
      <protection locked="0"/>
    </xf>
    <xf numFmtId="1" fontId="6" fillId="5" borderId="412" xfId="0" applyNumberFormat="1" applyFont="1" applyFill="1" applyBorder="1" applyAlignment="1" applyProtection="1">
      <alignment horizontal="right"/>
      <protection locked="0"/>
    </xf>
    <xf numFmtId="1" fontId="6" fillId="5" borderId="125" xfId="0" applyNumberFormat="1" applyFont="1" applyFill="1" applyBorder="1" applyAlignment="1" applyProtection="1">
      <alignment horizontal="right"/>
      <protection locked="0"/>
    </xf>
    <xf numFmtId="1" fontId="6" fillId="5" borderId="406" xfId="0" applyNumberFormat="1" applyFont="1" applyFill="1" applyBorder="1" applyAlignment="1" applyProtection="1">
      <alignment horizontal="right"/>
      <protection locked="0"/>
    </xf>
    <xf numFmtId="1" fontId="6" fillId="5" borderId="410" xfId="0" applyNumberFormat="1" applyFont="1" applyFill="1" applyBorder="1" applyAlignment="1" applyProtection="1">
      <alignment horizontal="right"/>
      <protection locked="0"/>
    </xf>
    <xf numFmtId="1" fontId="6" fillId="0" borderId="428" xfId="0" applyNumberFormat="1" applyFont="1" applyBorder="1" applyAlignment="1">
      <alignment horizontal="right" vertical="center"/>
    </xf>
    <xf numFmtId="1" fontId="6" fillId="0" borderId="342" xfId="0" applyNumberFormat="1" applyFont="1" applyBorder="1"/>
    <xf numFmtId="1" fontId="6" fillId="5" borderId="375" xfId="0" applyNumberFormat="1" applyFont="1" applyFill="1" applyBorder="1" applyProtection="1">
      <protection locked="0"/>
    </xf>
    <xf numFmtId="1" fontId="6" fillId="0" borderId="428" xfId="0" applyNumberFormat="1" applyFont="1" applyBorder="1"/>
    <xf numFmtId="1" fontId="6" fillId="0" borderId="411" xfId="0" applyNumberFormat="1" applyFont="1" applyBorder="1"/>
    <xf numFmtId="1" fontId="6" fillId="0" borderId="412" xfId="0" applyNumberFormat="1" applyFont="1" applyBorder="1"/>
    <xf numFmtId="1" fontId="15" fillId="0" borderId="418" xfId="0" applyNumberFormat="1" applyFont="1" applyBorder="1"/>
    <xf numFmtId="1" fontId="6" fillId="3" borderId="262" xfId="0" applyNumberFormat="1" applyFont="1" applyFill="1" applyBorder="1" applyAlignment="1">
      <alignment vertical="center" wrapText="1"/>
    </xf>
    <xf numFmtId="1" fontId="6" fillId="5" borderId="411" xfId="0" applyNumberFormat="1" applyFont="1" applyFill="1" applyBorder="1" applyProtection="1">
      <protection locked="0"/>
    </xf>
    <xf numFmtId="1" fontId="6" fillId="0" borderId="13" xfId="0" applyNumberFormat="1" applyFont="1" applyBorder="1" applyAlignment="1">
      <alignment horizontal="center" vertical="center"/>
    </xf>
    <xf numFmtId="1" fontId="6" fillId="0" borderId="16" xfId="0" applyNumberFormat="1" applyFont="1" applyBorder="1"/>
    <xf numFmtId="1" fontId="6" fillId="0" borderId="18" xfId="0" applyNumberFormat="1" applyFont="1" applyBorder="1"/>
    <xf numFmtId="1" fontId="6" fillId="0" borderId="38" xfId="0" applyNumberFormat="1" applyFont="1" applyBorder="1"/>
    <xf numFmtId="1" fontId="6" fillId="0" borderId="36" xfId="0" applyNumberFormat="1" applyFont="1" applyBorder="1"/>
    <xf numFmtId="1" fontId="6" fillId="0" borderId="20" xfId="0" applyNumberFormat="1" applyFont="1" applyBorder="1"/>
    <xf numFmtId="1" fontId="6" fillId="0" borderId="22" xfId="0" applyNumberFormat="1" applyFont="1" applyBorder="1"/>
    <xf numFmtId="1" fontId="6" fillId="0" borderId="13" xfId="0" applyNumberFormat="1" applyFont="1" applyBorder="1"/>
    <xf numFmtId="1" fontId="6" fillId="0" borderId="418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 wrapText="1"/>
    </xf>
    <xf numFmtId="1" fontId="6" fillId="0" borderId="47" xfId="0" applyNumberFormat="1" applyFont="1" applyBorder="1" applyAlignment="1">
      <alignment horizontal="center" vertical="center" wrapText="1"/>
    </xf>
    <xf numFmtId="1" fontId="6" fillId="0" borderId="392" xfId="0" applyNumberFormat="1" applyFont="1" applyBorder="1" applyAlignment="1">
      <alignment horizontal="center" vertical="center" wrapText="1"/>
    </xf>
    <xf numFmtId="1" fontId="6" fillId="0" borderId="403" xfId="0" applyNumberFormat="1" applyFont="1" applyBorder="1" applyAlignment="1">
      <alignment horizontal="center" vertical="center" wrapText="1"/>
    </xf>
    <xf numFmtId="1" fontId="20" fillId="0" borderId="0" xfId="0" applyNumberFormat="1" applyFont="1"/>
    <xf numFmtId="1" fontId="51" fillId="5" borderId="109" xfId="0" applyNumberFormat="1" applyFont="1" applyFill="1" applyBorder="1" applyProtection="1">
      <protection locked="0"/>
    </xf>
    <xf numFmtId="1" fontId="51" fillId="5" borderId="103" xfId="0" applyNumberFormat="1" applyFont="1" applyFill="1" applyBorder="1" applyProtection="1">
      <protection locked="0"/>
    </xf>
    <xf numFmtId="1" fontId="51" fillId="5" borderId="253" xfId="0" applyNumberFormat="1" applyFont="1" applyFill="1" applyBorder="1" applyProtection="1">
      <protection locked="0"/>
    </xf>
    <xf numFmtId="1" fontId="51" fillId="0" borderId="402" xfId="0" applyNumberFormat="1" applyFont="1" applyBorder="1" applyAlignment="1">
      <alignment vertical="center" wrapText="1"/>
    </xf>
    <xf numFmtId="1" fontId="51" fillId="0" borderId="97" xfId="0" applyNumberFormat="1" applyFont="1" applyBorder="1" applyAlignment="1">
      <alignment horizontal="center" vertical="center" wrapText="1"/>
    </xf>
    <xf numFmtId="1" fontId="68" fillId="0" borderId="418" xfId="0" applyNumberFormat="1" applyFont="1" applyBorder="1" applyAlignment="1">
      <alignment horizontal="center" vertical="center" wrapText="1"/>
    </xf>
    <xf numFmtId="1" fontId="55" fillId="3" borderId="237" xfId="0" applyNumberFormat="1" applyFont="1" applyFill="1" applyBorder="1" applyAlignment="1">
      <alignment horizontal="left"/>
    </xf>
    <xf numFmtId="1" fontId="6" fillId="0" borderId="264" xfId="0" applyNumberFormat="1" applyFont="1" applyBorder="1"/>
    <xf numFmtId="1" fontId="6" fillId="0" borderId="442" xfId="0" applyNumberFormat="1" applyFont="1" applyBorder="1"/>
    <xf numFmtId="1" fontId="68" fillId="0" borderId="280" xfId="0" applyNumberFormat="1" applyFont="1" applyBorder="1" applyAlignment="1">
      <alignment horizontal="center" vertical="center" wrapText="1"/>
    </xf>
    <xf numFmtId="1" fontId="55" fillId="3" borderId="405" xfId="0" applyNumberFormat="1" applyFont="1" applyFill="1" applyBorder="1" applyAlignment="1">
      <alignment horizontal="left"/>
    </xf>
    <xf numFmtId="1" fontId="23" fillId="0" borderId="418" xfId="2" applyNumberFormat="1" applyFont="1" applyBorder="1" applyAlignment="1">
      <alignment vertical="center"/>
    </xf>
    <xf numFmtId="1" fontId="6" fillId="0" borderId="417" xfId="0" applyNumberFormat="1" applyFont="1" applyBorder="1" applyAlignment="1">
      <alignment horizontal="center" vertical="center"/>
    </xf>
    <xf numFmtId="1" fontId="6" fillId="0" borderId="414" xfId="0" applyNumberFormat="1" applyFont="1" applyBorder="1"/>
    <xf numFmtId="1" fontId="26" fillId="3" borderId="435" xfId="0" applyNumberFormat="1" applyFont="1" applyFill="1" applyBorder="1"/>
    <xf numFmtId="1" fontId="26" fillId="3" borderId="438" xfId="0" applyNumberFormat="1" applyFont="1" applyFill="1" applyBorder="1"/>
    <xf numFmtId="1" fontId="26" fillId="3" borderId="443" xfId="0" applyNumberFormat="1" applyFont="1" applyFill="1" applyBorder="1"/>
    <xf numFmtId="1" fontId="2" fillId="3" borderId="0" xfId="0" applyNumberFormat="1" applyFont="1" applyFill="1" applyAlignment="1">
      <alignment horizontal="center" vertical="center" wrapText="1"/>
    </xf>
    <xf numFmtId="1" fontId="6" fillId="0" borderId="9" xfId="0" applyNumberFormat="1" applyFont="1" applyBorder="1" applyAlignment="1">
      <alignment horizontal="center" vertical="center" wrapText="1"/>
    </xf>
    <xf numFmtId="1" fontId="6" fillId="0" borderId="37" xfId="0" applyNumberFormat="1" applyFont="1" applyBorder="1" applyAlignment="1">
      <alignment horizontal="left" vertical="center" wrapText="1"/>
    </xf>
    <xf numFmtId="1" fontId="6" fillId="0" borderId="40" xfId="0" applyNumberFormat="1" applyFont="1" applyBorder="1" applyAlignment="1">
      <alignment vertical="center" wrapText="1"/>
    </xf>
    <xf numFmtId="1" fontId="6" fillId="0" borderId="81" xfId="0" applyNumberFormat="1" applyFont="1" applyBorder="1" applyAlignment="1">
      <alignment horizontal="center" vertical="center"/>
    </xf>
    <xf numFmtId="1" fontId="6" fillId="0" borderId="23" xfId="0" applyNumberFormat="1" applyFont="1" applyBorder="1" applyAlignment="1">
      <alignment horizontal="left" vertical="center" wrapText="1"/>
    </xf>
    <xf numFmtId="1" fontId="6" fillId="0" borderId="24" xfId="0" applyNumberFormat="1" applyFont="1" applyBorder="1" applyAlignment="1">
      <alignment horizontal="center" vertical="center" wrapText="1"/>
    </xf>
    <xf numFmtId="1" fontId="20" fillId="0" borderId="35" xfId="0" applyNumberFormat="1" applyFont="1" applyBorder="1" applyAlignment="1">
      <alignment horizontal="center" vertical="center"/>
    </xf>
    <xf numFmtId="1" fontId="20" fillId="0" borderId="81" xfId="0" applyNumberFormat="1" applyFont="1" applyBorder="1" applyAlignment="1">
      <alignment horizontal="center" vertical="center"/>
    </xf>
    <xf numFmtId="1" fontId="6" fillId="0" borderId="342" xfId="0" applyNumberFormat="1" applyFont="1" applyBorder="1" applyAlignment="1">
      <alignment horizontal="center" vertical="center" wrapText="1"/>
    </xf>
    <xf numFmtId="1" fontId="6" fillId="0" borderId="296" xfId="0" applyNumberFormat="1" applyFont="1" applyBorder="1" applyAlignment="1">
      <alignment horizontal="center" vertical="center"/>
    </xf>
    <xf numFmtId="1" fontId="6" fillId="0" borderId="296" xfId="0" applyNumberFormat="1" applyFont="1" applyBorder="1" applyAlignment="1">
      <alignment horizontal="center" vertical="center" wrapText="1"/>
    </xf>
    <xf numFmtId="1" fontId="6" fillId="0" borderId="24" xfId="0" applyNumberFormat="1" applyFont="1" applyBorder="1" applyAlignment="1">
      <alignment horizontal="left" vertical="center" wrapText="1"/>
    </xf>
    <xf numFmtId="1" fontId="6" fillId="0" borderId="40" xfId="0" applyNumberFormat="1" applyFont="1" applyBorder="1" applyAlignment="1">
      <alignment horizontal="left" wrapText="1"/>
    </xf>
    <xf numFmtId="1" fontId="6" fillId="0" borderId="23" xfId="0" applyNumberFormat="1" applyFont="1" applyBorder="1" applyAlignment="1">
      <alignment horizontal="left"/>
    </xf>
    <xf numFmtId="1" fontId="6" fillId="0" borderId="312" xfId="0" applyNumberFormat="1" applyFont="1" applyBorder="1" applyAlignment="1">
      <alignment horizontal="center" vertical="center" wrapText="1"/>
    </xf>
    <xf numFmtId="1" fontId="6" fillId="0" borderId="422" xfId="0" applyNumberFormat="1" applyFont="1" applyBorder="1" applyAlignment="1">
      <alignment horizontal="center" vertical="center" wrapText="1"/>
    </xf>
    <xf numFmtId="1" fontId="2" fillId="3" borderId="0" xfId="0" applyNumberFormat="1" applyFont="1" applyFill="1" applyAlignment="1">
      <alignment horizontal="center" vertical="center"/>
    </xf>
    <xf numFmtId="1" fontId="51" fillId="0" borderId="410" xfId="0" applyNumberFormat="1" applyFont="1" applyBorder="1" applyAlignment="1">
      <alignment horizontal="center" vertical="center" wrapText="1"/>
    </xf>
    <xf numFmtId="1" fontId="6" fillId="0" borderId="404" xfId="0" applyNumberFormat="1" applyFont="1" applyBorder="1" applyAlignment="1">
      <alignment horizontal="center" vertical="center" wrapText="1"/>
    </xf>
    <xf numFmtId="1" fontId="6" fillId="0" borderId="404" xfId="0" applyNumberFormat="1" applyFont="1" applyBorder="1" applyAlignment="1">
      <alignment horizontal="center" vertical="center"/>
    </xf>
    <xf numFmtId="1" fontId="6" fillId="0" borderId="407" xfId="0" applyNumberFormat="1" applyFont="1" applyBorder="1" applyAlignment="1">
      <alignment horizontal="center" vertical="center"/>
    </xf>
    <xf numFmtId="1" fontId="6" fillId="0" borderId="406" xfId="0" applyNumberFormat="1" applyFont="1" applyBorder="1" applyAlignment="1">
      <alignment horizontal="center" vertical="center"/>
    </xf>
    <xf numFmtId="1" fontId="6" fillId="3" borderId="37" xfId="0" applyNumberFormat="1" applyFont="1" applyFill="1" applyBorder="1" applyAlignment="1">
      <alignment horizontal="left" vertical="center" wrapText="1"/>
    </xf>
    <xf numFmtId="1" fontId="6" fillId="3" borderId="24" xfId="0" applyNumberFormat="1" applyFont="1" applyFill="1" applyBorder="1" applyAlignment="1">
      <alignment horizontal="left" vertical="center" wrapText="1"/>
    </xf>
    <xf numFmtId="1" fontId="6" fillId="3" borderId="0" xfId="0" applyNumberFormat="1" applyFont="1" applyFill="1" applyAlignment="1">
      <alignment horizontal="center" vertical="center" wrapText="1"/>
    </xf>
    <xf numFmtId="1" fontId="6" fillId="0" borderId="407" xfId="0" applyNumberFormat="1" applyFont="1" applyBorder="1" applyAlignment="1">
      <alignment horizontal="center" vertical="center" wrapText="1"/>
    </xf>
    <xf numFmtId="1" fontId="6" fillId="0" borderId="413" xfId="0" applyNumberFormat="1" applyFont="1" applyBorder="1" applyAlignment="1">
      <alignment horizontal="left" vertical="center" wrapText="1"/>
    </xf>
    <xf numFmtId="1" fontId="6" fillId="0" borderId="342" xfId="0" applyNumberFormat="1" applyFont="1" applyBorder="1" applyAlignment="1">
      <alignment horizontal="center" vertical="center"/>
    </xf>
    <xf numFmtId="1" fontId="20" fillId="0" borderId="0" xfId="0" applyNumberFormat="1" applyFont="1" applyAlignment="1">
      <alignment horizontal="center" vertical="center" wrapText="1"/>
    </xf>
    <xf numFmtId="1" fontId="20" fillId="0" borderId="0" xfId="0" applyNumberFormat="1" applyFont="1"/>
    <xf numFmtId="1" fontId="6" fillId="0" borderId="418" xfId="0" applyNumberFormat="1" applyFont="1" applyBorder="1" applyAlignment="1">
      <alignment horizontal="center" vertical="center" wrapText="1"/>
    </xf>
    <xf numFmtId="1" fontId="6" fillId="0" borderId="428" xfId="0" applyNumberFormat="1" applyFont="1" applyBorder="1" applyAlignment="1">
      <alignment horizontal="center" vertical="center" wrapText="1"/>
    </xf>
    <xf numFmtId="1" fontId="6" fillId="0" borderId="422" xfId="0" applyNumberFormat="1" applyFont="1" applyBorder="1" applyAlignment="1">
      <alignment horizontal="center" vertical="center"/>
    </xf>
    <xf numFmtId="1" fontId="6" fillId="0" borderId="40" xfId="0" applyNumberFormat="1" applyFont="1" applyBorder="1" applyAlignment="1">
      <alignment horizontal="left"/>
    </xf>
    <xf numFmtId="1" fontId="6" fillId="0" borderId="311" xfId="0" applyNumberFormat="1" applyFont="1" applyBorder="1" applyAlignment="1">
      <alignment horizontal="center" vertical="center" wrapText="1"/>
    </xf>
    <xf numFmtId="1" fontId="20" fillId="0" borderId="407" xfId="0" applyNumberFormat="1" applyFont="1" applyBorder="1" applyAlignment="1">
      <alignment horizontal="center" vertical="center"/>
    </xf>
    <xf numFmtId="1" fontId="6" fillId="0" borderId="428" xfId="0" applyNumberFormat="1" applyFont="1" applyBorder="1" applyAlignment="1">
      <alignment horizontal="center" vertical="center"/>
    </xf>
    <xf numFmtId="1" fontId="6" fillId="0" borderId="418" xfId="0" applyNumberFormat="1" applyFont="1" applyBorder="1" applyAlignment="1">
      <alignment horizontal="center" vertical="center"/>
    </xf>
    <xf numFmtId="1" fontId="6" fillId="3" borderId="418" xfId="0" applyNumberFormat="1" applyFont="1" applyFill="1" applyBorder="1" applyAlignment="1">
      <alignment horizontal="center" vertical="center" wrapText="1"/>
    </xf>
    <xf numFmtId="1" fontId="6" fillId="0" borderId="422" xfId="0" applyNumberFormat="1" applyFont="1" applyBorder="1" applyAlignment="1">
      <alignment horizontal="left" vertical="center" wrapText="1"/>
    </xf>
    <xf numFmtId="1" fontId="13" fillId="3" borderId="0" xfId="0" applyNumberFormat="1" applyFont="1" applyFill="1" applyAlignment="1">
      <alignment horizontal="center"/>
    </xf>
    <xf numFmtId="1" fontId="6" fillId="0" borderId="41" xfId="0" applyNumberFormat="1" applyFont="1" applyBorder="1"/>
    <xf numFmtId="1" fontId="6" fillId="0" borderId="334" xfId="0" applyNumberFormat="1" applyFont="1" applyBorder="1" applyAlignment="1">
      <alignment horizontal="center" vertical="center"/>
    </xf>
    <xf numFmtId="1" fontId="51" fillId="0" borderId="407" xfId="0" applyNumberFormat="1" applyFont="1" applyBorder="1" applyAlignment="1">
      <alignment horizontal="center" vertical="center"/>
    </xf>
    <xf numFmtId="1" fontId="40" fillId="0" borderId="418" xfId="0" applyNumberFormat="1" applyFont="1" applyFill="1" applyBorder="1" applyAlignment="1">
      <alignment horizontal="left" vertical="center" wrapText="1"/>
    </xf>
    <xf numFmtId="1" fontId="6" fillId="5" borderId="414" xfId="0" applyNumberFormat="1" applyFont="1" applyFill="1" applyBorder="1" applyAlignment="1" applyProtection="1">
      <alignment vertical="center"/>
      <protection locked="0"/>
    </xf>
    <xf numFmtId="1" fontId="51" fillId="0" borderId="118" xfId="0" applyNumberFormat="1" applyFont="1" applyBorder="1" applyAlignment="1">
      <alignment horizontal="center" vertical="center" wrapText="1"/>
    </xf>
    <xf numFmtId="1" fontId="6" fillId="5" borderId="415" xfId="0" applyNumberFormat="1" applyFont="1" applyFill="1" applyBorder="1" applyAlignment="1" applyProtection="1">
      <alignment vertical="center"/>
      <protection locked="0"/>
    </xf>
    <xf numFmtId="1" fontId="6" fillId="5" borderId="191" xfId="0" applyNumberFormat="1" applyFont="1" applyFill="1" applyBorder="1" applyAlignment="1" applyProtection="1">
      <alignment vertical="center"/>
      <protection locked="0"/>
    </xf>
    <xf numFmtId="1" fontId="6" fillId="5" borderId="193" xfId="0" applyNumberFormat="1" applyFont="1" applyFill="1" applyBorder="1" applyAlignment="1" applyProtection="1">
      <alignment vertical="center"/>
      <protection locked="0"/>
    </xf>
    <xf numFmtId="1" fontId="6" fillId="17" borderId="8" xfId="0" applyNumberFormat="1" applyFont="1" applyFill="1" applyBorder="1" applyAlignment="1">
      <alignment horizontal="center" vertical="center" wrapText="1"/>
    </xf>
    <xf numFmtId="1" fontId="26" fillId="0" borderId="0" xfId="0" applyNumberFormat="1" applyFont="1" applyFill="1"/>
    <xf numFmtId="1" fontId="6" fillId="0" borderId="413" xfId="0" applyNumberFormat="1" applyFont="1" applyBorder="1" applyAlignment="1">
      <alignment wrapText="1"/>
    </xf>
    <xf numFmtId="1" fontId="26" fillId="3" borderId="444" xfId="0" applyNumberFormat="1" applyFont="1" applyFill="1" applyBorder="1"/>
    <xf numFmtId="1" fontId="20" fillId="2" borderId="24" xfId="24" applyNumberFormat="1" applyFont="1" applyBorder="1" applyProtection="1">
      <protection locked="0"/>
    </xf>
    <xf numFmtId="1" fontId="20" fillId="13" borderId="21" xfId="24" applyNumberFormat="1" applyFont="1" applyFill="1" applyBorder="1"/>
    <xf numFmtId="1" fontId="20" fillId="13" borderId="46" xfId="24" applyNumberFormat="1" applyFont="1" applyFill="1" applyBorder="1"/>
    <xf numFmtId="1" fontId="20" fillId="13" borderId="20" xfId="24" applyNumberFormat="1" applyFont="1" applyFill="1" applyBorder="1"/>
    <xf numFmtId="1" fontId="20" fillId="2" borderId="277" xfId="24" applyNumberFormat="1" applyFont="1" applyBorder="1" applyProtection="1">
      <protection locked="0"/>
    </xf>
    <xf numFmtId="1" fontId="20" fillId="13" borderId="413" xfId="24" applyNumberFormat="1" applyFont="1" applyFill="1" applyBorder="1"/>
    <xf numFmtId="1" fontId="20" fillId="13" borderId="416" xfId="24" applyNumberFormat="1" applyFont="1" applyFill="1" applyBorder="1"/>
    <xf numFmtId="1" fontId="20" fillId="13" borderId="45" xfId="24" applyNumberFormat="1" applyFont="1" applyFill="1" applyBorder="1"/>
    <xf numFmtId="1" fontId="20" fillId="13" borderId="16" xfId="24" applyNumberFormat="1" applyFont="1" applyFill="1" applyBorder="1"/>
    <xf numFmtId="1" fontId="20" fillId="2" borderId="38" xfId="24" applyNumberFormat="1" applyFont="1" applyBorder="1" applyProtection="1">
      <protection locked="0"/>
    </xf>
    <xf numFmtId="1" fontId="20" fillId="0" borderId="403" xfId="0" applyNumberFormat="1" applyFont="1" applyBorder="1"/>
    <xf numFmtId="1" fontId="20" fillId="13" borderId="422" xfId="24" applyNumberFormat="1" applyFont="1" applyFill="1" applyBorder="1"/>
    <xf numFmtId="1" fontId="20" fillId="2" borderId="265" xfId="24" applyNumberFormat="1" applyFont="1" applyBorder="1" applyProtection="1">
      <protection locked="0"/>
    </xf>
    <xf numFmtId="1" fontId="20" fillId="2" borderId="262" xfId="24" applyNumberFormat="1" applyFont="1" applyBorder="1" applyProtection="1">
      <protection locked="0"/>
    </xf>
    <xf numFmtId="1" fontId="20" fillId="13" borderId="37" xfId="24" applyNumberFormat="1" applyFont="1" applyFill="1" applyBorder="1"/>
    <xf numFmtId="1" fontId="20" fillId="2" borderId="51" xfId="24" applyNumberFormat="1" applyFont="1" applyBorder="1" applyProtection="1">
      <protection locked="0"/>
    </xf>
    <xf numFmtId="1" fontId="20" fillId="2" borderId="63" xfId="24" applyNumberFormat="1" applyFont="1" applyBorder="1" applyProtection="1">
      <protection locked="0"/>
    </xf>
    <xf numFmtId="1" fontId="20" fillId="2" borderId="9" xfId="24" applyNumberFormat="1" applyFont="1" applyBorder="1" applyProtection="1">
      <protection locked="0"/>
    </xf>
    <xf numFmtId="1" fontId="20" fillId="0" borderId="412" xfId="24" applyNumberFormat="1" applyFont="1" applyFill="1" applyBorder="1"/>
    <xf numFmtId="1" fontId="20" fillId="0" borderId="411" xfId="24" applyNumberFormat="1" applyFont="1" applyFill="1" applyBorder="1"/>
    <xf numFmtId="1" fontId="20" fillId="0" borderId="410" xfId="24" applyNumberFormat="1" applyFont="1" applyFill="1" applyBorder="1"/>
    <xf numFmtId="1" fontId="20" fillId="13" borderId="9" xfId="24" applyNumberFormat="1" applyFont="1" applyFill="1" applyBorder="1"/>
    <xf numFmtId="1" fontId="20" fillId="2" borderId="81" xfId="24" applyNumberFormat="1" applyFont="1" applyBorder="1" applyProtection="1">
      <protection locked="0"/>
    </xf>
    <xf numFmtId="1" fontId="20" fillId="2" borderId="66" xfId="24" applyNumberFormat="1" applyFont="1" applyBorder="1" applyProtection="1">
      <protection locked="0"/>
    </xf>
    <xf numFmtId="1" fontId="20" fillId="2" borderId="33" xfId="24" applyNumberFormat="1" applyFont="1" applyBorder="1" applyProtection="1">
      <protection locked="0"/>
    </xf>
    <xf numFmtId="1" fontId="6" fillId="0" borderId="422" xfId="0" applyNumberFormat="1" applyFont="1" applyBorder="1" applyAlignment="1">
      <alignment wrapText="1"/>
    </xf>
    <xf numFmtId="1" fontId="20" fillId="13" borderId="25" xfId="24" applyNumberFormat="1" applyFont="1" applyFill="1" applyBorder="1"/>
    <xf numFmtId="1" fontId="20" fillId="2" borderId="31" xfId="24" applyNumberFormat="1" applyFont="1" applyBorder="1" applyProtection="1">
      <protection locked="0"/>
    </xf>
    <xf numFmtId="1" fontId="20" fillId="2" borderId="64" xfId="24" applyNumberFormat="1" applyFont="1" applyBorder="1" applyProtection="1">
      <protection locked="0"/>
    </xf>
    <xf numFmtId="1" fontId="20" fillId="2" borderId="41" xfId="24" applyNumberFormat="1" applyFont="1" applyBorder="1" applyProtection="1">
      <protection locked="0"/>
    </xf>
    <xf numFmtId="1" fontId="20" fillId="2" borderId="37" xfId="24" applyNumberFormat="1" applyFont="1" applyBorder="1" applyProtection="1">
      <protection locked="0"/>
    </xf>
    <xf numFmtId="1" fontId="20" fillId="2" borderId="416" xfId="24" applyNumberFormat="1" applyFont="1" applyBorder="1" applyProtection="1">
      <protection locked="0"/>
    </xf>
    <xf numFmtId="1" fontId="20" fillId="2" borderId="45" xfId="24" applyNumberFormat="1" applyFont="1" applyBorder="1" applyProtection="1">
      <protection locked="0"/>
    </xf>
    <xf numFmtId="1" fontId="20" fillId="2" borderId="16" xfId="24" applyNumberFormat="1" applyFont="1" applyBorder="1" applyProtection="1">
      <protection locked="0"/>
    </xf>
    <xf numFmtId="1" fontId="20" fillId="2" borderId="446" xfId="24" applyNumberFormat="1" applyFont="1" applyBorder="1" applyProtection="1">
      <protection locked="0"/>
    </xf>
    <xf numFmtId="1" fontId="20" fillId="2" borderId="447" xfId="24" applyNumberFormat="1" applyFont="1" applyBorder="1" applyProtection="1">
      <protection locked="0"/>
    </xf>
    <xf numFmtId="1" fontId="20" fillId="2" borderId="448" xfId="24" applyNumberFormat="1" applyFont="1" applyBorder="1" applyProtection="1">
      <protection locked="0"/>
    </xf>
    <xf numFmtId="1" fontId="20" fillId="2" borderId="449" xfId="24" applyNumberFormat="1" applyFont="1" applyBorder="1" applyProtection="1">
      <protection locked="0"/>
    </xf>
    <xf numFmtId="1" fontId="20" fillId="13" borderId="185" xfId="24" applyNumberFormat="1" applyFont="1" applyFill="1" applyBorder="1"/>
    <xf numFmtId="1" fontId="20" fillId="2" borderId="218" xfId="24" applyNumberFormat="1" applyFont="1" applyBorder="1" applyProtection="1">
      <protection locked="0"/>
    </xf>
    <xf numFmtId="1" fontId="20" fillId="2" borderId="223" xfId="24" applyNumberFormat="1" applyFont="1" applyBorder="1" applyProtection="1">
      <protection locked="0"/>
    </xf>
    <xf numFmtId="1" fontId="20" fillId="2" borderId="149" xfId="24" applyNumberFormat="1" applyFont="1" applyBorder="1" applyProtection="1">
      <protection locked="0"/>
    </xf>
    <xf numFmtId="1" fontId="20" fillId="0" borderId="408" xfId="0" applyNumberFormat="1" applyFont="1" applyBorder="1"/>
    <xf numFmtId="1" fontId="20" fillId="0" borderId="422" xfId="0" applyNumberFormat="1" applyFont="1" applyBorder="1" applyAlignment="1">
      <alignment vertical="center" wrapText="1"/>
    </xf>
    <xf numFmtId="1" fontId="20" fillId="2" borderId="20" xfId="24" applyNumberFormat="1" applyFont="1" applyBorder="1" applyProtection="1">
      <protection locked="0"/>
    </xf>
    <xf numFmtId="1" fontId="20" fillId="13" borderId="446" xfId="24" applyNumberFormat="1" applyFont="1" applyFill="1" applyBorder="1"/>
    <xf numFmtId="1" fontId="20" fillId="13" borderId="338" xfId="24" applyNumberFormat="1" applyFont="1" applyFill="1" applyBorder="1"/>
    <xf numFmtId="1" fontId="20" fillId="2" borderId="293" xfId="24" applyNumberFormat="1" applyFont="1" applyBorder="1" applyProtection="1">
      <protection locked="0"/>
    </xf>
    <xf numFmtId="1" fontId="20" fillId="2" borderId="295" xfId="24" applyNumberFormat="1" applyFont="1" applyBorder="1" applyProtection="1">
      <protection locked="0"/>
    </xf>
    <xf numFmtId="1" fontId="20" fillId="2" borderId="294" xfId="24" applyNumberFormat="1" applyFont="1" applyBorder="1" applyProtection="1">
      <protection locked="0"/>
    </xf>
    <xf numFmtId="1" fontId="20" fillId="0" borderId="418" xfId="0" applyNumberFormat="1" applyFont="1" applyBorder="1"/>
    <xf numFmtId="1" fontId="40" fillId="13" borderId="418" xfId="24" applyNumberFormat="1" applyFont="1" applyFill="1" applyBorder="1"/>
    <xf numFmtId="1" fontId="20" fillId="2" borderId="398" xfId="24" applyNumberFormat="1" applyFont="1" applyBorder="1" applyProtection="1">
      <protection locked="0"/>
    </xf>
    <xf numFmtId="1" fontId="20" fillId="2" borderId="411" xfId="24" applyNumberFormat="1" applyFont="1" applyBorder="1" applyProtection="1">
      <protection locked="0"/>
    </xf>
    <xf numFmtId="1" fontId="20" fillId="2" borderId="410" xfId="24" applyNumberFormat="1" applyFont="1" applyBorder="1" applyProtection="1">
      <protection locked="0"/>
    </xf>
    <xf numFmtId="1" fontId="6" fillId="0" borderId="418" xfId="0" applyNumberFormat="1" applyFont="1" applyBorder="1" applyAlignment="1">
      <alignment wrapText="1"/>
    </xf>
    <xf numFmtId="1" fontId="57" fillId="0" borderId="375" xfId="0" applyNumberFormat="1" applyFont="1" applyBorder="1" applyAlignment="1">
      <alignment horizontal="center" vertical="center" wrapText="1"/>
    </xf>
    <xf numFmtId="1" fontId="20" fillId="0" borderId="411" xfId="0" applyNumberFormat="1" applyFont="1" applyBorder="1" applyAlignment="1">
      <alignment horizontal="center" vertical="center"/>
    </xf>
    <xf numFmtId="1" fontId="26" fillId="15" borderId="340" xfId="0" applyNumberFormat="1" applyFont="1" applyFill="1" applyBorder="1"/>
    <xf numFmtId="1" fontId="26" fillId="0" borderId="340" xfId="0" applyNumberFormat="1" applyFont="1" applyBorder="1"/>
    <xf numFmtId="1" fontId="6" fillId="4" borderId="398" xfId="0" applyNumberFormat="1" applyFont="1" applyFill="1" applyBorder="1"/>
    <xf numFmtId="1" fontId="6" fillId="4" borderId="410" xfId="0" applyNumberFormat="1" applyFont="1" applyFill="1" applyBorder="1"/>
    <xf numFmtId="1" fontId="6" fillId="4" borderId="412" xfId="0" applyNumberFormat="1" applyFont="1" applyFill="1" applyBorder="1"/>
    <xf numFmtId="1" fontId="6" fillId="4" borderId="411" xfId="0" applyNumberFormat="1" applyFont="1" applyFill="1" applyBorder="1"/>
    <xf numFmtId="1" fontId="6" fillId="4" borderId="418" xfId="0" applyNumberFormat="1" applyFont="1" applyFill="1" applyBorder="1"/>
    <xf numFmtId="1" fontId="6" fillId="0" borderId="418" xfId="0" applyNumberFormat="1" applyFont="1" applyBorder="1" applyAlignment="1">
      <alignment vertical="center" wrapText="1"/>
    </xf>
    <xf numFmtId="1" fontId="6" fillId="3" borderId="37" xfId="0" applyNumberFormat="1" applyFont="1" applyFill="1" applyBorder="1" applyAlignment="1">
      <alignment wrapText="1"/>
    </xf>
    <xf numFmtId="1" fontId="6" fillId="0" borderId="312" xfId="0" applyNumberFormat="1" applyFont="1" applyBorder="1" applyAlignment="1">
      <alignment horizontal="center" vertical="center"/>
    </xf>
    <xf numFmtId="1" fontId="6" fillId="4" borderId="312" xfId="0" applyNumberFormat="1" applyFont="1" applyFill="1" applyBorder="1"/>
    <xf numFmtId="1" fontId="22" fillId="3" borderId="0" xfId="0" applyNumberFormat="1" applyFont="1" applyFill="1"/>
    <xf numFmtId="1" fontId="6" fillId="0" borderId="451" xfId="0" applyNumberFormat="1" applyFont="1" applyBorder="1" applyAlignment="1">
      <alignment horizontal="center" vertical="center"/>
    </xf>
    <xf numFmtId="1" fontId="6" fillId="0" borderId="451" xfId="0" applyNumberFormat="1" applyFont="1" applyBorder="1"/>
    <xf numFmtId="1" fontId="20" fillId="15" borderId="35" xfId="0" applyNumberFormat="1" applyFont="1" applyFill="1" applyBorder="1"/>
    <xf numFmtId="1" fontId="41" fillId="3" borderId="0" xfId="0" applyNumberFormat="1" applyFont="1" applyFill="1"/>
    <xf numFmtId="1" fontId="79" fillId="3" borderId="0" xfId="0" applyNumberFormat="1" applyFont="1" applyFill="1"/>
    <xf numFmtId="1" fontId="41" fillId="15" borderId="0" xfId="0" applyNumberFormat="1" applyFont="1" applyFill="1"/>
    <xf numFmtId="1" fontId="41" fillId="15" borderId="0" xfId="0" applyNumberFormat="1" applyFont="1" applyFill="1" applyProtection="1">
      <protection locked="0"/>
    </xf>
    <xf numFmtId="1" fontId="0" fillId="30" borderId="0" xfId="0" applyNumberFormat="1" applyFill="1" applyProtection="1">
      <protection locked="0"/>
    </xf>
    <xf numFmtId="1" fontId="59" fillId="3" borderId="0" xfId="0" applyNumberFormat="1" applyFont="1" applyFill="1" applyProtection="1">
      <protection locked="0"/>
    </xf>
    <xf numFmtId="1" fontId="55" fillId="0" borderId="444" xfId="0" applyNumberFormat="1" applyFont="1" applyBorder="1"/>
    <xf numFmtId="1" fontId="4" fillId="0" borderId="444" xfId="0" applyNumberFormat="1" applyFont="1" applyBorder="1"/>
    <xf numFmtId="1" fontId="6" fillId="0" borderId="452" xfId="0" applyNumberFormat="1" applyFont="1" applyBorder="1" applyAlignment="1">
      <alignment horizontal="center" vertical="center" wrapText="1"/>
    </xf>
    <xf numFmtId="1" fontId="6" fillId="0" borderId="308" xfId="0" applyNumberFormat="1" applyFont="1" applyBorder="1" applyAlignment="1">
      <alignment horizontal="center" vertical="center" wrapText="1"/>
    </xf>
    <xf numFmtId="1" fontId="6" fillId="0" borderId="453" xfId="0" applyNumberFormat="1" applyFont="1" applyBorder="1" applyAlignment="1">
      <alignment horizontal="center" vertical="center" wrapText="1"/>
    </xf>
    <xf numFmtId="1" fontId="6" fillId="0" borderId="442" xfId="0" applyNumberFormat="1" applyFont="1" applyBorder="1" applyAlignment="1">
      <alignment horizontal="center" vertical="center" wrapText="1"/>
    </xf>
    <xf numFmtId="1" fontId="6" fillId="0" borderId="311" xfId="0" applyNumberFormat="1" applyFont="1" applyBorder="1"/>
    <xf numFmtId="1" fontId="6" fillId="13" borderId="119" xfId="0" applyNumberFormat="1" applyFont="1" applyFill="1" applyBorder="1"/>
    <xf numFmtId="1" fontId="55" fillId="0" borderId="312" xfId="0" applyNumberFormat="1" applyFont="1" applyBorder="1"/>
    <xf numFmtId="1" fontId="61" fillId="15" borderId="0" xfId="0" applyNumberFormat="1" applyFont="1" applyFill="1"/>
    <xf numFmtId="1" fontId="6" fillId="0" borderId="451" xfId="0" applyNumberFormat="1" applyFont="1" applyBorder="1" applyAlignment="1">
      <alignment horizontal="center" vertical="center" wrapText="1"/>
    </xf>
    <xf numFmtId="1" fontId="6" fillId="5" borderId="311" xfId="0" applyNumberFormat="1" applyFont="1" applyFill="1" applyBorder="1" applyProtection="1">
      <protection locked="0"/>
    </xf>
    <xf numFmtId="1" fontId="6" fillId="5" borderId="299" xfId="0" applyNumberFormat="1" applyFont="1" applyFill="1" applyBorder="1" applyProtection="1">
      <protection locked="0"/>
    </xf>
    <xf numFmtId="1" fontId="6" fillId="5" borderId="452" xfId="0" applyNumberFormat="1" applyFont="1" applyFill="1" applyBorder="1" applyProtection="1">
      <protection locked="0"/>
    </xf>
    <xf numFmtId="1" fontId="6" fillId="0" borderId="342" xfId="0" applyNumberFormat="1" applyFont="1" applyBorder="1" applyAlignment="1">
      <alignment vertical="center" wrapText="1"/>
    </xf>
    <xf numFmtId="1" fontId="6" fillId="0" borderId="428" xfId="0" applyNumberFormat="1" applyFont="1" applyBorder="1" applyAlignment="1">
      <alignment vertical="center" wrapText="1"/>
    </xf>
    <xf numFmtId="0" fontId="59" fillId="15" borderId="0" xfId="0" applyFont="1" applyFill="1"/>
    <xf numFmtId="0" fontId="0" fillId="15" borderId="0" xfId="0" applyFill="1"/>
    <xf numFmtId="1" fontId="6" fillId="4" borderId="311" xfId="0" applyNumberFormat="1" applyFont="1" applyFill="1" applyBorder="1"/>
    <xf numFmtId="1" fontId="6" fillId="4" borderId="452" xfId="0" applyNumberFormat="1" applyFont="1" applyFill="1" applyBorder="1"/>
    <xf numFmtId="1" fontId="6" fillId="13" borderId="124" xfId="0" applyNumberFormat="1" applyFont="1" applyFill="1" applyBorder="1"/>
    <xf numFmtId="1" fontId="6" fillId="13" borderId="143" xfId="0" applyNumberFormat="1" applyFont="1" applyFill="1" applyBorder="1"/>
    <xf numFmtId="1" fontId="6" fillId="13" borderId="144" xfId="0" applyNumberFormat="1" applyFont="1" applyFill="1" applyBorder="1"/>
    <xf numFmtId="1" fontId="6" fillId="15" borderId="40" xfId="0" applyNumberFormat="1" applyFont="1" applyFill="1" applyBorder="1" applyAlignment="1">
      <alignment horizontal="left"/>
    </xf>
    <xf numFmtId="1" fontId="6" fillId="15" borderId="51" xfId="0" applyNumberFormat="1" applyFont="1" applyFill="1" applyBorder="1" applyAlignment="1">
      <alignment horizontal="left"/>
    </xf>
    <xf numFmtId="1" fontId="6" fillId="13" borderId="45" xfId="0" applyNumberFormat="1" applyFont="1" applyFill="1" applyBorder="1" applyProtection="1">
      <protection locked="0"/>
    </xf>
    <xf numFmtId="1" fontId="6" fillId="13" borderId="46" xfId="0" applyNumberFormat="1" applyFont="1" applyFill="1" applyBorder="1" applyProtection="1">
      <protection locked="0"/>
    </xf>
    <xf numFmtId="1" fontId="4" fillId="3" borderId="312" xfId="0" applyNumberFormat="1" applyFont="1" applyFill="1" applyBorder="1" applyAlignment="1">
      <alignment wrapText="1"/>
    </xf>
    <xf numFmtId="1" fontId="59" fillId="15" borderId="0" xfId="0" applyNumberFormat="1" applyFont="1" applyFill="1"/>
    <xf numFmtId="0" fontId="59" fillId="0" borderId="0" xfId="0" applyFont="1"/>
    <xf numFmtId="1" fontId="59" fillId="3" borderId="444" xfId="0" applyNumberFormat="1" applyFont="1" applyFill="1" applyBorder="1"/>
    <xf numFmtId="0" fontId="6" fillId="0" borderId="311" xfId="0" applyFont="1" applyBorder="1" applyAlignment="1">
      <alignment horizontal="center" vertical="center" wrapText="1"/>
    </xf>
    <xf numFmtId="0" fontId="6" fillId="0" borderId="428" xfId="0" applyFont="1" applyBorder="1" applyAlignment="1">
      <alignment horizontal="center" vertical="center" wrapText="1"/>
    </xf>
    <xf numFmtId="0" fontId="6" fillId="0" borderId="410" xfId="0" applyFont="1" applyBorder="1" applyAlignment="1">
      <alignment horizontal="center" vertical="center" wrapText="1"/>
    </xf>
    <xf numFmtId="0" fontId="6" fillId="0" borderId="407" xfId="0" applyFont="1" applyBorder="1" applyAlignment="1">
      <alignment horizontal="center" vertical="center" wrapText="1"/>
    </xf>
    <xf numFmtId="0" fontId="6" fillId="0" borderId="406" xfId="0" applyFont="1" applyBorder="1" applyAlignment="1">
      <alignment horizontal="center" vertical="center" wrapText="1"/>
    </xf>
    <xf numFmtId="1" fontId="6" fillId="13" borderId="119" xfId="0" applyNumberFormat="1" applyFont="1" applyFill="1" applyBorder="1" applyProtection="1">
      <protection locked="0"/>
    </xf>
    <xf numFmtId="1" fontId="6" fillId="15" borderId="0" xfId="0" applyNumberFormat="1" applyFont="1" applyFill="1" applyAlignment="1">
      <alignment vertical="center"/>
    </xf>
    <xf numFmtId="1" fontId="6" fillId="0" borderId="426" xfId="0" applyNumberFormat="1" applyFont="1" applyBorder="1"/>
    <xf numFmtId="1" fontId="59" fillId="19" borderId="0" xfId="0" applyNumberFormat="1" applyFont="1" applyFill="1"/>
    <xf numFmtId="1" fontId="6" fillId="0" borderId="311" xfId="0" applyNumberFormat="1" applyFont="1" applyBorder="1" applyAlignment="1">
      <alignment horizontal="center" vertical="center"/>
    </xf>
    <xf numFmtId="1" fontId="6" fillId="0" borderId="404" xfId="0" applyNumberFormat="1" applyFont="1" applyBorder="1" applyAlignment="1">
      <alignment vertical="center" wrapText="1"/>
    </xf>
    <xf numFmtId="1" fontId="6" fillId="3" borderId="404" xfId="0" applyNumberFormat="1" applyFont="1" applyFill="1" applyBorder="1"/>
    <xf numFmtId="1" fontId="6" fillId="3" borderId="451" xfId="0" applyNumberFormat="1" applyFont="1" applyFill="1" applyBorder="1"/>
    <xf numFmtId="1" fontId="20" fillId="0" borderId="152" xfId="0" applyNumberFormat="1" applyFont="1" applyBorder="1"/>
    <xf numFmtId="1" fontId="6" fillId="5" borderId="123" xfId="0" applyNumberFormat="1" applyFont="1" applyFill="1" applyBorder="1" applyProtection="1">
      <protection locked="0"/>
    </xf>
    <xf numFmtId="1" fontId="20" fillId="3" borderId="0" xfId="0" applyNumberFormat="1" applyFont="1" applyFill="1" applyAlignment="1">
      <alignment horizontal="center" vertical="center" wrapText="1"/>
    </xf>
    <xf numFmtId="1" fontId="6" fillId="4" borderId="29" xfId="0" applyNumberFormat="1" applyFont="1" applyFill="1" applyBorder="1"/>
    <xf numFmtId="1" fontId="6" fillId="5" borderId="451" xfId="0" applyNumberFormat="1" applyFont="1" applyFill="1" applyBorder="1" applyProtection="1">
      <protection locked="0"/>
    </xf>
    <xf numFmtId="1" fontId="4" fillId="3" borderId="0" xfId="0" applyNumberFormat="1" applyFont="1" applyFill="1" applyAlignment="1">
      <alignment horizontal="center"/>
    </xf>
    <xf numFmtId="1" fontId="6" fillId="0" borderId="413" xfId="0" applyNumberFormat="1" applyFont="1" applyBorder="1" applyAlignment="1">
      <alignment horizontal="center" vertical="center" wrapText="1"/>
    </xf>
    <xf numFmtId="1" fontId="0" fillId="30" borderId="0" xfId="0" applyNumberFormat="1" applyFill="1"/>
    <xf numFmtId="1" fontId="51" fillId="0" borderId="453" xfId="0" applyNumberFormat="1" applyFont="1" applyBorder="1" applyAlignment="1">
      <alignment horizontal="center" vertical="center" wrapText="1"/>
    </xf>
    <xf numFmtId="1" fontId="51" fillId="0" borderId="455" xfId="0" applyNumberFormat="1" applyFont="1" applyBorder="1" applyAlignment="1">
      <alignment horizontal="center" vertical="center" wrapText="1"/>
    </xf>
    <xf numFmtId="1" fontId="51" fillId="0" borderId="451" xfId="0" applyNumberFormat="1" applyFont="1" applyBorder="1" applyAlignment="1">
      <alignment horizontal="center" vertical="center" wrapText="1"/>
    </xf>
    <xf numFmtId="1" fontId="6" fillId="0" borderId="296" xfId="0" applyNumberFormat="1" applyFont="1" applyBorder="1" applyAlignment="1">
      <alignment vertical="center" wrapText="1"/>
    </xf>
    <xf numFmtId="1" fontId="4" fillId="3" borderId="334" xfId="0" applyNumberFormat="1" applyFont="1" applyFill="1" applyBorder="1" applyAlignment="1">
      <alignment wrapText="1"/>
    </xf>
    <xf numFmtId="1" fontId="55" fillId="3" borderId="334" xfId="0" applyNumberFormat="1" applyFont="1" applyFill="1" applyBorder="1"/>
    <xf numFmtId="1" fontId="51" fillId="15" borderId="0" xfId="0" applyNumberFormat="1" applyFont="1" applyFill="1" applyAlignment="1">
      <alignment vertical="center"/>
    </xf>
    <xf numFmtId="1" fontId="51" fillId="0" borderId="414" xfId="0" applyNumberFormat="1" applyFont="1" applyBorder="1"/>
    <xf numFmtId="1" fontId="0" fillId="0" borderId="416" xfId="0" applyNumberFormat="1" applyBorder="1"/>
    <xf numFmtId="0" fontId="41" fillId="13" borderId="458" xfId="25" applyFont="1" applyFill="1" applyBorder="1"/>
    <xf numFmtId="0" fontId="41" fillId="13" borderId="459" xfId="25" applyFont="1" applyFill="1" applyBorder="1"/>
    <xf numFmtId="0" fontId="41" fillId="13" borderId="460" xfId="25" applyFont="1" applyFill="1" applyBorder="1"/>
    <xf numFmtId="1" fontId="51" fillId="13" borderId="55" xfId="0" applyNumberFormat="1" applyFont="1" applyFill="1" applyBorder="1" applyProtection="1">
      <protection locked="0"/>
    </xf>
    <xf numFmtId="1" fontId="51" fillId="13" borderId="51" xfId="0" applyNumberFormat="1" applyFont="1" applyFill="1" applyBorder="1" applyProtection="1">
      <protection locked="0"/>
    </xf>
    <xf numFmtId="1" fontId="51" fillId="13" borderId="191" xfId="0" applyNumberFormat="1" applyFont="1" applyFill="1" applyBorder="1" applyProtection="1">
      <protection locked="0"/>
    </xf>
    <xf numFmtId="1" fontId="51" fillId="13" borderId="143" xfId="0" applyNumberFormat="1" applyFont="1" applyFill="1" applyBorder="1" applyProtection="1">
      <protection locked="0"/>
    </xf>
    <xf numFmtId="1" fontId="51" fillId="5" borderId="143" xfId="0" applyNumberFormat="1" applyFont="1" applyFill="1" applyBorder="1" applyProtection="1">
      <protection locked="0"/>
    </xf>
    <xf numFmtId="1" fontId="51" fillId="0" borderId="55" xfId="0" applyNumberFormat="1" applyFont="1" applyBorder="1"/>
    <xf numFmtId="1" fontId="0" fillId="0" borderId="51" xfId="0" applyNumberFormat="1" applyBorder="1"/>
    <xf numFmtId="0" fontId="41" fillId="13" borderId="461" xfId="25" applyFont="1" applyFill="1" applyBorder="1"/>
    <xf numFmtId="0" fontId="41" fillId="13" borderId="462" xfId="25" applyFont="1" applyFill="1" applyBorder="1"/>
    <xf numFmtId="0" fontId="41" fillId="13" borderId="463" xfId="25" applyFont="1" applyFill="1" applyBorder="1"/>
    <xf numFmtId="1" fontId="51" fillId="5" borderId="464" xfId="0" applyNumberFormat="1" applyFont="1" applyFill="1" applyBorder="1" applyProtection="1">
      <protection locked="0"/>
    </xf>
    <xf numFmtId="1" fontId="51" fillId="5" borderId="465" xfId="0" applyNumberFormat="1" applyFont="1" applyFill="1" applyBorder="1" applyProtection="1">
      <protection locked="0"/>
    </xf>
    <xf numFmtId="0" fontId="41" fillId="13" borderId="466" xfId="25" applyFont="1" applyFill="1" applyBorder="1"/>
    <xf numFmtId="0" fontId="41" fillId="13" borderId="467" xfId="25" applyFont="1" applyFill="1" applyBorder="1"/>
    <xf numFmtId="0" fontId="0" fillId="0" borderId="51" xfId="0" applyBorder="1"/>
    <xf numFmtId="1" fontId="51" fillId="0" borderId="55" xfId="0" applyNumberFormat="1" applyFont="1" applyBorder="1" applyAlignment="1">
      <alignment wrapText="1"/>
    </xf>
    <xf numFmtId="0" fontId="41" fillId="13" borderId="468" xfId="25" applyFont="1" applyFill="1" applyBorder="1"/>
    <xf numFmtId="0" fontId="41" fillId="13" borderId="469" xfId="25" applyFont="1" applyFill="1" applyBorder="1"/>
    <xf numFmtId="0" fontId="51" fillId="0" borderId="55" xfId="0" applyFont="1" applyBorder="1"/>
    <xf numFmtId="0" fontId="41" fillId="13" borderId="470" xfId="25" applyFont="1" applyFill="1" applyBorder="1"/>
    <xf numFmtId="1" fontId="51" fillId="0" borderId="58" xfId="0" applyNumberFormat="1" applyFont="1" applyBorder="1"/>
    <xf numFmtId="1" fontId="0" fillId="0" borderId="21" xfId="0" applyNumberFormat="1" applyBorder="1"/>
    <xf numFmtId="0" fontId="41" fillId="13" borderId="27" xfId="25" applyFont="1" applyFill="1" applyBorder="1"/>
    <xf numFmtId="0" fontId="41" fillId="13" borderId="28" xfId="25" applyFont="1" applyFill="1" applyBorder="1"/>
    <xf numFmtId="0" fontId="41" fillId="13" borderId="442" xfId="25" applyFont="1" applyFill="1" applyBorder="1"/>
    <xf numFmtId="0" fontId="0" fillId="0" borderId="56" xfId="0" applyBorder="1"/>
    <xf numFmtId="0" fontId="0" fillId="0" borderId="31" xfId="0" applyBorder="1"/>
    <xf numFmtId="1" fontId="51" fillId="5" borderId="142" xfId="0" applyNumberFormat="1" applyFont="1" applyFill="1" applyBorder="1" applyProtection="1">
      <protection locked="0"/>
    </xf>
    <xf numFmtId="0" fontId="0" fillId="0" borderId="55" xfId="0" applyBorder="1"/>
    <xf numFmtId="0" fontId="51" fillId="0" borderId="24" xfId="0" applyFont="1" applyBorder="1"/>
    <xf numFmtId="0" fontId="0" fillId="0" borderId="58" xfId="0" applyBorder="1"/>
    <xf numFmtId="0" fontId="0" fillId="0" borderId="21" xfId="0" applyBorder="1"/>
    <xf numFmtId="1" fontId="55" fillId="3" borderId="444" xfId="0" applyNumberFormat="1" applyFont="1" applyFill="1" applyBorder="1"/>
    <xf numFmtId="1" fontId="6" fillId="3" borderId="444" xfId="0" applyNumberFormat="1" applyFont="1" applyFill="1" applyBorder="1"/>
    <xf numFmtId="1" fontId="6" fillId="0" borderId="299" xfId="0" applyNumberFormat="1" applyFont="1" applyBorder="1" applyAlignment="1">
      <alignment horizontal="center" vertical="center"/>
    </xf>
    <xf numFmtId="1" fontId="6" fillId="0" borderId="308" xfId="0" applyNumberFormat="1" applyFont="1" applyBorder="1" applyAlignment="1">
      <alignment horizontal="center" vertical="center"/>
    </xf>
    <xf numFmtId="1" fontId="6" fillId="0" borderId="254" xfId="0" applyNumberFormat="1" applyFont="1" applyBorder="1" applyAlignment="1">
      <alignment horizontal="center" vertical="center"/>
    </xf>
    <xf numFmtId="1" fontId="6" fillId="5" borderId="120" xfId="0" applyNumberFormat="1" applyFont="1" applyFill="1" applyBorder="1" applyAlignment="1" applyProtection="1">
      <alignment horizontal="right"/>
      <protection locked="0"/>
    </xf>
    <xf numFmtId="1" fontId="6" fillId="0" borderId="27" xfId="0" applyNumberFormat="1" applyFont="1" applyBorder="1" applyAlignment="1">
      <alignment horizontal="right" vertical="center"/>
    </xf>
    <xf numFmtId="1" fontId="6" fillId="0" borderId="49" xfId="0" applyNumberFormat="1" applyFont="1" applyBorder="1" applyAlignment="1">
      <alignment horizontal="right" vertical="center"/>
    </xf>
    <xf numFmtId="1" fontId="6" fillId="0" borderId="451" xfId="0" applyNumberFormat="1" applyFont="1" applyBorder="1" applyAlignment="1">
      <alignment horizontal="right"/>
    </xf>
    <xf numFmtId="1" fontId="6" fillId="0" borderId="453" xfId="0" applyNumberFormat="1" applyFont="1" applyBorder="1" applyAlignment="1">
      <alignment horizontal="right"/>
    </xf>
    <xf numFmtId="1" fontId="6" fillId="3" borderId="334" xfId="0" applyNumberFormat="1" applyFont="1" applyFill="1" applyBorder="1"/>
    <xf numFmtId="1" fontId="6" fillId="3" borderId="312" xfId="0" applyNumberFormat="1" applyFont="1" applyFill="1" applyBorder="1"/>
    <xf numFmtId="1" fontId="26" fillId="3" borderId="312" xfId="0" applyNumberFormat="1" applyFont="1" applyFill="1" applyBorder="1"/>
    <xf numFmtId="1" fontId="6" fillId="0" borderId="288" xfId="0" applyNumberFormat="1" applyFont="1" applyBorder="1" applyAlignment="1">
      <alignment horizontal="center" vertical="center"/>
    </xf>
    <xf numFmtId="1" fontId="6" fillId="0" borderId="410" xfId="0" applyNumberFormat="1" applyFont="1" applyBorder="1" applyAlignment="1">
      <alignment horizontal="right" vertical="center"/>
    </xf>
    <xf numFmtId="1" fontId="6" fillId="0" borderId="411" xfId="0" applyNumberFormat="1" applyFont="1" applyBorder="1" applyAlignment="1">
      <alignment horizontal="right" vertical="center"/>
    </xf>
    <xf numFmtId="1" fontId="6" fillId="0" borderId="407" xfId="0" applyNumberFormat="1" applyFont="1" applyBorder="1" applyAlignment="1">
      <alignment horizontal="right" vertical="center"/>
    </xf>
    <xf numFmtId="1" fontId="6" fillId="0" borderId="404" xfId="0" applyNumberFormat="1" applyFont="1" applyBorder="1" applyAlignment="1">
      <alignment horizontal="right"/>
    </xf>
    <xf numFmtId="1" fontId="6" fillId="0" borderId="312" xfId="0" applyNumberFormat="1" applyFont="1" applyBorder="1" applyAlignment="1">
      <alignment horizontal="right"/>
    </xf>
    <xf numFmtId="1" fontId="26" fillId="3" borderId="35" xfId="0" applyNumberFormat="1" applyFont="1" applyFill="1" applyBorder="1" applyProtection="1">
      <protection locked="0"/>
    </xf>
    <xf numFmtId="1" fontId="6" fillId="0" borderId="311" xfId="10" applyNumberFormat="1" applyFont="1" applyBorder="1" applyAlignment="1">
      <alignment horizontal="center" vertical="center" wrapText="1"/>
    </xf>
    <xf numFmtId="1" fontId="6" fillId="0" borderId="299" xfId="10" applyNumberFormat="1" applyFont="1" applyBorder="1" applyAlignment="1">
      <alignment horizontal="center" vertical="center" wrapText="1"/>
    </xf>
    <xf numFmtId="1" fontId="6" fillId="0" borderId="81" xfId="10" applyNumberFormat="1" applyFont="1" applyBorder="1" applyAlignment="1">
      <alignment horizontal="center" vertical="center"/>
    </xf>
    <xf numFmtId="1" fontId="6" fillId="0" borderId="302" xfId="0" applyNumberFormat="1" applyFont="1" applyBorder="1" applyAlignment="1">
      <alignment horizontal="center" vertical="center"/>
    </xf>
    <xf numFmtId="1" fontId="10" fillId="3" borderId="312" xfId="0" applyNumberFormat="1" applyFont="1" applyFill="1" applyBorder="1"/>
    <xf numFmtId="1" fontId="20" fillId="0" borderId="410" xfId="0" applyNumberFormat="1" applyFont="1" applyBorder="1" applyAlignment="1">
      <alignment horizontal="right"/>
    </xf>
    <xf numFmtId="1" fontId="20" fillId="0" borderId="411" xfId="0" applyNumberFormat="1" applyFont="1" applyBorder="1" applyAlignment="1">
      <alignment horizontal="right"/>
    </xf>
    <xf numFmtId="1" fontId="20" fillId="0" borderId="407" xfId="0" applyNumberFormat="1" applyFont="1" applyBorder="1" applyAlignment="1">
      <alignment horizontal="right"/>
    </xf>
    <xf numFmtId="1" fontId="6" fillId="0" borderId="417" xfId="0" applyNumberFormat="1" applyFont="1" applyBorder="1"/>
    <xf numFmtId="1" fontId="6" fillId="13" borderId="25" xfId="0" applyNumberFormat="1" applyFont="1" applyFill="1" applyBorder="1" applyProtection="1">
      <protection locked="0"/>
    </xf>
    <xf numFmtId="1" fontId="15" fillId="3" borderId="0" xfId="0" applyNumberFormat="1" applyFont="1" applyFill="1" applyAlignment="1">
      <alignment horizontal="center"/>
    </xf>
    <xf numFmtId="1" fontId="6" fillId="0" borderId="418" xfId="0" applyNumberFormat="1" applyFont="1" applyBorder="1" applyAlignment="1">
      <alignment horizontal="right" vertical="center"/>
    </xf>
    <xf numFmtId="1" fontId="4" fillId="3" borderId="334" xfId="0" applyNumberFormat="1" applyFont="1" applyFill="1" applyBorder="1"/>
    <xf numFmtId="1" fontId="6" fillId="3" borderId="410" xfId="0" applyNumberFormat="1" applyFont="1" applyFill="1" applyBorder="1" applyAlignment="1">
      <alignment horizontal="center" vertical="center"/>
    </xf>
    <xf numFmtId="1" fontId="6" fillId="3" borderId="411" xfId="0" applyNumberFormat="1" applyFont="1" applyFill="1" applyBorder="1" applyAlignment="1">
      <alignment horizontal="center" vertical="center"/>
    </xf>
    <xf numFmtId="1" fontId="6" fillId="3" borderId="407" xfId="0" applyNumberFormat="1" applyFont="1" applyFill="1" applyBorder="1" applyAlignment="1">
      <alignment horizontal="center" vertical="center"/>
    </xf>
    <xf numFmtId="1" fontId="6" fillId="3" borderId="40" xfId="0" applyNumberFormat="1" applyFont="1" applyFill="1" applyBorder="1" applyAlignment="1">
      <alignment vertical="center"/>
    </xf>
    <xf numFmtId="1" fontId="6" fillId="3" borderId="51" xfId="0" applyNumberFormat="1" applyFont="1" applyFill="1" applyBorder="1" applyAlignment="1">
      <alignment vertical="center"/>
    </xf>
    <xf numFmtId="1" fontId="6" fillId="3" borderId="23" xfId="0" applyNumberFormat="1" applyFont="1" applyFill="1" applyBorder="1" applyAlignment="1">
      <alignment vertical="center"/>
    </xf>
    <xf numFmtId="1" fontId="6" fillId="3" borderId="21" xfId="0" applyNumberFormat="1" applyFont="1" applyFill="1" applyBorder="1" applyAlignment="1">
      <alignment vertical="center"/>
    </xf>
    <xf numFmtId="1" fontId="6" fillId="3" borderId="410" xfId="0" applyNumberFormat="1" applyFont="1" applyFill="1" applyBorder="1" applyAlignment="1">
      <alignment horizontal="right"/>
    </xf>
    <xf numFmtId="1" fontId="6" fillId="3" borderId="411" xfId="0" applyNumberFormat="1" applyFont="1" applyFill="1" applyBorder="1" applyAlignment="1">
      <alignment horizontal="right"/>
    </xf>
    <xf numFmtId="1" fontId="6" fillId="3" borderId="407" xfId="0" applyNumberFormat="1" applyFont="1" applyFill="1" applyBorder="1" applyAlignment="1">
      <alignment horizontal="right"/>
    </xf>
    <xf numFmtId="1" fontId="6" fillId="3" borderId="412" xfId="0" applyNumberFormat="1" applyFont="1" applyFill="1" applyBorder="1" applyAlignment="1">
      <alignment horizontal="right"/>
    </xf>
    <xf numFmtId="1" fontId="6" fillId="3" borderId="417" xfId="0" applyNumberFormat="1" applyFont="1" applyFill="1" applyBorder="1" applyAlignment="1">
      <alignment horizontal="right"/>
    </xf>
    <xf numFmtId="1" fontId="6" fillId="3" borderId="451" xfId="0" applyNumberFormat="1" applyFont="1" applyFill="1" applyBorder="1" applyAlignment="1">
      <alignment horizontal="right"/>
    </xf>
    <xf numFmtId="1" fontId="6" fillId="3" borderId="404" xfId="0" applyNumberFormat="1" applyFont="1" applyFill="1" applyBorder="1" applyAlignment="1">
      <alignment horizontal="right"/>
    </xf>
    <xf numFmtId="1" fontId="6" fillId="3" borderId="453" xfId="0" applyNumberFormat="1" applyFont="1" applyFill="1" applyBorder="1" applyAlignment="1">
      <alignment horizontal="right"/>
    </xf>
    <xf numFmtId="1" fontId="6" fillId="3" borderId="418" xfId="0" applyNumberFormat="1" applyFont="1" applyFill="1" applyBorder="1" applyAlignment="1">
      <alignment wrapText="1"/>
    </xf>
    <xf numFmtId="1" fontId="6" fillId="3" borderId="27" xfId="0" applyNumberFormat="1" applyFont="1" applyFill="1" applyBorder="1" applyAlignment="1">
      <alignment horizontal="right"/>
    </xf>
    <xf numFmtId="1" fontId="6" fillId="3" borderId="49" xfId="0" applyNumberFormat="1" applyFont="1" applyFill="1" applyBorder="1" applyAlignment="1">
      <alignment horizontal="right"/>
    </xf>
    <xf numFmtId="1" fontId="6" fillId="15" borderId="0" xfId="0" applyNumberFormat="1" applyFont="1" applyFill="1" applyAlignment="1">
      <alignment horizontal="left" wrapText="1"/>
    </xf>
    <xf numFmtId="1" fontId="51" fillId="3" borderId="302" xfId="0" applyNumberFormat="1" applyFont="1" applyFill="1" applyBorder="1" applyAlignment="1">
      <alignment horizontal="center" vertical="center" wrapText="1"/>
    </xf>
    <xf numFmtId="1" fontId="51" fillId="3" borderId="428" xfId="0" applyNumberFormat="1" applyFont="1" applyFill="1" applyBorder="1" applyAlignment="1">
      <alignment horizontal="center" vertical="center" wrapText="1"/>
    </xf>
    <xf numFmtId="1" fontId="51" fillId="3" borderId="418" xfId="0" applyNumberFormat="1" applyFont="1" applyFill="1" applyBorder="1" applyAlignment="1">
      <alignment horizontal="center" vertical="center"/>
    </xf>
    <xf numFmtId="1" fontId="51" fillId="3" borderId="412" xfId="0" applyNumberFormat="1" applyFont="1" applyFill="1" applyBorder="1" applyAlignment="1">
      <alignment horizontal="center" vertical="center"/>
    </xf>
    <xf numFmtId="1" fontId="51" fillId="3" borderId="451" xfId="0" applyNumberFormat="1" applyFont="1" applyFill="1" applyBorder="1" applyAlignment="1">
      <alignment horizontal="center" vertical="center"/>
    </xf>
    <xf numFmtId="1" fontId="51" fillId="0" borderId="412" xfId="0" applyNumberFormat="1" applyFont="1" applyBorder="1" applyAlignment="1">
      <alignment horizontal="center" vertical="center"/>
    </xf>
    <xf numFmtId="1" fontId="51" fillId="0" borderId="451" xfId="0" applyNumberFormat="1" applyFont="1" applyBorder="1" applyAlignment="1">
      <alignment horizontal="center" vertical="center"/>
    </xf>
    <xf numFmtId="1" fontId="6" fillId="3" borderId="342" xfId="0" applyNumberFormat="1" applyFont="1" applyFill="1" applyBorder="1" applyAlignment="1">
      <alignment horizontal="center" vertical="center" wrapText="1"/>
    </xf>
    <xf numFmtId="1" fontId="23" fillId="3" borderId="0" xfId="0" applyNumberFormat="1" applyFont="1" applyFill="1" applyAlignment="1">
      <alignment horizontal="left"/>
    </xf>
    <xf numFmtId="1" fontId="3" fillId="3" borderId="0" xfId="0" applyNumberFormat="1" applyFont="1" applyFill="1" applyAlignment="1">
      <alignment horizontal="left" wrapText="1"/>
    </xf>
    <xf numFmtId="1" fontId="19" fillId="3" borderId="0" xfId="0" applyNumberFormat="1" applyFont="1" applyFill="1" applyAlignment="1">
      <alignment horizontal="center" vertical="center"/>
    </xf>
    <xf numFmtId="1" fontId="4" fillId="3" borderId="444" xfId="0" applyNumberFormat="1" applyFont="1" applyFill="1" applyBorder="1"/>
    <xf numFmtId="1" fontId="10" fillId="3" borderId="444" xfId="0" applyNumberFormat="1" applyFont="1" applyFill="1" applyBorder="1"/>
    <xf numFmtId="1" fontId="17" fillId="3" borderId="444" xfId="0" applyNumberFormat="1" applyFont="1" applyFill="1" applyBorder="1"/>
    <xf numFmtId="1" fontId="20" fillId="0" borderId="410" xfId="0" applyNumberFormat="1" applyFont="1" applyBorder="1" applyAlignment="1">
      <alignment horizontal="center" vertical="center"/>
    </xf>
    <xf numFmtId="1" fontId="10" fillId="0" borderId="0" xfId="0" applyNumberFormat="1" applyFont="1" applyAlignment="1">
      <alignment horizontal="center"/>
    </xf>
    <xf numFmtId="1" fontId="20" fillId="0" borderId="312" xfId="0" applyNumberFormat="1" applyFont="1" applyBorder="1" applyAlignment="1">
      <alignment horizontal="center" vertical="center"/>
    </xf>
    <xf numFmtId="1" fontId="6" fillId="0" borderId="52" xfId="0" applyNumberFormat="1" applyFont="1" applyBorder="1" applyAlignment="1">
      <alignment wrapText="1"/>
    </xf>
    <xf numFmtId="1" fontId="6" fillId="0" borderId="88" xfId="0" applyNumberFormat="1" applyFont="1" applyBorder="1" applyAlignment="1">
      <alignment horizontal="right"/>
    </xf>
    <xf numFmtId="1" fontId="6" fillId="0" borderId="23" xfId="0" applyNumberFormat="1" applyFont="1" applyBorder="1" applyAlignment="1">
      <alignment wrapText="1"/>
    </xf>
    <xf numFmtId="1" fontId="6" fillId="0" borderId="86" xfId="0" applyNumberFormat="1" applyFont="1" applyBorder="1" applyAlignment="1">
      <alignment horizontal="right"/>
    </xf>
    <xf numFmtId="1" fontId="6" fillId="0" borderId="85" xfId="0" applyNumberFormat="1" applyFont="1" applyBorder="1" applyAlignment="1">
      <alignment horizontal="right"/>
    </xf>
    <xf numFmtId="1" fontId="6" fillId="0" borderId="444" xfId="0" applyNumberFormat="1" applyFont="1" applyBorder="1" applyAlignment="1">
      <alignment horizontal="right"/>
    </xf>
    <xf numFmtId="1" fontId="17" fillId="3" borderId="0" xfId="0" applyNumberFormat="1" applyFont="1" applyFill="1" applyAlignment="1">
      <alignment vertical="center"/>
    </xf>
    <xf numFmtId="1" fontId="6" fillId="3" borderId="418" xfId="7" applyNumberFormat="1" applyFont="1" applyFill="1" applyBorder="1" applyAlignment="1">
      <alignment horizontal="center" vertical="center" wrapText="1"/>
    </xf>
    <xf numFmtId="1" fontId="6" fillId="3" borderId="410" xfId="10" applyNumberFormat="1" applyFont="1" applyFill="1" applyBorder="1" applyAlignment="1">
      <alignment vertical="center" wrapText="1"/>
    </xf>
    <xf numFmtId="1" fontId="6" fillId="3" borderId="451" xfId="10" applyNumberFormat="1" applyFont="1" applyFill="1" applyBorder="1" applyAlignment="1">
      <alignment horizontal="center" vertical="center" wrapText="1"/>
    </xf>
    <xf numFmtId="1" fontId="6" fillId="3" borderId="0" xfId="7" applyNumberFormat="1" applyFont="1" applyFill="1" applyAlignment="1">
      <alignment horizontal="center" vertical="top" wrapText="1"/>
    </xf>
    <xf numFmtId="1" fontId="6" fillId="3" borderId="0" xfId="7" applyNumberFormat="1" applyFont="1" applyFill="1"/>
    <xf numFmtId="1" fontId="6" fillId="3" borderId="0" xfId="7" applyNumberFormat="1" applyFont="1" applyFill="1" applyAlignment="1">
      <alignment wrapText="1"/>
    </xf>
    <xf numFmtId="1" fontId="6" fillId="0" borderId="422" xfId="0" applyNumberFormat="1" applyFont="1" applyBorder="1" applyAlignment="1">
      <alignment horizontal="right" vertical="center"/>
    </xf>
    <xf numFmtId="1" fontId="13" fillId="0" borderId="35" xfId="0" applyNumberFormat="1" applyFont="1" applyBorder="1"/>
    <xf numFmtId="1" fontId="6" fillId="0" borderId="342" xfId="0" applyNumberFormat="1" applyFont="1" applyBorder="1" applyAlignment="1">
      <alignment horizontal="left" vertical="center" wrapText="1"/>
    </xf>
    <xf numFmtId="1" fontId="6" fillId="0" borderId="416" xfId="0" applyNumberFormat="1" applyFont="1" applyBorder="1" applyAlignment="1">
      <alignment vertical="center" wrapText="1"/>
    </xf>
    <xf numFmtId="1" fontId="6" fillId="3" borderId="410" xfId="10" applyNumberFormat="1" applyFont="1" applyFill="1" applyBorder="1" applyAlignment="1">
      <alignment horizontal="center" vertical="center" wrapText="1"/>
    </xf>
    <xf numFmtId="1" fontId="6" fillId="3" borderId="411" xfId="10" applyNumberFormat="1" applyFont="1" applyFill="1" applyBorder="1" applyAlignment="1">
      <alignment horizontal="center" vertical="center" wrapText="1"/>
    </xf>
    <xf numFmtId="1" fontId="6" fillId="3" borderId="407" xfId="10" applyNumberFormat="1" applyFont="1" applyFill="1" applyBorder="1" applyAlignment="1">
      <alignment horizontal="center" vertical="center" wrapText="1"/>
    </xf>
    <xf numFmtId="1" fontId="6" fillId="0" borderId="312" xfId="0" applyNumberFormat="1" applyFont="1" applyBorder="1"/>
    <xf numFmtId="1" fontId="6" fillId="3" borderId="412" xfId="10" applyNumberFormat="1" applyFont="1" applyFill="1" applyBorder="1" applyAlignment="1">
      <alignment horizontal="center" vertical="center" wrapText="1"/>
    </xf>
    <xf numFmtId="1" fontId="13" fillId="3" borderId="0" xfId="0" applyNumberFormat="1" applyFont="1" applyFill="1" applyProtection="1">
      <protection locked="0"/>
    </xf>
    <xf numFmtId="1" fontId="6" fillId="3" borderId="296" xfId="10" applyNumberFormat="1" applyFont="1" applyFill="1" applyBorder="1" applyAlignment="1">
      <alignment horizontal="center" vertical="center" wrapText="1"/>
    </xf>
    <xf numFmtId="1" fontId="6" fillId="3" borderId="413" xfId="0" applyNumberFormat="1" applyFont="1" applyFill="1" applyBorder="1" applyAlignment="1">
      <alignment horizontal="left" vertical="center" wrapText="1"/>
    </xf>
    <xf numFmtId="1" fontId="13" fillId="3" borderId="0" xfId="0" applyNumberFormat="1" applyFont="1" applyFill="1" applyAlignment="1" applyProtection="1">
      <alignment horizontal="right" vertical="center" wrapText="1"/>
      <protection locked="0"/>
    </xf>
    <xf numFmtId="1" fontId="6" fillId="3" borderId="31" xfId="0" applyNumberFormat="1" applyFont="1" applyFill="1" applyBorder="1" applyAlignment="1">
      <alignment horizontal="left" vertical="center" wrapText="1"/>
    </xf>
    <xf numFmtId="1" fontId="6" fillId="3" borderId="31" xfId="0" applyNumberFormat="1" applyFont="1" applyFill="1" applyBorder="1" applyAlignment="1">
      <alignment vertical="center" wrapText="1"/>
    </xf>
    <xf numFmtId="1" fontId="6" fillId="3" borderId="342" xfId="0" applyNumberFormat="1" applyFont="1" applyFill="1" applyBorder="1" applyAlignment="1">
      <alignment horizontal="left" vertical="center" wrapText="1"/>
    </xf>
    <xf numFmtId="1" fontId="15" fillId="3" borderId="418" xfId="0" applyNumberFormat="1" applyFont="1" applyFill="1" applyBorder="1" applyAlignment="1">
      <alignment horizontal="center" vertical="center" wrapText="1"/>
    </xf>
    <xf numFmtId="1" fontId="6" fillId="3" borderId="418" xfId="0" applyNumberFormat="1" applyFont="1" applyFill="1" applyBorder="1" applyAlignment="1">
      <alignment vertical="center" wrapText="1"/>
    </xf>
    <xf numFmtId="1" fontId="6" fillId="3" borderId="0" xfId="10" applyNumberFormat="1" applyFont="1" applyFill="1" applyAlignment="1">
      <alignment horizontal="center" vertical="center" wrapText="1"/>
    </xf>
    <xf numFmtId="1" fontId="6" fillId="5" borderId="413" xfId="0" applyNumberFormat="1" applyFont="1" applyFill="1" applyBorder="1" applyAlignment="1" applyProtection="1">
      <alignment vertical="center" wrapText="1"/>
      <protection locked="0"/>
    </xf>
    <xf numFmtId="1" fontId="6" fillId="5" borderId="37" xfId="0" applyNumberFormat="1" applyFont="1" applyFill="1" applyBorder="1" applyAlignment="1" applyProtection="1">
      <alignment vertical="center" wrapText="1"/>
      <protection locked="0"/>
    </xf>
    <xf numFmtId="1" fontId="6" fillId="3" borderId="0" xfId="10" applyNumberFormat="1" applyFont="1" applyFill="1" applyAlignment="1">
      <alignment vertical="center" wrapText="1"/>
    </xf>
    <xf numFmtId="1" fontId="6" fillId="5" borderId="24" xfId="0" applyNumberFormat="1" applyFont="1" applyFill="1" applyBorder="1" applyAlignment="1" applyProtection="1">
      <alignment vertical="center" wrapText="1"/>
      <protection locked="0"/>
    </xf>
    <xf numFmtId="1" fontId="4" fillId="3" borderId="444" xfId="10" applyNumberFormat="1" applyFont="1" applyFill="1" applyBorder="1" applyAlignment="1">
      <alignment wrapText="1"/>
    </xf>
    <xf numFmtId="1" fontId="81" fillId="3" borderId="0" xfId="0" applyNumberFormat="1" applyFont="1" applyFill="1"/>
    <xf numFmtId="1" fontId="6" fillId="3" borderId="416" xfId="0" applyNumberFormat="1" applyFont="1" applyFill="1" applyBorder="1" applyAlignment="1">
      <alignment horizontal="left" vertical="center" wrapText="1"/>
    </xf>
    <xf numFmtId="1" fontId="4" fillId="3" borderId="0" xfId="0" applyNumberFormat="1" applyFont="1" applyFill="1" applyAlignment="1">
      <alignment horizontal="left" vertical="center" wrapText="1"/>
    </xf>
    <xf numFmtId="1" fontId="4" fillId="3" borderId="444" xfId="0" applyNumberFormat="1" applyFont="1" applyFill="1" applyBorder="1" applyAlignment="1">
      <alignment horizontal="left"/>
    </xf>
    <xf numFmtId="1" fontId="13" fillId="5" borderId="413" xfId="0" applyNumberFormat="1" applyFont="1" applyFill="1" applyBorder="1" applyAlignment="1" applyProtection="1">
      <alignment wrapText="1"/>
      <protection locked="0"/>
    </xf>
    <xf numFmtId="1" fontId="6" fillId="0" borderId="69" xfId="0" applyNumberFormat="1" applyFont="1" applyBorder="1" applyAlignment="1">
      <alignment vertical="center" wrapText="1"/>
    </xf>
    <xf numFmtId="1" fontId="13" fillId="5" borderId="24" xfId="0" applyNumberFormat="1" applyFont="1" applyFill="1" applyBorder="1" applyAlignment="1" applyProtection="1">
      <alignment wrapText="1"/>
      <protection locked="0"/>
    </xf>
    <xf numFmtId="2" fontId="40" fillId="3" borderId="266" xfId="0" applyNumberFormat="1" applyFont="1" applyFill="1" applyBorder="1" applyAlignment="1">
      <alignment horizontal="center" vertical="center"/>
    </xf>
    <xf numFmtId="1" fontId="51" fillId="0" borderId="456" xfId="0" applyNumberFormat="1" applyFont="1" applyFill="1" applyBorder="1"/>
    <xf numFmtId="1" fontId="6" fillId="0" borderId="418" xfId="0" applyNumberFormat="1" applyFont="1" applyBorder="1" applyAlignment="1">
      <alignment horizontal="center" vertical="center" wrapText="1"/>
    </xf>
    <xf numFmtId="1" fontId="4" fillId="3" borderId="0" xfId="0" applyNumberFormat="1" applyFont="1" applyFill="1" applyAlignment="1">
      <alignment wrapText="1"/>
    </xf>
    <xf numFmtId="1" fontId="55" fillId="0" borderId="0" xfId="0" applyNumberFormat="1" applyFont="1"/>
    <xf numFmtId="1" fontId="2" fillId="3" borderId="0" xfId="0" applyNumberFormat="1" applyFont="1" applyFill="1" applyAlignment="1">
      <alignment wrapText="1"/>
    </xf>
    <xf numFmtId="1" fontId="0" fillId="0" borderId="0" xfId="0" applyNumberFormat="1" applyFill="1" applyBorder="1"/>
    <xf numFmtId="1" fontId="0" fillId="0" borderId="0" xfId="0" applyNumberFormat="1" applyFill="1" applyBorder="1" applyProtection="1">
      <protection locked="0"/>
    </xf>
    <xf numFmtId="1" fontId="6" fillId="0" borderId="484" xfId="0" applyNumberFormat="1" applyFont="1" applyBorder="1" applyAlignment="1">
      <alignment horizontal="center" vertical="center" wrapText="1"/>
    </xf>
    <xf numFmtId="1" fontId="6" fillId="13" borderId="490" xfId="0" applyNumberFormat="1" applyFont="1" applyFill="1" applyBorder="1"/>
    <xf numFmtId="1" fontId="6" fillId="5" borderId="490" xfId="0" applyNumberFormat="1" applyFont="1" applyFill="1" applyBorder="1" applyProtection="1">
      <protection locked="0"/>
    </xf>
    <xf numFmtId="1" fontId="6" fillId="5" borderId="491" xfId="0" applyNumberFormat="1" applyFont="1" applyFill="1" applyBorder="1" applyProtection="1">
      <protection locked="0"/>
    </xf>
    <xf numFmtId="1" fontId="6" fillId="13" borderId="492" xfId="0" applyNumberFormat="1" applyFont="1" applyFill="1" applyBorder="1"/>
    <xf numFmtId="1" fontId="6" fillId="13" borderId="493" xfId="0" applyNumberFormat="1" applyFont="1" applyFill="1" applyBorder="1"/>
    <xf numFmtId="1" fontId="6" fillId="5" borderId="492" xfId="0" applyNumberFormat="1" applyFont="1" applyFill="1" applyBorder="1" applyProtection="1">
      <protection locked="0"/>
    </xf>
    <xf numFmtId="1" fontId="6" fillId="0" borderId="490" xfId="0" applyNumberFormat="1" applyFont="1" applyBorder="1" applyAlignment="1">
      <alignment horizontal="right" wrapText="1"/>
    </xf>
    <xf numFmtId="1" fontId="3" fillId="0" borderId="0" xfId="0" applyNumberFormat="1" applyFont="1" applyFill="1"/>
    <xf numFmtId="1" fontId="51" fillId="0" borderId="381" xfId="4" applyNumberFormat="1" applyFont="1" applyFill="1" applyBorder="1" applyAlignment="1">
      <alignment horizontal="center" vertical="center" wrapText="1"/>
    </xf>
    <xf numFmtId="1" fontId="51" fillId="0" borderId="382" xfId="4" applyNumberFormat="1" applyFont="1" applyFill="1" applyBorder="1" applyAlignment="1">
      <alignment horizontal="center" vertical="center" wrapText="1"/>
    </xf>
    <xf numFmtId="1" fontId="2" fillId="0" borderId="274" xfId="0" applyNumberFormat="1" applyFont="1" applyFill="1" applyBorder="1" applyAlignment="1">
      <alignment horizontal="left"/>
    </xf>
    <xf numFmtId="1" fontId="60" fillId="0" borderId="121" xfId="0" applyNumberFormat="1" applyFont="1" applyFill="1" applyBorder="1" applyAlignment="1">
      <alignment horizontal="left"/>
    </xf>
    <xf numFmtId="1" fontId="6" fillId="0" borderId="407" xfId="0" applyNumberFormat="1" applyFont="1" applyFill="1" applyBorder="1" applyAlignment="1">
      <alignment horizontal="center" vertical="center" wrapText="1"/>
    </xf>
    <xf numFmtId="1" fontId="6" fillId="0" borderId="428" xfId="10" applyNumberFormat="1" applyFont="1" applyFill="1" applyBorder="1" applyAlignment="1">
      <alignment horizontal="center" vertical="center" wrapText="1"/>
    </xf>
    <xf numFmtId="1" fontId="4" fillId="0" borderId="444" xfId="10" applyNumberFormat="1" applyFont="1" applyFill="1" applyBorder="1"/>
    <xf numFmtId="1" fontId="4" fillId="0" borderId="444" xfId="0" applyNumberFormat="1" applyFont="1" applyFill="1" applyBorder="1"/>
    <xf numFmtId="1" fontId="4" fillId="0" borderId="497" xfId="0" applyNumberFormat="1" applyFont="1" applyBorder="1"/>
    <xf numFmtId="1" fontId="4" fillId="3" borderId="497" xfId="0" applyNumberFormat="1" applyFont="1" applyFill="1" applyBorder="1"/>
    <xf numFmtId="1" fontId="0" fillId="0" borderId="498" xfId="0" applyNumberFormat="1" applyBorder="1"/>
    <xf numFmtId="1" fontId="0" fillId="0" borderId="499" xfId="0" applyNumberFormat="1" applyBorder="1"/>
    <xf numFmtId="1" fontId="0" fillId="0" borderId="500" xfId="0" applyNumberFormat="1" applyBorder="1"/>
    <xf numFmtId="1" fontId="6" fillId="15" borderId="501" xfId="0" applyNumberFormat="1" applyFont="1" applyFill="1" applyBorder="1" applyAlignment="1">
      <alignment wrapText="1"/>
    </xf>
    <xf numFmtId="1" fontId="6" fillId="15" borderId="502" xfId="0" applyNumberFormat="1" applyFont="1" applyFill="1" applyBorder="1" applyAlignment="1">
      <alignment wrapText="1"/>
    </xf>
    <xf numFmtId="1" fontId="6" fillId="15" borderId="504" xfId="0" applyNumberFormat="1" applyFont="1" applyFill="1" applyBorder="1" applyAlignment="1">
      <alignment wrapText="1"/>
    </xf>
    <xf numFmtId="1" fontId="6" fillId="15" borderId="505" xfId="0" applyNumberFormat="1" applyFont="1" applyFill="1" applyBorder="1" applyAlignment="1">
      <alignment wrapText="1"/>
    </xf>
    <xf numFmtId="1" fontId="40" fillId="15" borderId="493" xfId="0" applyNumberFormat="1" applyFont="1" applyFill="1" applyBorder="1" applyAlignment="1" applyProtection="1">
      <alignment vertical="center"/>
      <protection locked="0"/>
    </xf>
    <xf numFmtId="1" fontId="6" fillId="5" borderId="511" xfId="0" applyNumberFormat="1" applyFont="1" applyFill="1" applyBorder="1" applyProtection="1">
      <protection locked="0"/>
    </xf>
    <xf numFmtId="1" fontId="6" fillId="5" borderId="512" xfId="0" applyNumberFormat="1" applyFont="1" applyFill="1" applyBorder="1" applyProtection="1">
      <protection locked="0"/>
    </xf>
    <xf numFmtId="1" fontId="6" fillId="15" borderId="513" xfId="0" applyNumberFormat="1" applyFont="1" applyFill="1" applyBorder="1" applyAlignment="1">
      <alignment wrapText="1"/>
    </xf>
    <xf numFmtId="1" fontId="6" fillId="2" borderId="515" xfId="15" applyNumberFormat="1" applyFont="1" applyBorder="1" applyProtection="1">
      <protection locked="0"/>
    </xf>
    <xf numFmtId="1" fontId="6" fillId="2" borderId="516" xfId="15" applyNumberFormat="1" applyFont="1" applyBorder="1" applyProtection="1">
      <protection locked="0"/>
    </xf>
    <xf numFmtId="1" fontId="6" fillId="2" borderId="517" xfId="15" applyNumberFormat="1" applyFont="1" applyBorder="1" applyProtection="1">
      <protection locked="0"/>
    </xf>
    <xf numFmtId="1" fontId="6" fillId="2" borderId="518" xfId="15" applyNumberFormat="1" applyFont="1" applyBorder="1" applyProtection="1">
      <protection locked="0"/>
    </xf>
    <xf numFmtId="1" fontId="6" fillId="2" borderId="519" xfId="15" applyNumberFormat="1" applyFont="1" applyBorder="1" applyProtection="1">
      <protection locked="0"/>
    </xf>
    <xf numFmtId="1" fontId="6" fillId="15" borderId="443" xfId="0" applyNumberFormat="1" applyFont="1" applyFill="1" applyBorder="1" applyAlignment="1">
      <alignment wrapText="1"/>
    </xf>
    <xf numFmtId="1" fontId="6" fillId="0" borderId="520" xfId="0" applyNumberFormat="1" applyFont="1" applyBorder="1" applyAlignment="1">
      <alignment vertical="center" wrapText="1"/>
    </xf>
    <xf numFmtId="1" fontId="6" fillId="0" borderId="521" xfId="0" applyNumberFormat="1" applyFont="1" applyBorder="1" applyAlignment="1">
      <alignment horizontal="center" vertical="center" wrapText="1"/>
    </xf>
    <xf numFmtId="1" fontId="6" fillId="0" borderId="521" xfId="0" applyNumberFormat="1" applyFont="1" applyBorder="1" applyProtection="1">
      <protection locked="0"/>
    </xf>
    <xf numFmtId="1" fontId="6" fillId="0" borderId="522" xfId="0" applyNumberFormat="1" applyFont="1" applyBorder="1"/>
    <xf numFmtId="1" fontId="6" fillId="0" borderId="522" xfId="0" applyNumberFormat="1" applyFont="1" applyBorder="1" applyProtection="1">
      <protection locked="0"/>
    </xf>
    <xf numFmtId="1" fontId="6" fillId="0" borderId="523" xfId="0" applyNumberFormat="1" applyFont="1" applyBorder="1"/>
    <xf numFmtId="1" fontId="6" fillId="0" borderId="524" xfId="0" applyNumberFormat="1" applyFont="1" applyBorder="1"/>
    <xf numFmtId="1" fontId="6" fillId="0" borderId="521" xfId="0" applyNumberFormat="1" applyFont="1" applyBorder="1"/>
    <xf numFmtId="1" fontId="6" fillId="0" borderId="525" xfId="0" applyNumberFormat="1" applyFont="1" applyBorder="1"/>
    <xf numFmtId="1" fontId="6" fillId="15" borderId="526" xfId="0" applyNumberFormat="1" applyFont="1" applyFill="1" applyBorder="1"/>
    <xf numFmtId="1" fontId="6" fillId="15" borderId="527" xfId="0" applyNumberFormat="1" applyFont="1" applyFill="1" applyBorder="1"/>
    <xf numFmtId="1" fontId="55" fillId="0" borderId="497" xfId="0" applyNumberFormat="1" applyFont="1" applyBorder="1"/>
    <xf numFmtId="1" fontId="6" fillId="0" borderId="509" xfId="0" applyNumberFormat="1" applyFont="1" applyBorder="1" applyAlignment="1">
      <alignment horizontal="center" vertical="center" wrapText="1"/>
    </xf>
    <xf numFmtId="1" fontId="6" fillId="0" borderId="531" xfId="0" applyNumberFormat="1" applyFont="1" applyBorder="1" applyAlignment="1">
      <alignment horizontal="center" vertical="center" wrapText="1"/>
    </xf>
    <xf numFmtId="1" fontId="6" fillId="0" borderId="533" xfId="0" applyNumberFormat="1" applyFont="1" applyBorder="1" applyAlignment="1">
      <alignment horizontal="center" vertical="center" wrapText="1"/>
    </xf>
    <xf numFmtId="1" fontId="6" fillId="5" borderId="537" xfId="0" applyNumberFormat="1" applyFont="1" applyFill="1" applyBorder="1" applyProtection="1">
      <protection locked="0"/>
    </xf>
    <xf numFmtId="1" fontId="6" fillId="5" borderId="538" xfId="0" applyNumberFormat="1" applyFont="1" applyFill="1" applyBorder="1" applyProtection="1">
      <protection locked="0"/>
    </xf>
    <xf numFmtId="1" fontId="6" fillId="0" borderId="540" xfId="0" applyNumberFormat="1" applyFont="1" applyBorder="1" applyAlignment="1">
      <alignment horizontal="left" vertical="center" wrapText="1"/>
    </xf>
    <xf numFmtId="1" fontId="4" fillId="0" borderId="532" xfId="0" applyNumberFormat="1" applyFont="1" applyBorder="1"/>
    <xf numFmtId="1" fontId="6" fillId="0" borderId="529" xfId="0" applyNumberFormat="1" applyFont="1" applyBorder="1" applyAlignment="1">
      <alignment horizontal="center" vertical="center" wrapText="1"/>
    </xf>
    <xf numFmtId="1" fontId="6" fillId="0" borderId="510" xfId="0" applyNumberFormat="1" applyFont="1" applyBorder="1" applyAlignment="1">
      <alignment horizontal="center" vertical="center" wrapText="1"/>
    </xf>
    <xf numFmtId="1" fontId="40" fillId="15" borderId="493" xfId="0" applyNumberFormat="1" applyFont="1" applyFill="1" applyBorder="1" applyAlignment="1">
      <alignment vertical="center"/>
    </xf>
    <xf numFmtId="1" fontId="6" fillId="0" borderId="539" xfId="0" applyNumberFormat="1" applyFont="1" applyBorder="1" applyAlignment="1">
      <alignment vertical="center" wrapText="1"/>
    </xf>
    <xf numFmtId="1" fontId="6" fillId="0" borderId="507" xfId="0" applyNumberFormat="1" applyFont="1" applyBorder="1" applyAlignment="1">
      <alignment horizontal="center" vertical="center" wrapText="1"/>
    </xf>
    <xf numFmtId="1" fontId="6" fillId="0" borderId="539" xfId="0" applyNumberFormat="1" applyFont="1" applyBorder="1" applyAlignment="1">
      <alignment horizontal="right"/>
    </xf>
    <xf numFmtId="1" fontId="6" fillId="15" borderId="541" xfId="0" applyNumberFormat="1" applyFont="1" applyFill="1" applyBorder="1"/>
    <xf numFmtId="1" fontId="0" fillId="15" borderId="541" xfId="0" applyNumberFormat="1" applyFill="1" applyBorder="1"/>
    <xf numFmtId="1" fontId="6" fillId="0" borderId="494" xfId="0" applyNumberFormat="1" applyFont="1" applyBorder="1" applyAlignment="1">
      <alignment horizontal="right" wrapText="1"/>
    </xf>
    <xf numFmtId="1" fontId="6" fillId="5" borderId="542" xfId="0" applyNumberFormat="1" applyFont="1" applyFill="1" applyBorder="1" applyProtection="1">
      <protection locked="0"/>
    </xf>
    <xf numFmtId="1" fontId="6" fillId="4" borderId="511" xfId="0" applyNumberFormat="1" applyFont="1" applyFill="1" applyBorder="1"/>
    <xf numFmtId="1" fontId="6" fillId="0" borderId="492" xfId="0" applyNumberFormat="1" applyFont="1" applyBorder="1" applyAlignment="1">
      <alignment horizontal="right" wrapText="1"/>
    </xf>
    <xf numFmtId="1" fontId="6" fillId="2" borderId="543" xfId="15" applyNumberFormat="1" applyFont="1" applyBorder="1" applyProtection="1">
      <protection locked="0"/>
    </xf>
    <xf numFmtId="1" fontId="6" fillId="15" borderId="541" xfId="0" applyNumberFormat="1" applyFont="1" applyFill="1" applyBorder="1" applyAlignment="1">
      <alignment wrapText="1"/>
    </xf>
    <xf numFmtId="1" fontId="6" fillId="4" borderId="497" xfId="0" applyNumberFormat="1" applyFont="1" applyFill="1" applyBorder="1"/>
    <xf numFmtId="1" fontId="6" fillId="5" borderId="497" xfId="0" applyNumberFormat="1" applyFont="1" applyFill="1" applyBorder="1" applyProtection="1">
      <protection locked="0"/>
    </xf>
    <xf numFmtId="1" fontId="6" fillId="5" borderId="483" xfId="0" applyNumberFormat="1" applyFont="1" applyFill="1" applyBorder="1" applyProtection="1">
      <protection locked="0"/>
    </xf>
    <xf numFmtId="1" fontId="6" fillId="15" borderId="274" xfId="0" applyNumberFormat="1" applyFont="1" applyFill="1" applyBorder="1" applyAlignment="1">
      <alignment wrapText="1"/>
    </xf>
    <xf numFmtId="1" fontId="9" fillId="15" borderId="541" xfId="0" applyNumberFormat="1" applyFont="1" applyFill="1" applyBorder="1"/>
    <xf numFmtId="1" fontId="6" fillId="0" borderId="541" xfId="0" applyNumberFormat="1" applyFont="1" applyBorder="1" applyAlignment="1">
      <alignment wrapText="1"/>
    </xf>
    <xf numFmtId="1" fontId="6" fillId="0" borderId="506" xfId="0" applyNumberFormat="1" applyFont="1" applyBorder="1" applyAlignment="1">
      <alignment horizontal="center" vertical="center" wrapText="1"/>
    </xf>
    <xf numFmtId="1" fontId="6" fillId="15" borderId="545" xfId="0" applyNumberFormat="1" applyFont="1" applyFill="1" applyBorder="1" applyAlignment="1">
      <alignment wrapText="1"/>
    </xf>
    <xf numFmtId="1" fontId="4" fillId="15" borderId="541" xfId="0" applyNumberFormat="1" applyFont="1" applyFill="1" applyBorder="1"/>
    <xf numFmtId="1" fontId="6" fillId="15" borderId="526" xfId="0" applyNumberFormat="1" applyFont="1" applyFill="1" applyBorder="1" applyAlignment="1">
      <alignment wrapText="1"/>
    </xf>
    <xf numFmtId="1" fontId="6" fillId="15" borderId="541" xfId="0" applyNumberFormat="1" applyFont="1" applyFill="1" applyBorder="1" applyAlignment="1">
      <alignment vertical="center"/>
    </xf>
    <xf numFmtId="1" fontId="6" fillId="0" borderId="491" xfId="0" applyNumberFormat="1" applyFont="1" applyBorder="1" applyAlignment="1">
      <alignment vertical="center" wrapText="1"/>
    </xf>
    <xf numFmtId="1" fontId="6" fillId="5" borderId="540" xfId="0" applyNumberFormat="1" applyFont="1" applyFill="1" applyBorder="1" applyProtection="1">
      <protection locked="0"/>
    </xf>
    <xf numFmtId="1" fontId="6" fillId="15" borderId="527" xfId="0" applyNumberFormat="1" applyFont="1" applyFill="1" applyBorder="1" applyAlignment="1">
      <alignment wrapText="1"/>
    </xf>
    <xf numFmtId="1" fontId="15" fillId="15" borderId="541" xfId="0" applyNumberFormat="1" applyFont="1" applyFill="1" applyBorder="1" applyAlignment="1">
      <alignment wrapText="1"/>
    </xf>
    <xf numFmtId="1" fontId="6" fillId="0" borderId="546" xfId="0" applyNumberFormat="1" applyFont="1" applyBorder="1" applyAlignment="1">
      <alignment wrapText="1"/>
    </xf>
    <xf numFmtId="1" fontId="6" fillId="0" borderId="508" xfId="0" applyNumberFormat="1" applyFont="1" applyBorder="1" applyAlignment="1">
      <alignment horizontal="center" vertical="center" wrapText="1"/>
    </xf>
    <xf numFmtId="1" fontId="9" fillId="0" borderId="541" xfId="0" applyNumberFormat="1" applyFont="1" applyBorder="1"/>
    <xf numFmtId="1" fontId="6" fillId="0" borderId="490" xfId="0" applyNumberFormat="1" applyFont="1" applyBorder="1"/>
    <xf numFmtId="1" fontId="35" fillId="0" borderId="0" xfId="0" applyNumberFormat="1" applyFont="1"/>
    <xf numFmtId="1" fontId="6" fillId="13" borderId="534" xfId="0" applyNumberFormat="1" applyFont="1" applyFill="1" applyBorder="1"/>
    <xf numFmtId="1" fontId="6" fillId="0" borderId="497" xfId="0" applyNumberFormat="1" applyFont="1" applyBorder="1" applyAlignment="1">
      <alignment wrapText="1"/>
    </xf>
    <xf numFmtId="1" fontId="15" fillId="0" borderId="497" xfId="0" applyNumberFormat="1" applyFont="1" applyBorder="1" applyAlignment="1">
      <alignment wrapText="1"/>
    </xf>
    <xf numFmtId="1" fontId="15" fillId="3" borderId="499" xfId="0" applyNumberFormat="1" applyFont="1" applyFill="1" applyBorder="1" applyAlignment="1">
      <alignment wrapText="1"/>
    </xf>
    <xf numFmtId="1" fontId="15" fillId="0" borderId="498" xfId="0" applyNumberFormat="1" applyFont="1" applyBorder="1" applyAlignment="1">
      <alignment wrapText="1"/>
    </xf>
    <xf numFmtId="1" fontId="15" fillId="0" borderId="499" xfId="0" applyNumberFormat="1" applyFont="1" applyBorder="1" applyAlignment="1">
      <alignment wrapText="1"/>
    </xf>
    <xf numFmtId="1" fontId="6" fillId="0" borderId="499" xfId="0" applyNumberFormat="1" applyFont="1" applyBorder="1" applyAlignment="1">
      <alignment wrapText="1"/>
    </xf>
    <xf numFmtId="1" fontId="6" fillId="15" borderId="497" xfId="0" applyNumberFormat="1" applyFont="1" applyFill="1" applyBorder="1" applyAlignment="1">
      <alignment wrapText="1"/>
    </xf>
    <xf numFmtId="1" fontId="6" fillId="15" borderId="508" xfId="0" applyNumberFormat="1" applyFont="1" applyFill="1" applyBorder="1" applyAlignment="1">
      <alignment horizontal="center" vertical="center" wrapText="1"/>
    </xf>
    <xf numFmtId="1" fontId="6" fillId="15" borderId="497" xfId="0" applyNumberFormat="1" applyFont="1" applyFill="1" applyBorder="1" applyAlignment="1">
      <alignment horizontal="center" vertical="center" wrapText="1"/>
    </xf>
    <xf numFmtId="1" fontId="0" fillId="15" borderId="493" xfId="0" applyNumberFormat="1" applyFill="1" applyBorder="1"/>
    <xf numFmtId="1" fontId="6" fillId="0" borderId="539" xfId="0" applyNumberFormat="1" applyFont="1" applyBorder="1"/>
    <xf numFmtId="1" fontId="6" fillId="0" borderId="492" xfId="0" applyNumberFormat="1" applyFont="1" applyBorder="1"/>
    <xf numFmtId="1" fontId="6" fillId="0" borderId="494" xfId="0" applyNumberFormat="1" applyFont="1" applyBorder="1"/>
    <xf numFmtId="1" fontId="6" fillId="5" borderId="549" xfId="0" applyNumberFormat="1" applyFont="1" applyFill="1" applyBorder="1" applyProtection="1">
      <protection locked="0"/>
    </xf>
    <xf numFmtId="1" fontId="6" fillId="5" borderId="534" xfId="0" applyNumberFormat="1" applyFont="1" applyFill="1" applyBorder="1" applyProtection="1">
      <protection locked="0"/>
    </xf>
    <xf numFmtId="1" fontId="6" fillId="5" borderId="548" xfId="0" applyNumberFormat="1" applyFont="1" applyFill="1" applyBorder="1" applyProtection="1">
      <protection locked="0"/>
    </xf>
    <xf numFmtId="1" fontId="6" fillId="5" borderId="493" xfId="0" applyNumberFormat="1" applyFont="1" applyFill="1" applyBorder="1" applyProtection="1">
      <protection locked="0"/>
    </xf>
    <xf numFmtId="1" fontId="6" fillId="0" borderId="544" xfId="0" applyNumberFormat="1" applyFont="1" applyBorder="1"/>
    <xf numFmtId="1" fontId="6" fillId="5" borderId="514" xfId="0" applyNumberFormat="1" applyFont="1" applyFill="1" applyBorder="1" applyProtection="1">
      <protection locked="0"/>
    </xf>
    <xf numFmtId="1" fontId="55" fillId="3" borderId="497" xfId="0" applyNumberFormat="1" applyFont="1" applyFill="1" applyBorder="1"/>
    <xf numFmtId="1" fontId="51" fillId="0" borderId="497" xfId="0" applyNumberFormat="1" applyFont="1" applyBorder="1"/>
    <xf numFmtId="1" fontId="51" fillId="0" borderId="534" xfId="0" applyNumberFormat="1" applyFont="1" applyBorder="1" applyAlignment="1">
      <alignment horizontal="center" vertical="center"/>
    </xf>
    <xf numFmtId="1" fontId="51" fillId="0" borderId="535" xfId="0" applyNumberFormat="1" applyFont="1" applyBorder="1" applyAlignment="1">
      <alignment horizontal="center" vertical="center"/>
    </xf>
    <xf numFmtId="1" fontId="51" fillId="0" borderId="551" xfId="0" applyNumberFormat="1" applyFont="1" applyBorder="1" applyAlignment="1">
      <alignment horizontal="center" vertical="center" wrapText="1"/>
    </xf>
    <xf numFmtId="1" fontId="51" fillId="0" borderId="544" xfId="0" applyNumberFormat="1" applyFont="1" applyBorder="1" applyAlignment="1">
      <alignment horizontal="center" vertical="center" wrapText="1"/>
    </xf>
    <xf numFmtId="1" fontId="51" fillId="0" borderId="552" xfId="0" applyNumberFormat="1" applyFont="1" applyBorder="1" applyAlignment="1">
      <alignment horizontal="center" vertical="center" wrapText="1"/>
    </xf>
    <xf numFmtId="1" fontId="51" fillId="0" borderId="553" xfId="0" applyNumberFormat="1" applyFont="1" applyBorder="1" applyAlignment="1">
      <alignment horizontal="center" vertical="center" wrapText="1"/>
    </xf>
    <xf numFmtId="1" fontId="51" fillId="0" borderId="554" xfId="0" applyNumberFormat="1" applyFont="1" applyBorder="1" applyAlignment="1">
      <alignment horizontal="center" vertical="center" wrapText="1"/>
    </xf>
    <xf numFmtId="1" fontId="51" fillId="0" borderId="484" xfId="0" applyNumberFormat="1" applyFont="1" applyBorder="1" applyAlignment="1">
      <alignment horizontal="center" vertical="center" wrapText="1"/>
    </xf>
    <xf numFmtId="1" fontId="51" fillId="15" borderId="551" xfId="0" applyNumberFormat="1" applyFont="1" applyFill="1" applyBorder="1" applyAlignment="1">
      <alignment horizontal="center" vertical="center" wrapText="1"/>
    </xf>
    <xf numFmtId="1" fontId="51" fillId="15" borderId="484" xfId="0" applyNumberFormat="1" applyFont="1" applyFill="1" applyBorder="1" applyAlignment="1">
      <alignment horizontal="center" vertical="center" wrapText="1"/>
    </xf>
    <xf numFmtId="1" fontId="51" fillId="15" borderId="554" xfId="0" applyNumberFormat="1" applyFont="1" applyFill="1" applyBorder="1" applyAlignment="1">
      <alignment horizontal="center" vertical="center" wrapText="1"/>
    </xf>
    <xf numFmtId="1" fontId="6" fillId="0" borderId="534" xfId="0" applyNumberFormat="1" applyFont="1" applyBorder="1" applyAlignment="1">
      <alignment horizontal="center" vertical="center"/>
    </xf>
    <xf numFmtId="1" fontId="6" fillId="0" borderId="535" xfId="0" applyNumberFormat="1" applyFont="1" applyBorder="1" applyAlignment="1">
      <alignment horizontal="center" vertical="center"/>
    </xf>
    <xf numFmtId="1" fontId="6" fillId="0" borderId="534" xfId="0" applyNumberFormat="1" applyFont="1" applyBorder="1"/>
    <xf numFmtId="1" fontId="6" fillId="5" borderId="555" xfId="0" applyNumberFormat="1" applyFont="1" applyFill="1" applyBorder="1" applyProtection="1">
      <protection locked="0"/>
    </xf>
    <xf numFmtId="1" fontId="6" fillId="0" borderId="490" xfId="0" applyNumberFormat="1" applyFont="1" applyBorder="1" applyAlignment="1">
      <alignment wrapText="1"/>
    </xf>
    <xf numFmtId="1" fontId="6" fillId="0" borderId="510" xfId="0" applyNumberFormat="1" applyFont="1" applyBorder="1" applyAlignment="1">
      <alignment horizontal="center" vertical="center"/>
    </xf>
    <xf numFmtId="1" fontId="0" fillId="3" borderId="541" xfId="0" applyNumberFormat="1" applyFill="1" applyBorder="1"/>
    <xf numFmtId="1" fontId="6" fillId="0" borderId="554" xfId="0" applyNumberFormat="1" applyFont="1" applyBorder="1" applyAlignment="1">
      <alignment horizontal="center" vertical="center" wrapText="1"/>
    </xf>
    <xf numFmtId="1" fontId="6" fillId="0" borderId="553" xfId="0" applyNumberFormat="1" applyFont="1" applyBorder="1" applyAlignment="1">
      <alignment horizontal="center" vertical="center" wrapText="1"/>
    </xf>
    <xf numFmtId="1" fontId="6" fillId="0" borderId="551" xfId="9" applyNumberFormat="1" applyFont="1" applyBorder="1" applyAlignment="1">
      <alignment horizontal="center" vertical="center" wrapText="1"/>
    </xf>
    <xf numFmtId="1" fontId="6" fillId="0" borderId="553" xfId="9" applyNumberFormat="1" applyFont="1" applyBorder="1" applyAlignment="1">
      <alignment horizontal="center" vertical="center" wrapText="1"/>
    </xf>
    <xf numFmtId="1" fontId="68" fillId="0" borderId="551" xfId="9" applyNumberFormat="1" applyFont="1" applyBorder="1" applyAlignment="1">
      <alignment horizontal="center" vertical="center" wrapText="1"/>
    </xf>
    <xf numFmtId="1" fontId="68" fillId="0" borderId="553" xfId="9" applyNumberFormat="1" applyFont="1" applyBorder="1" applyAlignment="1">
      <alignment horizontal="center" vertical="center" wrapText="1"/>
    </xf>
    <xf numFmtId="1" fontId="6" fillId="0" borderId="551" xfId="9" applyNumberFormat="1" applyFont="1" applyBorder="1"/>
    <xf numFmtId="1" fontId="51" fillId="0" borderId="551" xfId="9" applyNumberFormat="1" applyFont="1" applyBorder="1" applyAlignment="1">
      <alignment horizontal="center" vertical="center" wrapText="1"/>
    </xf>
    <xf numFmtId="1" fontId="51" fillId="0" borderId="553" xfId="9" applyNumberFormat="1" applyFont="1" applyBorder="1" applyAlignment="1">
      <alignment horizontal="center" vertical="center" wrapText="1"/>
    </xf>
    <xf numFmtId="1" fontId="51" fillId="0" borderId="554" xfId="9" applyNumberFormat="1" applyFont="1" applyBorder="1" applyAlignment="1">
      <alignment horizontal="center" vertical="center" wrapText="1"/>
    </xf>
    <xf numFmtId="1" fontId="26" fillId="18" borderId="0" xfId="0" applyNumberFormat="1" applyFont="1" applyFill="1" applyProtection="1"/>
    <xf numFmtId="1" fontId="26" fillId="20" borderId="0" xfId="0" applyNumberFormat="1" applyFont="1" applyFill="1" applyProtection="1"/>
    <xf numFmtId="1" fontId="40" fillId="15" borderId="35" xfId="0" applyNumberFormat="1" applyFont="1" applyFill="1" applyBorder="1" applyAlignment="1" applyProtection="1">
      <alignment vertical="center"/>
    </xf>
    <xf numFmtId="1" fontId="5" fillId="15" borderId="556" xfId="0" applyNumberFormat="1" applyFont="1" applyFill="1" applyBorder="1" applyProtection="1">
      <protection hidden="1"/>
    </xf>
    <xf numFmtId="0" fontId="46" fillId="15" borderId="556" xfId="0" applyFont="1" applyFill="1" applyBorder="1" applyAlignment="1" applyProtection="1">
      <alignment horizontal="center"/>
      <protection hidden="1"/>
    </xf>
    <xf numFmtId="1" fontId="84" fillId="31" borderId="0" xfId="28" applyNumberFormat="1" applyProtection="1">
      <protection locked="0"/>
    </xf>
    <xf numFmtId="1" fontId="84" fillId="31" borderId="0" xfId="28" applyNumberFormat="1"/>
    <xf numFmtId="1" fontId="20" fillId="0" borderId="492" xfId="0" applyNumberFormat="1" applyFont="1" applyBorder="1"/>
    <xf numFmtId="1" fontId="20" fillId="0" borderId="494" xfId="0" applyNumberFormat="1" applyFont="1" applyBorder="1"/>
    <xf numFmtId="1" fontId="6" fillId="5" borderId="560" xfId="0" applyNumberFormat="1" applyFont="1" applyFill="1" applyBorder="1" applyProtection="1">
      <protection locked="0"/>
    </xf>
    <xf numFmtId="1" fontId="6" fillId="5" borderId="561" xfId="0" applyNumberFormat="1" applyFont="1" applyFill="1" applyBorder="1" applyProtection="1">
      <protection locked="0"/>
    </xf>
    <xf numFmtId="1" fontId="6" fillId="5" borderId="562" xfId="0" applyNumberFormat="1" applyFont="1" applyFill="1" applyBorder="1" applyProtection="1">
      <protection locked="0"/>
    </xf>
    <xf numFmtId="1" fontId="20" fillId="0" borderId="544" xfId="0" applyNumberFormat="1" applyFont="1" applyBorder="1"/>
    <xf numFmtId="1" fontId="6" fillId="4" borderId="490" xfId="0" applyNumberFormat="1" applyFont="1" applyFill="1" applyBorder="1"/>
    <xf numFmtId="1" fontId="6" fillId="5" borderId="539" xfId="0" applyNumberFormat="1" applyFont="1" applyFill="1" applyBorder="1" applyProtection="1">
      <protection locked="0"/>
    </xf>
    <xf numFmtId="1" fontId="6" fillId="5" borderId="495" xfId="0" applyNumberFormat="1" applyFont="1" applyFill="1" applyBorder="1" applyProtection="1">
      <protection locked="0"/>
    </xf>
    <xf numFmtId="1" fontId="6" fillId="4" borderId="492" xfId="0" applyNumberFormat="1" applyFont="1" applyFill="1" applyBorder="1"/>
    <xf numFmtId="1" fontId="6" fillId="4" borderId="548" xfId="0" applyNumberFormat="1" applyFont="1" applyFill="1" applyBorder="1"/>
    <xf numFmtId="1" fontId="6" fillId="5" borderId="563" xfId="0" applyNumberFormat="1" applyFont="1" applyFill="1" applyBorder="1" applyProtection="1">
      <protection locked="0"/>
    </xf>
    <xf numFmtId="1" fontId="6" fillId="0" borderId="562" xfId="0" applyNumberFormat="1" applyFont="1" applyBorder="1" applyAlignment="1">
      <alignment horizontal="left" vertical="center"/>
    </xf>
    <xf numFmtId="1" fontId="6" fillId="13" borderId="563" xfId="0" applyNumberFormat="1" applyFont="1" applyFill="1" applyBorder="1" applyProtection="1">
      <protection locked="0"/>
    </xf>
    <xf numFmtId="1" fontId="6" fillId="5" borderId="566" xfId="0" applyNumberFormat="1" applyFont="1" applyFill="1" applyBorder="1" applyProtection="1">
      <protection locked="0"/>
    </xf>
    <xf numFmtId="1" fontId="6" fillId="4" borderId="560" xfId="0" applyNumberFormat="1" applyFont="1" applyFill="1" applyBorder="1"/>
    <xf numFmtId="1" fontId="6" fillId="4" borderId="538" xfId="0" applyNumberFormat="1" applyFont="1" applyFill="1" applyBorder="1"/>
    <xf numFmtId="1" fontId="6" fillId="4" borderId="534" xfId="0" applyNumberFormat="1" applyFont="1" applyFill="1" applyBorder="1"/>
    <xf numFmtId="1" fontId="68" fillId="3" borderId="534" xfId="0" applyNumberFormat="1" applyFont="1" applyFill="1" applyBorder="1" applyAlignment="1">
      <alignment horizontal="center" vertical="center" wrapText="1"/>
    </xf>
    <xf numFmtId="1" fontId="12" fillId="3" borderId="497" xfId="0" applyNumberFormat="1" applyFont="1" applyFill="1" applyBorder="1" applyAlignment="1">
      <alignment horizontal="left"/>
    </xf>
    <xf numFmtId="1" fontId="13" fillId="0" borderId="567" xfId="0" applyNumberFormat="1" applyFont="1" applyBorder="1"/>
    <xf numFmtId="1" fontId="6" fillId="5" borderId="539" xfId="0" applyNumberFormat="1" applyFont="1" applyFill="1" applyBorder="1" applyAlignment="1" applyProtection="1">
      <alignment wrapText="1"/>
      <protection locked="0"/>
    </xf>
    <xf numFmtId="1" fontId="6" fillId="5" borderId="490" xfId="0" applyNumberFormat="1" applyFont="1" applyFill="1" applyBorder="1" applyAlignment="1" applyProtection="1">
      <alignment wrapText="1"/>
      <protection locked="0"/>
    </xf>
    <xf numFmtId="1" fontId="6" fillId="3" borderId="490" xfId="0" applyNumberFormat="1" applyFont="1" applyFill="1" applyBorder="1" applyAlignment="1">
      <alignment horizontal="right" wrapText="1"/>
    </xf>
    <xf numFmtId="1" fontId="6" fillId="4" borderId="490" xfId="0" applyNumberFormat="1" applyFont="1" applyFill="1" applyBorder="1" applyAlignment="1">
      <alignment wrapText="1"/>
    </xf>
    <xf numFmtId="1" fontId="6" fillId="13" borderId="38" xfId="0" applyNumberFormat="1" applyFont="1" applyFill="1" applyBorder="1" applyAlignment="1" applyProtection="1">
      <alignment wrapText="1"/>
      <protection locked="0"/>
    </xf>
    <xf numFmtId="1" fontId="63" fillId="0" borderId="0" xfId="0" applyNumberFormat="1" applyFont="1" applyAlignment="1">
      <alignment horizontal="center"/>
    </xf>
    <xf numFmtId="1" fontId="6" fillId="0" borderId="576" xfId="0" applyNumberFormat="1" applyFont="1" applyBorder="1"/>
    <xf numFmtId="1" fontId="2" fillId="3" borderId="497" xfId="0" applyNumberFormat="1" applyFont="1" applyFill="1" applyBorder="1" applyAlignment="1">
      <alignment horizontal="left"/>
    </xf>
    <xf numFmtId="1" fontId="6" fillId="0" borderId="37" xfId="0" applyNumberFormat="1" applyFont="1" applyBorder="1" applyAlignment="1">
      <alignment horizontal="left" vertical="center" wrapText="1"/>
    </xf>
    <xf numFmtId="1" fontId="6" fillId="0" borderId="40" xfId="0" applyNumberFormat="1" applyFont="1" applyBorder="1" applyAlignment="1">
      <alignment vertical="center" wrapText="1"/>
    </xf>
    <xf numFmtId="1" fontId="6" fillId="0" borderId="51" xfId="0" applyNumberFormat="1" applyFont="1" applyBorder="1" applyAlignment="1">
      <alignment vertical="center" wrapText="1"/>
    </xf>
    <xf numFmtId="1" fontId="6" fillId="0" borderId="21" xfId="0" applyNumberFormat="1" applyFont="1" applyBorder="1" applyAlignment="1">
      <alignment vertical="center" wrapText="1"/>
    </xf>
    <xf numFmtId="1" fontId="6" fillId="0" borderId="40" xfId="0" applyNumberFormat="1" applyFont="1" applyBorder="1" applyAlignment="1">
      <alignment horizontal="left" vertical="center" wrapText="1"/>
    </xf>
    <xf numFmtId="1" fontId="6" fillId="0" borderId="23" xfId="0" applyNumberFormat="1" applyFont="1" applyBorder="1" applyAlignment="1">
      <alignment horizontal="left" vertical="center" wrapText="1"/>
    </xf>
    <xf numFmtId="1" fontId="6" fillId="0" borderId="85" xfId="0" applyNumberFormat="1" applyFont="1" applyBorder="1" applyAlignment="1">
      <alignment horizontal="left" vertical="center" wrapText="1"/>
    </xf>
    <xf numFmtId="1" fontId="6" fillId="0" borderId="37" xfId="0" applyNumberFormat="1" applyFont="1" applyBorder="1" applyAlignment="1">
      <alignment horizontal="left"/>
    </xf>
    <xf numFmtId="1" fontId="6" fillId="0" borderId="24" xfId="0" applyNumberFormat="1" applyFont="1" applyBorder="1" applyAlignment="1">
      <alignment horizontal="left"/>
    </xf>
    <xf numFmtId="1" fontId="6" fillId="0" borderId="21" xfId="0" applyNumberFormat="1" applyFont="1" applyBorder="1" applyAlignment="1">
      <alignment horizontal="left"/>
    </xf>
    <xf numFmtId="1" fontId="6" fillId="0" borderId="51" xfId="0" applyNumberFormat="1" applyFont="1" applyBorder="1" applyAlignment="1">
      <alignment horizontal="left"/>
    </xf>
    <xf numFmtId="1" fontId="6" fillId="0" borderId="40" xfId="0" applyNumberFormat="1" applyFont="1" applyBorder="1" applyAlignment="1">
      <alignment horizontal="left" vertical="center"/>
    </xf>
    <xf numFmtId="1" fontId="6" fillId="0" borderId="24" xfId="0" applyNumberFormat="1" applyFont="1" applyBorder="1" applyAlignment="1">
      <alignment horizontal="center" vertical="center" wrapText="1"/>
    </xf>
    <xf numFmtId="1" fontId="6" fillId="0" borderId="37" xfId="0" applyNumberFormat="1" applyFont="1" applyBorder="1" applyAlignment="1">
      <alignment horizontal="left" vertical="center"/>
    </xf>
    <xf numFmtId="1" fontId="6" fillId="0" borderId="24" xfId="0" applyNumberFormat="1" applyFont="1" applyBorder="1" applyAlignment="1">
      <alignment horizontal="left" vertical="center" wrapText="1"/>
    </xf>
    <xf numFmtId="1" fontId="6" fillId="0" borderId="51" xfId="0" applyNumberFormat="1" applyFont="1" applyBorder="1" applyAlignment="1">
      <alignment wrapText="1"/>
    </xf>
    <xf numFmtId="1" fontId="6" fillId="0" borderId="39" xfId="0" applyNumberFormat="1" applyFont="1" applyBorder="1" applyAlignment="1">
      <alignment wrapText="1"/>
    </xf>
    <xf numFmtId="1" fontId="6" fillId="0" borderId="37" xfId="0" applyNumberFormat="1" applyFont="1" applyBorder="1" applyAlignment="1" applyProtection="1">
      <alignment horizontal="left" vertical="center" wrapText="1"/>
      <protection hidden="1"/>
    </xf>
    <xf numFmtId="1" fontId="6" fillId="0" borderId="24" xfId="0" applyNumberFormat="1" applyFont="1" applyBorder="1" applyAlignment="1" applyProtection="1">
      <alignment horizontal="left" vertical="center" wrapText="1"/>
      <protection hidden="1"/>
    </xf>
    <xf numFmtId="1" fontId="6" fillId="0" borderId="23" xfId="0" applyNumberFormat="1" applyFont="1" applyBorder="1" applyAlignment="1">
      <alignment horizontal="left" vertical="center"/>
    </xf>
    <xf numFmtId="1" fontId="6" fillId="0" borderId="60" xfId="0" applyNumberFormat="1" applyFont="1" applyBorder="1" applyAlignment="1">
      <alignment horizontal="left" vertical="center" wrapText="1"/>
    </xf>
    <xf numFmtId="1" fontId="20" fillId="0" borderId="534" xfId="0" applyNumberFormat="1" applyFont="1" applyBorder="1" applyAlignment="1">
      <alignment wrapText="1"/>
    </xf>
    <xf numFmtId="1" fontId="6" fillId="0" borderId="86" xfId="0" applyNumberFormat="1" applyFont="1" applyBorder="1" applyAlignment="1">
      <alignment horizontal="left" vertical="center" wrapText="1"/>
    </xf>
    <xf numFmtId="1" fontId="6" fillId="0" borderId="40" xfId="0" applyNumberFormat="1" applyFont="1" applyBorder="1" applyAlignment="1">
      <alignment horizontal="left"/>
    </xf>
    <xf numFmtId="1" fontId="6" fillId="0" borderId="38" xfId="0" applyNumberFormat="1" applyFont="1" applyBorder="1"/>
    <xf numFmtId="1" fontId="6" fillId="0" borderId="63" xfId="0" applyNumberFormat="1" applyFont="1" applyBorder="1"/>
    <xf numFmtId="1" fontId="6" fillId="0" borderId="20" xfId="0" applyNumberFormat="1" applyFont="1" applyBorder="1"/>
    <xf numFmtId="1" fontId="6" fillId="0" borderId="46" xfId="0" applyNumberFormat="1" applyFont="1" applyBorder="1"/>
    <xf numFmtId="1" fontId="85" fillId="32" borderId="0" xfId="0" applyNumberFormat="1" applyFont="1" applyFill="1" applyAlignment="1">
      <alignment vertical="center" wrapText="1"/>
    </xf>
    <xf numFmtId="1" fontId="6" fillId="0" borderId="40" xfId="0" applyNumberFormat="1" applyFont="1" applyBorder="1" applyAlignment="1">
      <alignment wrapText="1"/>
    </xf>
    <xf numFmtId="1" fontId="54" fillId="0" borderId="0" xfId="0" applyNumberFormat="1" applyFont="1"/>
    <xf numFmtId="49" fontId="86" fillId="3" borderId="0" xfId="0" applyNumberFormat="1" applyFont="1" applyFill="1" applyAlignment="1">
      <alignment horizontal="center"/>
    </xf>
    <xf numFmtId="1" fontId="6" fillId="0" borderId="580" xfId="0" applyNumberFormat="1" applyFont="1" applyBorder="1"/>
    <xf numFmtId="1" fontId="6" fillId="3" borderId="580" xfId="0" applyNumberFormat="1" applyFont="1" applyFill="1" applyBorder="1"/>
    <xf numFmtId="1" fontId="6" fillId="4" borderId="581" xfId="0" applyNumberFormat="1" applyFont="1" applyFill="1" applyBorder="1"/>
    <xf numFmtId="1" fontId="6" fillId="4" borderId="582" xfId="0" applyNumberFormat="1" applyFont="1" applyFill="1" applyBorder="1"/>
    <xf numFmtId="1" fontId="6" fillId="4" borderId="583" xfId="0" applyNumberFormat="1" applyFont="1" applyFill="1" applyBorder="1"/>
    <xf numFmtId="1" fontId="6" fillId="5" borderId="580" xfId="0" applyNumberFormat="1" applyFont="1" applyFill="1" applyBorder="1" applyProtection="1">
      <protection locked="0"/>
    </xf>
    <xf numFmtId="1" fontId="6" fillId="4" borderId="580" xfId="0" applyNumberFormat="1" applyFont="1" applyFill="1" applyBorder="1"/>
    <xf numFmtId="1" fontId="6" fillId="4" borderId="584" xfId="0" applyNumberFormat="1" applyFont="1" applyFill="1" applyBorder="1"/>
    <xf numFmtId="0" fontId="86" fillId="3" borderId="0" xfId="0" applyFont="1" applyFill="1" applyAlignment="1">
      <alignment horizontal="center"/>
    </xf>
    <xf numFmtId="1" fontId="6" fillId="3" borderId="565" xfId="0" applyNumberFormat="1" applyFont="1" applyFill="1" applyBorder="1"/>
    <xf numFmtId="1" fontId="6" fillId="0" borderId="562" xfId="0" applyNumberFormat="1" applyFont="1" applyBorder="1"/>
    <xf numFmtId="1" fontId="6" fillId="3" borderId="562" xfId="0" applyNumberFormat="1" applyFont="1" applyFill="1" applyBorder="1"/>
    <xf numFmtId="1" fontId="6" fillId="5" borderId="582" xfId="0" applyNumberFormat="1" applyFont="1" applyFill="1" applyBorder="1" applyProtection="1">
      <protection locked="0"/>
    </xf>
    <xf numFmtId="1" fontId="6" fillId="4" borderId="562" xfId="0" applyNumberFormat="1" applyFont="1" applyFill="1" applyBorder="1"/>
    <xf numFmtId="1" fontId="6" fillId="4" borderId="539" xfId="0" applyNumberFormat="1" applyFont="1" applyFill="1" applyBorder="1"/>
    <xf numFmtId="1" fontId="6" fillId="0" borderId="540" xfId="0" applyNumberFormat="1" applyFont="1" applyBorder="1"/>
    <xf numFmtId="1" fontId="6" fillId="3" borderId="495" xfId="0" applyNumberFormat="1" applyFont="1" applyFill="1" applyBorder="1"/>
    <xf numFmtId="1" fontId="6" fillId="5" borderId="494" xfId="0" applyNumberFormat="1" applyFont="1" applyFill="1" applyBorder="1" applyProtection="1">
      <protection locked="0"/>
    </xf>
    <xf numFmtId="1" fontId="6" fillId="5" borderId="544" xfId="0" applyNumberFormat="1" applyFont="1" applyFill="1" applyBorder="1" applyProtection="1">
      <protection locked="0"/>
    </xf>
    <xf numFmtId="1" fontId="6" fillId="4" borderId="494" xfId="0" applyNumberFormat="1" applyFont="1" applyFill="1" applyBorder="1"/>
    <xf numFmtId="1" fontId="6" fillId="4" borderId="585" xfId="0" applyNumberFormat="1" applyFont="1" applyFill="1" applyBorder="1"/>
    <xf numFmtId="1" fontId="6" fillId="5" borderId="579" xfId="0" applyNumberFormat="1" applyFont="1" applyFill="1" applyBorder="1" applyProtection="1">
      <protection locked="0"/>
    </xf>
    <xf numFmtId="1" fontId="6" fillId="5" borderId="586" xfId="0" applyNumberFormat="1" applyFont="1" applyFill="1" applyBorder="1" applyProtection="1">
      <protection locked="0"/>
    </xf>
    <xf numFmtId="1" fontId="6" fillId="5" borderId="587" xfId="0" applyNumberFormat="1" applyFont="1" applyFill="1" applyBorder="1" applyProtection="1">
      <protection locked="0"/>
    </xf>
    <xf numFmtId="1" fontId="6" fillId="5" borderId="588" xfId="0" applyNumberFormat="1" applyFont="1" applyFill="1" applyBorder="1" applyProtection="1">
      <protection locked="0"/>
    </xf>
    <xf numFmtId="1" fontId="6" fillId="0" borderId="561" xfId="0" applyNumberFormat="1" applyFont="1" applyBorder="1"/>
    <xf numFmtId="1" fontId="6" fillId="0" borderId="589" xfId="0" applyNumberFormat="1" applyFont="1" applyBorder="1"/>
    <xf numFmtId="1" fontId="6" fillId="0" borderId="564" xfId="0" applyNumberFormat="1" applyFont="1" applyBorder="1"/>
    <xf numFmtId="1" fontId="6" fillId="4" borderId="544" xfId="0" applyNumberFormat="1" applyFont="1" applyFill="1" applyBorder="1"/>
    <xf numFmtId="1" fontId="6" fillId="4" borderId="590" xfId="0" applyNumberFormat="1" applyFont="1" applyFill="1" applyBorder="1"/>
    <xf numFmtId="1" fontId="6" fillId="5" borderId="583" xfId="0" applyNumberFormat="1" applyFont="1" applyFill="1" applyBorder="1" applyProtection="1">
      <protection locked="0"/>
    </xf>
    <xf numFmtId="1" fontId="6" fillId="7" borderId="591" xfId="20" applyNumberFormat="1" applyFont="1" applyBorder="1" applyProtection="1">
      <protection locked="0"/>
    </xf>
    <xf numFmtId="1" fontId="6" fillId="7" borderId="569" xfId="20" applyNumberFormat="1" applyFont="1" applyBorder="1" applyProtection="1">
      <protection locked="0"/>
    </xf>
    <xf numFmtId="1" fontId="6" fillId="5" borderId="581" xfId="0" applyNumberFormat="1" applyFont="1" applyFill="1" applyBorder="1" applyProtection="1">
      <protection locked="0"/>
    </xf>
    <xf numFmtId="1" fontId="6" fillId="7" borderId="592" xfId="20" applyNumberFormat="1" applyFont="1" applyBorder="1" applyProtection="1">
      <protection locked="0"/>
    </xf>
    <xf numFmtId="1" fontId="6" fillId="5" borderId="592" xfId="0" applyNumberFormat="1" applyFont="1" applyFill="1" applyBorder="1" applyProtection="1">
      <protection locked="0"/>
    </xf>
    <xf numFmtId="1" fontId="6" fillId="7" borderId="593" xfId="20" applyNumberFormat="1" applyFont="1" applyBorder="1" applyProtection="1">
      <protection locked="0"/>
    </xf>
    <xf numFmtId="1" fontId="6" fillId="5" borderId="594" xfId="0" applyNumberFormat="1" applyFont="1" applyFill="1" applyBorder="1" applyProtection="1">
      <protection locked="0"/>
    </xf>
    <xf numFmtId="1" fontId="6" fillId="7" borderId="595" xfId="20" applyNumberFormat="1" applyFont="1" applyBorder="1" applyProtection="1">
      <protection locked="0"/>
    </xf>
    <xf numFmtId="1" fontId="6" fillId="7" borderId="568" xfId="20" applyNumberFormat="1" applyFont="1" applyBorder="1" applyProtection="1">
      <protection locked="0"/>
    </xf>
    <xf numFmtId="1" fontId="6" fillId="7" borderId="570" xfId="20" applyNumberFormat="1" applyFont="1" applyBorder="1" applyProtection="1">
      <protection locked="0"/>
    </xf>
    <xf numFmtId="1" fontId="6" fillId="7" borderId="596" xfId="20" applyNumberFormat="1" applyFont="1" applyBorder="1" applyProtection="1">
      <protection locked="0"/>
    </xf>
    <xf numFmtId="1" fontId="6" fillId="7" borderId="597" xfId="20" applyNumberFormat="1" applyFont="1" applyBorder="1" applyProtection="1">
      <protection locked="0"/>
    </xf>
    <xf numFmtId="1" fontId="6" fillId="7" borderId="598" xfId="20" applyNumberFormat="1" applyFont="1" applyBorder="1" applyProtection="1">
      <protection locked="0"/>
    </xf>
    <xf numFmtId="1" fontId="6" fillId="4" borderId="599" xfId="0" applyNumberFormat="1" applyFont="1" applyFill="1" applyBorder="1"/>
    <xf numFmtId="1" fontId="6" fillId="3" borderId="600" xfId="20" applyNumberFormat="1" applyFont="1" applyFill="1" applyBorder="1" applyAlignment="1">
      <alignment horizontal="right"/>
    </xf>
    <xf numFmtId="1" fontId="6" fillId="3" borderId="582" xfId="20" applyNumberFormat="1" applyFont="1" applyFill="1" applyBorder="1" applyAlignment="1">
      <alignment horizontal="right"/>
    </xf>
    <xf numFmtId="1" fontId="6" fillId="3" borderId="584" xfId="20" applyNumberFormat="1" applyFont="1" applyFill="1" applyBorder="1" applyAlignment="1">
      <alignment horizontal="right"/>
    </xf>
    <xf numFmtId="1" fontId="6" fillId="4" borderId="594" xfId="0" applyNumberFormat="1" applyFont="1" applyFill="1" applyBorder="1"/>
    <xf numFmtId="1" fontId="6" fillId="5" borderId="584" xfId="0" applyNumberFormat="1" applyFont="1" applyFill="1" applyBorder="1" applyProtection="1">
      <protection locked="0"/>
    </xf>
    <xf numFmtId="1" fontId="6" fillId="3" borderId="591" xfId="20" applyNumberFormat="1" applyFont="1" applyFill="1" applyBorder="1" applyAlignment="1">
      <alignment horizontal="right"/>
    </xf>
    <xf numFmtId="1" fontId="6" fillId="3" borderId="63" xfId="20" applyNumberFormat="1" applyFont="1" applyFill="1" applyBorder="1" applyAlignment="1">
      <alignment horizontal="right"/>
    </xf>
    <xf numFmtId="1" fontId="6" fillId="3" borderId="51" xfId="20" applyNumberFormat="1" applyFont="1" applyFill="1" applyBorder="1" applyAlignment="1">
      <alignment horizontal="right"/>
    </xf>
    <xf numFmtId="1" fontId="6" fillId="4" borderId="512" xfId="0" applyNumberFormat="1" applyFont="1" applyFill="1" applyBorder="1"/>
    <xf numFmtId="1" fontId="6" fillId="3" borderId="597" xfId="20" applyNumberFormat="1" applyFont="1" applyFill="1" applyBorder="1" applyAlignment="1">
      <alignment horizontal="right"/>
    </xf>
    <xf numFmtId="1" fontId="6" fillId="3" borderId="46" xfId="20" applyNumberFormat="1" applyFont="1" applyFill="1" applyBorder="1" applyAlignment="1">
      <alignment horizontal="right"/>
    </xf>
    <xf numFmtId="1" fontId="6" fillId="3" borderId="21" xfId="20" applyNumberFormat="1" applyFont="1" applyFill="1" applyBorder="1" applyAlignment="1">
      <alignment horizontal="right"/>
    </xf>
    <xf numFmtId="1" fontId="6" fillId="3" borderId="581" xfId="20" applyNumberFormat="1" applyFont="1" applyFill="1" applyBorder="1" applyAlignment="1">
      <alignment horizontal="right"/>
    </xf>
    <xf numFmtId="1" fontId="6" fillId="3" borderId="20" xfId="20" applyNumberFormat="1" applyFont="1" applyFill="1" applyBorder="1" applyAlignment="1">
      <alignment horizontal="right"/>
    </xf>
    <xf numFmtId="1" fontId="6" fillId="3" borderId="592" xfId="20" applyNumberFormat="1" applyFont="1" applyFill="1" applyBorder="1" applyAlignment="1">
      <alignment horizontal="right"/>
    </xf>
    <xf numFmtId="1" fontId="6" fillId="3" borderId="601" xfId="20" applyNumberFormat="1" applyFont="1" applyFill="1" applyBorder="1" applyAlignment="1">
      <alignment horizontal="right"/>
    </xf>
    <xf numFmtId="1" fontId="6" fillId="3" borderId="602" xfId="20" applyNumberFormat="1" applyFont="1" applyFill="1" applyBorder="1" applyAlignment="1">
      <alignment horizontal="right"/>
    </xf>
    <xf numFmtId="1" fontId="6" fillId="3" borderId="598" xfId="20" applyNumberFormat="1" applyFont="1" applyFill="1" applyBorder="1" applyAlignment="1">
      <alignment horizontal="right"/>
    </xf>
    <xf numFmtId="1" fontId="6" fillId="3" borderId="568" xfId="20" applyNumberFormat="1" applyFont="1" applyFill="1" applyBorder="1" applyAlignment="1">
      <alignment horizontal="right"/>
    </xf>
    <xf numFmtId="1" fontId="6" fillId="3" borderId="569" xfId="20" applyNumberFormat="1" applyFont="1" applyFill="1" applyBorder="1" applyAlignment="1">
      <alignment horizontal="right"/>
    </xf>
    <xf numFmtId="1" fontId="6" fillId="4" borderId="561" xfId="0" applyNumberFormat="1" applyFont="1" applyFill="1" applyBorder="1"/>
    <xf numFmtId="1" fontId="6" fillId="0" borderId="565" xfId="0" applyNumberFormat="1" applyFont="1" applyBorder="1"/>
    <xf numFmtId="1" fontId="6" fillId="0" borderId="491" xfId="0" applyNumberFormat="1" applyFont="1" applyBorder="1"/>
    <xf numFmtId="0" fontId="86" fillId="26" borderId="0" xfId="0" applyFont="1" applyFill="1" applyAlignment="1">
      <alignment horizontal="center"/>
    </xf>
    <xf numFmtId="1" fontId="6" fillId="0" borderId="604" xfId="0" applyNumberFormat="1" applyFont="1" applyBorder="1"/>
    <xf numFmtId="1" fontId="6" fillId="0" borderId="605" xfId="0" applyNumberFormat="1" applyFont="1" applyBorder="1"/>
    <xf numFmtId="1" fontId="6" fillId="0" borderId="606" xfId="0" applyNumberFormat="1" applyFont="1" applyBorder="1"/>
    <xf numFmtId="1" fontId="6" fillId="0" borderId="603" xfId="0" applyNumberFormat="1" applyFont="1" applyBorder="1"/>
    <xf numFmtId="1" fontId="6" fillId="0" borderId="607" xfId="0" applyNumberFormat="1" applyFont="1" applyBorder="1"/>
    <xf numFmtId="1" fontId="6" fillId="0" borderId="608" xfId="0" applyNumberFormat="1" applyFont="1" applyBorder="1"/>
    <xf numFmtId="1" fontId="6" fillId="0" borderId="610" xfId="0" applyNumberFormat="1" applyFont="1" applyBorder="1" applyAlignment="1">
      <alignment horizontal="center" vertical="center" wrapText="1"/>
    </xf>
    <xf numFmtId="1" fontId="6" fillId="0" borderId="611" xfId="0" applyNumberFormat="1" applyFont="1" applyBorder="1" applyAlignment="1">
      <alignment horizontal="center" vertical="center" wrapText="1"/>
    </xf>
    <xf numFmtId="1" fontId="26" fillId="26" borderId="0" xfId="0" applyNumberFormat="1" applyFont="1" applyFill="1"/>
    <xf numFmtId="1" fontId="6" fillId="0" borderId="540" xfId="0" applyNumberFormat="1" applyFont="1" applyBorder="1" applyAlignment="1">
      <alignment horizontal="left" vertical="center"/>
    </xf>
    <xf numFmtId="0" fontId="89" fillId="32" borderId="0" xfId="0" applyFont="1" applyFill="1" applyAlignment="1">
      <alignment horizontal="center"/>
    </xf>
    <xf numFmtId="1" fontId="6" fillId="33" borderId="560" xfId="0" applyNumberFormat="1" applyFont="1" applyFill="1" applyBorder="1" applyProtection="1">
      <protection locked="0"/>
    </xf>
    <xf numFmtId="1" fontId="6" fillId="33" borderId="538" xfId="0" applyNumberFormat="1" applyFont="1" applyFill="1" applyBorder="1" applyProtection="1">
      <protection locked="0"/>
    </xf>
    <xf numFmtId="1" fontId="6" fillId="33" borderId="38" xfId="0" applyNumberFormat="1" applyFont="1" applyFill="1" applyBorder="1" applyProtection="1">
      <protection locked="0"/>
    </xf>
    <xf numFmtId="1" fontId="6" fillId="33" borderId="51" xfId="0" applyNumberFormat="1" applyFont="1" applyFill="1" applyBorder="1" applyProtection="1">
      <protection locked="0"/>
    </xf>
    <xf numFmtId="1" fontId="6" fillId="32" borderId="24" xfId="0" applyNumberFormat="1" applyFont="1" applyFill="1" applyBorder="1" applyAlignment="1">
      <alignment horizontal="left" vertical="center"/>
    </xf>
    <xf numFmtId="1" fontId="6" fillId="33" borderId="20" xfId="0" applyNumberFormat="1" applyFont="1" applyFill="1" applyBorder="1" applyProtection="1">
      <protection locked="0"/>
    </xf>
    <xf numFmtId="1" fontId="6" fillId="33" borderId="21" xfId="0" applyNumberFormat="1" applyFont="1" applyFill="1" applyBorder="1" applyProtection="1">
      <protection locked="0"/>
    </xf>
    <xf numFmtId="1" fontId="6" fillId="0" borderId="576" xfId="0" applyNumberFormat="1" applyFont="1" applyBorder="1" applyAlignment="1">
      <alignment horizontal="left" vertical="center"/>
    </xf>
    <xf numFmtId="1" fontId="6" fillId="0" borderId="581" xfId="0" applyNumberFormat="1" applyFont="1" applyBorder="1"/>
    <xf numFmtId="1" fontId="6" fillId="0" borderId="615" xfId="0" applyNumberFormat="1" applyFont="1" applyBorder="1"/>
    <xf numFmtId="1" fontId="6" fillId="5" borderId="585" xfId="0" applyNumberFormat="1" applyFont="1" applyFill="1" applyBorder="1" applyProtection="1">
      <protection locked="0"/>
    </xf>
    <xf numFmtId="1" fontId="6" fillId="5" borderId="590" xfId="0" applyNumberFormat="1" applyFont="1" applyFill="1" applyBorder="1" applyProtection="1">
      <protection locked="0"/>
    </xf>
    <xf numFmtId="1" fontId="51" fillId="0" borderId="576" xfId="0" applyNumberFormat="1" applyFont="1" applyBorder="1" applyAlignment="1">
      <alignment horizontal="left" vertical="center" wrapText="1"/>
    </xf>
    <xf numFmtId="1" fontId="6" fillId="0" borderId="565" xfId="0" applyNumberFormat="1" applyFont="1" applyBorder="1" applyAlignment="1">
      <alignment horizontal="left" vertical="center" wrapText="1"/>
    </xf>
    <xf numFmtId="1" fontId="20" fillId="0" borderId="0" xfId="0" applyNumberFormat="1" applyFont="1" applyBorder="1" applyAlignment="1">
      <alignment horizontal="center" vertical="center"/>
    </xf>
    <xf numFmtId="1" fontId="20" fillId="0" borderId="573" xfId="0" applyNumberFormat="1" applyFont="1" applyBorder="1" applyAlignment="1">
      <alignment horizontal="center" vertical="center"/>
    </xf>
    <xf numFmtId="1" fontId="6" fillId="0" borderId="578" xfId="0" applyNumberFormat="1" applyFont="1" applyBorder="1" applyAlignment="1">
      <alignment horizontal="right"/>
    </xf>
    <xf numFmtId="1" fontId="6" fillId="5" borderId="610" xfId="0" applyNumberFormat="1" applyFont="1" applyFill="1" applyBorder="1" applyProtection="1">
      <protection locked="0"/>
    </xf>
    <xf numFmtId="1" fontId="6" fillId="0" borderId="562" xfId="0" applyNumberFormat="1" applyFont="1" applyBorder="1" applyAlignment="1">
      <alignment horizontal="center" vertical="center"/>
    </xf>
    <xf numFmtId="0" fontId="86" fillId="3" borderId="534" xfId="0" applyFont="1" applyFill="1" applyBorder="1" applyAlignment="1">
      <alignment horizontal="center"/>
    </xf>
    <xf numFmtId="1" fontId="6" fillId="0" borderId="605" xfId="0" applyNumberFormat="1" applyFont="1" applyBorder="1" applyAlignment="1">
      <alignment horizontal="right"/>
    </xf>
    <xf numFmtId="1" fontId="6" fillId="5" borderId="605" xfId="0" applyNumberFormat="1" applyFont="1" applyFill="1" applyBorder="1" applyProtection="1">
      <protection locked="0"/>
    </xf>
    <xf numFmtId="1" fontId="6" fillId="5" borderId="616" xfId="0" applyNumberFormat="1" applyFont="1" applyFill="1" applyBorder="1" applyProtection="1">
      <protection locked="0"/>
    </xf>
    <xf numFmtId="1" fontId="6" fillId="5" borderId="607" xfId="0" applyNumberFormat="1" applyFont="1" applyFill="1" applyBorder="1" applyProtection="1">
      <protection locked="0"/>
    </xf>
    <xf numFmtId="1" fontId="6" fillId="5" borderId="604" xfId="0" applyNumberFormat="1" applyFont="1" applyFill="1" applyBorder="1" applyProtection="1">
      <protection locked="0"/>
    </xf>
    <xf numFmtId="1" fontId="6" fillId="5" borderId="617" xfId="0" applyNumberFormat="1" applyFont="1" applyFill="1" applyBorder="1" applyProtection="1">
      <protection locked="0"/>
    </xf>
    <xf numFmtId="1" fontId="6" fillId="5" borderId="606" xfId="0" applyNumberFormat="1" applyFont="1" applyFill="1" applyBorder="1" applyProtection="1">
      <protection locked="0"/>
    </xf>
    <xf numFmtId="1" fontId="6" fillId="0" borderId="580" xfId="0" applyNumberFormat="1" applyFont="1" applyBorder="1" applyAlignment="1">
      <alignment horizontal="left" vertical="center" wrapText="1"/>
    </xf>
    <xf numFmtId="1" fontId="6" fillId="0" borderId="584" xfId="0" applyNumberFormat="1" applyFont="1" applyBorder="1" applyAlignment="1">
      <alignment horizontal="right"/>
    </xf>
    <xf numFmtId="1" fontId="51" fillId="0" borderId="580" xfId="0" applyNumberFormat="1" applyFont="1" applyBorder="1" applyAlignment="1">
      <alignment horizontal="left" vertical="center" wrapText="1"/>
    </xf>
    <xf numFmtId="1" fontId="6" fillId="5" borderId="589" xfId="0" applyNumberFormat="1" applyFont="1" applyFill="1" applyBorder="1" applyProtection="1">
      <protection locked="0"/>
    </xf>
    <xf numFmtId="1" fontId="6" fillId="5" borderId="618" xfId="0" applyNumberFormat="1" applyFont="1" applyFill="1" applyBorder="1" applyProtection="1">
      <protection locked="0"/>
    </xf>
    <xf numFmtId="1" fontId="6" fillId="0" borderId="581" xfId="0" applyNumberFormat="1" applyFont="1" applyBorder="1" applyAlignment="1">
      <alignment vertical="center" wrapText="1"/>
    </xf>
    <xf numFmtId="1" fontId="6" fillId="0" borderId="582" xfId="0" applyNumberFormat="1" applyFont="1" applyBorder="1" applyAlignment="1">
      <alignment vertical="center" wrapText="1"/>
    </xf>
    <xf numFmtId="1" fontId="6" fillId="0" borderId="584" xfId="0" applyNumberFormat="1" applyFont="1" applyBorder="1"/>
    <xf numFmtId="1" fontId="6" fillId="0" borderId="560" xfId="0" applyNumberFormat="1" applyFont="1" applyBorder="1" applyAlignment="1">
      <alignment vertical="center" wrapText="1"/>
    </xf>
    <xf numFmtId="1" fontId="6" fillId="0" borderId="605" xfId="0" applyNumberFormat="1" applyFont="1" applyBorder="1" applyAlignment="1">
      <alignment vertical="center" wrapText="1"/>
    </xf>
    <xf numFmtId="1" fontId="6" fillId="0" borderId="619" xfId="0" applyNumberFormat="1" applyFont="1" applyBorder="1" applyAlignment="1">
      <alignment vertical="center" wrapText="1"/>
    </xf>
    <xf numFmtId="1" fontId="6" fillId="0" borderId="616" xfId="0" applyNumberFormat="1" applyFont="1" applyBorder="1"/>
    <xf numFmtId="1" fontId="6" fillId="0" borderId="605" xfId="0" applyNumberFormat="1" applyFont="1" applyBorder="1" applyAlignment="1">
      <alignment horizontal="center" vertical="center" wrapText="1"/>
    </xf>
    <xf numFmtId="1" fontId="6" fillId="0" borderId="606" xfId="0" applyNumberFormat="1" applyFont="1" applyBorder="1" applyAlignment="1">
      <alignment horizontal="center" vertical="center" wrapText="1"/>
    </xf>
    <xf numFmtId="1" fontId="6" fillId="0" borderId="608" xfId="0" applyNumberFormat="1" applyFont="1" applyBorder="1" applyAlignment="1">
      <alignment horizontal="center" vertical="center" wrapText="1"/>
    </xf>
    <xf numFmtId="1" fontId="6" fillId="5" borderId="622" xfId="0" applyNumberFormat="1" applyFont="1" applyFill="1" applyBorder="1" applyProtection="1">
      <protection locked="0"/>
    </xf>
    <xf numFmtId="1" fontId="6" fillId="2" borderId="623" xfId="15" applyNumberFormat="1" applyFont="1" applyBorder="1" applyProtection="1">
      <protection locked="0"/>
    </xf>
    <xf numFmtId="1" fontId="6" fillId="2" borderId="624" xfId="15" applyNumberFormat="1" applyFont="1" applyBorder="1" applyProtection="1">
      <protection locked="0"/>
    </xf>
    <xf numFmtId="1" fontId="6" fillId="2" borderId="625" xfId="15" applyNumberFormat="1" applyFont="1" applyBorder="1" applyProtection="1">
      <protection locked="0"/>
    </xf>
    <xf numFmtId="1" fontId="6" fillId="4" borderId="559" xfId="0" applyNumberFormat="1" applyFont="1" applyFill="1" applyBorder="1"/>
    <xf numFmtId="1" fontId="6" fillId="5" borderId="627" xfId="0" applyNumberFormat="1" applyFont="1" applyFill="1" applyBorder="1" applyProtection="1">
      <protection locked="0"/>
    </xf>
    <xf numFmtId="1" fontId="6" fillId="4" borderId="627" xfId="0" applyNumberFormat="1" applyFont="1" applyFill="1" applyBorder="1"/>
    <xf numFmtId="1" fontId="0" fillId="26" borderId="0" xfId="0" applyNumberFormat="1" applyFill="1"/>
    <xf numFmtId="1" fontId="6" fillId="5" borderId="626" xfId="0" applyNumberFormat="1" applyFont="1" applyFill="1" applyBorder="1" applyProtection="1">
      <protection locked="0"/>
    </xf>
    <xf numFmtId="1" fontId="6" fillId="5" borderId="603" xfId="0" applyNumberFormat="1" applyFont="1" applyFill="1" applyBorder="1" applyProtection="1">
      <protection locked="0"/>
    </xf>
    <xf numFmtId="1" fontId="77" fillId="0" borderId="603" xfId="0" applyNumberFormat="1" applyFont="1" applyBorder="1" applyAlignment="1">
      <alignment horizontal="center" vertical="center" wrapText="1"/>
    </xf>
    <xf numFmtId="1" fontId="6" fillId="0" borderId="589" xfId="0" applyNumberFormat="1" applyFont="1" applyBorder="1" applyAlignment="1">
      <alignment vertical="center" wrapText="1"/>
    </xf>
    <xf numFmtId="1" fontId="6" fillId="0" borderId="627" xfId="0" applyNumberFormat="1" applyFont="1" applyBorder="1"/>
    <xf numFmtId="1" fontId="6" fillId="0" borderId="584" xfId="0" applyNumberFormat="1" applyFont="1" applyBorder="1" applyAlignment="1">
      <alignment horizontal="left"/>
    </xf>
    <xf numFmtId="1" fontId="6" fillId="0" borderId="582" xfId="0" applyNumberFormat="1" applyFont="1" applyBorder="1" applyAlignment="1">
      <alignment horizontal="right"/>
    </xf>
    <xf numFmtId="1" fontId="6" fillId="5" borderId="629" xfId="0" applyNumberFormat="1" applyFont="1" applyFill="1" applyBorder="1" applyProtection="1">
      <protection locked="0"/>
    </xf>
    <xf numFmtId="1" fontId="6" fillId="0" borderId="579" xfId="0" applyNumberFormat="1" applyFont="1" applyBorder="1" applyAlignment="1">
      <alignment vertical="center" wrapText="1"/>
    </xf>
    <xf numFmtId="1" fontId="6" fillId="0" borderId="582" xfId="0" applyNumberFormat="1" applyFont="1" applyBorder="1"/>
    <xf numFmtId="1" fontId="6" fillId="0" borderId="626" xfId="0" applyNumberFormat="1" applyFont="1" applyBorder="1" applyAlignment="1">
      <alignment horizontal="left" vertical="center" wrapText="1"/>
    </xf>
    <xf numFmtId="1" fontId="6" fillId="0" borderId="605" xfId="0" applyNumberFormat="1" applyFont="1" applyBorder="1" applyAlignment="1">
      <alignment vertical="center"/>
    </xf>
    <xf numFmtId="1" fontId="6" fillId="0" borderId="619" xfId="0" applyNumberFormat="1" applyFont="1" applyBorder="1" applyAlignment="1">
      <alignment vertical="center"/>
    </xf>
    <xf numFmtId="1" fontId="6" fillId="0" borderId="616" xfId="0" applyNumberFormat="1" applyFont="1" applyBorder="1" applyAlignment="1">
      <alignment vertical="center"/>
    </xf>
    <xf numFmtId="1" fontId="6" fillId="0" borderId="630" xfId="0" applyNumberFormat="1" applyFont="1" applyBorder="1" applyAlignment="1">
      <alignment vertical="center"/>
    </xf>
    <xf numFmtId="1" fontId="6" fillId="0" borderId="606" xfId="0" applyNumberFormat="1" applyFont="1" applyBorder="1" applyAlignment="1">
      <alignment vertical="center"/>
    </xf>
    <xf numFmtId="1" fontId="6" fillId="15" borderId="630" xfId="0" applyNumberFormat="1" applyFont="1" applyFill="1" applyBorder="1" applyAlignment="1">
      <alignment vertical="center"/>
    </xf>
    <xf numFmtId="1" fontId="6" fillId="15" borderId="606" xfId="0" applyNumberFormat="1" applyFont="1" applyFill="1" applyBorder="1" applyAlignment="1">
      <alignment vertical="center"/>
    </xf>
    <xf numFmtId="1" fontId="6" fillId="5" borderId="631" xfId="0" applyNumberFormat="1" applyFont="1" applyFill="1" applyBorder="1" applyProtection="1">
      <protection locked="0"/>
    </xf>
    <xf numFmtId="1" fontId="6" fillId="0" borderId="590" xfId="0" applyNumberFormat="1" applyFont="1" applyBorder="1"/>
    <xf numFmtId="1" fontId="6" fillId="5" borderId="559" xfId="0" applyNumberFormat="1" applyFont="1" applyFill="1" applyBorder="1" applyProtection="1">
      <protection locked="0"/>
    </xf>
    <xf numFmtId="1" fontId="6" fillId="15" borderId="605" xfId="0" applyNumberFormat="1" applyFont="1" applyFill="1" applyBorder="1" applyAlignment="1">
      <alignment vertical="center"/>
    </xf>
    <xf numFmtId="1" fontId="51" fillId="0" borderId="589" xfId="0" applyNumberFormat="1" applyFont="1" applyBorder="1"/>
    <xf numFmtId="1" fontId="51" fillId="5" borderId="594" xfId="0" applyNumberFormat="1" applyFont="1" applyFill="1" applyBorder="1" applyProtection="1">
      <protection locked="0"/>
    </xf>
    <xf numFmtId="1" fontId="51" fillId="5" borderId="583" xfId="0" applyNumberFormat="1" applyFont="1" applyFill="1" applyBorder="1" applyProtection="1">
      <protection locked="0"/>
    </xf>
    <xf numFmtId="1" fontId="51" fillId="0" borderId="580" xfId="0" applyNumberFormat="1" applyFont="1" applyBorder="1"/>
    <xf numFmtId="1" fontId="51" fillId="5" borderId="581" xfId="0" applyNumberFormat="1" applyFont="1" applyFill="1" applyBorder="1" applyProtection="1">
      <protection locked="0"/>
    </xf>
    <xf numFmtId="1" fontId="51" fillId="5" borderId="582" xfId="0" applyNumberFormat="1" applyFont="1" applyFill="1" applyBorder="1" applyProtection="1">
      <protection locked="0"/>
    </xf>
    <xf numFmtId="1" fontId="51" fillId="16" borderId="581" xfId="0" applyNumberFormat="1" applyFont="1" applyFill="1" applyBorder="1" applyProtection="1">
      <protection locked="0"/>
    </xf>
    <xf numFmtId="1" fontId="51" fillId="16" borderId="583" xfId="0" applyNumberFormat="1" applyFont="1" applyFill="1" applyBorder="1" applyProtection="1">
      <protection locked="0"/>
    </xf>
    <xf numFmtId="1" fontId="6" fillId="5" borderId="632" xfId="0" applyNumberFormat="1" applyFont="1" applyFill="1" applyBorder="1" applyProtection="1">
      <protection locked="0"/>
    </xf>
    <xf numFmtId="1" fontId="6" fillId="0" borderId="585" xfId="0" applyNumberFormat="1" applyFont="1" applyBorder="1" applyAlignment="1">
      <alignment wrapText="1"/>
    </xf>
    <xf numFmtId="1" fontId="6" fillId="0" borderId="619" xfId="0" applyNumberFormat="1" applyFont="1" applyBorder="1"/>
    <xf numFmtId="1" fontId="6" fillId="0" borderId="514" xfId="0" applyNumberFormat="1" applyFont="1" applyBorder="1"/>
    <xf numFmtId="1" fontId="0" fillId="0" borderId="0" xfId="0" applyNumberFormat="1" applyFill="1"/>
    <xf numFmtId="1" fontId="6" fillId="0" borderId="580" xfId="9" applyNumberFormat="1" applyFont="1" applyBorder="1"/>
    <xf numFmtId="1" fontId="6" fillId="5" borderId="581" xfId="9" applyNumberFormat="1" applyFont="1" applyFill="1" applyBorder="1" applyProtection="1">
      <protection locked="0"/>
    </xf>
    <xf numFmtId="1" fontId="6" fillId="5" borderId="594" xfId="9" applyNumberFormat="1" applyFont="1" applyFill="1" applyBorder="1" applyProtection="1">
      <protection locked="0"/>
    </xf>
    <xf numFmtId="1" fontId="6" fillId="5" borderId="584" xfId="9" applyNumberFormat="1" applyFont="1" applyFill="1" applyBorder="1" applyProtection="1">
      <protection locked="0"/>
    </xf>
    <xf numFmtId="1" fontId="40" fillId="5" borderId="584" xfId="9" applyNumberFormat="1" applyFont="1" applyFill="1" applyBorder="1" applyProtection="1">
      <protection locked="0"/>
    </xf>
    <xf numFmtId="1" fontId="51" fillId="5" borderId="605" xfId="9" applyNumberFormat="1" applyFont="1" applyFill="1" applyBorder="1" applyProtection="1">
      <protection locked="0"/>
    </xf>
    <xf numFmtId="1" fontId="51" fillId="5" borderId="607" xfId="9" applyNumberFormat="1" applyFont="1" applyFill="1" applyBorder="1" applyProtection="1">
      <protection locked="0"/>
    </xf>
    <xf numFmtId="1" fontId="51" fillId="5" borderId="606" xfId="9" applyNumberFormat="1" applyFont="1" applyFill="1" applyBorder="1" applyProtection="1">
      <protection locked="0"/>
    </xf>
    <xf numFmtId="1" fontId="51" fillId="5" borderId="603" xfId="9" applyNumberFormat="1" applyFont="1" applyFill="1" applyBorder="1" applyProtection="1">
      <protection locked="0"/>
    </xf>
    <xf numFmtId="1" fontId="6" fillId="0" borderId="631" xfId="0" applyNumberFormat="1" applyFont="1" applyBorder="1"/>
    <xf numFmtId="1" fontId="6" fillId="0" borderId="627" xfId="0" applyNumberFormat="1" applyFont="1" applyBorder="1" applyAlignment="1">
      <alignment horizontal="right"/>
    </xf>
    <xf numFmtId="1" fontId="6" fillId="5" borderId="633" xfId="0" applyNumberFormat="1" applyFont="1" applyFill="1" applyBorder="1" applyProtection="1">
      <protection locked="0"/>
    </xf>
    <xf numFmtId="1" fontId="6" fillId="5" borderId="634" xfId="0" applyNumberFormat="1" applyFont="1" applyFill="1" applyBorder="1" applyAlignment="1" applyProtection="1">
      <alignment wrapText="1"/>
      <protection locked="0"/>
    </xf>
    <xf numFmtId="1" fontId="6" fillId="5" borderId="584" xfId="0" applyNumberFormat="1" applyFont="1" applyFill="1" applyBorder="1" applyAlignment="1" applyProtection="1">
      <alignment wrapText="1"/>
      <protection locked="0"/>
    </xf>
    <xf numFmtId="1" fontId="6" fillId="0" borderId="626" xfId="0" applyNumberFormat="1" applyFont="1" applyBorder="1" applyAlignment="1">
      <alignment vertical="center" wrapText="1"/>
    </xf>
    <xf numFmtId="1" fontId="6" fillId="0" borderId="540" xfId="0" applyNumberFormat="1" applyFont="1" applyBorder="1" applyAlignment="1">
      <alignment horizontal="left"/>
    </xf>
    <xf numFmtId="1" fontId="6" fillId="4" borderId="491" xfId="0" applyNumberFormat="1" applyFont="1" applyFill="1" applyBorder="1"/>
    <xf numFmtId="1" fontId="6" fillId="5" borderId="635" xfId="0" applyNumberFormat="1" applyFont="1" applyFill="1" applyBorder="1" applyProtection="1">
      <protection locked="0"/>
    </xf>
    <xf numFmtId="1" fontId="6" fillId="0" borderId="490" xfId="0" applyNumberFormat="1" applyFont="1" applyBorder="1" applyAlignment="1">
      <alignment horizontal="right"/>
    </xf>
    <xf numFmtId="1" fontId="6" fillId="5" borderId="634" xfId="0" applyNumberFormat="1" applyFont="1" applyFill="1" applyBorder="1" applyProtection="1">
      <protection locked="0"/>
    </xf>
    <xf numFmtId="1" fontId="6" fillId="5" borderId="636" xfId="0" applyNumberFormat="1" applyFont="1" applyFill="1" applyBorder="1" applyProtection="1">
      <protection locked="0"/>
    </xf>
    <xf numFmtId="1" fontId="6" fillId="0" borderId="626" xfId="0" applyNumberFormat="1" applyFont="1" applyBorder="1"/>
    <xf numFmtId="1" fontId="6" fillId="5" borderId="637" xfId="0" applyNumberFormat="1" applyFont="1" applyFill="1" applyBorder="1" applyAlignment="1" applyProtection="1">
      <alignment wrapText="1"/>
      <protection locked="0"/>
    </xf>
    <xf numFmtId="1" fontId="6" fillId="5" borderId="638" xfId="0" applyNumberFormat="1" applyFont="1" applyFill="1" applyBorder="1" applyAlignment="1" applyProtection="1">
      <alignment wrapText="1"/>
      <protection locked="0"/>
    </xf>
    <xf numFmtId="1" fontId="6" fillId="5" borderId="635" xfId="0" applyNumberFormat="1" applyFont="1" applyFill="1" applyBorder="1" applyAlignment="1" applyProtection="1">
      <alignment wrapText="1"/>
      <protection locked="0"/>
    </xf>
    <xf numFmtId="49" fontId="86" fillId="26" borderId="0" xfId="0" applyNumberFormat="1" applyFont="1" applyFill="1" applyAlignment="1">
      <alignment horizontal="center"/>
    </xf>
    <xf numFmtId="1" fontId="15" fillId="0" borderId="589" xfId="0" applyNumberFormat="1" applyFont="1" applyBorder="1" applyAlignment="1">
      <alignment horizontal="left" vertical="center"/>
    </xf>
    <xf numFmtId="1" fontId="6" fillId="0" borderId="629" xfId="0" applyNumberFormat="1" applyFont="1" applyBorder="1"/>
    <xf numFmtId="1" fontId="6" fillId="2" borderId="517" xfId="15" applyNumberFormat="1" applyFont="1" applyBorder="1" applyAlignment="1" applyProtection="1">
      <alignment horizontal="right"/>
      <protection locked="0"/>
    </xf>
    <xf numFmtId="1" fontId="6" fillId="2" borderId="639" xfId="15" applyNumberFormat="1" applyFont="1" applyBorder="1" applyAlignment="1" applyProtection="1">
      <alignment horizontal="right"/>
      <protection locked="0"/>
    </xf>
    <xf numFmtId="1" fontId="6" fillId="2" borderId="598" xfId="15" applyNumberFormat="1" applyFont="1" applyBorder="1" applyAlignment="1" applyProtection="1">
      <alignment horizontal="right"/>
      <protection locked="0"/>
    </xf>
    <xf numFmtId="1" fontId="15" fillId="0" borderId="626" xfId="0" applyNumberFormat="1" applyFont="1" applyBorder="1" applyAlignment="1">
      <alignment horizontal="left" vertical="center" wrapText="1"/>
    </xf>
    <xf numFmtId="1" fontId="6" fillId="0" borderId="580" xfId="0" applyNumberFormat="1" applyFont="1" applyBorder="1" applyAlignment="1">
      <alignment vertical="center" wrapText="1"/>
    </xf>
    <xf numFmtId="1" fontId="6" fillId="5" borderId="580" xfId="0" applyNumberFormat="1" applyFont="1" applyFill="1" applyBorder="1" applyAlignment="1" applyProtection="1">
      <alignment wrapText="1"/>
      <protection locked="0"/>
    </xf>
    <xf numFmtId="1" fontId="6" fillId="0" borderId="603" xfId="0" applyNumberFormat="1" applyFont="1" applyBorder="1" applyAlignment="1">
      <alignment horizontal="left" vertical="center" wrapText="1"/>
    </xf>
    <xf numFmtId="1" fontId="51" fillId="0" borderId="603" xfId="0" applyNumberFormat="1" applyFont="1" applyBorder="1" applyAlignment="1">
      <alignment horizontal="center"/>
    </xf>
    <xf numFmtId="1" fontId="51" fillId="5" borderId="585" xfId="0" applyNumberFormat="1" applyFont="1" applyFill="1" applyBorder="1" applyAlignment="1" applyProtection="1">
      <alignment horizontal="right"/>
      <protection locked="0"/>
    </xf>
    <xf numFmtId="1" fontId="51" fillId="5" borderId="559" xfId="0" applyNumberFormat="1" applyFont="1" applyFill="1" applyBorder="1" applyAlignment="1" applyProtection="1">
      <alignment horizontal="right"/>
      <protection locked="0"/>
    </xf>
    <xf numFmtId="1" fontId="51" fillId="5" borderId="514" xfId="0" applyNumberFormat="1" applyFont="1" applyFill="1" applyBorder="1" applyAlignment="1" applyProtection="1">
      <alignment horizontal="right"/>
      <protection locked="0"/>
    </xf>
    <xf numFmtId="1" fontId="51" fillId="5" borderId="590" xfId="0" applyNumberFormat="1" applyFont="1" applyFill="1" applyBorder="1" applyAlignment="1" applyProtection="1">
      <alignment horizontal="right"/>
      <protection locked="0"/>
    </xf>
    <xf numFmtId="1" fontId="51" fillId="5" borderId="640" xfId="0" applyNumberFormat="1" applyFont="1" applyFill="1" applyBorder="1" applyAlignment="1" applyProtection="1">
      <alignment horizontal="right"/>
      <protection locked="0"/>
    </xf>
    <xf numFmtId="1" fontId="6" fillId="5" borderId="641" xfId="0" applyNumberFormat="1" applyFont="1" applyFill="1" applyBorder="1" applyAlignment="1" applyProtection="1">
      <alignment horizontal="right"/>
      <protection locked="0"/>
    </xf>
    <xf numFmtId="1" fontId="6" fillId="5" borderId="559" xfId="0" applyNumberFormat="1" applyFont="1" applyFill="1" applyBorder="1" applyAlignment="1" applyProtection="1">
      <alignment horizontal="right"/>
      <protection locked="0"/>
    </xf>
    <xf numFmtId="1" fontId="51" fillId="5" borderId="627" xfId="0" applyNumberFormat="1" applyFont="1" applyFill="1" applyBorder="1" applyAlignment="1" applyProtection="1">
      <alignment horizontal="right"/>
      <protection locked="0"/>
    </xf>
    <xf numFmtId="1" fontId="51" fillId="5" borderId="512" xfId="0" applyNumberFormat="1" applyFont="1" applyFill="1" applyBorder="1" applyAlignment="1" applyProtection="1">
      <alignment horizontal="right"/>
      <protection locked="0"/>
    </xf>
    <xf numFmtId="1" fontId="51" fillId="5" borderId="511" xfId="0" applyNumberFormat="1" applyFont="1" applyFill="1" applyBorder="1" applyAlignment="1" applyProtection="1">
      <alignment horizontal="right"/>
      <protection locked="0"/>
    </xf>
    <xf numFmtId="1" fontId="51" fillId="5" borderId="537" xfId="0" applyNumberFormat="1" applyFont="1" applyFill="1" applyBorder="1" applyAlignment="1" applyProtection="1">
      <alignment horizontal="right"/>
      <protection locked="0"/>
    </xf>
    <xf numFmtId="1" fontId="6" fillId="5" borderId="642" xfId="0" applyNumberFormat="1" applyFont="1" applyFill="1" applyBorder="1" applyAlignment="1" applyProtection="1">
      <alignment horizontal="right"/>
      <protection locked="0"/>
    </xf>
    <xf numFmtId="1" fontId="51" fillId="5" borderId="490" xfId="0" applyNumberFormat="1" applyFont="1" applyFill="1" applyBorder="1" applyAlignment="1" applyProtection="1">
      <alignment horizontal="right"/>
      <protection locked="0"/>
    </xf>
    <xf numFmtId="1" fontId="51" fillId="0" borderId="603" xfId="0" applyNumberFormat="1" applyFont="1" applyBorder="1" applyAlignment="1">
      <alignment horizontal="center" vertical="center"/>
    </xf>
    <xf numFmtId="1" fontId="51" fillId="5" borderId="605" xfId="0" applyNumberFormat="1" applyFont="1" applyFill="1" applyBorder="1" applyAlignment="1" applyProtection="1">
      <alignment horizontal="right"/>
      <protection locked="0"/>
    </xf>
    <xf numFmtId="1" fontId="51" fillId="5" borderId="606" xfId="0" applyNumberFormat="1" applyFont="1" applyFill="1" applyBorder="1" applyAlignment="1" applyProtection="1">
      <alignment horizontal="right"/>
      <protection locked="0"/>
    </xf>
    <xf numFmtId="1" fontId="51" fillId="5" borderId="607" xfId="0" applyNumberFormat="1" applyFont="1" applyFill="1" applyBorder="1" applyAlignment="1" applyProtection="1">
      <alignment horizontal="right"/>
      <protection locked="0"/>
    </xf>
    <xf numFmtId="1" fontId="51" fillId="5" borderId="616" xfId="0" applyNumberFormat="1" applyFont="1" applyFill="1" applyBorder="1" applyAlignment="1" applyProtection="1">
      <alignment horizontal="right"/>
      <protection locked="0"/>
    </xf>
    <xf numFmtId="1" fontId="51" fillId="5" borderId="617" xfId="0" applyNumberFormat="1" applyFont="1" applyFill="1" applyBorder="1" applyAlignment="1" applyProtection="1">
      <alignment horizontal="right"/>
      <protection locked="0"/>
    </xf>
    <xf numFmtId="1" fontId="6" fillId="5" borderId="643" xfId="0" applyNumberFormat="1" applyFont="1" applyFill="1" applyBorder="1" applyAlignment="1" applyProtection="1">
      <alignment horizontal="right"/>
      <protection locked="0"/>
    </xf>
    <xf numFmtId="1" fontId="6" fillId="5" borderId="606" xfId="0" applyNumberFormat="1" applyFont="1" applyFill="1" applyBorder="1" applyAlignment="1" applyProtection="1">
      <alignment horizontal="right"/>
      <protection locked="0"/>
    </xf>
    <xf numFmtId="1" fontId="51" fillId="0" borderId="497" xfId="0" applyNumberFormat="1" applyFont="1" applyBorder="1" applyAlignment="1" applyProtection="1">
      <alignment horizontal="left" vertical="center"/>
      <protection hidden="1"/>
    </xf>
    <xf numFmtId="1" fontId="51" fillId="0" borderId="580" xfId="0" applyNumberFormat="1" applyFont="1" applyBorder="1" applyAlignment="1">
      <alignment horizontal="left" vertical="center"/>
    </xf>
    <xf numFmtId="1" fontId="51" fillId="0" borderId="603" xfId="0" applyNumberFormat="1" applyFont="1" applyBorder="1" applyAlignment="1" applyProtection="1">
      <alignment horizontal="left" vertical="center"/>
      <protection hidden="1"/>
    </xf>
    <xf numFmtId="1" fontId="51" fillId="5" borderId="580" xfId="0" applyNumberFormat="1" applyFont="1" applyFill="1" applyBorder="1" applyProtection="1">
      <protection locked="0"/>
    </xf>
    <xf numFmtId="1" fontId="51" fillId="0" borderId="495" xfId="0" applyNumberFormat="1" applyFont="1" applyBorder="1" applyAlignment="1">
      <alignment horizontal="left" vertical="center"/>
    </xf>
    <xf numFmtId="1" fontId="51" fillId="5" borderId="626" xfId="0" applyNumberFormat="1" applyFont="1" applyFill="1" applyBorder="1" applyProtection="1">
      <protection locked="0"/>
    </xf>
    <xf numFmtId="1" fontId="51" fillId="0" borderId="495" xfId="0" applyNumberFormat="1" applyFont="1" applyBorder="1" applyAlignment="1">
      <alignment horizontal="left" vertical="center" wrapText="1"/>
    </xf>
    <xf numFmtId="1" fontId="51" fillId="0" borderId="565" xfId="0" applyNumberFormat="1" applyFont="1" applyBorder="1" applyAlignment="1">
      <alignment horizontal="left" vertical="center" wrapText="1"/>
    </xf>
    <xf numFmtId="1" fontId="51" fillId="5" borderId="565" xfId="0" applyNumberFormat="1" applyFont="1" applyFill="1" applyBorder="1" applyProtection="1">
      <protection locked="0"/>
    </xf>
    <xf numFmtId="1" fontId="51" fillId="0" borderId="589" xfId="23" applyNumberFormat="1" applyFont="1" applyBorder="1" applyAlignment="1">
      <alignment vertical="center" wrapText="1"/>
    </xf>
    <xf numFmtId="1" fontId="51" fillId="5" borderId="581" xfId="1" applyNumberFormat="1" applyFont="1" applyFill="1" applyBorder="1" applyProtection="1">
      <protection locked="0"/>
    </xf>
    <xf numFmtId="1" fontId="51" fillId="5" borderId="583" xfId="1" applyNumberFormat="1" applyFont="1" applyFill="1" applyBorder="1" applyProtection="1">
      <protection locked="0"/>
    </xf>
    <xf numFmtId="1" fontId="51" fillId="5" borderId="627" xfId="1" applyNumberFormat="1" applyFont="1" applyFill="1" applyBorder="1" applyProtection="1">
      <protection locked="0"/>
    </xf>
    <xf numFmtId="1" fontId="51" fillId="5" borderId="511" xfId="1" applyNumberFormat="1" applyFont="1" applyFill="1" applyBorder="1" applyProtection="1">
      <protection locked="0"/>
    </xf>
    <xf numFmtId="1" fontId="51" fillId="0" borderId="483" xfId="23" applyNumberFormat="1" applyFont="1" applyBorder="1" applyAlignment="1">
      <alignment vertical="center" wrapText="1"/>
    </xf>
    <xf numFmtId="1" fontId="51" fillId="5" borderId="492" xfId="1" applyNumberFormat="1" applyFont="1" applyFill="1" applyBorder="1" applyProtection="1">
      <protection locked="0"/>
    </xf>
    <xf numFmtId="1" fontId="51" fillId="5" borderId="548" xfId="1" applyNumberFormat="1" applyFont="1" applyFill="1" applyBorder="1" applyProtection="1">
      <protection locked="0"/>
    </xf>
    <xf numFmtId="1" fontId="51" fillId="0" borderId="604" xfId="23" applyNumberFormat="1" applyFont="1" applyBorder="1" applyAlignment="1">
      <alignment horizontal="center" vertical="center" wrapText="1"/>
    </xf>
    <xf numFmtId="1" fontId="51" fillId="0" borderId="605" xfId="1" applyNumberFormat="1" applyFont="1" applyBorder="1" applyAlignment="1">
      <alignment horizontal="right"/>
    </xf>
    <xf numFmtId="1" fontId="51" fillId="0" borderId="616" xfId="1" applyNumberFormat="1" applyFont="1" applyBorder="1" applyAlignment="1">
      <alignment horizontal="right"/>
    </xf>
    <xf numFmtId="1" fontId="20" fillId="0" borderId="580" xfId="0" applyNumberFormat="1" applyFont="1" applyBorder="1"/>
    <xf numFmtId="1" fontId="6" fillId="5" borderId="584" xfId="1" applyNumberFormat="1" applyFont="1" applyFill="1" applyBorder="1" applyProtection="1">
      <protection locked="0"/>
    </xf>
    <xf numFmtId="1" fontId="6" fillId="5" borderId="580" xfId="1" applyNumberFormat="1" applyFont="1" applyFill="1" applyBorder="1" applyProtection="1">
      <protection locked="0"/>
    </xf>
    <xf numFmtId="49" fontId="86" fillId="3" borderId="534" xfId="0" applyNumberFormat="1" applyFont="1" applyFill="1" applyBorder="1" applyAlignment="1">
      <alignment horizontal="center"/>
    </xf>
    <xf numFmtId="1" fontId="20" fillId="0" borderId="559" xfId="0" applyNumberFormat="1" applyFont="1" applyBorder="1"/>
    <xf numFmtId="1" fontId="20" fillId="0" borderId="609" xfId="0" applyNumberFormat="1" applyFont="1" applyBorder="1"/>
    <xf numFmtId="1" fontId="20" fillId="0" borderId="581" xfId="0" applyNumberFormat="1" applyFont="1" applyBorder="1"/>
    <xf numFmtId="1" fontId="20" fillId="0" borderId="582" xfId="0" applyNumberFormat="1" applyFont="1" applyBorder="1"/>
    <xf numFmtId="1" fontId="20" fillId="0" borderId="511" xfId="0" applyNumberFormat="1" applyFont="1" applyBorder="1"/>
    <xf numFmtId="1" fontId="20" fillId="7" borderId="644" xfId="20" applyNumberFormat="1" applyFont="1" applyBorder="1" applyProtection="1">
      <protection locked="0"/>
    </xf>
    <xf numFmtId="1" fontId="20" fillId="7" borderId="645" xfId="20" applyNumberFormat="1" applyFont="1" applyBorder="1" applyProtection="1">
      <protection locked="0"/>
    </xf>
    <xf numFmtId="1" fontId="20" fillId="0" borderId="540" xfId="0" applyNumberFormat="1" applyFont="1" applyBorder="1"/>
    <xf numFmtId="1" fontId="20" fillId="7" borderId="591" xfId="20" applyNumberFormat="1" applyFont="1" applyBorder="1" applyProtection="1">
      <protection locked="0"/>
    </xf>
    <xf numFmtId="1" fontId="20" fillId="7" borderId="646" xfId="20" applyNumberFormat="1" applyFont="1" applyBorder="1" applyProtection="1">
      <protection locked="0"/>
    </xf>
    <xf numFmtId="1" fontId="20" fillId="7" borderId="571" xfId="20" applyNumberFormat="1" applyFont="1" applyBorder="1" applyProtection="1">
      <protection locked="0"/>
    </xf>
    <xf numFmtId="1" fontId="20" fillId="7" borderId="647" xfId="20" applyNumberFormat="1" applyFont="1" applyBorder="1" applyProtection="1">
      <protection locked="0"/>
    </xf>
    <xf numFmtId="1" fontId="20" fillId="0" borderId="631" xfId="0" applyNumberFormat="1" applyFont="1" applyBorder="1"/>
    <xf numFmtId="1" fontId="20" fillId="0" borderId="627" xfId="0" applyNumberFormat="1" applyFont="1" applyBorder="1"/>
    <xf numFmtId="1" fontId="20" fillId="0" borderId="539" xfId="0" applyNumberFormat="1" applyFont="1" applyBorder="1"/>
    <xf numFmtId="1" fontId="20" fillId="7" borderId="597" xfId="20" applyNumberFormat="1" applyFont="1" applyBorder="1" applyProtection="1">
      <protection locked="0"/>
    </xf>
    <xf numFmtId="1" fontId="20" fillId="7" borderId="598" xfId="20" applyNumberFormat="1" applyFont="1" applyBorder="1" applyProtection="1">
      <protection locked="0"/>
    </xf>
    <xf numFmtId="1" fontId="6" fillId="0" borderId="580" xfId="0" applyNumberFormat="1" applyFont="1" applyFill="1" applyBorder="1" applyAlignment="1" applyProtection="1">
      <alignment horizontal="left" wrapText="1"/>
      <protection hidden="1"/>
    </xf>
    <xf numFmtId="1" fontId="6" fillId="0" borderId="540" xfId="0" applyNumberFormat="1" applyFont="1" applyFill="1" applyBorder="1" applyAlignment="1" applyProtection="1">
      <alignment horizontal="left" wrapText="1"/>
      <protection hidden="1"/>
    </xf>
    <xf numFmtId="1" fontId="6" fillId="0" borderId="648" xfId="0" applyNumberFormat="1" applyFont="1" applyFill="1" applyBorder="1" applyAlignment="1" applyProtection="1">
      <alignment horizontal="left" wrapText="1"/>
      <protection hidden="1"/>
    </xf>
    <xf numFmtId="1" fontId="6" fillId="0" borderId="648" xfId="0" applyNumberFormat="1" applyFont="1" applyBorder="1"/>
    <xf numFmtId="1" fontId="6" fillId="5" borderId="650" xfId="0" applyNumberFormat="1" applyFont="1" applyFill="1" applyBorder="1" applyProtection="1">
      <protection locked="0"/>
    </xf>
    <xf numFmtId="1" fontId="6" fillId="5" borderId="651" xfId="0" applyNumberFormat="1" applyFont="1" applyFill="1" applyBorder="1" applyProtection="1">
      <protection locked="0"/>
    </xf>
    <xf numFmtId="1" fontId="6" fillId="5" borderId="652" xfId="0" applyNumberFormat="1" applyFont="1" applyFill="1" applyBorder="1" applyProtection="1">
      <protection locked="0"/>
    </xf>
    <xf numFmtId="1" fontId="6" fillId="0" borderId="574" xfId="0" applyNumberFormat="1" applyFont="1" applyBorder="1" applyAlignment="1">
      <alignment horizontal="left"/>
    </xf>
    <xf numFmtId="1" fontId="6" fillId="5" borderId="578" xfId="0" applyNumberFormat="1" applyFont="1" applyFill="1" applyBorder="1" applyProtection="1">
      <protection locked="0"/>
    </xf>
    <xf numFmtId="1" fontId="6" fillId="5" borderId="653" xfId="0" applyNumberFormat="1" applyFont="1" applyFill="1" applyBorder="1" applyProtection="1">
      <protection locked="0"/>
    </xf>
    <xf numFmtId="1" fontId="6" fillId="0" borderId="650" xfId="0" applyNumberFormat="1" applyFont="1" applyBorder="1"/>
    <xf numFmtId="1" fontId="6" fillId="0" borderId="652" xfId="0" applyNumberFormat="1" applyFont="1" applyBorder="1"/>
    <xf numFmtId="1" fontId="6" fillId="4" borderId="648" xfId="0" applyNumberFormat="1" applyFont="1" applyFill="1" applyBorder="1"/>
    <xf numFmtId="1" fontId="6" fillId="0" borderId="584" xfId="0" applyNumberFormat="1" applyFont="1" applyBorder="1" applyAlignment="1">
      <alignment vertical="center" wrapText="1"/>
    </xf>
    <xf numFmtId="1" fontId="51" fillId="0" borderId="581" xfId="0" applyNumberFormat="1" applyFont="1" applyBorder="1"/>
    <xf numFmtId="1" fontId="51" fillId="0" borderId="582" xfId="0" applyNumberFormat="1" applyFont="1" applyBorder="1"/>
    <xf numFmtId="1" fontId="51" fillId="0" borderId="584" xfId="0" applyNumberFormat="1" applyFont="1" applyBorder="1"/>
    <xf numFmtId="1" fontId="51" fillId="5" borderId="584" xfId="0" applyNumberFormat="1" applyFont="1" applyFill="1" applyBorder="1" applyProtection="1">
      <protection locked="0"/>
    </xf>
    <xf numFmtId="1" fontId="51" fillId="5" borderId="636" xfId="0" applyNumberFormat="1" applyFont="1" applyFill="1" applyBorder="1" applyProtection="1">
      <protection locked="0"/>
    </xf>
    <xf numFmtId="1" fontId="51" fillId="5" borderId="589" xfId="0" applyNumberFormat="1" applyFont="1" applyFill="1" applyBorder="1" applyProtection="1">
      <protection locked="0"/>
    </xf>
    <xf numFmtId="1" fontId="51" fillId="0" borderId="650" xfId="0" applyNumberFormat="1" applyFont="1" applyBorder="1"/>
    <xf numFmtId="1" fontId="51" fillId="0" borderId="544" xfId="0" applyNumberFormat="1" applyFont="1" applyBorder="1"/>
    <xf numFmtId="1" fontId="51" fillId="0" borderId="652" xfId="0" applyNumberFormat="1" applyFont="1" applyBorder="1"/>
    <xf numFmtId="1" fontId="51" fillId="4" borderId="648" xfId="0" applyNumberFormat="1" applyFont="1" applyFill="1" applyBorder="1"/>
    <xf numFmtId="1" fontId="6" fillId="3" borderId="605" xfId="20" applyNumberFormat="1" applyFont="1" applyFill="1" applyBorder="1"/>
    <xf numFmtId="1" fontId="6" fillId="3" borderId="619" xfId="20" applyNumberFormat="1" applyFont="1" applyFill="1" applyBorder="1"/>
    <xf numFmtId="1" fontId="6" fillId="3" borderId="654" xfId="20" applyNumberFormat="1" applyFont="1" applyFill="1" applyBorder="1"/>
    <xf numFmtId="1" fontId="6" fillId="5" borderId="655" xfId="0" applyNumberFormat="1" applyFont="1" applyFill="1" applyBorder="1" applyProtection="1">
      <protection locked="0"/>
    </xf>
    <xf numFmtId="1" fontId="6" fillId="0" borderId="655" xfId="0" applyNumberFormat="1" applyFont="1" applyBorder="1"/>
    <xf numFmtId="1" fontId="6" fillId="0" borderId="580" xfId="0" applyNumberFormat="1" applyFont="1" applyBorder="1" applyAlignment="1">
      <alignment horizontal="left"/>
    </xf>
    <xf numFmtId="1" fontId="40" fillId="15" borderId="0" xfId="0" applyNumberFormat="1" applyFont="1" applyFill="1" applyBorder="1" applyAlignment="1" applyProtection="1">
      <alignment vertical="center"/>
    </xf>
    <xf numFmtId="1" fontId="6" fillId="3" borderId="612" xfId="0" applyNumberFormat="1" applyFont="1" applyFill="1" applyBorder="1" applyAlignment="1">
      <alignment wrapText="1"/>
    </xf>
    <xf numFmtId="1" fontId="6" fillId="0" borderId="578" xfId="0" applyNumberFormat="1" applyFont="1" applyBorder="1"/>
    <xf numFmtId="1" fontId="6" fillId="5" borderId="658" xfId="0" applyNumberFormat="1" applyFont="1" applyFill="1" applyBorder="1" applyProtection="1">
      <protection locked="0"/>
    </xf>
    <xf numFmtId="1" fontId="6" fillId="5" borderId="648" xfId="0" applyNumberFormat="1" applyFont="1" applyFill="1" applyBorder="1" applyProtection="1">
      <protection locked="0"/>
    </xf>
    <xf numFmtId="1" fontId="6" fillId="0" borderId="540" xfId="0" applyNumberFormat="1" applyFont="1" applyBorder="1" applyAlignment="1" applyProtection="1">
      <alignment vertical="center" wrapText="1"/>
      <protection hidden="1"/>
    </xf>
    <xf numFmtId="1" fontId="6" fillId="0" borderId="581" xfId="0" applyNumberFormat="1" applyFont="1" applyBorder="1" applyAlignment="1">
      <alignment horizontal="right" vertical="center" wrapText="1"/>
    </xf>
    <xf numFmtId="1" fontId="6" fillId="5" borderId="659" xfId="0" applyNumberFormat="1" applyFont="1" applyFill="1" applyBorder="1" applyProtection="1">
      <protection locked="0"/>
    </xf>
    <xf numFmtId="49" fontId="86" fillId="26" borderId="534" xfId="0" applyNumberFormat="1" applyFont="1" applyFill="1" applyBorder="1" applyAlignment="1">
      <alignment horizontal="center"/>
    </xf>
    <xf numFmtId="1" fontId="6" fillId="0" borderId="619" xfId="0" applyNumberFormat="1" applyFont="1" applyBorder="1" applyAlignment="1">
      <alignment horizontal="right"/>
    </xf>
    <xf numFmtId="1" fontId="6" fillId="0" borderId="575" xfId="0" applyNumberFormat="1" applyFont="1" applyBorder="1" applyAlignment="1">
      <alignment horizontal="right"/>
    </xf>
    <xf numFmtId="1" fontId="6" fillId="0" borderId="660" xfId="0" applyNumberFormat="1" applyFont="1" applyBorder="1" applyAlignment="1">
      <alignment horizontal="right"/>
    </xf>
    <xf numFmtId="1" fontId="6" fillId="5" borderId="661" xfId="0" applyNumberFormat="1" applyFont="1" applyFill="1" applyBorder="1" applyProtection="1">
      <protection locked="0"/>
    </xf>
    <xf numFmtId="1" fontId="6" fillId="0" borderId="609" xfId="0" applyNumberFormat="1" applyFont="1" applyBorder="1"/>
    <xf numFmtId="1" fontId="6" fillId="0" borderId="495" xfId="0" applyNumberFormat="1" applyFont="1" applyBorder="1"/>
    <xf numFmtId="1" fontId="6" fillId="0" borderId="605" xfId="0" applyNumberFormat="1" applyFont="1" applyBorder="1" applyAlignment="1">
      <alignment wrapText="1"/>
    </xf>
    <xf numFmtId="1" fontId="6" fillId="0" borderId="619" xfId="0" applyNumberFormat="1" applyFont="1" applyBorder="1" applyAlignment="1">
      <alignment wrapText="1"/>
    </xf>
    <xf numFmtId="1" fontId="6" fillId="0" borderId="534" xfId="0" applyNumberFormat="1" applyFont="1" applyBorder="1" applyAlignment="1">
      <alignment wrapText="1"/>
    </xf>
    <xf numFmtId="1" fontId="6" fillId="13" borderId="574" xfId="0" applyNumberFormat="1" applyFont="1" applyFill="1" applyBorder="1" applyAlignment="1">
      <alignment horizontal="center"/>
    </xf>
    <xf numFmtId="1" fontId="6" fillId="13" borderId="575" xfId="0" applyNumberFormat="1" applyFont="1" applyFill="1" applyBorder="1" applyAlignment="1">
      <alignment horizontal="center"/>
    </xf>
    <xf numFmtId="1" fontId="6" fillId="13" borderId="578" xfId="0" applyNumberFormat="1" applyFont="1" applyFill="1" applyBorder="1" applyAlignment="1">
      <alignment horizontal="center"/>
    </xf>
    <xf numFmtId="1" fontId="6" fillId="0" borderId="583" xfId="0" applyNumberFormat="1" applyFont="1" applyBorder="1" applyAlignment="1">
      <alignment vertical="center" wrapText="1"/>
    </xf>
    <xf numFmtId="1" fontId="6" fillId="0" borderId="581" xfId="0" applyNumberFormat="1" applyFont="1" applyBorder="1" applyAlignment="1">
      <alignment wrapText="1"/>
    </xf>
    <xf numFmtId="1" fontId="6" fillId="0" borderId="582" xfId="0" applyNumberFormat="1" applyFont="1" applyBorder="1" applyAlignment="1">
      <alignment wrapText="1"/>
    </xf>
    <xf numFmtId="1" fontId="6" fillId="0" borderId="584" xfId="0" applyNumberFormat="1" applyFont="1" applyBorder="1" applyAlignment="1">
      <alignment wrapText="1"/>
    </xf>
    <xf numFmtId="1" fontId="6" fillId="0" borderId="22" xfId="0" applyNumberFormat="1" applyFont="1" applyBorder="1" applyAlignment="1">
      <alignment vertical="center" wrapText="1"/>
    </xf>
    <xf numFmtId="1" fontId="6" fillId="0" borderId="650" xfId="0" applyNumberFormat="1" applyFont="1" applyBorder="1" applyAlignment="1">
      <alignment wrapText="1"/>
    </xf>
    <xf numFmtId="1" fontId="6" fillId="0" borderId="544" xfId="0" applyNumberFormat="1" applyFont="1" applyBorder="1" applyAlignment="1">
      <alignment wrapText="1"/>
    </xf>
    <xf numFmtId="1" fontId="6" fillId="0" borderId="652" xfId="0" applyNumberFormat="1" applyFont="1" applyBorder="1" applyAlignment="1">
      <alignment wrapText="1"/>
    </xf>
    <xf numFmtId="1" fontId="6" fillId="5" borderId="656" xfId="0" applyNumberFormat="1" applyFont="1" applyFill="1" applyBorder="1" applyProtection="1">
      <protection locked="0"/>
    </xf>
    <xf numFmtId="1" fontId="6" fillId="5" borderId="662" xfId="0" applyNumberFormat="1" applyFont="1" applyFill="1" applyBorder="1" applyProtection="1">
      <protection locked="0"/>
    </xf>
    <xf numFmtId="1" fontId="6" fillId="0" borderId="573" xfId="0" applyNumberFormat="1" applyFont="1" applyBorder="1" applyAlignment="1">
      <alignment horizontal="left" vertical="center" wrapText="1"/>
    </xf>
    <xf numFmtId="1" fontId="6" fillId="0" borderId="578" xfId="0" applyNumberFormat="1" applyFont="1" applyBorder="1" applyAlignment="1">
      <alignment wrapText="1"/>
    </xf>
    <xf numFmtId="1" fontId="6" fillId="5" borderId="575" xfId="0" applyNumberFormat="1" applyFont="1" applyFill="1" applyBorder="1" applyProtection="1">
      <protection locked="0"/>
    </xf>
    <xf numFmtId="1" fontId="6" fillId="5" borderId="643" xfId="0" applyNumberFormat="1" applyFont="1" applyFill="1" applyBorder="1" applyProtection="1">
      <protection locked="0"/>
    </xf>
    <xf numFmtId="1" fontId="6" fillId="0" borderId="492" xfId="0" applyNumberFormat="1" applyFont="1" applyBorder="1" applyAlignment="1">
      <alignment wrapText="1"/>
    </xf>
    <xf numFmtId="1" fontId="6" fillId="0" borderId="494" xfId="0" applyNumberFormat="1" applyFont="1" applyBorder="1" applyAlignment="1">
      <alignment wrapText="1"/>
    </xf>
    <xf numFmtId="1" fontId="15" fillId="0" borderId="574" xfId="0" applyNumberFormat="1" applyFont="1" applyBorder="1" applyAlignment="1">
      <alignment horizontal="left" vertical="center"/>
    </xf>
    <xf numFmtId="1" fontId="15" fillId="0" borderId="575" xfId="0" applyNumberFormat="1" applyFont="1" applyBorder="1" applyAlignment="1">
      <alignment horizontal="left" vertical="center"/>
    </xf>
    <xf numFmtId="1" fontId="6" fillId="0" borderId="627" xfId="0" applyNumberFormat="1" applyFont="1" applyBorder="1" applyAlignment="1">
      <alignment wrapText="1"/>
    </xf>
    <xf numFmtId="1" fontId="6" fillId="0" borderId="539" xfId="0" applyNumberFormat="1" applyFont="1" applyBorder="1" applyAlignment="1">
      <alignment wrapText="1"/>
    </xf>
    <xf numFmtId="1" fontId="6" fillId="5" borderId="642" xfId="0" applyNumberFormat="1" applyFont="1" applyFill="1" applyBorder="1" applyProtection="1">
      <protection locked="0"/>
    </xf>
    <xf numFmtId="1" fontId="6" fillId="0" borderId="629" xfId="0" applyNumberFormat="1" applyFont="1" applyBorder="1" applyAlignment="1">
      <alignment horizontal="left" vertical="center" wrapText="1"/>
    </xf>
    <xf numFmtId="1" fontId="6" fillId="5" borderId="613" xfId="0" applyNumberFormat="1" applyFont="1" applyFill="1" applyBorder="1" applyProtection="1">
      <protection locked="0"/>
    </xf>
    <xf numFmtId="1" fontId="6" fillId="4" borderId="636" xfId="0" applyNumberFormat="1" applyFont="1" applyFill="1" applyBorder="1"/>
    <xf numFmtId="1" fontId="6" fillId="4" borderId="495" xfId="0" applyNumberFormat="1" applyFont="1" applyFill="1" applyBorder="1"/>
    <xf numFmtId="1" fontId="6" fillId="4" borderId="650" xfId="0" applyNumberFormat="1" applyFont="1" applyFill="1" applyBorder="1"/>
    <xf numFmtId="1" fontId="6" fillId="4" borderId="652" xfId="0" applyNumberFormat="1" applyFont="1" applyFill="1" applyBorder="1"/>
    <xf numFmtId="1" fontId="6" fillId="4" borderId="613" xfId="0" applyNumberFormat="1" applyFont="1" applyFill="1" applyBorder="1"/>
    <xf numFmtId="1" fontId="71" fillId="0" borderId="0" xfId="0" applyNumberFormat="1" applyFont="1" applyAlignment="1">
      <alignment horizontal="left" vertical="center" wrapText="1"/>
    </xf>
    <xf numFmtId="1" fontId="71" fillId="0" borderId="88" xfId="0" applyNumberFormat="1" applyFont="1" applyBorder="1" applyAlignment="1">
      <alignment horizontal="left" vertical="center" wrapText="1"/>
    </xf>
    <xf numFmtId="1" fontId="71" fillId="0" borderId="85" xfId="0" applyNumberFormat="1" applyFont="1" applyBorder="1" applyAlignment="1">
      <alignment horizontal="left" vertical="center" wrapText="1"/>
    </xf>
    <xf numFmtId="1" fontId="71" fillId="0" borderId="656" xfId="0" applyNumberFormat="1" applyFont="1" applyBorder="1" applyAlignment="1">
      <alignment horizontal="left" vertical="center" wrapText="1"/>
    </xf>
    <xf numFmtId="1" fontId="6" fillId="5" borderId="663" xfId="0" applyNumberFormat="1" applyFont="1" applyFill="1" applyBorder="1" applyProtection="1">
      <protection locked="0"/>
    </xf>
    <xf numFmtId="1" fontId="6" fillId="5" borderId="664" xfId="0" applyNumberFormat="1" applyFont="1" applyFill="1" applyBorder="1" applyProtection="1">
      <protection locked="0"/>
    </xf>
    <xf numFmtId="1" fontId="6" fillId="13" borderId="573" xfId="0" applyNumberFormat="1" applyFont="1" applyFill="1" applyBorder="1"/>
    <xf numFmtId="1" fontId="6" fillId="13" borderId="612" xfId="0" applyNumberFormat="1" applyFont="1" applyFill="1" applyBorder="1"/>
    <xf numFmtId="1" fontId="6" fillId="13" borderId="665" xfId="0" applyNumberFormat="1" applyFont="1" applyFill="1" applyBorder="1"/>
    <xf numFmtId="1" fontId="6" fillId="13" borderId="666" xfId="0" applyNumberFormat="1" applyFont="1" applyFill="1" applyBorder="1"/>
    <xf numFmtId="1" fontId="6" fillId="13" borderId="613" xfId="0" applyNumberFormat="1" applyFont="1" applyFill="1" applyBorder="1"/>
    <xf numFmtId="1" fontId="6" fillId="0" borderId="610" xfId="0" applyNumberFormat="1" applyFont="1" applyBorder="1" applyAlignment="1">
      <alignment wrapText="1"/>
    </xf>
    <xf numFmtId="1" fontId="6" fillId="5" borderId="660" xfId="0" applyNumberFormat="1" applyFont="1" applyFill="1" applyBorder="1" applyProtection="1">
      <protection locked="0"/>
    </xf>
    <xf numFmtId="1" fontId="6" fillId="0" borderId="540" xfId="6" applyNumberFormat="1" applyFont="1" applyBorder="1" applyAlignment="1">
      <alignment horizontal="left" vertical="center" wrapText="1"/>
    </xf>
    <xf numFmtId="1" fontId="6" fillId="0" borderId="632" xfId="0" applyNumberFormat="1" applyFont="1" applyBorder="1" applyAlignment="1">
      <alignment horizontal="left" vertical="center" wrapText="1"/>
    </xf>
    <xf numFmtId="1" fontId="6" fillId="5" borderId="667" xfId="0" applyNumberFormat="1" applyFont="1" applyFill="1" applyBorder="1" applyProtection="1">
      <protection locked="0"/>
    </xf>
    <xf numFmtId="1" fontId="6" fillId="4" borderId="629" xfId="0" applyNumberFormat="1" applyFont="1" applyFill="1" applyBorder="1"/>
    <xf numFmtId="1" fontId="51" fillId="0" borderId="589" xfId="0" applyNumberFormat="1" applyFont="1" applyBorder="1" applyAlignment="1">
      <alignment horizontal="left" vertical="center" wrapText="1"/>
    </xf>
    <xf numFmtId="1" fontId="51" fillId="0" borderId="631" xfId="0" applyNumberFormat="1" applyFont="1" applyBorder="1" applyAlignment="1">
      <alignment horizontal="left" vertical="center" wrapText="1"/>
    </xf>
    <xf numFmtId="1" fontId="51" fillId="0" borderId="656" xfId="0" applyNumberFormat="1" applyFont="1" applyBorder="1" applyAlignment="1">
      <alignment horizontal="left" vertical="center" wrapText="1"/>
    </xf>
    <xf numFmtId="1" fontId="6" fillId="0" borderId="589" xfId="0" applyNumberFormat="1" applyFont="1" applyBorder="1" applyAlignment="1">
      <alignment horizontal="left" vertical="center" wrapText="1"/>
    </xf>
    <xf numFmtId="1" fontId="6" fillId="4" borderId="626" xfId="0" applyNumberFormat="1" applyFont="1" applyFill="1" applyBorder="1"/>
    <xf numFmtId="1" fontId="71" fillId="0" borderId="584" xfId="0" applyNumberFormat="1" applyFont="1" applyBorder="1" applyAlignment="1">
      <alignment vertical="center" wrapText="1"/>
    </xf>
    <xf numFmtId="1" fontId="71" fillId="0" borderId="652" xfId="0" applyNumberFormat="1" applyFont="1" applyBorder="1" applyAlignment="1">
      <alignment vertical="center" wrapText="1"/>
    </xf>
    <xf numFmtId="1" fontId="6" fillId="0" borderId="609" xfId="0" applyNumberFormat="1" applyFont="1" applyBorder="1" applyAlignment="1" applyProtection="1">
      <alignment horizontal="left" vertical="center" wrapText="1"/>
      <protection hidden="1"/>
    </xf>
    <xf numFmtId="1" fontId="6" fillId="0" borderId="667" xfId="0" applyNumberFormat="1" applyFont="1" applyBorder="1" applyAlignment="1">
      <alignment horizontal="right" wrapText="1"/>
    </xf>
    <xf numFmtId="1" fontId="6" fillId="0" borderId="668" xfId="0" applyNumberFormat="1" applyFont="1" applyBorder="1" applyAlignment="1">
      <alignment horizontal="right" wrapText="1"/>
    </xf>
    <xf numFmtId="1" fontId="6" fillId="0" borderId="495" xfId="0" applyNumberFormat="1" applyFont="1" applyBorder="1" applyAlignment="1" applyProtection="1">
      <alignment horizontal="left" vertical="center" wrapText="1"/>
      <protection hidden="1"/>
    </xf>
    <xf numFmtId="1" fontId="26" fillId="26" borderId="534" xfId="0" applyNumberFormat="1" applyFont="1" applyFill="1" applyBorder="1"/>
    <xf numFmtId="1" fontId="6" fillId="0" borderId="616" xfId="0" applyNumberFormat="1" applyFont="1" applyBorder="1" applyAlignment="1">
      <alignment wrapText="1"/>
    </xf>
    <xf numFmtId="1" fontId="6" fillId="0" borderId="617" xfId="0" applyNumberFormat="1" applyFont="1" applyBorder="1" applyAlignment="1">
      <alignment wrapText="1"/>
    </xf>
    <xf numFmtId="1" fontId="6" fillId="0" borderId="575" xfId="0" applyNumberFormat="1" applyFont="1" applyBorder="1" applyAlignment="1">
      <alignment wrapText="1"/>
    </xf>
    <xf numFmtId="1" fontId="6" fillId="0" borderId="603" xfId="0" applyNumberFormat="1" applyFont="1" applyBorder="1" applyAlignment="1">
      <alignment wrapText="1"/>
    </xf>
    <xf numFmtId="1" fontId="6" fillId="0" borderId="493" xfId="0" applyNumberFormat="1" applyFont="1" applyBorder="1" applyAlignment="1">
      <alignment vertical="center"/>
    </xf>
    <xf numFmtId="1" fontId="6" fillId="4" borderId="582" xfId="0" applyNumberFormat="1" applyFont="1" applyFill="1" applyBorder="1" applyAlignment="1">
      <alignment wrapText="1"/>
    </xf>
    <xf numFmtId="1" fontId="6" fillId="4" borderId="669" xfId="0" applyNumberFormat="1" applyFont="1" applyFill="1" applyBorder="1"/>
    <xf numFmtId="1" fontId="6" fillId="4" borderId="539" xfId="0" applyNumberFormat="1" applyFont="1" applyFill="1" applyBorder="1" applyAlignment="1">
      <alignment wrapText="1"/>
    </xf>
    <xf numFmtId="1" fontId="6" fillId="0" borderId="538" xfId="0" applyNumberFormat="1" applyFont="1" applyBorder="1" applyAlignment="1">
      <alignment wrapText="1"/>
    </xf>
    <xf numFmtId="1" fontId="6" fillId="2" borderId="670" xfId="15" applyNumberFormat="1" applyFont="1" applyBorder="1" applyProtection="1">
      <protection locked="0"/>
    </xf>
    <xf numFmtId="1" fontId="6" fillId="2" borderId="671" xfId="15" applyNumberFormat="1" applyFont="1" applyBorder="1" applyProtection="1">
      <protection locked="0"/>
    </xf>
    <xf numFmtId="1" fontId="6" fillId="2" borderId="672" xfId="15" applyNumberFormat="1" applyFont="1" applyBorder="1" applyProtection="1">
      <protection locked="0"/>
    </xf>
    <xf numFmtId="1" fontId="6" fillId="2" borderId="673" xfId="15" applyNumberFormat="1" applyFont="1" applyBorder="1" applyProtection="1">
      <protection locked="0"/>
    </xf>
    <xf numFmtId="1" fontId="6" fillId="2" borderId="674" xfId="15" applyNumberFormat="1" applyFont="1" applyBorder="1" applyProtection="1">
      <protection locked="0"/>
    </xf>
    <xf numFmtId="1" fontId="6" fillId="2" borderId="675" xfId="15" applyNumberFormat="1" applyFont="1" applyBorder="1" applyProtection="1">
      <protection locked="0"/>
    </xf>
    <xf numFmtId="1" fontId="6" fillId="13" borderId="582" xfId="0" applyNumberFormat="1" applyFont="1" applyFill="1" applyBorder="1"/>
    <xf numFmtId="1" fontId="6" fillId="13" borderId="594" xfId="0" applyNumberFormat="1" applyFont="1" applyFill="1" applyBorder="1" applyProtection="1">
      <protection locked="0"/>
    </xf>
    <xf numFmtId="1" fontId="6" fillId="13" borderId="581" xfId="0" applyNumberFormat="1" applyFont="1" applyFill="1" applyBorder="1" applyProtection="1">
      <protection locked="0"/>
    </xf>
    <xf numFmtId="1" fontId="6" fillId="13" borderId="584" xfId="0" applyNumberFormat="1" applyFont="1" applyFill="1" applyBorder="1" applyProtection="1">
      <protection locked="0"/>
    </xf>
    <xf numFmtId="1" fontId="6" fillId="13" borderId="629" xfId="0" applyNumberFormat="1" applyFont="1" applyFill="1" applyBorder="1" applyProtection="1">
      <protection locked="0"/>
    </xf>
    <xf numFmtId="1" fontId="51" fillId="0" borderId="652" xfId="0" applyNumberFormat="1" applyFont="1" applyBorder="1" applyAlignment="1">
      <alignment horizontal="left"/>
    </xf>
    <xf numFmtId="1" fontId="6" fillId="0" borderId="630" xfId="0" applyNumberFormat="1" applyFont="1" applyBorder="1"/>
    <xf numFmtId="1" fontId="6" fillId="0" borderId="676" xfId="0" applyNumberFormat="1" applyFont="1" applyBorder="1"/>
    <xf numFmtId="1" fontId="6" fillId="0" borderId="677" xfId="0" applyNumberFormat="1" applyFont="1" applyBorder="1"/>
    <xf numFmtId="1" fontId="6" fillId="5" borderId="678" xfId="0" applyNumberFormat="1" applyFont="1" applyFill="1" applyBorder="1" applyProtection="1">
      <protection locked="0"/>
    </xf>
    <xf numFmtId="1" fontId="6" fillId="5" borderId="621" xfId="0" applyNumberFormat="1" applyFont="1" applyFill="1" applyBorder="1" applyProtection="1">
      <protection locked="0"/>
    </xf>
    <xf numFmtId="1" fontId="71" fillId="0" borderId="23" xfId="0" applyNumberFormat="1" applyFont="1" applyBorder="1"/>
    <xf numFmtId="1" fontId="6" fillId="0" borderId="586" xfId="0" applyNumberFormat="1" applyFont="1" applyBorder="1"/>
    <xf numFmtId="1" fontId="6" fillId="0" borderId="587" xfId="0" applyNumberFormat="1" applyFont="1" applyBorder="1"/>
    <xf numFmtId="1" fontId="6" fillId="0" borderId="588" xfId="0" applyNumberFormat="1" applyFont="1" applyBorder="1" applyAlignment="1">
      <alignment wrapText="1"/>
    </xf>
    <xf numFmtId="1" fontId="6" fillId="5" borderId="679" xfId="0" applyNumberFormat="1" applyFont="1" applyFill="1" applyBorder="1" applyProtection="1">
      <protection locked="0"/>
    </xf>
    <xf numFmtId="1" fontId="6" fillId="5" borderId="588" xfId="0" applyNumberFormat="1" applyFont="1" applyFill="1" applyBorder="1" applyAlignment="1" applyProtection="1">
      <alignment horizontal="center"/>
      <protection locked="0"/>
    </xf>
    <xf numFmtId="1" fontId="6" fillId="5" borderId="680" xfId="0" applyNumberFormat="1" applyFont="1" applyFill="1" applyBorder="1" applyProtection="1">
      <protection locked="0"/>
    </xf>
    <xf numFmtId="1" fontId="6" fillId="5" borderId="681" xfId="0" applyNumberFormat="1" applyFont="1" applyFill="1" applyBorder="1" applyProtection="1">
      <protection locked="0"/>
    </xf>
    <xf numFmtId="1" fontId="6" fillId="5" borderId="682" xfId="0" applyNumberFormat="1" applyFont="1" applyFill="1" applyBorder="1" applyProtection="1">
      <protection locked="0"/>
    </xf>
    <xf numFmtId="1" fontId="6" fillId="5" borderId="683" xfId="0" applyNumberFormat="1" applyFont="1" applyFill="1" applyBorder="1" applyProtection="1">
      <protection locked="0"/>
    </xf>
    <xf numFmtId="1" fontId="6" fillId="0" borderId="580" xfId="0" applyNumberFormat="1" applyFont="1" applyBorder="1" applyAlignment="1">
      <alignment horizontal="right" wrapText="1"/>
    </xf>
    <xf numFmtId="1" fontId="6" fillId="0" borderId="594" xfId="0" applyNumberFormat="1" applyFont="1" applyBorder="1" applyAlignment="1">
      <alignment horizontal="right" wrapText="1"/>
    </xf>
    <xf numFmtId="1" fontId="6" fillId="0" borderId="648" xfId="0" applyNumberFormat="1" applyFont="1" applyBorder="1" applyAlignment="1">
      <alignment horizontal="left" vertical="center" wrapText="1"/>
    </xf>
    <xf numFmtId="1" fontId="6" fillId="0" borderId="648" xfId="0" applyNumberFormat="1" applyFont="1" applyBorder="1" applyAlignment="1">
      <alignment horizontal="right" wrapText="1"/>
    </xf>
    <xf numFmtId="1" fontId="6" fillId="0" borderId="664" xfId="0" applyNumberFormat="1" applyFont="1" applyBorder="1" applyAlignment="1">
      <alignment horizontal="right" wrapText="1"/>
    </xf>
    <xf numFmtId="1" fontId="6" fillId="0" borderId="652" xfId="0" applyNumberFormat="1" applyFont="1" applyBorder="1" applyAlignment="1">
      <alignment horizontal="right"/>
    </xf>
    <xf numFmtId="1" fontId="6" fillId="5" borderId="684" xfId="0" applyNumberFormat="1" applyFont="1" applyFill="1" applyBorder="1" applyProtection="1">
      <protection locked="0"/>
    </xf>
    <xf numFmtId="1" fontId="6" fillId="0" borderId="603" xfId="0" applyNumberFormat="1" applyFont="1" applyBorder="1" applyAlignment="1">
      <alignment horizontal="center"/>
    </xf>
    <xf numFmtId="1" fontId="6" fillId="0" borderId="603" xfId="0" applyNumberFormat="1" applyFont="1" applyBorder="1" applyAlignment="1">
      <alignment horizontal="center" vertical="center" wrapText="1"/>
    </xf>
    <xf numFmtId="1" fontId="6" fillId="0" borderId="620" xfId="0" applyNumberFormat="1" applyFont="1" applyBorder="1" applyAlignment="1">
      <alignment horizontal="left" vertical="center" wrapText="1"/>
    </xf>
    <xf numFmtId="1" fontId="6" fillId="5" borderId="685" xfId="0" applyNumberFormat="1" applyFont="1" applyFill="1" applyBorder="1" applyProtection="1">
      <protection locked="0"/>
    </xf>
    <xf numFmtId="1" fontId="6" fillId="5" borderId="620" xfId="0" applyNumberFormat="1" applyFont="1" applyFill="1" applyBorder="1" applyProtection="1">
      <protection locked="0"/>
    </xf>
    <xf numFmtId="1" fontId="6" fillId="0" borderId="657" xfId="0" applyNumberFormat="1" applyFont="1" applyBorder="1" applyAlignment="1">
      <alignment horizontal="left" vertical="center" wrapText="1"/>
    </xf>
    <xf numFmtId="1" fontId="6" fillId="5" borderId="657" xfId="0" applyNumberFormat="1" applyFont="1" applyFill="1" applyBorder="1" applyProtection="1">
      <protection locked="0"/>
    </xf>
    <xf numFmtId="1" fontId="6" fillId="0" borderId="579" xfId="0" applyNumberFormat="1" applyFont="1" applyBorder="1" applyAlignment="1" applyProtection="1">
      <alignment horizontal="center" vertical="center" wrapText="1"/>
      <protection hidden="1"/>
    </xf>
    <xf numFmtId="1" fontId="6" fillId="0" borderId="579" xfId="0" applyNumberFormat="1" applyFont="1" applyBorder="1" applyAlignment="1" applyProtection="1">
      <alignment horizontal="left" vertical="center" wrapText="1"/>
      <protection hidden="1"/>
    </xf>
    <xf numFmtId="1" fontId="6" fillId="5" borderId="608" xfId="0" applyNumberFormat="1" applyFont="1" applyFill="1" applyBorder="1" applyProtection="1">
      <protection locked="0"/>
    </xf>
    <xf numFmtId="1" fontId="6" fillId="5" borderId="606" xfId="0" applyNumberFormat="1" applyFont="1" applyFill="1" applyBorder="1" applyAlignment="1" applyProtection="1">
      <alignment wrapText="1"/>
      <protection locked="0"/>
    </xf>
    <xf numFmtId="1" fontId="6" fillId="0" borderId="603" xfId="0" applyNumberFormat="1" applyFont="1" applyBorder="1" applyAlignment="1" applyProtection="1">
      <alignment horizontal="center" vertical="center" wrapText="1"/>
      <protection hidden="1"/>
    </xf>
    <xf numFmtId="1" fontId="6" fillId="0" borderId="603" xfId="0" applyNumberFormat="1" applyFont="1" applyBorder="1" applyAlignment="1" applyProtection="1">
      <alignment horizontal="left" vertical="center" wrapText="1"/>
      <protection hidden="1"/>
    </xf>
    <xf numFmtId="1" fontId="6" fillId="5" borderId="652" xfId="0" applyNumberFormat="1" applyFont="1" applyFill="1" applyBorder="1" applyAlignment="1" applyProtection="1">
      <alignment wrapText="1"/>
      <protection locked="0"/>
    </xf>
    <xf numFmtId="1" fontId="6" fillId="0" borderId="650" xfId="0" applyNumberFormat="1" applyFont="1" applyBorder="1" applyAlignment="1">
      <alignment horizontal="left" wrapText="1"/>
    </xf>
    <xf numFmtId="1" fontId="6" fillId="0" borderId="606" xfId="0" applyNumberFormat="1" applyFont="1" applyBorder="1" applyAlignment="1"/>
    <xf numFmtId="1" fontId="6" fillId="0" borderId="652" xfId="0" applyNumberFormat="1" applyFont="1" applyBorder="1" applyAlignment="1"/>
    <xf numFmtId="1" fontId="6" fillId="0" borderId="589" xfId="0" applyNumberFormat="1" applyFont="1" applyBorder="1" applyAlignment="1" applyProtection="1">
      <alignment horizontal="left" vertical="center" wrapText="1"/>
      <protection hidden="1"/>
    </xf>
    <xf numFmtId="1" fontId="6" fillId="4" borderId="589" xfId="0" applyNumberFormat="1" applyFont="1" applyFill="1" applyBorder="1"/>
    <xf numFmtId="1" fontId="6" fillId="0" borderId="581" xfId="0" applyNumberFormat="1" applyFont="1" applyBorder="1" applyAlignment="1">
      <alignment horizontal="left" wrapText="1"/>
    </xf>
    <xf numFmtId="1" fontId="6" fillId="0" borderId="582" xfId="0" applyNumberFormat="1" applyFont="1" applyBorder="1" applyAlignment="1">
      <alignment horizontal="left" wrapText="1"/>
    </xf>
    <xf numFmtId="1" fontId="6" fillId="0" borderId="38" xfId="0" applyNumberFormat="1" applyFont="1" applyBorder="1" applyAlignment="1">
      <alignment horizontal="left" wrapText="1"/>
    </xf>
    <xf numFmtId="1" fontId="6" fillId="0" borderId="63" xfId="0" applyNumberFormat="1" applyFont="1" applyBorder="1" applyAlignment="1">
      <alignment horizontal="left" wrapText="1"/>
    </xf>
    <xf numFmtId="1" fontId="6" fillId="0" borderId="20" xfId="0" applyNumberFormat="1" applyFont="1" applyBorder="1" applyAlignment="1">
      <alignment horizontal="left" wrapText="1"/>
    </xf>
    <xf numFmtId="1" fontId="6" fillId="0" borderId="46" xfId="0" applyNumberFormat="1" applyFont="1" applyBorder="1" applyAlignment="1">
      <alignment horizontal="left" wrapText="1"/>
    </xf>
    <xf numFmtId="1" fontId="6" fillId="0" borderId="490" xfId="0" applyNumberFormat="1" applyFont="1" applyBorder="1" applyAlignment="1">
      <alignment horizontal="left" wrapText="1"/>
    </xf>
    <xf numFmtId="1" fontId="6" fillId="0" borderId="89" xfId="0" applyNumberFormat="1" applyFont="1" applyBorder="1" applyAlignment="1">
      <alignment horizontal="left" wrapText="1"/>
    </xf>
    <xf numFmtId="1" fontId="6" fillId="5" borderId="581" xfId="0" applyNumberFormat="1" applyFont="1" applyFill="1" applyBorder="1" applyAlignment="1" applyProtection="1">
      <alignment wrapText="1"/>
      <protection locked="0"/>
    </xf>
    <xf numFmtId="1" fontId="6" fillId="5" borderId="583" xfId="0" applyNumberFormat="1" applyFont="1" applyFill="1" applyBorder="1" applyAlignment="1" applyProtection="1">
      <alignment wrapText="1"/>
      <protection locked="0"/>
    </xf>
    <xf numFmtId="1" fontId="6" fillId="5" borderId="618" xfId="0" applyNumberFormat="1" applyFont="1" applyFill="1" applyBorder="1" applyAlignment="1" applyProtection="1">
      <alignment wrapText="1"/>
      <protection locked="0"/>
    </xf>
    <xf numFmtId="1" fontId="6" fillId="5" borderId="594" xfId="0" applyNumberFormat="1" applyFont="1" applyFill="1" applyBorder="1" applyAlignment="1" applyProtection="1">
      <alignment wrapText="1"/>
      <protection locked="0"/>
    </xf>
    <xf numFmtId="1" fontId="6" fillId="0" borderId="626" xfId="0" applyNumberFormat="1" applyFont="1" applyBorder="1" applyAlignment="1" applyProtection="1">
      <alignment vertical="center" wrapText="1"/>
      <protection hidden="1"/>
    </xf>
    <xf numFmtId="1" fontId="20" fillId="0" borderId="652" xfId="0" applyNumberFormat="1" applyFont="1" applyBorder="1" applyAlignment="1">
      <alignment wrapText="1"/>
    </xf>
    <xf numFmtId="1" fontId="6" fillId="5" borderId="580" xfId="0" applyNumberFormat="1" applyFont="1" applyFill="1" applyBorder="1" applyAlignment="1" applyProtection="1">
      <alignment horizontal="left" wrapText="1"/>
      <protection locked="0"/>
    </xf>
    <xf numFmtId="1" fontId="6" fillId="5" borderId="581" xfId="0" applyNumberFormat="1" applyFont="1" applyFill="1" applyBorder="1" applyAlignment="1" applyProtection="1">
      <alignment horizontal="left"/>
      <protection locked="0"/>
    </xf>
    <xf numFmtId="1" fontId="6" fillId="5" borderId="584" xfId="0" applyNumberFormat="1" applyFont="1" applyFill="1" applyBorder="1" applyAlignment="1" applyProtection="1">
      <alignment horizontal="left"/>
      <protection locked="0"/>
    </xf>
    <xf numFmtId="1" fontId="6" fillId="5" borderId="37" xfId="0" applyNumberFormat="1" applyFont="1" applyFill="1" applyBorder="1" applyAlignment="1" applyProtection="1">
      <alignment horizontal="left" wrapText="1"/>
      <protection locked="0"/>
    </xf>
    <xf numFmtId="1" fontId="6" fillId="5" borderId="38" xfId="0" applyNumberFormat="1" applyFont="1" applyFill="1" applyBorder="1" applyAlignment="1" applyProtection="1">
      <alignment horizontal="left"/>
      <protection locked="0"/>
    </xf>
    <xf numFmtId="1" fontId="6" fillId="5" borderId="51" xfId="0" applyNumberFormat="1" applyFont="1" applyFill="1" applyBorder="1" applyAlignment="1" applyProtection="1">
      <alignment horizontal="left"/>
      <protection locked="0"/>
    </xf>
    <xf numFmtId="1" fontId="6" fillId="5" borderId="51" xfId="0" applyNumberFormat="1" applyFont="1" applyFill="1" applyBorder="1" applyAlignment="1" applyProtection="1">
      <alignment horizontal="left" wrapText="1"/>
      <protection locked="0"/>
    </xf>
    <xf numFmtId="1" fontId="6" fillId="5" borderId="21" xfId="0" applyNumberFormat="1" applyFont="1" applyFill="1" applyBorder="1" applyAlignment="1" applyProtection="1">
      <alignment horizontal="left" wrapText="1"/>
      <protection locked="0"/>
    </xf>
    <xf numFmtId="1" fontId="6" fillId="5" borderId="20" xfId="0" applyNumberFormat="1" applyFont="1" applyFill="1" applyBorder="1" applyAlignment="1" applyProtection="1">
      <alignment horizontal="left"/>
      <protection locked="0"/>
    </xf>
    <xf numFmtId="1" fontId="6" fillId="5" borderId="21" xfId="0" applyNumberFormat="1" applyFont="1" applyFill="1" applyBorder="1" applyAlignment="1" applyProtection="1">
      <alignment horizontal="left"/>
      <protection locked="0"/>
    </xf>
    <xf numFmtId="1" fontId="6" fillId="5" borderId="583" xfId="0" applyNumberFormat="1" applyFont="1" applyFill="1" applyBorder="1" applyAlignment="1" applyProtection="1">
      <alignment horizontal="left"/>
      <protection locked="0"/>
    </xf>
    <xf numFmtId="1" fontId="6" fillId="5" borderId="589" xfId="0" applyNumberFormat="1" applyFont="1" applyFill="1" applyBorder="1" applyAlignment="1" applyProtection="1">
      <alignment horizontal="left"/>
      <protection locked="0"/>
    </xf>
    <xf numFmtId="1" fontId="6" fillId="0" borderId="544" xfId="0" applyNumberFormat="1" applyFont="1" applyBorder="1" applyAlignment="1">
      <alignment horizontal="left" wrapText="1"/>
    </xf>
    <xf numFmtId="1" fontId="6" fillId="0" borderId="652" xfId="0" applyNumberFormat="1" applyFont="1" applyBorder="1" applyAlignment="1">
      <alignment horizontal="left"/>
    </xf>
    <xf numFmtId="1" fontId="6" fillId="5" borderId="650" xfId="0" applyNumberFormat="1" applyFont="1" applyFill="1" applyBorder="1" applyAlignment="1" applyProtection="1">
      <alignment horizontal="left"/>
      <protection locked="0"/>
    </xf>
    <xf numFmtId="1" fontId="6" fillId="5" borderId="652" xfId="0" applyNumberFormat="1" applyFont="1" applyFill="1" applyBorder="1" applyAlignment="1" applyProtection="1">
      <alignment horizontal="left"/>
      <protection locked="0"/>
    </xf>
    <xf numFmtId="1" fontId="6" fillId="5" borderId="684" xfId="0" applyNumberFormat="1" applyFont="1" applyFill="1" applyBorder="1" applyAlignment="1" applyProtection="1">
      <alignment horizontal="left"/>
      <protection locked="0"/>
    </xf>
    <xf numFmtId="1" fontId="6" fillId="5" borderId="656" xfId="0" applyNumberFormat="1" applyFont="1" applyFill="1" applyBorder="1" applyAlignment="1" applyProtection="1">
      <alignment horizontal="left"/>
      <protection locked="0"/>
    </xf>
    <xf numFmtId="1" fontId="51" fillId="0" borderId="603" xfId="0" applyNumberFormat="1" applyFont="1" applyBorder="1" applyAlignment="1">
      <alignment horizontal="left" vertical="center" wrapText="1"/>
    </xf>
    <xf numFmtId="1" fontId="51" fillId="0" borderId="605" xfId="0" applyNumberFormat="1" applyFont="1" applyBorder="1" applyAlignment="1">
      <alignment horizontal="left" wrapText="1"/>
    </xf>
    <xf numFmtId="1" fontId="51" fillId="0" borderId="619" xfId="0" applyNumberFormat="1" applyFont="1" applyBorder="1" applyAlignment="1">
      <alignment horizontal="left" wrapText="1"/>
    </xf>
    <xf numFmtId="1" fontId="51" fillId="0" borderId="606" xfId="0" applyNumberFormat="1" applyFont="1" applyBorder="1" applyAlignment="1">
      <alignment horizontal="left"/>
    </xf>
    <xf numFmtId="1" fontId="51" fillId="5" borderId="605" xfId="0" applyNumberFormat="1" applyFont="1" applyFill="1" applyBorder="1" applyAlignment="1" applyProtection="1">
      <alignment horizontal="left"/>
      <protection locked="0"/>
    </xf>
    <xf numFmtId="1" fontId="51" fillId="5" borderId="606" xfId="0" applyNumberFormat="1" applyFont="1" applyFill="1" applyBorder="1" applyAlignment="1" applyProtection="1">
      <alignment horizontal="left"/>
      <protection locked="0"/>
    </xf>
    <xf numFmtId="1" fontId="51" fillId="5" borderId="616" xfId="0" applyNumberFormat="1" applyFont="1" applyFill="1" applyBorder="1" applyAlignment="1" applyProtection="1">
      <alignment horizontal="left"/>
      <protection locked="0"/>
    </xf>
    <xf numFmtId="1" fontId="51" fillId="5" borderId="604" xfId="0" applyNumberFormat="1" applyFont="1" applyFill="1" applyBorder="1" applyAlignment="1" applyProtection="1">
      <alignment horizontal="left"/>
      <protection locked="0"/>
    </xf>
    <xf numFmtId="1" fontId="51" fillId="5" borderId="617" xfId="0" applyNumberFormat="1" applyFont="1" applyFill="1" applyBorder="1" applyAlignment="1" applyProtection="1">
      <alignment horizontal="left"/>
      <protection locked="0"/>
    </xf>
    <xf numFmtId="0" fontId="0" fillId="0" borderId="603" xfId="0" applyBorder="1"/>
    <xf numFmtId="1" fontId="51" fillId="5" borderId="686" xfId="0" applyNumberFormat="1" applyFont="1" applyFill="1" applyBorder="1" applyAlignment="1" applyProtection="1">
      <alignment horizontal="left"/>
      <protection locked="0"/>
    </xf>
    <xf numFmtId="1" fontId="51" fillId="5" borderId="643" xfId="0" applyNumberFormat="1" applyFont="1" applyFill="1" applyBorder="1" applyAlignment="1" applyProtection="1">
      <alignment horizontal="left"/>
      <protection locked="0"/>
    </xf>
    <xf numFmtId="1" fontId="51" fillId="0" borderId="626" xfId="0" applyNumberFormat="1" applyFont="1" applyBorder="1" applyAlignment="1">
      <alignment horizontal="left" vertical="center" wrapText="1"/>
    </xf>
    <xf numFmtId="1" fontId="51" fillId="0" borderId="581" xfId="0" applyNumberFormat="1" applyFont="1" applyBorder="1" applyAlignment="1">
      <alignment horizontal="left" wrapText="1"/>
    </xf>
    <xf numFmtId="1" fontId="51" fillId="0" borderId="582" xfId="0" applyNumberFormat="1" applyFont="1" applyBorder="1" applyAlignment="1">
      <alignment horizontal="left" wrapText="1"/>
    </xf>
    <xf numFmtId="1" fontId="51" fillId="0" borderId="584" xfId="0" applyNumberFormat="1" applyFont="1" applyBorder="1" applyAlignment="1">
      <alignment horizontal="left"/>
    </xf>
    <xf numFmtId="1" fontId="51" fillId="5" borderId="581" xfId="0" applyNumberFormat="1" applyFont="1" applyFill="1" applyBorder="1" applyAlignment="1" applyProtection="1">
      <alignment horizontal="left"/>
      <protection locked="0"/>
    </xf>
    <xf numFmtId="1" fontId="51" fillId="5" borderId="584" xfId="0" applyNumberFormat="1" applyFont="1" applyFill="1" applyBorder="1" applyAlignment="1" applyProtection="1">
      <alignment horizontal="left"/>
      <protection locked="0"/>
    </xf>
    <xf numFmtId="1" fontId="51" fillId="5" borderId="583" xfId="0" applyNumberFormat="1" applyFont="1" applyFill="1" applyBorder="1" applyAlignment="1" applyProtection="1">
      <alignment horizontal="left"/>
      <protection locked="0"/>
    </xf>
    <xf numFmtId="1" fontId="51" fillId="0" borderId="627" xfId="0" applyNumberFormat="1" applyFont="1" applyBorder="1" applyAlignment="1">
      <alignment horizontal="left" wrapText="1"/>
    </xf>
    <xf numFmtId="1" fontId="51" fillId="0" borderId="539" xfId="0" applyNumberFormat="1" applyFont="1" applyBorder="1" applyAlignment="1">
      <alignment horizontal="left" wrapText="1"/>
    </xf>
    <xf numFmtId="1" fontId="51" fillId="0" borderId="31" xfId="0" applyNumberFormat="1" applyFont="1" applyBorder="1" applyAlignment="1">
      <alignment horizontal="left"/>
    </xf>
    <xf numFmtId="1" fontId="51" fillId="5" borderId="627" xfId="0" applyNumberFormat="1" applyFont="1" applyFill="1" applyBorder="1" applyAlignment="1" applyProtection="1">
      <alignment horizontal="left"/>
      <protection locked="0"/>
    </xf>
    <xf numFmtId="1" fontId="51" fillId="5" borderId="31" xfId="0" applyNumberFormat="1" applyFont="1" applyFill="1" applyBorder="1" applyAlignment="1" applyProtection="1">
      <alignment horizontal="left"/>
      <protection locked="0"/>
    </xf>
    <xf numFmtId="1" fontId="51" fillId="5" borderId="511" xfId="0" applyNumberFormat="1" applyFont="1" applyFill="1" applyBorder="1" applyAlignment="1" applyProtection="1">
      <alignment horizontal="left"/>
      <protection locked="0"/>
    </xf>
    <xf numFmtId="1" fontId="51" fillId="0" borderId="650" xfId="0" applyNumberFormat="1" applyFont="1" applyBorder="1" applyAlignment="1">
      <alignment horizontal="left" wrapText="1"/>
    </xf>
    <xf numFmtId="1" fontId="51" fillId="0" borderId="544" xfId="0" applyNumberFormat="1" applyFont="1" applyBorder="1" applyAlignment="1">
      <alignment horizontal="left" wrapText="1"/>
    </xf>
    <xf numFmtId="1" fontId="51" fillId="5" borderId="650" xfId="0" applyNumberFormat="1" applyFont="1" applyFill="1" applyBorder="1" applyAlignment="1" applyProtection="1">
      <alignment horizontal="left"/>
      <protection locked="0"/>
    </xf>
    <xf numFmtId="1" fontId="51" fillId="5" borderId="652" xfId="0" applyNumberFormat="1" applyFont="1" applyFill="1" applyBorder="1" applyAlignment="1" applyProtection="1">
      <alignment horizontal="left"/>
      <protection locked="0"/>
    </xf>
    <xf numFmtId="1" fontId="51" fillId="5" borderId="684" xfId="0" applyNumberFormat="1" applyFont="1" applyFill="1" applyBorder="1" applyAlignment="1" applyProtection="1">
      <alignment horizontal="left"/>
      <protection locked="0"/>
    </xf>
    <xf numFmtId="1" fontId="51" fillId="0" borderId="603" xfId="0" applyNumberFormat="1" applyFont="1" applyBorder="1" applyAlignment="1">
      <alignment vertical="center" wrapText="1"/>
    </xf>
    <xf numFmtId="1" fontId="51" fillId="5" borderId="607" xfId="0" applyNumberFormat="1" applyFont="1" applyFill="1" applyBorder="1" applyAlignment="1" applyProtection="1">
      <alignment horizontal="left"/>
      <protection locked="0"/>
    </xf>
    <xf numFmtId="1" fontId="51" fillId="0" borderId="607" xfId="0" applyNumberFormat="1" applyFont="1" applyFill="1" applyBorder="1" applyAlignment="1" applyProtection="1">
      <alignment horizontal="left"/>
      <protection locked="0"/>
    </xf>
    <xf numFmtId="0" fontId="86" fillId="3" borderId="0" xfId="0" applyFont="1" applyFill="1" applyAlignment="1">
      <alignment horizontal="center" vertical="center"/>
    </xf>
    <xf numFmtId="49" fontId="86" fillId="3" borderId="0" xfId="0" applyNumberFormat="1" applyFont="1" applyFill="1" applyAlignment="1">
      <alignment horizontal="center" vertical="center"/>
    </xf>
    <xf numFmtId="0" fontId="86" fillId="3" borderId="0" xfId="0" quotePrefix="1" applyFont="1" applyFill="1" applyAlignment="1">
      <alignment horizontal="center" vertical="center"/>
    </xf>
    <xf numFmtId="0" fontId="86" fillId="3" borderId="534" xfId="0" applyFont="1" applyFill="1" applyBorder="1" applyAlignment="1">
      <alignment horizontal="center" vertical="center"/>
    </xf>
    <xf numFmtId="1" fontId="6" fillId="34" borderId="47" xfId="0" applyNumberFormat="1" applyFont="1" applyFill="1" applyBorder="1" applyAlignment="1">
      <alignment horizontal="center" vertical="center" wrapText="1"/>
    </xf>
    <xf numFmtId="1" fontId="6" fillId="34" borderId="36" xfId="0" applyNumberFormat="1" applyFont="1" applyFill="1" applyBorder="1" applyProtection="1">
      <protection locked="0"/>
    </xf>
    <xf numFmtId="1" fontId="20" fillId="26" borderId="0" xfId="0" applyNumberFormat="1" applyFont="1" applyFill="1"/>
    <xf numFmtId="1" fontId="6" fillId="0" borderId="687" xfId="0" applyNumberFormat="1" applyFont="1" applyBorder="1"/>
    <xf numFmtId="1" fontId="6" fillId="5" borderId="688" xfId="0" applyNumberFormat="1" applyFont="1" applyFill="1" applyBorder="1" applyProtection="1">
      <protection locked="0"/>
    </xf>
    <xf numFmtId="1" fontId="6" fillId="5" borderId="689" xfId="0" applyNumberFormat="1" applyFont="1" applyFill="1" applyBorder="1" applyProtection="1">
      <protection locked="0"/>
    </xf>
    <xf numFmtId="1" fontId="6" fillId="5" borderId="690" xfId="0" applyNumberFormat="1" applyFont="1" applyFill="1" applyBorder="1" applyProtection="1">
      <protection locked="0"/>
    </xf>
    <xf numFmtId="1" fontId="6" fillId="0" borderId="36" xfId="0" applyNumberFormat="1" applyFont="1" applyBorder="1" applyAlignment="1">
      <alignment horizontal="left" vertical="center"/>
    </xf>
    <xf numFmtId="1" fontId="6" fillId="0" borderId="36" xfId="0" applyNumberFormat="1" applyFont="1" applyBorder="1" applyAlignment="1">
      <alignment vertical="center"/>
    </xf>
    <xf numFmtId="1" fontId="6" fillId="0" borderId="22" xfId="0" applyNumberFormat="1" applyFont="1" applyBorder="1" applyAlignment="1">
      <alignment vertical="center"/>
    </xf>
    <xf numFmtId="1" fontId="6" fillId="5" borderId="695" xfId="0" applyNumberFormat="1" applyFont="1" applyFill="1" applyBorder="1" applyProtection="1">
      <protection locked="0"/>
    </xf>
    <xf numFmtId="1" fontId="6" fillId="5" borderId="692" xfId="0" applyNumberFormat="1" applyFont="1" applyFill="1" applyBorder="1" applyProtection="1">
      <protection locked="0"/>
    </xf>
    <xf numFmtId="1" fontId="6" fillId="5" borderId="696" xfId="0" applyNumberFormat="1" applyFont="1" applyFill="1" applyBorder="1" applyProtection="1">
      <protection locked="0"/>
    </xf>
    <xf numFmtId="1" fontId="6" fillId="5" borderId="691" xfId="0" applyNumberFormat="1" applyFont="1" applyFill="1" applyBorder="1" applyProtection="1">
      <protection locked="0"/>
    </xf>
    <xf numFmtId="1" fontId="6" fillId="5" borderId="697" xfId="0" applyNumberFormat="1" applyFont="1" applyFill="1" applyBorder="1" applyProtection="1">
      <protection locked="0"/>
    </xf>
    <xf numFmtId="1" fontId="6" fillId="5" borderId="698" xfId="0" applyNumberFormat="1" applyFont="1" applyFill="1" applyBorder="1" applyProtection="1">
      <protection locked="0"/>
    </xf>
    <xf numFmtId="1" fontId="6" fillId="5" borderId="699" xfId="0" applyNumberFormat="1" applyFont="1" applyFill="1" applyBorder="1" applyProtection="1">
      <protection locked="0"/>
    </xf>
    <xf numFmtId="1" fontId="6" fillId="4" borderId="688" xfId="0" applyNumberFormat="1" applyFont="1" applyFill="1" applyBorder="1"/>
    <xf numFmtId="1" fontId="6" fillId="4" borderId="700" xfId="0" applyNumberFormat="1" applyFont="1" applyFill="1" applyBorder="1"/>
    <xf numFmtId="1" fontId="6" fillId="5" borderId="687" xfId="0" applyNumberFormat="1" applyFont="1" applyFill="1" applyBorder="1" applyProtection="1">
      <protection locked="0"/>
    </xf>
    <xf numFmtId="1" fontId="6" fillId="5" borderId="701" xfId="0" applyNumberFormat="1" applyFont="1" applyFill="1" applyBorder="1" applyProtection="1">
      <protection locked="0"/>
    </xf>
    <xf numFmtId="1" fontId="6" fillId="5" borderId="702" xfId="0" applyNumberFormat="1" applyFont="1" applyFill="1" applyBorder="1" applyProtection="1">
      <protection locked="0"/>
    </xf>
    <xf numFmtId="1" fontId="6" fillId="5" borderId="700" xfId="0" applyNumberFormat="1" applyFont="1" applyFill="1" applyBorder="1" applyProtection="1">
      <protection locked="0"/>
    </xf>
    <xf numFmtId="1" fontId="6" fillId="5" borderId="703" xfId="0" applyNumberFormat="1" applyFont="1" applyFill="1" applyBorder="1" applyProtection="1">
      <protection locked="0"/>
    </xf>
    <xf numFmtId="1" fontId="6" fillId="5" borderId="637" xfId="0" applyNumberFormat="1" applyFont="1" applyFill="1" applyBorder="1" applyProtection="1">
      <protection locked="0"/>
    </xf>
    <xf numFmtId="1" fontId="6" fillId="5" borderId="704" xfId="0" applyNumberFormat="1" applyFont="1" applyFill="1" applyBorder="1" applyProtection="1">
      <protection locked="0"/>
    </xf>
    <xf numFmtId="1" fontId="6" fillId="0" borderId="708" xfId="0" applyNumberFormat="1" applyFont="1" applyBorder="1" applyAlignment="1">
      <alignment horizontal="right" wrapText="1"/>
    </xf>
    <xf numFmtId="1" fontId="6" fillId="0" borderId="708" xfId="0" applyNumberFormat="1" applyFont="1" applyBorder="1" applyAlignment="1">
      <alignment horizontal="right"/>
    </xf>
    <xf numFmtId="1" fontId="6" fillId="0" borderId="708" xfId="0" applyNumberFormat="1" applyFont="1" applyBorder="1"/>
    <xf numFmtId="1" fontId="6" fillId="0" borderId="687" xfId="0" applyNumberFormat="1" applyFont="1" applyBorder="1" applyAlignment="1">
      <alignment vertical="center"/>
    </xf>
    <xf numFmtId="1" fontId="6" fillId="5" borderId="707" xfId="0" applyNumberFormat="1" applyFont="1" applyFill="1" applyBorder="1" applyProtection="1">
      <protection locked="0"/>
    </xf>
    <xf numFmtId="1" fontId="6" fillId="5" borderId="709" xfId="0" applyNumberFormat="1" applyFont="1" applyFill="1" applyBorder="1" applyProtection="1">
      <protection locked="0"/>
    </xf>
    <xf numFmtId="1" fontId="6" fillId="5" borderId="710" xfId="0" applyNumberFormat="1" applyFont="1" applyFill="1" applyBorder="1" applyProtection="1">
      <protection locked="0"/>
    </xf>
    <xf numFmtId="0" fontId="86" fillId="3" borderId="534" xfId="0" quotePrefix="1" applyFont="1" applyFill="1" applyBorder="1" applyAlignment="1">
      <alignment horizontal="center" vertical="center"/>
    </xf>
    <xf numFmtId="1" fontId="6" fillId="5" borderId="669" xfId="0" applyNumberFormat="1" applyFont="1" applyFill="1" applyBorder="1" applyProtection="1">
      <protection locked="0"/>
    </xf>
    <xf numFmtId="1" fontId="6" fillId="0" borderId="697" xfId="0" applyNumberFormat="1" applyFont="1" applyBorder="1" applyAlignment="1">
      <alignment vertical="center"/>
    </xf>
    <xf numFmtId="1" fontId="6" fillId="4" borderId="695" xfId="0" applyNumberFormat="1" applyFont="1" applyFill="1" applyBorder="1"/>
    <xf numFmtId="1" fontId="6" fillId="4" borderId="692" xfId="0" applyNumberFormat="1" applyFont="1" applyFill="1" applyBorder="1"/>
    <xf numFmtId="1" fontId="6" fillId="5" borderId="711" xfId="0" applyNumberFormat="1" applyFont="1" applyFill="1" applyBorder="1" applyProtection="1">
      <protection locked="0"/>
    </xf>
    <xf numFmtId="1" fontId="6" fillId="5" borderId="712" xfId="0" applyNumberFormat="1" applyFont="1" applyFill="1" applyBorder="1" applyProtection="1">
      <protection locked="0"/>
    </xf>
    <xf numFmtId="1" fontId="6" fillId="2" borderId="713" xfId="15" applyNumberFormat="1" applyFont="1" applyBorder="1" applyProtection="1">
      <protection locked="0"/>
    </xf>
    <xf numFmtId="1" fontId="6" fillId="0" borderId="491" xfId="0" applyNumberFormat="1" applyFont="1" applyBorder="1" applyAlignment="1">
      <alignment horizontal="center" vertical="center" wrapText="1"/>
    </xf>
    <xf numFmtId="1" fontId="51" fillId="5" borderId="491" xfId="0" applyNumberFormat="1" applyFont="1" applyFill="1" applyBorder="1" applyProtection="1">
      <protection locked="0"/>
    </xf>
    <xf numFmtId="1" fontId="54" fillId="26" borderId="0" xfId="0" applyNumberFormat="1" applyFont="1" applyFill="1"/>
    <xf numFmtId="49" fontId="86" fillId="3" borderId="534" xfId="0" applyNumberFormat="1" applyFont="1" applyFill="1" applyBorder="1" applyAlignment="1">
      <alignment horizontal="center" vertical="center"/>
    </xf>
    <xf numFmtId="1" fontId="6" fillId="0" borderId="700" xfId="0" applyNumberFormat="1" applyFont="1" applyBorder="1" applyAlignment="1">
      <alignment horizontal="left"/>
    </xf>
    <xf numFmtId="1" fontId="6" fillId="0" borderId="494" xfId="0" applyNumberFormat="1" applyFont="1" applyBorder="1" applyAlignment="1">
      <alignment horizontal="left" wrapText="1"/>
    </xf>
    <xf numFmtId="1" fontId="6" fillId="5" borderId="38" xfId="0" applyNumberFormat="1" applyFont="1" applyFill="1" applyBorder="1" applyAlignment="1" applyProtection="1">
      <alignment horizontal="left" wrapText="1"/>
      <protection locked="0"/>
    </xf>
    <xf numFmtId="1" fontId="6" fillId="5" borderId="36" xfId="0" applyNumberFormat="1" applyFont="1" applyFill="1" applyBorder="1" applyAlignment="1" applyProtection="1">
      <alignment horizontal="left" wrapText="1"/>
      <protection locked="0"/>
    </xf>
    <xf numFmtId="1" fontId="6" fillId="0" borderId="627" xfId="0" applyNumberFormat="1" applyFont="1" applyBorder="1" applyAlignment="1">
      <alignment horizontal="left" wrapText="1"/>
    </xf>
    <xf numFmtId="1" fontId="6" fillId="5" borderId="650" xfId="0" applyNumberFormat="1" applyFont="1" applyFill="1" applyBorder="1" applyAlignment="1" applyProtection="1">
      <alignment horizontal="right"/>
      <protection locked="0"/>
    </xf>
    <xf numFmtId="1" fontId="6" fillId="5" borderId="684" xfId="0" applyNumberFormat="1" applyFont="1" applyFill="1" applyBorder="1" applyAlignment="1" applyProtection="1">
      <alignment horizontal="right"/>
      <protection locked="0"/>
    </xf>
    <xf numFmtId="1" fontId="6" fillId="0" borderId="540" xfId="0" applyNumberFormat="1" applyFont="1" applyBorder="1" applyAlignment="1">
      <alignment horizontal="left" wrapText="1"/>
    </xf>
    <xf numFmtId="1" fontId="6" fillId="0" borderId="540" xfId="0" applyNumberFormat="1" applyFont="1" applyBorder="1" applyAlignment="1">
      <alignment wrapText="1"/>
    </xf>
    <xf numFmtId="1" fontId="6" fillId="4" borderId="703" xfId="0" applyNumberFormat="1" applyFont="1" applyFill="1" applyBorder="1"/>
    <xf numFmtId="0" fontId="86" fillId="15" borderId="534" xfId="0" applyFont="1" applyFill="1" applyBorder="1" applyAlignment="1">
      <alignment horizontal="center"/>
    </xf>
    <xf numFmtId="1" fontId="20" fillId="0" borderId="650" xfId="0" applyNumberFormat="1" applyFont="1" applyBorder="1"/>
    <xf numFmtId="0" fontId="86" fillId="15" borderId="0" xfId="0" applyFont="1" applyFill="1" applyAlignment="1">
      <alignment horizontal="center"/>
    </xf>
    <xf numFmtId="1" fontId="13" fillId="5" borderId="626" xfId="0" applyNumberFormat="1" applyFont="1" applyFill="1" applyBorder="1" applyProtection="1">
      <protection locked="0"/>
    </xf>
    <xf numFmtId="1" fontId="6" fillId="5" borderId="719" xfId="0" applyNumberFormat="1" applyFont="1" applyFill="1" applyBorder="1" applyProtection="1">
      <protection locked="0"/>
    </xf>
    <xf numFmtId="1" fontId="6" fillId="4" borderId="38" xfId="0" applyNumberFormat="1" applyFont="1" applyFill="1" applyBorder="1" applyAlignment="1">
      <alignment horizontal="left"/>
    </xf>
    <xf numFmtId="1" fontId="6" fillId="4" borderId="51" xfId="0" applyNumberFormat="1" applyFont="1" applyFill="1" applyBorder="1" applyAlignment="1">
      <alignment horizontal="left"/>
    </xf>
    <xf numFmtId="1" fontId="6" fillId="4" borderId="36" xfId="0" applyNumberFormat="1" applyFont="1" applyFill="1" applyBorder="1" applyAlignment="1">
      <alignment horizontal="left"/>
    </xf>
    <xf numFmtId="1" fontId="6" fillId="4" borderId="55" xfId="0" applyNumberFormat="1" applyFont="1" applyFill="1" applyBorder="1" applyAlignment="1">
      <alignment horizontal="left"/>
    </xf>
    <xf numFmtId="1" fontId="6" fillId="4" borderId="85" xfId="0" applyNumberFormat="1" applyFont="1" applyFill="1" applyBorder="1" applyAlignment="1">
      <alignment horizontal="left"/>
    </xf>
    <xf numFmtId="1" fontId="6" fillId="4" borderId="119" xfId="0" applyNumberFormat="1" applyFont="1" applyFill="1" applyBorder="1" applyAlignment="1">
      <alignment horizontal="left"/>
    </xf>
    <xf numFmtId="1" fontId="6" fillId="5" borderId="38" xfId="0" applyNumberFormat="1" applyFont="1" applyFill="1" applyBorder="1" applyAlignment="1" applyProtection="1">
      <alignment horizontal="left" vertical="center" wrapText="1"/>
      <protection locked="0"/>
    </xf>
    <xf numFmtId="1" fontId="6" fillId="5" borderId="51" xfId="0" applyNumberFormat="1" applyFont="1" applyFill="1" applyBorder="1" applyAlignment="1" applyProtection="1">
      <alignment horizontal="left" vertical="center" wrapText="1"/>
      <protection locked="0"/>
    </xf>
    <xf numFmtId="1" fontId="6" fillId="5" borderId="20" xfId="0" applyNumberFormat="1" applyFont="1" applyFill="1" applyBorder="1" applyAlignment="1" applyProtection="1">
      <alignment horizontal="left" vertical="center" wrapText="1"/>
      <protection locked="0"/>
    </xf>
    <xf numFmtId="1" fontId="6" fillId="5" borderId="21" xfId="0" applyNumberFormat="1" applyFont="1" applyFill="1" applyBorder="1" applyAlignment="1" applyProtection="1">
      <alignment horizontal="left" vertical="center" wrapText="1"/>
      <protection locked="0"/>
    </xf>
    <xf numFmtId="1" fontId="6" fillId="5" borderId="627" xfId="0" applyNumberFormat="1" applyFont="1" applyFill="1" applyBorder="1" applyAlignment="1" applyProtection="1">
      <alignment horizontal="left"/>
      <protection locked="0"/>
    </xf>
    <xf numFmtId="1" fontId="6" fillId="5" borderId="704" xfId="0" applyNumberFormat="1" applyFont="1" applyFill="1" applyBorder="1" applyAlignment="1" applyProtection="1">
      <alignment horizontal="left"/>
      <protection locked="0"/>
    </xf>
    <xf numFmtId="49" fontId="86" fillId="15" borderId="0" xfId="0" applyNumberFormat="1" applyFont="1" applyFill="1" applyAlignment="1">
      <alignment horizontal="center"/>
    </xf>
    <xf numFmtId="1" fontId="6" fillId="2" borderId="722" xfId="15" applyNumberFormat="1" applyFont="1" applyBorder="1" applyProtection="1">
      <protection locked="0"/>
    </xf>
    <xf numFmtId="1" fontId="6" fillId="0" borderId="37" xfId="0" applyNumberFormat="1" applyFont="1" applyBorder="1" applyAlignment="1">
      <alignment horizontal="left" vertical="center" wrapText="1"/>
    </xf>
    <xf numFmtId="1" fontId="6" fillId="0" borderId="51" xfId="0" applyNumberFormat="1" applyFont="1" applyBorder="1" applyAlignment="1">
      <alignment horizontal="left" vertical="center"/>
    </xf>
    <xf numFmtId="1" fontId="6" fillId="0" borderId="21" xfId="0" applyNumberFormat="1" applyFont="1" applyBorder="1" applyAlignment="1">
      <alignment horizontal="left"/>
    </xf>
    <xf numFmtId="1" fontId="6" fillId="0" borderId="51" xfId="0" applyNumberFormat="1" applyFont="1" applyBorder="1" applyAlignment="1">
      <alignment horizontal="left"/>
    </xf>
    <xf numFmtId="1" fontId="6" fillId="0" borderId="21" xfId="0" applyNumberFormat="1" applyFont="1" applyBorder="1" applyAlignment="1">
      <alignment horizontal="left" vertical="center"/>
    </xf>
    <xf numFmtId="1" fontId="20" fillId="0" borderId="21" xfId="0" applyNumberFormat="1" applyFont="1" applyBorder="1" applyAlignment="1">
      <alignment horizontal="left"/>
    </xf>
    <xf numFmtId="1" fontId="6" fillId="0" borderId="38" xfId="0" applyNumberFormat="1" applyFont="1" applyBorder="1" applyAlignment="1">
      <alignment horizontal="left" vertical="center" wrapText="1"/>
    </xf>
    <xf numFmtId="1" fontId="6" fillId="0" borderId="63" xfId="0" applyNumberFormat="1" applyFont="1" applyBorder="1" applyAlignment="1">
      <alignment horizontal="left" vertical="center" wrapText="1"/>
    </xf>
    <xf numFmtId="1" fontId="6" fillId="0" borderId="31" xfId="0" applyNumberFormat="1" applyFont="1" applyBorder="1" applyAlignment="1">
      <alignment horizontal="left"/>
    </xf>
    <xf numFmtId="1" fontId="6" fillId="0" borderId="416" xfId="0" applyNumberFormat="1" applyFont="1" applyBorder="1" applyAlignment="1">
      <alignment horizontal="left" vertical="center"/>
    </xf>
    <xf numFmtId="1" fontId="6" fillId="0" borderId="7" xfId="13" applyNumberFormat="1" applyFont="1" applyBorder="1" applyAlignment="1">
      <alignment horizontal="center" vertical="center" wrapText="1"/>
    </xf>
    <xf numFmtId="1" fontId="6" fillId="0" borderId="8" xfId="13" applyNumberFormat="1" applyFont="1" applyBorder="1" applyAlignment="1">
      <alignment horizontal="center" vertical="center" wrapText="1"/>
    </xf>
    <xf numFmtId="1" fontId="6" fillId="0" borderId="3" xfId="13" applyNumberFormat="1" applyFont="1" applyBorder="1" applyAlignment="1">
      <alignment horizontal="center" vertical="center" wrapText="1"/>
    </xf>
    <xf numFmtId="1" fontId="6" fillId="3" borderId="14" xfId="0" applyNumberFormat="1" applyFont="1" applyFill="1" applyBorder="1" applyAlignment="1">
      <alignment horizontal="center" vertical="center"/>
    </xf>
    <xf numFmtId="1" fontId="51" fillId="3" borderId="8" xfId="0" applyNumberFormat="1" applyFont="1" applyFill="1" applyBorder="1" applyAlignment="1">
      <alignment horizontal="center" vertical="center" wrapText="1"/>
    </xf>
    <xf numFmtId="1" fontId="6" fillId="0" borderId="16" xfId="0" applyNumberFormat="1" applyFont="1" applyBorder="1" applyAlignment="1">
      <alignment horizontal="left" vertical="center"/>
    </xf>
    <xf numFmtId="1" fontId="6" fillId="0" borderId="38" xfId="0" applyNumberFormat="1" applyFont="1" applyBorder="1" applyAlignment="1">
      <alignment horizontal="left" vertical="center"/>
    </xf>
    <xf numFmtId="1" fontId="6" fillId="0" borderId="20" xfId="0" applyNumberFormat="1" applyFont="1" applyBorder="1" applyAlignment="1">
      <alignment horizontal="left" vertical="center" wrapText="1"/>
    </xf>
    <xf numFmtId="1" fontId="6" fillId="0" borderId="31" xfId="0" applyNumberFormat="1" applyFont="1" applyBorder="1" applyAlignment="1">
      <alignment horizontal="left" vertical="center"/>
    </xf>
    <xf numFmtId="1" fontId="6" fillId="0" borderId="416" xfId="0" applyNumberFormat="1" applyFont="1" applyBorder="1" applyAlignment="1">
      <alignment horizontal="left"/>
    </xf>
    <xf numFmtId="1" fontId="6" fillId="3" borderId="9" xfId="0" applyNumberFormat="1" applyFont="1" applyFill="1" applyBorder="1" applyAlignment="1">
      <alignment horizontal="center" vertical="center"/>
    </xf>
    <xf numFmtId="1" fontId="6" fillId="3" borderId="51" xfId="0" applyNumberFormat="1" applyFont="1" applyFill="1" applyBorder="1" applyAlignment="1">
      <alignment horizontal="left"/>
    </xf>
    <xf numFmtId="1" fontId="51" fillId="3" borderId="413" xfId="0" applyNumberFormat="1" applyFont="1" applyFill="1" applyBorder="1" applyAlignment="1">
      <alignment horizontal="left" vertical="center" wrapText="1"/>
    </xf>
    <xf numFmtId="1" fontId="6" fillId="0" borderId="16" xfId="0" applyNumberFormat="1" applyFont="1" applyBorder="1" applyAlignment="1">
      <alignment horizontal="left" vertical="center" wrapText="1"/>
    </xf>
    <xf numFmtId="1" fontId="6" fillId="0" borderId="16" xfId="0" applyNumberFormat="1" applyFont="1" applyBorder="1" applyAlignment="1">
      <alignment horizontal="left"/>
    </xf>
    <xf numFmtId="1" fontId="6" fillId="0" borderId="45" xfId="0" applyNumberFormat="1" applyFont="1" applyBorder="1" applyAlignment="1">
      <alignment horizontal="left"/>
    </xf>
    <xf numFmtId="1" fontId="6" fillId="0" borderId="38" xfId="0" applyNumberFormat="1" applyFont="1" applyBorder="1" applyAlignment="1">
      <alignment horizontal="left"/>
    </xf>
    <xf numFmtId="1" fontId="6" fillId="0" borderId="63" xfId="0" applyNumberFormat="1" applyFont="1" applyBorder="1" applyAlignment="1">
      <alignment horizontal="left"/>
    </xf>
    <xf numFmtId="1" fontId="6" fillId="0" borderId="41" xfId="0" applyNumberFormat="1" applyFont="1" applyBorder="1" applyAlignment="1">
      <alignment horizontal="left"/>
    </xf>
    <xf numFmtId="1" fontId="6" fillId="0" borderId="64" xfId="0" applyNumberFormat="1" applyFont="1" applyBorder="1" applyAlignment="1">
      <alignment horizontal="left"/>
    </xf>
    <xf numFmtId="1" fontId="6" fillId="0" borderId="30" xfId="0" applyNumberFormat="1" applyFont="1" applyBorder="1" applyAlignment="1">
      <alignment horizontal="left"/>
    </xf>
    <xf numFmtId="1" fontId="6" fillId="0" borderId="89" xfId="0" applyNumberFormat="1" applyFont="1" applyBorder="1" applyAlignment="1">
      <alignment horizontal="left"/>
    </xf>
    <xf numFmtId="1" fontId="6" fillId="13" borderId="627" xfId="0" applyNumberFormat="1" applyFont="1" applyFill="1" applyBorder="1" applyProtection="1">
      <protection locked="0"/>
    </xf>
    <xf numFmtId="1" fontId="6" fillId="13" borderId="37" xfId="0" applyNumberFormat="1" applyFont="1" applyFill="1" applyBorder="1" applyAlignment="1">
      <alignment horizontal="left" wrapText="1"/>
    </xf>
    <xf numFmtId="1" fontId="6" fillId="3" borderId="24" xfId="0" applyNumberFormat="1" applyFont="1" applyFill="1" applyBorder="1" applyAlignment="1">
      <alignment horizontal="left" wrapText="1"/>
    </xf>
    <xf numFmtId="1" fontId="6" fillId="13" borderId="24" xfId="0" applyNumberFormat="1" applyFont="1" applyFill="1" applyBorder="1" applyAlignment="1">
      <alignment horizontal="left" wrapText="1"/>
    </xf>
    <xf numFmtId="1" fontId="6" fillId="3" borderId="24" xfId="0" applyNumberFormat="1" applyFont="1" applyFill="1" applyBorder="1" applyAlignment="1">
      <alignment horizontal="left"/>
    </xf>
    <xf numFmtId="0" fontId="86" fillId="15" borderId="0" xfId="0" applyFont="1" applyFill="1" applyAlignment="1">
      <alignment horizontal="center" vertical="center"/>
    </xf>
    <xf numFmtId="1" fontId="40" fillId="5" borderId="703" xfId="0" applyNumberFormat="1" applyFont="1" applyFill="1" applyBorder="1" applyProtection="1">
      <protection locked="0"/>
    </xf>
    <xf numFmtId="1" fontId="6" fillId="13" borderId="37" xfId="0" applyNumberFormat="1" applyFont="1" applyFill="1" applyBorder="1" applyAlignment="1">
      <alignment horizontal="left"/>
    </xf>
    <xf numFmtId="1" fontId="6" fillId="3" borderId="495" xfId="0" applyNumberFormat="1" applyFont="1" applyFill="1" applyBorder="1" applyAlignment="1">
      <alignment horizontal="left" wrapText="1"/>
    </xf>
    <xf numFmtId="1" fontId="6" fillId="3" borderId="495" xfId="0" applyNumberFormat="1" applyFont="1" applyFill="1" applyBorder="1" applyAlignment="1">
      <alignment horizontal="left"/>
    </xf>
    <xf numFmtId="1" fontId="6" fillId="3" borderId="23" xfId="0" applyNumberFormat="1" applyFont="1" applyFill="1" applyBorder="1" applyAlignment="1">
      <alignment horizontal="left" wrapText="1"/>
    </xf>
    <xf numFmtId="1" fontId="6" fillId="0" borderId="539" xfId="0" applyNumberFormat="1" applyFont="1" applyBorder="1" applyAlignment="1">
      <alignment horizontal="left"/>
    </xf>
    <xf numFmtId="1" fontId="6" fillId="3" borderId="38" xfId="0" applyNumberFormat="1" applyFont="1" applyFill="1" applyBorder="1" applyAlignment="1">
      <alignment horizontal="left" wrapText="1"/>
    </xf>
    <xf numFmtId="1" fontId="6" fillId="13" borderId="20" xfId="0" applyNumberFormat="1" applyFont="1" applyFill="1" applyBorder="1" applyAlignment="1">
      <alignment horizontal="left" wrapText="1"/>
    </xf>
    <xf numFmtId="1" fontId="6" fillId="13" borderId="46" xfId="0" applyNumberFormat="1" applyFont="1" applyFill="1" applyBorder="1" applyAlignment="1">
      <alignment horizontal="left"/>
    </xf>
    <xf numFmtId="1" fontId="6" fillId="13" borderId="21" xfId="0" applyNumberFormat="1" applyFont="1" applyFill="1" applyBorder="1" applyAlignment="1">
      <alignment horizontal="left"/>
    </xf>
    <xf numFmtId="1" fontId="40" fillId="0" borderId="37" xfId="0" applyNumberFormat="1" applyFont="1" applyBorder="1" applyProtection="1">
      <protection locked="0"/>
    </xf>
    <xf numFmtId="1" fontId="40" fillId="0" borderId="24" xfId="0" applyNumberFormat="1" applyFont="1" applyBorder="1" applyProtection="1">
      <protection locked="0"/>
    </xf>
    <xf numFmtId="1" fontId="40" fillId="4" borderId="20" xfId="0" applyNumberFormat="1" applyFont="1" applyFill="1" applyBorder="1"/>
    <xf numFmtId="1" fontId="40" fillId="4" borderId="21" xfId="0" applyNumberFormat="1" applyFont="1" applyFill="1" applyBorder="1"/>
    <xf numFmtId="1" fontId="6" fillId="0" borderId="0" xfId="0" applyNumberFormat="1" applyFont="1" applyAlignment="1">
      <alignment horizontal="left" wrapText="1"/>
    </xf>
    <xf numFmtId="1" fontId="6" fillId="0" borderId="559" xfId="0" applyNumberFormat="1" applyFont="1" applyBorder="1" applyAlignment="1">
      <alignment horizontal="left" wrapText="1"/>
    </xf>
    <xf numFmtId="0" fontId="86" fillId="15" borderId="0" xfId="0" quotePrefix="1" applyFont="1" applyFill="1" applyAlignment="1">
      <alignment horizontal="center"/>
    </xf>
    <xf numFmtId="1" fontId="6" fillId="3" borderId="20" xfId="0" applyNumberFormat="1" applyFont="1" applyFill="1" applyBorder="1" applyAlignment="1">
      <alignment horizontal="left" vertical="center" wrapText="1"/>
    </xf>
    <xf numFmtId="1" fontId="6" fillId="3" borderId="46" xfId="0" applyNumberFormat="1" applyFont="1" applyFill="1" applyBorder="1" applyAlignment="1">
      <alignment horizontal="left" vertical="center" wrapText="1"/>
    </xf>
    <xf numFmtId="1" fontId="6" fillId="0" borderId="55" xfId="0" applyNumberFormat="1" applyFont="1" applyBorder="1" applyAlignment="1">
      <alignment horizontal="left" wrapText="1"/>
    </xf>
    <xf numFmtId="1" fontId="6" fillId="3" borderId="20" xfId="0" applyNumberFormat="1" applyFont="1" applyFill="1" applyBorder="1" applyAlignment="1">
      <alignment horizontal="left" wrapText="1"/>
    </xf>
    <xf numFmtId="1" fontId="6" fillId="0" borderId="58" xfId="0" applyNumberFormat="1" applyFont="1" applyBorder="1" applyAlignment="1">
      <alignment horizontal="left" wrapText="1"/>
    </xf>
    <xf numFmtId="1" fontId="6" fillId="3" borderId="63" xfId="0" applyNumberFormat="1" applyFont="1" applyFill="1" applyBorder="1" applyAlignment="1">
      <alignment horizontal="left" wrapText="1"/>
    </xf>
    <xf numFmtId="1" fontId="6" fillId="3" borderId="46" xfId="0" applyNumberFormat="1" applyFont="1" applyFill="1" applyBorder="1" applyAlignment="1">
      <alignment horizontal="left" wrapText="1"/>
    </xf>
    <xf numFmtId="1" fontId="6" fillId="3" borderId="0" xfId="0" applyNumberFormat="1" applyFont="1" applyFill="1" applyAlignment="1">
      <alignment horizontal="left" vertical="center" wrapText="1"/>
    </xf>
    <xf numFmtId="1" fontId="6" fillId="0" borderId="723" xfId="0" applyNumberFormat="1" applyFont="1" applyBorder="1"/>
    <xf numFmtId="1" fontId="6" fillId="3" borderId="51" xfId="0" applyNumberFormat="1" applyFont="1" applyFill="1" applyBorder="1" applyAlignment="1">
      <alignment horizontal="left" wrapText="1"/>
    </xf>
    <xf numFmtId="1" fontId="6" fillId="5" borderId="648" xfId="0" applyNumberFormat="1" applyFont="1" applyFill="1" applyBorder="1" applyAlignment="1" applyProtection="1">
      <alignment horizontal="left" vertical="center" wrapText="1"/>
      <protection locked="0"/>
    </xf>
    <xf numFmtId="1" fontId="40" fillId="5" borderId="648" xfId="0" applyNumberFormat="1" applyFont="1" applyFill="1" applyBorder="1" applyAlignment="1" applyProtection="1">
      <alignment horizontal="left" vertical="center" wrapText="1"/>
      <protection locked="0"/>
    </xf>
    <xf numFmtId="1" fontId="6" fillId="5" borderId="626" xfId="0" applyNumberFormat="1" applyFont="1" applyFill="1" applyBorder="1" applyAlignment="1" applyProtection="1">
      <alignment horizontal="left" vertical="center" wrapText="1"/>
      <protection locked="0"/>
    </xf>
    <xf numFmtId="1" fontId="40" fillId="5" borderId="626" xfId="0" applyNumberFormat="1" applyFont="1" applyFill="1" applyBorder="1" applyAlignment="1" applyProtection="1">
      <alignment horizontal="left" vertical="center" wrapText="1"/>
      <protection locked="0"/>
    </xf>
    <xf numFmtId="1" fontId="6" fillId="0" borderId="37" xfId="0" applyNumberFormat="1" applyFont="1" applyBorder="1" applyAlignment="1">
      <alignment vertical="top" wrapText="1"/>
    </xf>
    <xf numFmtId="0" fontId="86" fillId="3" borderId="534" xfId="0" applyNumberFormat="1" applyFont="1" applyFill="1" applyBorder="1" applyAlignment="1">
      <alignment horizontal="center"/>
    </xf>
    <xf numFmtId="0" fontId="86" fillId="3" borderId="0" xfId="0" applyNumberFormat="1" applyFont="1" applyFill="1" applyAlignment="1">
      <alignment horizontal="center"/>
    </xf>
    <xf numFmtId="1" fontId="4" fillId="3" borderId="728" xfId="0" applyNumberFormat="1" applyFont="1" applyFill="1" applyBorder="1"/>
    <xf numFmtId="1" fontId="51" fillId="0" borderId="37" xfId="0" applyNumberFormat="1" applyFont="1" applyBorder="1" applyAlignment="1">
      <alignment vertical="top" wrapText="1"/>
    </xf>
    <xf numFmtId="1" fontId="51" fillId="0" borderId="37" xfId="0" applyNumberFormat="1" applyFont="1" applyBorder="1" applyAlignment="1">
      <alignment vertical="top"/>
    </xf>
    <xf numFmtId="1" fontId="40" fillId="0" borderId="561" xfId="0" applyNumberFormat="1" applyFont="1" applyBorder="1"/>
    <xf numFmtId="1" fontId="20" fillId="0" borderId="565" xfId="0" applyNumberFormat="1" applyFont="1" applyBorder="1"/>
    <xf numFmtId="1" fontId="6" fillId="0" borderId="37" xfId="0" applyNumberFormat="1" applyFont="1" applyBorder="1" applyAlignment="1">
      <alignment horizontal="left" vertical="center" wrapText="1"/>
    </xf>
    <xf numFmtId="1" fontId="6" fillId="0" borderId="37" xfId="0" applyNumberFormat="1" applyFont="1" applyBorder="1" applyAlignment="1">
      <alignment horizontal="left"/>
    </xf>
    <xf numFmtId="1" fontId="6" fillId="0" borderId="24" xfId="0" applyNumberFormat="1" applyFont="1" applyBorder="1" applyAlignment="1">
      <alignment horizontal="left"/>
    </xf>
    <xf numFmtId="1" fontId="6" fillId="0" borderId="24" xfId="0" applyNumberFormat="1" applyFont="1" applyBorder="1" applyAlignment="1">
      <alignment horizontal="center" vertical="center" wrapText="1"/>
    </xf>
    <xf numFmtId="1" fontId="6" fillId="0" borderId="19" xfId="0" applyNumberFormat="1" applyFont="1" applyBorder="1" applyAlignment="1">
      <alignment horizontal="left"/>
    </xf>
    <xf numFmtId="1" fontId="6" fillId="0" borderId="31" xfId="0" applyNumberFormat="1" applyFont="1" applyBorder="1" applyAlignment="1">
      <alignment horizontal="left"/>
    </xf>
    <xf numFmtId="1" fontId="6" fillId="3" borderId="413" xfId="0" applyNumberFormat="1" applyFont="1" applyFill="1" applyBorder="1" applyAlignment="1">
      <alignment horizontal="left" vertical="center" wrapText="1"/>
    </xf>
    <xf numFmtId="1" fontId="6" fillId="0" borderId="416" xfId="0" applyNumberFormat="1" applyFont="1" applyBorder="1" applyAlignment="1">
      <alignment horizontal="left"/>
    </xf>
    <xf numFmtId="1" fontId="6" fillId="0" borderId="9" xfId="0" applyNumberFormat="1" applyFont="1" applyBorder="1" applyAlignment="1">
      <alignment horizontal="left"/>
    </xf>
    <xf numFmtId="1" fontId="6" fillId="0" borderId="296" xfId="0" applyNumberFormat="1" applyFont="1" applyBorder="1" applyAlignment="1">
      <alignment horizontal="left"/>
    </xf>
    <xf numFmtId="1" fontId="6" fillId="0" borderId="29" xfId="0" applyNumberFormat="1" applyFont="1" applyBorder="1" applyAlignment="1">
      <alignment horizontal="left"/>
    </xf>
    <xf numFmtId="1" fontId="6" fillId="0" borderId="38" xfId="0" applyNumberFormat="1" applyFont="1" applyBorder="1" applyAlignment="1">
      <alignment horizontal="left"/>
    </xf>
    <xf numFmtId="1" fontId="6" fillId="0" borderId="41" xfId="0" applyNumberFormat="1" applyFont="1" applyBorder="1" applyAlignment="1">
      <alignment horizontal="left"/>
    </xf>
    <xf numFmtId="1" fontId="6" fillId="0" borderId="64" xfId="0" applyNumberFormat="1" applyFont="1" applyBorder="1" applyAlignment="1">
      <alignment horizontal="left"/>
    </xf>
    <xf numFmtId="1" fontId="6" fillId="0" borderId="16" xfId="0" applyNumberFormat="1" applyFont="1" applyBorder="1" applyAlignment="1">
      <alignment horizontal="left"/>
    </xf>
    <xf numFmtId="1" fontId="6" fillId="0" borderId="45" xfId="0" applyNumberFormat="1" applyFont="1" applyBorder="1" applyAlignment="1">
      <alignment horizontal="left"/>
    </xf>
    <xf numFmtId="1" fontId="6" fillId="5" borderId="730" xfId="0" applyNumberFormat="1" applyFont="1" applyFill="1" applyBorder="1" applyProtection="1">
      <protection locked="0"/>
    </xf>
    <xf numFmtId="1" fontId="6" fillId="5" borderId="734" xfId="0" applyNumberFormat="1" applyFont="1" applyFill="1" applyBorder="1" applyProtection="1">
      <protection locked="0"/>
    </xf>
    <xf numFmtId="1" fontId="6" fillId="5" borderId="735" xfId="0" applyNumberFormat="1" applyFont="1" applyFill="1" applyBorder="1" applyProtection="1">
      <protection locked="0"/>
    </xf>
    <xf numFmtId="1" fontId="6" fillId="5" borderId="739" xfId="0" applyNumberFormat="1" applyFont="1" applyFill="1" applyBorder="1" applyProtection="1">
      <protection locked="0"/>
    </xf>
    <xf numFmtId="1" fontId="86" fillId="3" borderId="534" xfId="0" applyNumberFormat="1" applyFont="1" applyFill="1" applyBorder="1" applyAlignment="1">
      <alignment horizontal="center"/>
    </xf>
    <xf numFmtId="1" fontId="51" fillId="0" borderId="730" xfId="0" applyNumberFormat="1" applyFont="1" applyBorder="1"/>
    <xf numFmtId="1" fontId="51" fillId="0" borderId="731" xfId="0" applyNumberFormat="1" applyFont="1" applyBorder="1"/>
    <xf numFmtId="1" fontId="51" fillId="0" borderId="737" xfId="0" applyNumberFormat="1" applyFont="1" applyBorder="1"/>
    <xf numFmtId="1" fontId="51" fillId="5" borderId="740" xfId="0" applyNumberFormat="1" applyFont="1" applyFill="1" applyBorder="1" applyProtection="1">
      <protection locked="0"/>
    </xf>
    <xf numFmtId="1" fontId="51" fillId="5" borderId="741" xfId="0" applyNumberFormat="1" applyFont="1" applyFill="1" applyBorder="1" applyProtection="1">
      <protection locked="0"/>
    </xf>
    <xf numFmtId="1" fontId="6" fillId="5" borderId="740" xfId="0" applyNumberFormat="1" applyFont="1" applyFill="1" applyBorder="1" applyProtection="1">
      <protection locked="0"/>
    </xf>
    <xf numFmtId="1" fontId="6" fillId="5" borderId="741" xfId="0" applyNumberFormat="1" applyFont="1" applyFill="1" applyBorder="1" applyProtection="1">
      <protection locked="0"/>
    </xf>
    <xf numFmtId="1" fontId="6" fillId="5" borderId="742" xfId="0" applyNumberFormat="1" applyFont="1" applyFill="1" applyBorder="1" applyProtection="1">
      <protection locked="0"/>
    </xf>
    <xf numFmtId="1" fontId="6" fillId="5" borderId="743" xfId="0" applyNumberFormat="1" applyFont="1" applyFill="1" applyBorder="1" applyProtection="1">
      <protection locked="0"/>
    </xf>
    <xf numFmtId="1" fontId="6" fillId="5" borderId="744" xfId="0" applyNumberFormat="1" applyFont="1" applyFill="1" applyBorder="1" applyProtection="1">
      <protection locked="0"/>
    </xf>
    <xf numFmtId="1" fontId="6" fillId="0" borderId="745" xfId="0" applyNumberFormat="1" applyFont="1" applyBorder="1"/>
    <xf numFmtId="1" fontId="6" fillId="5" borderId="746" xfId="0" applyNumberFormat="1" applyFont="1" applyFill="1" applyBorder="1" applyProtection="1">
      <protection locked="0"/>
    </xf>
    <xf numFmtId="1" fontId="6" fillId="5" borderId="747" xfId="0" applyNumberFormat="1" applyFont="1" applyFill="1" applyBorder="1" applyProtection="1">
      <protection locked="0"/>
    </xf>
    <xf numFmtId="1" fontId="6" fillId="5" borderId="748" xfId="0" applyNumberFormat="1" applyFont="1" applyFill="1" applyBorder="1" applyProtection="1">
      <protection locked="0"/>
    </xf>
    <xf numFmtId="1" fontId="6" fillId="5" borderId="745" xfId="0" applyNumberFormat="1" applyFont="1" applyFill="1" applyBorder="1" applyProtection="1">
      <protection locked="0"/>
    </xf>
    <xf numFmtId="1" fontId="6" fillId="5" borderId="714" xfId="0" applyNumberFormat="1" applyFont="1" applyFill="1" applyBorder="1" applyProtection="1">
      <protection locked="0"/>
    </xf>
    <xf numFmtId="1" fontId="6" fillId="0" borderId="739" xfId="0" applyNumberFormat="1" applyFont="1" applyBorder="1"/>
    <xf numFmtId="1" fontId="6" fillId="5" borderId="731" xfId="0" applyNumberFormat="1" applyFont="1" applyFill="1" applyBorder="1" applyProtection="1">
      <protection locked="0"/>
    </xf>
    <xf numFmtId="1" fontId="6" fillId="5" borderId="738" xfId="0" applyNumberFormat="1" applyFont="1" applyFill="1" applyBorder="1" applyProtection="1">
      <protection locked="0"/>
    </xf>
    <xf numFmtId="1" fontId="6" fillId="0" borderId="562" xfId="0" applyNumberFormat="1" applyFont="1" applyBorder="1" applyAlignment="1">
      <alignment vertical="center" wrapText="1"/>
    </xf>
    <xf numFmtId="1" fontId="6" fillId="0" borderId="739" xfId="0" applyNumberFormat="1" applyFont="1" applyBorder="1" applyAlignment="1">
      <alignment horizontal="left" vertical="center" wrapText="1"/>
    </xf>
    <xf numFmtId="1" fontId="20" fillId="0" borderId="495" xfId="0" applyNumberFormat="1" applyFont="1" applyBorder="1"/>
    <xf numFmtId="1" fontId="20" fillId="0" borderId="648" xfId="0" applyNumberFormat="1" applyFont="1" applyBorder="1"/>
    <xf numFmtId="0" fontId="89" fillId="32" borderId="534" xfId="0" applyFont="1" applyFill="1" applyBorder="1" applyAlignment="1">
      <alignment horizontal="center"/>
    </xf>
    <xf numFmtId="0" fontId="89" fillId="32" borderId="0" xfId="0" applyNumberFormat="1" applyFont="1" applyFill="1" applyAlignment="1">
      <alignment horizontal="center"/>
    </xf>
    <xf numFmtId="1" fontId="6" fillId="5" borderId="749" xfId="0" applyNumberFormat="1" applyFont="1" applyFill="1" applyBorder="1" applyProtection="1">
      <protection locked="0"/>
    </xf>
    <xf numFmtId="2" fontId="40" fillId="7" borderId="345" xfId="14" applyNumberFormat="1" applyFont="1" applyBorder="1" applyAlignment="1" applyProtection="1">
      <alignment horizontal="center" vertical="center"/>
      <protection locked="0"/>
    </xf>
    <xf numFmtId="2" fontId="40" fillId="7" borderId="81" xfId="14" applyNumberFormat="1" applyFont="1" applyBorder="1" applyAlignment="1" applyProtection="1">
      <alignment horizontal="center" vertical="center"/>
      <protection locked="0"/>
    </xf>
    <xf numFmtId="2" fontId="40" fillId="7" borderId="205" xfId="14" applyNumberFormat="1" applyFont="1" applyAlignment="1" applyProtection="1">
      <alignment horizontal="center" vertical="center"/>
      <protection locked="0"/>
    </xf>
    <xf numFmtId="2" fontId="40" fillId="7" borderId="343" xfId="14" applyNumberFormat="1" applyFont="1" applyBorder="1" applyAlignment="1" applyProtection="1">
      <alignment horizontal="center" vertical="center"/>
      <protection locked="0"/>
    </xf>
    <xf numFmtId="2" fontId="40" fillId="7" borderId="344" xfId="14" applyNumberFormat="1" applyFont="1" applyBorder="1" applyAlignment="1" applyProtection="1">
      <alignment horizontal="center" vertical="center"/>
      <protection locked="0"/>
    </xf>
    <xf numFmtId="2" fontId="40" fillId="7" borderId="265" xfId="14" applyNumberFormat="1" applyFont="1" applyBorder="1" applyAlignment="1" applyProtection="1">
      <alignment horizontal="center" vertical="center"/>
      <protection locked="0"/>
    </xf>
    <xf numFmtId="1" fontId="4" fillId="0" borderId="0" xfId="13" applyNumberFormat="1" applyFont="1" applyAlignment="1">
      <alignment vertical="center"/>
    </xf>
    <xf numFmtId="1" fontId="26" fillId="3" borderId="0" xfId="0" applyNumberFormat="1" applyFont="1" applyFill="1" applyAlignment="1">
      <alignment vertical="center"/>
    </xf>
    <xf numFmtId="1" fontId="37" fillId="3" borderId="0" xfId="0" applyNumberFormat="1" applyFont="1" applyFill="1" applyAlignment="1">
      <alignment vertical="center"/>
    </xf>
    <xf numFmtId="1" fontId="26" fillId="3" borderId="0" xfId="0" applyNumberFormat="1" applyFont="1" applyFill="1" applyAlignment="1" applyProtection="1">
      <alignment vertical="center"/>
      <protection locked="0"/>
    </xf>
    <xf numFmtId="1" fontId="26" fillId="15" borderId="0" xfId="0" applyNumberFormat="1" applyFont="1" applyFill="1" applyAlignment="1" applyProtection="1">
      <alignment vertical="center"/>
      <protection locked="0"/>
    </xf>
    <xf numFmtId="1" fontId="26" fillId="18" borderId="0" xfId="0" applyNumberFormat="1" applyFont="1" applyFill="1" applyAlignment="1" applyProtection="1">
      <alignment vertical="center"/>
      <protection locked="0"/>
    </xf>
    <xf numFmtId="1" fontId="26" fillId="20" borderId="0" xfId="0" applyNumberFormat="1" applyFont="1" applyFill="1" applyAlignment="1" applyProtection="1">
      <alignment vertical="center"/>
      <protection locked="0"/>
    </xf>
    <xf numFmtId="1" fontId="27" fillId="3" borderId="0" xfId="0" applyNumberFormat="1" applyFont="1" applyFill="1" applyAlignment="1">
      <alignment vertical="center"/>
    </xf>
    <xf numFmtId="1" fontId="17" fillId="3" borderId="0" xfId="13" applyNumberFormat="1" applyFont="1" applyFill="1" applyAlignment="1" applyProtection="1">
      <alignment vertical="center"/>
      <protection hidden="1"/>
    </xf>
    <xf numFmtId="1" fontId="6" fillId="3" borderId="0" xfId="13" applyNumberFormat="1" applyFont="1" applyFill="1" applyAlignment="1" applyProtection="1">
      <alignment vertical="center"/>
      <protection hidden="1"/>
    </xf>
    <xf numFmtId="1" fontId="56" fillId="3" borderId="0" xfId="0" applyNumberFormat="1" applyFont="1" applyFill="1" applyAlignment="1">
      <alignment vertical="center"/>
    </xf>
    <xf numFmtId="1" fontId="26" fillId="15" borderId="0" xfId="0" applyNumberFormat="1" applyFont="1" applyFill="1" applyAlignment="1">
      <alignment vertical="center"/>
    </xf>
    <xf numFmtId="1" fontId="26" fillId="26" borderId="0" xfId="0" applyNumberFormat="1" applyFont="1" applyFill="1" applyAlignment="1">
      <alignment vertical="center"/>
    </xf>
    <xf numFmtId="1" fontId="4" fillId="0" borderId="0" xfId="13" applyNumberFormat="1" applyFont="1" applyAlignment="1">
      <alignment horizontal="center" vertical="center"/>
    </xf>
    <xf numFmtId="1" fontId="4" fillId="0" borderId="71" xfId="13" applyNumberFormat="1" applyFont="1" applyBorder="1" applyAlignment="1">
      <alignment horizontal="center" vertical="center"/>
    </xf>
    <xf numFmtId="1" fontId="4" fillId="0" borderId="183" xfId="13" applyNumberFormat="1" applyFont="1" applyBorder="1" applyAlignment="1">
      <alignment horizontal="center" vertical="center"/>
    </xf>
    <xf numFmtId="1" fontId="6" fillId="0" borderId="0" xfId="13" applyNumberFormat="1" applyFont="1" applyAlignment="1">
      <alignment vertical="center"/>
    </xf>
    <xf numFmtId="1" fontId="6" fillId="0" borderId="184" xfId="13" applyNumberFormat="1" applyFont="1" applyBorder="1" applyAlignment="1" applyProtection="1">
      <alignment vertical="center"/>
      <protection hidden="1"/>
    </xf>
    <xf numFmtId="1" fontId="10" fillId="3" borderId="0" xfId="0" applyNumberFormat="1" applyFont="1" applyFill="1" applyAlignment="1">
      <alignment vertical="center"/>
    </xf>
    <xf numFmtId="1" fontId="6" fillId="0" borderId="68" xfId="13" applyNumberFormat="1" applyFont="1" applyBorder="1" applyAlignment="1" applyProtection="1">
      <alignment vertical="center"/>
      <protection hidden="1"/>
    </xf>
    <xf numFmtId="1" fontId="6" fillId="0" borderId="67" xfId="13" applyNumberFormat="1" applyFont="1" applyBorder="1" applyAlignment="1" applyProtection="1">
      <alignment vertical="center"/>
      <protection hidden="1"/>
    </xf>
    <xf numFmtId="0" fontId="89" fillId="32" borderId="0" xfId="0" applyFont="1" applyFill="1" applyAlignment="1">
      <alignment horizontal="center" vertical="center"/>
    </xf>
    <xf numFmtId="1" fontId="6" fillId="0" borderId="15" xfId="13" applyNumberFormat="1" applyFont="1" applyBorder="1" applyAlignment="1">
      <alignment vertical="center"/>
    </xf>
    <xf numFmtId="1" fontId="6" fillId="0" borderId="19" xfId="13" applyNumberFormat="1" applyFont="1" applyBorder="1" applyAlignment="1">
      <alignment vertical="center"/>
    </xf>
    <xf numFmtId="1" fontId="6" fillId="5" borderId="16" xfId="13" applyNumberFormat="1" applyFont="1" applyFill="1" applyBorder="1" applyAlignment="1" applyProtection="1">
      <alignment vertical="center"/>
      <protection locked="0"/>
    </xf>
    <xf numFmtId="1" fontId="6" fillId="5" borderId="45" xfId="13" applyNumberFormat="1" applyFont="1" applyFill="1" applyBorder="1" applyAlignment="1" applyProtection="1">
      <alignment vertical="center"/>
      <protection locked="0"/>
    </xf>
    <xf numFmtId="1" fontId="6" fillId="5" borderId="18" xfId="13" applyNumberFormat="1" applyFont="1" applyFill="1" applyBorder="1" applyAlignment="1" applyProtection="1">
      <alignment vertical="center"/>
      <protection locked="0"/>
    </xf>
    <xf numFmtId="1" fontId="13" fillId="0" borderId="68" xfId="13" applyNumberFormat="1" applyFont="1" applyBorder="1" applyAlignment="1">
      <alignment vertical="center"/>
    </xf>
    <xf numFmtId="1" fontId="6" fillId="0" borderId="40" xfId="13" applyNumberFormat="1" applyFont="1" applyBorder="1" applyAlignment="1">
      <alignment vertical="center"/>
    </xf>
    <xf numFmtId="1" fontId="6" fillId="0" borderId="37" xfId="13" applyNumberFormat="1" applyFont="1" applyBorder="1" applyAlignment="1">
      <alignment vertical="center"/>
    </xf>
    <xf numFmtId="1" fontId="6" fillId="5" borderId="38" xfId="13" applyNumberFormat="1" applyFont="1" applyFill="1" applyBorder="1" applyAlignment="1" applyProtection="1">
      <alignment vertical="center"/>
      <protection locked="0"/>
    </xf>
    <xf numFmtId="1" fontId="6" fillId="5" borderId="63" xfId="13" applyNumberFormat="1" applyFont="1" applyFill="1" applyBorder="1" applyAlignment="1" applyProtection="1">
      <alignment vertical="center"/>
      <protection locked="0"/>
    </xf>
    <xf numFmtId="1" fontId="6" fillId="5" borderId="36" xfId="13" applyNumberFormat="1" applyFont="1" applyFill="1" applyBorder="1" applyAlignment="1" applyProtection="1">
      <alignment vertical="center"/>
      <protection locked="0"/>
    </xf>
    <xf numFmtId="1" fontId="6" fillId="0" borderId="68" xfId="13" applyNumberFormat="1" applyFont="1" applyBorder="1" applyAlignment="1">
      <alignment vertical="center"/>
    </xf>
    <xf numFmtId="1" fontId="6" fillId="0" borderId="11" xfId="13" applyNumberFormat="1" applyFont="1" applyBorder="1" applyAlignment="1">
      <alignment vertical="center"/>
    </xf>
    <xf numFmtId="1" fontId="6" fillId="0" borderId="24" xfId="13" applyNumberFormat="1" applyFont="1" applyBorder="1" applyAlignment="1">
      <alignment vertical="center"/>
    </xf>
    <xf numFmtId="1" fontId="6" fillId="5" borderId="27" xfId="13" applyNumberFormat="1" applyFont="1" applyFill="1" applyBorder="1" applyAlignment="1" applyProtection="1">
      <alignment vertical="center"/>
      <protection locked="0"/>
    </xf>
    <xf numFmtId="1" fontId="6" fillId="5" borderId="49" xfId="13" applyNumberFormat="1" applyFont="1" applyFill="1" applyBorder="1" applyAlignment="1" applyProtection="1">
      <alignment vertical="center"/>
      <protection locked="0"/>
    </xf>
    <xf numFmtId="1" fontId="6" fillId="5" borderId="28" xfId="13" applyNumberFormat="1" applyFont="1" applyFill="1" applyBorder="1" applyAlignment="1" applyProtection="1">
      <alignment vertical="center"/>
      <protection locked="0"/>
    </xf>
    <xf numFmtId="1" fontId="6" fillId="0" borderId="67" xfId="13" applyNumberFormat="1" applyFont="1" applyBorder="1" applyAlignment="1">
      <alignment vertical="center"/>
    </xf>
    <xf numFmtId="1" fontId="6" fillId="0" borderId="70" xfId="13" applyNumberFormat="1" applyFont="1" applyBorder="1" applyAlignment="1">
      <alignment vertical="center"/>
    </xf>
    <xf numFmtId="1" fontId="6" fillId="0" borderId="74" xfId="13" applyNumberFormat="1" applyFont="1" applyBorder="1" applyAlignment="1">
      <alignment vertical="center"/>
    </xf>
    <xf numFmtId="1" fontId="17" fillId="0" borderId="0" xfId="13" applyNumberFormat="1" applyFont="1" applyBorder="1" applyAlignment="1">
      <alignment vertical="center"/>
    </xf>
    <xf numFmtId="1" fontId="6" fillId="0" borderId="0" xfId="13" applyNumberFormat="1" applyFont="1" applyBorder="1" applyAlignment="1">
      <alignment vertical="center"/>
    </xf>
    <xf numFmtId="1" fontId="68" fillId="0" borderId="62" xfId="13" applyNumberFormat="1" applyFont="1" applyBorder="1" applyAlignment="1">
      <alignment horizontal="left" vertical="center"/>
    </xf>
    <xf numFmtId="1" fontId="6" fillId="0" borderId="0" xfId="13" applyNumberFormat="1" applyFont="1" applyAlignment="1" applyProtection="1">
      <alignment vertical="center"/>
      <protection hidden="1"/>
    </xf>
    <xf numFmtId="1" fontId="6" fillId="0" borderId="71" xfId="13" applyNumberFormat="1" applyFont="1" applyBorder="1" applyAlignment="1" applyProtection="1">
      <alignment vertical="center"/>
      <protection hidden="1"/>
    </xf>
    <xf numFmtId="1" fontId="17" fillId="0" borderId="71" xfId="13" applyNumberFormat="1" applyFont="1" applyBorder="1" applyAlignment="1" applyProtection="1">
      <alignment vertical="center"/>
      <protection hidden="1"/>
    </xf>
    <xf numFmtId="1" fontId="26" fillId="3" borderId="67" xfId="0" applyNumberFormat="1" applyFont="1" applyFill="1" applyBorder="1" applyAlignment="1">
      <alignment vertical="center"/>
    </xf>
    <xf numFmtId="1" fontId="17" fillId="0" borderId="67" xfId="13" applyNumberFormat="1" applyFont="1" applyBorder="1" applyAlignment="1" applyProtection="1">
      <alignment vertical="center"/>
      <protection hidden="1"/>
    </xf>
    <xf numFmtId="1" fontId="6" fillId="15" borderId="68" xfId="13" applyNumberFormat="1" applyFont="1" applyFill="1" applyBorder="1" applyAlignment="1" applyProtection="1">
      <alignment vertical="center"/>
      <protection hidden="1"/>
    </xf>
    <xf numFmtId="1" fontId="17" fillId="15" borderId="67" xfId="13" applyNumberFormat="1" applyFont="1" applyFill="1" applyBorder="1" applyAlignment="1" applyProtection="1">
      <alignment vertical="center"/>
      <protection hidden="1"/>
    </xf>
    <xf numFmtId="1" fontId="6" fillId="15" borderId="67" xfId="13" applyNumberFormat="1" applyFont="1" applyFill="1" applyBorder="1" applyAlignment="1">
      <alignment vertical="center"/>
    </xf>
    <xf numFmtId="1" fontId="6" fillId="0" borderId="14" xfId="13" applyNumberFormat="1" applyFont="1" applyBorder="1" applyAlignment="1">
      <alignment horizontal="left" vertical="center"/>
    </xf>
    <xf numFmtId="1" fontId="6" fillId="5" borderId="14" xfId="13" applyNumberFormat="1" applyFont="1" applyFill="1" applyBorder="1" applyAlignment="1" applyProtection="1">
      <alignment horizontal="right" vertical="center"/>
      <protection locked="0"/>
    </xf>
    <xf numFmtId="1" fontId="6" fillId="5" borderId="8" xfId="13" applyNumberFormat="1" applyFont="1" applyFill="1" applyBorder="1" applyAlignment="1" applyProtection="1">
      <alignment horizontal="right" vertical="center"/>
      <protection locked="0"/>
    </xf>
    <xf numFmtId="1" fontId="26" fillId="18" borderId="0" xfId="0" applyNumberFormat="1" applyFont="1" applyFill="1" applyAlignment="1" applyProtection="1">
      <alignment vertical="center"/>
    </xf>
    <xf numFmtId="1" fontId="26" fillId="20" borderId="0" xfId="0" applyNumberFormat="1" applyFont="1" applyFill="1" applyAlignment="1" applyProtection="1">
      <alignment vertical="center"/>
    </xf>
    <xf numFmtId="1" fontId="6" fillId="0" borderId="52" xfId="13" applyNumberFormat="1" applyFont="1" applyBorder="1" applyAlignment="1">
      <alignment vertical="center" wrapText="1"/>
    </xf>
    <xf numFmtId="1" fontId="6" fillId="0" borderId="25" xfId="13" applyNumberFormat="1" applyFont="1" applyBorder="1" applyAlignment="1">
      <alignment horizontal="left" vertical="center"/>
    </xf>
    <xf numFmtId="1" fontId="6" fillId="5" borderId="25" xfId="13" applyNumberFormat="1" applyFont="1" applyFill="1" applyBorder="1" applyAlignment="1" applyProtection="1">
      <alignment horizontal="right" vertical="center"/>
      <protection locked="0"/>
    </xf>
    <xf numFmtId="1" fontId="6" fillId="5" borderId="31" xfId="13" applyNumberFormat="1" applyFont="1" applyFill="1" applyBorder="1" applyAlignment="1" applyProtection="1">
      <alignment horizontal="right" vertical="center"/>
      <protection locked="0"/>
    </xf>
    <xf numFmtId="1" fontId="6" fillId="0" borderId="35" xfId="13" applyNumberFormat="1" applyFont="1" applyBorder="1" applyAlignment="1">
      <alignment vertical="center" wrapText="1"/>
    </xf>
    <xf numFmtId="1" fontId="6" fillId="0" borderId="9" xfId="13" applyNumberFormat="1" applyFont="1" applyBorder="1" applyAlignment="1">
      <alignment horizontal="left" vertical="center"/>
    </xf>
    <xf numFmtId="1" fontId="6" fillId="5" borderId="9" xfId="13" applyNumberFormat="1" applyFont="1" applyFill="1" applyBorder="1" applyAlignment="1" applyProtection="1">
      <alignment horizontal="right" vertical="center"/>
      <protection locked="0"/>
    </xf>
    <xf numFmtId="1" fontId="6" fillId="5" borderId="81" xfId="13" applyNumberFormat="1" applyFont="1" applyFill="1" applyBorder="1" applyAlignment="1" applyProtection="1">
      <alignment horizontal="right" vertical="center"/>
      <protection locked="0"/>
    </xf>
    <xf numFmtId="1" fontId="6" fillId="0" borderId="15" xfId="13" applyNumberFormat="1" applyFont="1" applyBorder="1" applyAlignment="1">
      <alignment vertical="center" wrapText="1"/>
    </xf>
    <xf numFmtId="1" fontId="6" fillId="0" borderId="19" xfId="13" applyNumberFormat="1" applyFont="1" applyBorder="1" applyAlignment="1">
      <alignment horizontal="left" vertical="center"/>
    </xf>
    <xf numFmtId="1" fontId="6" fillId="5" borderId="19" xfId="13" applyNumberFormat="1" applyFont="1" applyFill="1" applyBorder="1" applyAlignment="1" applyProtection="1">
      <alignment horizontal="right" vertical="center"/>
      <protection locked="0"/>
    </xf>
    <xf numFmtId="1" fontId="6" fillId="5" borderId="17" xfId="13" applyNumberFormat="1" applyFont="1" applyFill="1" applyBorder="1" applyAlignment="1" applyProtection="1">
      <alignment horizontal="right" vertical="center"/>
      <protection locked="0"/>
    </xf>
    <xf numFmtId="1" fontId="6" fillId="0" borderId="11" xfId="13" applyNumberFormat="1" applyFont="1" applyBorder="1" applyAlignment="1">
      <alignment vertical="center" wrapText="1"/>
    </xf>
    <xf numFmtId="1" fontId="6" fillId="0" borderId="10" xfId="13" applyNumberFormat="1" applyFont="1" applyBorder="1" applyAlignment="1">
      <alignment horizontal="left" vertical="center"/>
    </xf>
    <xf numFmtId="1" fontId="6" fillId="5" borderId="24" xfId="13" applyNumberFormat="1" applyFont="1" applyFill="1" applyBorder="1" applyAlignment="1" applyProtection="1">
      <alignment horizontal="right" vertical="center"/>
      <protection locked="0"/>
    </xf>
    <xf numFmtId="1" fontId="6" fillId="5" borderId="21" xfId="13" applyNumberFormat="1" applyFont="1" applyFill="1" applyBorder="1" applyAlignment="1" applyProtection="1">
      <alignment horizontal="right" vertical="center"/>
      <protection locked="0"/>
    </xf>
    <xf numFmtId="1" fontId="6" fillId="0" borderId="75" xfId="13" applyNumberFormat="1" applyFont="1" applyBorder="1" applyAlignment="1">
      <alignment vertical="center"/>
    </xf>
    <xf numFmtId="1" fontId="26" fillId="0" borderId="68" xfId="0" applyNumberFormat="1" applyFont="1" applyBorder="1" applyAlignment="1">
      <alignment vertical="center"/>
    </xf>
    <xf numFmtId="1" fontId="6" fillId="0" borderId="19" xfId="13" applyNumberFormat="1" applyFont="1" applyBorder="1" applyAlignment="1">
      <alignment vertical="center" wrapText="1"/>
    </xf>
    <xf numFmtId="1" fontId="6" fillId="5" borderId="41" xfId="13" applyNumberFormat="1" applyFont="1" applyFill="1" applyBorder="1" applyAlignment="1" applyProtection="1">
      <alignment horizontal="right" vertical="center"/>
      <protection locked="0"/>
    </xf>
    <xf numFmtId="1" fontId="6" fillId="5" borderId="41" xfId="13" applyNumberFormat="1" applyFont="1" applyFill="1" applyBorder="1" applyAlignment="1" applyProtection="1">
      <alignment vertical="center"/>
      <protection locked="0"/>
    </xf>
    <xf numFmtId="1" fontId="6" fillId="5" borderId="31" xfId="13" applyNumberFormat="1" applyFont="1" applyFill="1" applyBorder="1" applyAlignment="1" applyProtection="1">
      <alignment vertical="center"/>
      <protection locked="0"/>
    </xf>
    <xf numFmtId="1" fontId="6" fillId="0" borderId="29" xfId="13" applyNumberFormat="1" applyFont="1" applyBorder="1" applyAlignment="1">
      <alignment vertical="center" wrapText="1"/>
    </xf>
    <xf numFmtId="1" fontId="6" fillId="5" borderId="30" xfId="13" applyNumberFormat="1" applyFont="1" applyFill="1" applyBorder="1" applyAlignment="1" applyProtection="1">
      <alignment horizontal="right" vertical="center"/>
      <protection locked="0"/>
    </xf>
    <xf numFmtId="1" fontId="6" fillId="5" borderId="39" xfId="13" applyNumberFormat="1" applyFont="1" applyFill="1" applyBorder="1" applyAlignment="1" applyProtection="1">
      <alignment horizontal="right" vertical="center"/>
      <protection locked="0"/>
    </xf>
    <xf numFmtId="1" fontId="6" fillId="5" borderId="30" xfId="13" applyNumberFormat="1" applyFont="1" applyFill="1" applyBorder="1" applyAlignment="1" applyProtection="1">
      <alignment vertical="center"/>
      <protection locked="0"/>
    </xf>
    <xf numFmtId="1" fontId="6" fillId="5" borderId="39" xfId="13" applyNumberFormat="1" applyFont="1" applyFill="1" applyBorder="1" applyAlignment="1" applyProtection="1">
      <alignment vertical="center"/>
      <protection locked="0"/>
    </xf>
    <xf numFmtId="1" fontId="6" fillId="5" borderId="87" xfId="13" applyNumberFormat="1" applyFont="1" applyFill="1" applyBorder="1" applyAlignment="1" applyProtection="1">
      <alignment vertical="center"/>
      <protection locked="0"/>
    </xf>
    <xf numFmtId="1" fontId="6" fillId="0" borderId="14" xfId="13" applyNumberFormat="1" applyFont="1" applyBorder="1" applyAlignment="1">
      <alignment vertical="center" wrapText="1"/>
    </xf>
    <xf numFmtId="1" fontId="15" fillId="0" borderId="47" xfId="13" applyNumberFormat="1" applyFont="1" applyBorder="1" applyAlignment="1">
      <alignment horizontal="right" vertical="center"/>
    </xf>
    <xf numFmtId="1" fontId="15" fillId="0" borderId="8" xfId="13" applyNumberFormat="1" applyFont="1" applyBorder="1" applyAlignment="1">
      <alignment horizontal="right" vertical="center"/>
    </xf>
    <xf numFmtId="1" fontId="15" fillId="0" borderId="47" xfId="13" applyNumberFormat="1" applyFont="1" applyBorder="1" applyAlignment="1">
      <alignment vertical="center"/>
    </xf>
    <xf numFmtId="1" fontId="15" fillId="0" borderId="8" xfId="13" applyNumberFormat="1" applyFont="1" applyBorder="1" applyAlignment="1">
      <alignment vertical="center"/>
    </xf>
    <xf numFmtId="1" fontId="6" fillId="0" borderId="71" xfId="13" applyNumberFormat="1" applyFont="1" applyBorder="1" applyAlignment="1">
      <alignment vertical="center"/>
    </xf>
    <xf numFmtId="1" fontId="51" fillId="0" borderId="19" xfId="13" applyNumberFormat="1" applyFont="1" applyBorder="1" applyAlignment="1">
      <alignment vertical="center" wrapText="1"/>
    </xf>
    <xf numFmtId="1" fontId="6" fillId="5" borderId="190" xfId="13" applyNumberFormat="1" applyFont="1" applyFill="1" applyBorder="1" applyAlignment="1" applyProtection="1">
      <alignment vertical="center"/>
      <protection locked="0"/>
    </xf>
    <xf numFmtId="1" fontId="6" fillId="5" borderId="56" xfId="13" applyNumberFormat="1" applyFont="1" applyFill="1" applyBorder="1" applyAlignment="1" applyProtection="1">
      <alignment vertical="center"/>
      <protection locked="0"/>
    </xf>
    <xf numFmtId="1" fontId="6" fillId="5" borderId="42" xfId="13" applyNumberFormat="1" applyFont="1" applyFill="1" applyBorder="1" applyAlignment="1" applyProtection="1">
      <alignment vertical="center"/>
      <protection locked="0"/>
    </xf>
    <xf numFmtId="1" fontId="6" fillId="0" borderId="37" xfId="13" applyNumberFormat="1" applyFont="1" applyBorder="1" applyAlignment="1">
      <alignment vertical="center" wrapText="1"/>
    </xf>
    <xf numFmtId="1" fontId="6" fillId="5" borderId="191" xfId="13" applyNumberFormat="1" applyFont="1" applyFill="1" applyBorder="1" applyAlignment="1" applyProtection="1">
      <alignment vertical="center"/>
      <protection locked="0"/>
    </xf>
    <xf numFmtId="1" fontId="6" fillId="5" borderId="55" xfId="13" applyNumberFormat="1" applyFont="1" applyFill="1" applyBorder="1" applyAlignment="1" applyProtection="1">
      <alignment vertical="center"/>
      <protection locked="0"/>
    </xf>
    <xf numFmtId="1" fontId="6" fillId="15" borderId="68" xfId="13" applyNumberFormat="1" applyFont="1" applyFill="1" applyBorder="1" applyAlignment="1">
      <alignment vertical="center"/>
    </xf>
    <xf numFmtId="1" fontId="6" fillId="15" borderId="67" xfId="13" applyNumberFormat="1" applyFont="1" applyFill="1" applyBorder="1" applyAlignment="1" applyProtection="1">
      <alignment vertical="center"/>
      <protection hidden="1"/>
    </xf>
    <xf numFmtId="1" fontId="26" fillId="15" borderId="67" xfId="0" applyNumberFormat="1" applyFont="1" applyFill="1" applyBorder="1" applyAlignment="1">
      <alignment vertical="center"/>
    </xf>
    <xf numFmtId="1" fontId="6" fillId="0" borderId="10" xfId="13" applyNumberFormat="1" applyFont="1" applyBorder="1" applyAlignment="1">
      <alignment vertical="center"/>
    </xf>
    <xf numFmtId="1" fontId="6" fillId="5" borderId="22" xfId="13" applyNumberFormat="1" applyFont="1" applyFill="1" applyBorder="1" applyAlignment="1" applyProtection="1">
      <alignment vertical="center"/>
      <protection locked="0"/>
    </xf>
    <xf numFmtId="1" fontId="6" fillId="0" borderId="24" xfId="13" applyNumberFormat="1" applyFont="1" applyBorder="1" applyAlignment="1">
      <alignment vertical="center" wrapText="1"/>
    </xf>
    <xf numFmtId="1" fontId="15" fillId="0" borderId="187" xfId="13" applyNumberFormat="1" applyFont="1" applyBorder="1" applyAlignment="1">
      <alignment vertical="center"/>
    </xf>
    <xf numFmtId="1" fontId="15" fillId="0" borderId="48" xfId="13" applyNumberFormat="1" applyFont="1" applyBorder="1" applyAlignment="1">
      <alignment vertical="center"/>
    </xf>
    <xf numFmtId="1" fontId="15" fillId="0" borderId="13" xfId="13" applyNumberFormat="1" applyFont="1" applyBorder="1" applyAlignment="1">
      <alignment vertical="center"/>
    </xf>
    <xf numFmtId="1" fontId="26" fillId="14" borderId="0" xfId="0" applyNumberFormat="1" applyFont="1" applyFill="1" applyAlignment="1">
      <alignment vertical="center"/>
    </xf>
    <xf numFmtId="1" fontId="26" fillId="14" borderId="0" xfId="0" applyNumberFormat="1" applyFont="1" applyFill="1" applyAlignment="1" applyProtection="1">
      <alignment vertical="center"/>
      <protection locked="0"/>
    </xf>
    <xf numFmtId="1" fontId="6" fillId="5" borderId="41" xfId="13" applyNumberFormat="1" applyFont="1" applyFill="1" applyBorder="1" applyAlignment="1" applyProtection="1">
      <alignment horizontal="left" vertical="center"/>
      <protection locked="0"/>
    </xf>
    <xf numFmtId="1" fontId="6" fillId="5" borderId="31" xfId="13" applyNumberFormat="1" applyFont="1" applyFill="1" applyBorder="1" applyAlignment="1" applyProtection="1">
      <alignment horizontal="left" vertical="center"/>
      <protection locked="0"/>
    </xf>
    <xf numFmtId="1" fontId="6" fillId="5" borderId="30" xfId="13" applyNumberFormat="1" applyFont="1" applyFill="1" applyBorder="1" applyAlignment="1" applyProtection="1">
      <alignment horizontal="left" vertical="center"/>
      <protection locked="0"/>
    </xf>
    <xf numFmtId="1" fontId="6" fillId="5" borderId="39" xfId="13" applyNumberFormat="1" applyFont="1" applyFill="1" applyBorder="1" applyAlignment="1" applyProtection="1">
      <alignment horizontal="left" vertical="center"/>
      <protection locked="0"/>
    </xf>
    <xf numFmtId="1" fontId="15" fillId="0" borderId="14" xfId="13" applyNumberFormat="1" applyFont="1" applyBorder="1" applyAlignment="1">
      <alignment vertical="center"/>
    </xf>
    <xf numFmtId="1" fontId="6" fillId="0" borderId="648" xfId="13" applyNumberFormat="1" applyFont="1" applyBorder="1" applyAlignment="1">
      <alignment vertical="center" wrapText="1"/>
    </xf>
    <xf numFmtId="1" fontId="6" fillId="0" borderId="45" xfId="0" applyNumberFormat="1" applyFont="1" applyBorder="1" applyAlignment="1">
      <alignment horizontal="left" vertical="center"/>
    </xf>
    <xf numFmtId="1" fontId="6" fillId="0" borderId="63" xfId="0" applyNumberFormat="1" applyFont="1" applyBorder="1" applyAlignment="1">
      <alignment horizontal="left" vertical="center"/>
    </xf>
    <xf numFmtId="1" fontId="6" fillId="0" borderId="46" xfId="0" applyNumberFormat="1" applyFont="1" applyBorder="1" applyAlignment="1">
      <alignment horizontal="left" vertical="center" wrapText="1"/>
    </xf>
    <xf numFmtId="1" fontId="6" fillId="0" borderId="41" xfId="0" applyNumberFormat="1" applyFont="1" applyBorder="1" applyAlignment="1">
      <alignment horizontal="left" vertical="center" wrapText="1"/>
    </xf>
    <xf numFmtId="1" fontId="6" fillId="0" borderId="64" xfId="0" applyNumberFormat="1" applyFont="1" applyBorder="1" applyAlignment="1">
      <alignment horizontal="left" vertical="center" wrapText="1"/>
    </xf>
    <xf numFmtId="1" fontId="6" fillId="0" borderId="33" xfId="0" applyNumberFormat="1" applyFont="1" applyBorder="1" applyAlignment="1">
      <alignment horizontal="left" vertical="center" wrapText="1"/>
    </xf>
    <xf numFmtId="1" fontId="6" fillId="0" borderId="66" xfId="0" applyNumberFormat="1" applyFont="1" applyBorder="1" applyAlignment="1">
      <alignment horizontal="left" vertical="center" wrapText="1"/>
    </xf>
    <xf numFmtId="1" fontId="6" fillId="0" borderId="81" xfId="0" applyNumberFormat="1" applyFont="1" applyBorder="1" applyAlignment="1">
      <alignment horizontal="left" vertical="center"/>
    </xf>
    <xf numFmtId="1" fontId="6" fillId="0" borderId="45" xfId="0" applyNumberFormat="1" applyFont="1" applyBorder="1" applyAlignment="1">
      <alignment horizontal="left" vertical="center" wrapText="1"/>
    </xf>
    <xf numFmtId="1" fontId="6" fillId="0" borderId="41" xfId="0" applyNumberFormat="1" applyFont="1" applyBorder="1" applyAlignment="1">
      <alignment horizontal="left" vertical="center"/>
    </xf>
    <xf numFmtId="1" fontId="6" fillId="0" borderId="64" xfId="0" applyNumberFormat="1" applyFont="1" applyBorder="1" applyAlignment="1">
      <alignment horizontal="left" vertical="center"/>
    </xf>
    <xf numFmtId="1" fontId="20" fillId="0" borderId="38" xfId="0" applyNumberFormat="1" applyFont="1" applyBorder="1" applyAlignment="1">
      <alignment horizontal="left" vertical="center"/>
    </xf>
    <xf numFmtId="1" fontId="20" fillId="0" borderId="63" xfId="0" applyNumberFormat="1" applyFont="1" applyBorder="1" applyAlignment="1">
      <alignment horizontal="left" vertical="center"/>
    </xf>
    <xf numFmtId="1" fontId="6" fillId="0" borderId="20" xfId="0" applyNumberFormat="1" applyFont="1" applyBorder="1" applyAlignment="1">
      <alignment horizontal="left" vertical="center"/>
    </xf>
    <xf numFmtId="1" fontId="6" fillId="0" borderId="89" xfId="0" applyNumberFormat="1" applyFont="1" applyBorder="1" applyAlignment="1">
      <alignment horizontal="left" vertical="center"/>
    </xf>
    <xf numFmtId="1" fontId="6" fillId="5" borderId="41" xfId="0" applyNumberFormat="1" applyFont="1" applyFill="1" applyBorder="1" applyAlignment="1" applyProtection="1">
      <alignment horizontal="left"/>
      <protection locked="0"/>
    </xf>
    <xf numFmtId="1" fontId="6" fillId="5" borderId="31" xfId="0" applyNumberFormat="1" applyFont="1" applyFill="1" applyBorder="1" applyAlignment="1" applyProtection="1">
      <alignment horizontal="left"/>
      <protection locked="0"/>
    </xf>
    <xf numFmtId="1" fontId="6" fillId="5" borderId="42" xfId="0" applyNumberFormat="1" applyFont="1" applyFill="1" applyBorder="1" applyAlignment="1" applyProtection="1">
      <alignment horizontal="left"/>
      <protection locked="0"/>
    </xf>
    <xf numFmtId="1" fontId="6" fillId="4" borderId="41" xfId="0" applyNumberFormat="1" applyFont="1" applyFill="1" applyBorder="1" applyAlignment="1">
      <alignment horizontal="left"/>
    </xf>
    <xf numFmtId="1" fontId="6" fillId="4" borderId="42" xfId="0" applyNumberFormat="1" applyFont="1" applyFill="1" applyBorder="1" applyAlignment="1">
      <alignment horizontal="left"/>
    </xf>
    <xf numFmtId="1" fontId="6" fillId="4" borderId="311" xfId="0" applyNumberFormat="1" applyFont="1" applyFill="1" applyBorder="1" applyAlignment="1">
      <alignment horizontal="left"/>
    </xf>
    <xf numFmtId="1" fontId="6" fillId="4" borderId="52" xfId="0" applyNumberFormat="1" applyFont="1" applyFill="1" applyBorder="1" applyAlignment="1">
      <alignment horizontal="left"/>
    </xf>
    <xf numFmtId="1" fontId="6" fillId="4" borderId="106" xfId="0" applyNumberFormat="1" applyFont="1" applyFill="1" applyBorder="1" applyAlignment="1">
      <alignment horizontal="left"/>
    </xf>
    <xf numFmtId="1" fontId="6" fillId="5" borderId="416" xfId="0" applyNumberFormat="1" applyFont="1" applyFill="1" applyBorder="1" applyAlignment="1" applyProtection="1">
      <alignment horizontal="left"/>
      <protection locked="0"/>
    </xf>
    <xf numFmtId="1" fontId="6" fillId="4" borderId="107" xfId="0" applyNumberFormat="1" applyFont="1" applyFill="1" applyBorder="1" applyAlignment="1">
      <alignment horizontal="left"/>
    </xf>
    <xf numFmtId="1" fontId="6" fillId="5" borderId="33" xfId="0" applyNumberFormat="1" applyFont="1" applyFill="1" applyBorder="1" applyAlignment="1" applyProtection="1">
      <alignment horizontal="left"/>
      <protection locked="0"/>
    </xf>
    <xf numFmtId="1" fontId="6" fillId="5" borderId="81" xfId="0" applyNumberFormat="1" applyFont="1" applyFill="1" applyBorder="1" applyAlignment="1" applyProtection="1">
      <alignment horizontal="left"/>
      <protection locked="0"/>
    </xf>
    <xf numFmtId="1" fontId="6" fillId="5" borderId="34" xfId="0" applyNumberFormat="1" applyFont="1" applyFill="1" applyBorder="1" applyAlignment="1" applyProtection="1">
      <alignment horizontal="left"/>
      <protection locked="0"/>
    </xf>
    <xf numFmtId="1" fontId="6" fillId="4" borderId="33" xfId="0" applyNumberFormat="1" applyFont="1" applyFill="1" applyBorder="1" applyAlignment="1">
      <alignment horizontal="left"/>
    </xf>
    <xf numFmtId="1" fontId="6" fillId="4" borderId="34" xfId="0" applyNumberFormat="1" applyFont="1" applyFill="1" applyBorder="1" applyAlignment="1">
      <alignment horizontal="left"/>
    </xf>
    <xf numFmtId="1" fontId="6" fillId="4" borderId="35" xfId="0" applyNumberFormat="1" applyFont="1" applyFill="1" applyBorder="1" applyAlignment="1">
      <alignment horizontal="left"/>
    </xf>
    <xf numFmtId="1" fontId="6" fillId="4" borderId="108" xfId="0" applyNumberFormat="1" applyFont="1" applyFill="1" applyBorder="1" applyAlignment="1">
      <alignment horizontal="left"/>
    </xf>
    <xf numFmtId="1" fontId="6" fillId="5" borderId="39" xfId="0" applyNumberFormat="1" applyFont="1" applyFill="1" applyBorder="1" applyAlignment="1" applyProtection="1">
      <alignment horizontal="left"/>
      <protection locked="0"/>
    </xf>
    <xf numFmtId="1" fontId="6" fillId="4" borderId="16" xfId="10" applyNumberFormat="1" applyFont="1" applyFill="1" applyBorder="1" applyAlignment="1">
      <alignment horizontal="left"/>
    </xf>
    <xf numFmtId="1" fontId="6" fillId="4" borderId="416" xfId="10" applyNumberFormat="1" applyFont="1" applyFill="1" applyBorder="1" applyAlignment="1">
      <alignment horizontal="left"/>
    </xf>
    <xf numFmtId="1" fontId="6" fillId="5" borderId="16" xfId="0" applyNumberFormat="1" applyFont="1" applyFill="1" applyBorder="1" applyAlignment="1" applyProtection="1">
      <alignment horizontal="left"/>
      <protection locked="0"/>
    </xf>
    <xf numFmtId="1" fontId="6" fillId="5" borderId="18" xfId="0" applyNumberFormat="1" applyFont="1" applyFill="1" applyBorder="1" applyAlignment="1" applyProtection="1">
      <alignment horizontal="left"/>
      <protection locked="0"/>
    </xf>
    <xf numFmtId="1" fontId="6" fillId="5" borderId="420" xfId="0" applyNumberFormat="1" applyFont="1" applyFill="1" applyBorder="1" applyAlignment="1" applyProtection="1">
      <alignment horizontal="left"/>
      <protection locked="0"/>
    </xf>
    <xf numFmtId="1" fontId="6" fillId="5" borderId="106" xfId="0" applyNumberFormat="1" applyFont="1" applyFill="1" applyBorder="1" applyAlignment="1" applyProtection="1">
      <alignment horizontal="left"/>
      <protection locked="0"/>
    </xf>
    <xf numFmtId="1" fontId="6" fillId="4" borderId="38" xfId="10" applyNumberFormat="1" applyFont="1" applyFill="1" applyBorder="1" applyAlignment="1">
      <alignment horizontal="left"/>
    </xf>
    <xf numFmtId="1" fontId="6" fillId="4" borderId="51" xfId="10" applyNumberFormat="1" applyFont="1" applyFill="1" applyBorder="1" applyAlignment="1">
      <alignment horizontal="left"/>
    </xf>
    <xf numFmtId="1" fontId="6" fillId="5" borderId="52" xfId="0" applyNumberFormat="1" applyFont="1" applyFill="1" applyBorder="1" applyAlignment="1" applyProtection="1">
      <alignment horizontal="left"/>
      <protection locked="0"/>
    </xf>
    <xf numFmtId="1" fontId="6" fillId="5" borderId="107" xfId="0" applyNumberFormat="1" applyFont="1" applyFill="1" applyBorder="1" applyAlignment="1" applyProtection="1">
      <alignment horizontal="left"/>
      <protection locked="0"/>
    </xf>
    <xf numFmtId="1" fontId="6" fillId="4" borderId="39" xfId="10" applyNumberFormat="1" applyFont="1" applyFill="1" applyBorder="1" applyAlignment="1">
      <alignment horizontal="left"/>
    </xf>
    <xf numFmtId="1" fontId="6" fillId="5" borderId="22" xfId="0" applyNumberFormat="1" applyFont="1" applyFill="1" applyBorder="1" applyAlignment="1" applyProtection="1">
      <alignment horizontal="left"/>
      <protection locked="0"/>
    </xf>
    <xf numFmtId="1" fontId="6" fillId="5" borderId="23" xfId="0" applyNumberFormat="1" applyFont="1" applyFill="1" applyBorder="1" applyAlignment="1" applyProtection="1">
      <alignment horizontal="left"/>
      <protection locked="0"/>
    </xf>
    <xf numFmtId="1" fontId="6" fillId="5" borderId="120" xfId="0" applyNumberFormat="1" applyFont="1" applyFill="1" applyBorder="1" applyAlignment="1" applyProtection="1">
      <alignment horizontal="left"/>
      <protection locked="0"/>
    </xf>
    <xf numFmtId="1" fontId="6" fillId="4" borderId="16" xfId="0" applyNumberFormat="1" applyFont="1" applyFill="1" applyBorder="1" applyAlignment="1">
      <alignment horizontal="left"/>
    </xf>
    <xf numFmtId="1" fontId="6" fillId="4" borderId="18" xfId="0" applyNumberFormat="1" applyFont="1" applyFill="1" applyBorder="1" applyAlignment="1">
      <alignment horizontal="left"/>
    </xf>
    <xf numFmtId="1" fontId="6" fillId="4" borderId="20" xfId="0" applyNumberFormat="1" applyFont="1" applyFill="1" applyBorder="1" applyAlignment="1">
      <alignment horizontal="left"/>
    </xf>
    <xf numFmtId="1" fontId="6" fillId="4" borderId="22" xfId="0" applyNumberFormat="1" applyFont="1" applyFill="1" applyBorder="1" applyAlignment="1">
      <alignment horizontal="left"/>
    </xf>
    <xf numFmtId="1" fontId="6" fillId="5" borderId="36" xfId="0" applyNumberFormat="1" applyFont="1" applyFill="1" applyBorder="1" applyAlignment="1" applyProtection="1">
      <alignment horizontal="left"/>
      <protection locked="0"/>
    </xf>
    <xf numFmtId="1" fontId="6" fillId="5" borderId="40" xfId="0" applyNumberFormat="1" applyFont="1" applyFill="1" applyBorder="1" applyAlignment="1" applyProtection="1">
      <alignment horizontal="left"/>
      <protection locked="0"/>
    </xf>
    <xf numFmtId="1" fontId="6" fillId="5" borderId="119" xfId="0" applyNumberFormat="1" applyFont="1" applyFill="1" applyBorder="1" applyAlignment="1" applyProtection="1">
      <alignment horizontal="left"/>
      <protection locked="0"/>
    </xf>
    <xf numFmtId="1" fontId="6" fillId="5" borderId="414" xfId="0" applyNumberFormat="1" applyFont="1" applyFill="1" applyBorder="1" applyAlignment="1" applyProtection="1">
      <alignment horizontal="left"/>
      <protection locked="0"/>
    </xf>
    <xf numFmtId="1" fontId="6" fillId="5" borderId="59" xfId="0" applyNumberFormat="1" applyFont="1" applyFill="1" applyBorder="1" applyAlignment="1" applyProtection="1">
      <alignment horizontal="left"/>
      <protection locked="0"/>
    </xf>
    <xf numFmtId="1" fontId="6" fillId="5" borderId="421" xfId="0" applyNumberFormat="1" applyFont="1" applyFill="1" applyBorder="1" applyAlignment="1" applyProtection="1">
      <alignment horizontal="left"/>
      <protection locked="0"/>
    </xf>
    <xf numFmtId="1" fontId="6" fillId="5" borderId="55" xfId="0" applyNumberFormat="1" applyFont="1" applyFill="1" applyBorder="1" applyAlignment="1" applyProtection="1">
      <alignment horizontal="left"/>
      <protection locked="0"/>
    </xf>
    <xf numFmtId="1" fontId="6" fillId="5" borderId="60" xfId="0" applyNumberFormat="1" applyFont="1" applyFill="1" applyBorder="1" applyAlignment="1" applyProtection="1">
      <alignment horizontal="left"/>
      <protection locked="0"/>
    </xf>
    <xf numFmtId="1" fontId="6" fillId="5" borderId="85" xfId="0" applyNumberFormat="1" applyFont="1" applyFill="1" applyBorder="1" applyAlignment="1" applyProtection="1">
      <alignment horizontal="left"/>
      <protection locked="0"/>
    </xf>
    <xf numFmtId="1" fontId="6" fillId="4" borderId="60" xfId="0" applyNumberFormat="1" applyFont="1" applyFill="1" applyBorder="1" applyAlignment="1">
      <alignment horizontal="left"/>
    </xf>
    <xf numFmtId="1" fontId="6" fillId="5" borderId="58" xfId="0" applyNumberFormat="1" applyFont="1" applyFill="1" applyBorder="1" applyAlignment="1" applyProtection="1">
      <alignment horizontal="left"/>
      <protection locked="0"/>
    </xf>
    <xf numFmtId="1" fontId="6" fillId="5" borderId="69" xfId="0" applyNumberFormat="1" applyFont="1" applyFill="1" applyBorder="1" applyAlignment="1" applyProtection="1">
      <alignment horizontal="left"/>
      <protection locked="0"/>
    </xf>
    <xf numFmtId="1" fontId="6" fillId="5" borderId="86" xfId="0" applyNumberFormat="1" applyFont="1" applyFill="1" applyBorder="1" applyAlignment="1" applyProtection="1">
      <alignment horizontal="left"/>
      <protection locked="0"/>
    </xf>
    <xf numFmtId="1" fontId="6" fillId="0" borderId="16" xfId="9" applyNumberFormat="1" applyFont="1" applyBorder="1" applyAlignment="1">
      <alignment horizontal="left" wrapText="1"/>
    </xf>
    <xf numFmtId="1" fontId="6" fillId="0" borderId="45" xfId="9" applyNumberFormat="1" applyFont="1" applyBorder="1" applyAlignment="1">
      <alignment horizontal="left" wrapText="1"/>
    </xf>
    <xf numFmtId="1" fontId="6" fillId="0" borderId="416" xfId="10" applyNumberFormat="1" applyFont="1" applyBorder="1" applyAlignment="1">
      <alignment horizontal="left"/>
    </xf>
    <xf numFmtId="1" fontId="6" fillId="5" borderId="16" xfId="10" applyNumberFormat="1" applyFont="1" applyFill="1" applyBorder="1" applyAlignment="1" applyProtection="1">
      <alignment horizontal="left"/>
      <protection locked="0"/>
    </xf>
    <xf numFmtId="1" fontId="6" fillId="5" borderId="416" xfId="10" applyNumberFormat="1" applyFont="1" applyFill="1" applyBorder="1" applyAlignment="1" applyProtection="1">
      <alignment horizontal="left"/>
      <protection locked="0"/>
    </xf>
    <xf numFmtId="1" fontId="6" fillId="4" borderId="31" xfId="10" applyNumberFormat="1" applyFont="1" applyFill="1" applyBorder="1" applyAlignment="1">
      <alignment horizontal="left"/>
    </xf>
    <xf numFmtId="1" fontId="6" fillId="4" borderId="415" xfId="10" applyNumberFormat="1" applyFont="1" applyFill="1" applyBorder="1" applyAlignment="1">
      <alignment horizontal="left"/>
    </xf>
    <xf numFmtId="1" fontId="6" fillId="5" borderId="56" xfId="10" applyNumberFormat="1" applyFont="1" applyFill="1" applyBorder="1" applyAlignment="1" applyProtection="1">
      <alignment horizontal="left"/>
      <protection locked="0"/>
    </xf>
    <xf numFmtId="1" fontId="6" fillId="5" borderId="42" xfId="10" applyNumberFormat="1" applyFont="1" applyFill="1" applyBorder="1" applyAlignment="1" applyProtection="1">
      <alignment horizontal="left"/>
      <protection locked="0"/>
    </xf>
    <xf numFmtId="1" fontId="6" fillId="0" borderId="38" xfId="11" applyNumberFormat="1" applyFont="1" applyBorder="1" applyAlignment="1">
      <alignment horizontal="left" wrapText="1"/>
    </xf>
    <xf numFmtId="1" fontId="6" fillId="0" borderId="63" xfId="11" applyNumberFormat="1" applyFont="1" applyBorder="1" applyAlignment="1">
      <alignment horizontal="left" wrapText="1"/>
    </xf>
    <xf numFmtId="1" fontId="6" fillId="0" borderId="51" xfId="10" applyNumberFormat="1" applyFont="1" applyBorder="1" applyAlignment="1">
      <alignment horizontal="left"/>
    </xf>
    <xf numFmtId="1" fontId="6" fillId="4" borderId="81" xfId="10" applyNumberFormat="1" applyFont="1" applyFill="1" applyBorder="1" applyAlignment="1">
      <alignment horizontal="left"/>
    </xf>
    <xf numFmtId="1" fontId="6" fillId="5" borderId="33" xfId="10" applyNumberFormat="1" applyFont="1" applyFill="1" applyBorder="1" applyAlignment="1" applyProtection="1">
      <alignment horizontal="left"/>
      <protection locked="0"/>
    </xf>
    <xf numFmtId="1" fontId="6" fillId="5" borderId="81" xfId="10" applyNumberFormat="1" applyFont="1" applyFill="1" applyBorder="1" applyAlignment="1" applyProtection="1">
      <alignment horizontal="left"/>
      <protection locked="0"/>
    </xf>
    <xf numFmtId="1" fontId="6" fillId="5" borderId="30" xfId="10" applyNumberFormat="1" applyFont="1" applyFill="1" applyBorder="1" applyAlignment="1" applyProtection="1">
      <alignment horizontal="left"/>
      <protection locked="0"/>
    </xf>
    <xf numFmtId="1" fontId="6" fillId="5" borderId="39" xfId="10" applyNumberFormat="1" applyFont="1" applyFill="1" applyBorder="1" applyAlignment="1" applyProtection="1">
      <alignment horizontal="left"/>
      <protection locked="0"/>
    </xf>
    <xf numFmtId="1" fontId="6" fillId="5" borderId="38" xfId="10" applyNumberFormat="1" applyFont="1" applyFill="1" applyBorder="1" applyAlignment="1" applyProtection="1">
      <alignment horizontal="left"/>
      <protection locked="0"/>
    </xf>
    <xf numFmtId="1" fontId="6" fillId="5" borderId="51" xfId="10" applyNumberFormat="1" applyFont="1" applyFill="1" applyBorder="1" applyAlignment="1" applyProtection="1">
      <alignment horizontal="left"/>
      <protection locked="0"/>
    </xf>
    <xf numFmtId="1" fontId="6" fillId="5" borderId="191" xfId="10" applyNumberFormat="1" applyFont="1" applyFill="1" applyBorder="1" applyAlignment="1" applyProtection="1">
      <alignment horizontal="left"/>
      <protection locked="0"/>
    </xf>
    <xf numFmtId="1" fontId="6" fillId="5" borderId="55" xfId="10" applyNumberFormat="1" applyFont="1" applyFill="1" applyBorder="1" applyAlignment="1" applyProtection="1">
      <alignment horizontal="left"/>
      <protection locked="0"/>
    </xf>
    <xf numFmtId="1" fontId="6" fillId="5" borderId="36" xfId="10" applyNumberFormat="1" applyFont="1" applyFill="1" applyBorder="1" applyAlignment="1" applyProtection="1">
      <alignment horizontal="left"/>
      <protection locked="0"/>
    </xf>
    <xf numFmtId="1" fontId="6" fillId="0" borderId="41" xfId="11" applyNumberFormat="1" applyFont="1" applyBorder="1" applyAlignment="1">
      <alignment horizontal="left" wrapText="1"/>
    </xf>
    <xf numFmtId="1" fontId="6" fillId="0" borderId="64" xfId="11" applyNumberFormat="1" applyFont="1" applyBorder="1" applyAlignment="1">
      <alignment horizontal="left" wrapText="1"/>
    </xf>
    <xf numFmtId="1" fontId="6" fillId="0" borderId="31" xfId="10" applyNumberFormat="1" applyFont="1" applyBorder="1" applyAlignment="1">
      <alignment horizontal="left"/>
    </xf>
    <xf numFmtId="1" fontId="6" fillId="4" borderId="41" xfId="10" applyNumberFormat="1" applyFont="1" applyFill="1" applyBorder="1" applyAlignment="1">
      <alignment horizontal="left"/>
    </xf>
    <xf numFmtId="1" fontId="6" fillId="5" borderId="41" xfId="10" applyNumberFormat="1" applyFont="1" applyFill="1" applyBorder="1" applyAlignment="1" applyProtection="1">
      <alignment horizontal="left"/>
      <protection locked="0"/>
    </xf>
    <xf numFmtId="1" fontId="6" fillId="5" borderId="31" xfId="10" applyNumberFormat="1" applyFont="1" applyFill="1" applyBorder="1" applyAlignment="1" applyProtection="1">
      <alignment horizontal="left"/>
      <protection locked="0"/>
    </xf>
    <xf numFmtId="1" fontId="6" fillId="5" borderId="190" xfId="10" applyNumberFormat="1" applyFont="1" applyFill="1" applyBorder="1" applyAlignment="1" applyProtection="1">
      <alignment horizontal="left"/>
      <protection locked="0"/>
    </xf>
    <xf numFmtId="1" fontId="6" fillId="5" borderId="190" xfId="0" applyNumberFormat="1" applyFont="1" applyFill="1" applyBorder="1" applyAlignment="1" applyProtection="1">
      <alignment horizontal="left"/>
      <protection locked="0"/>
    </xf>
    <xf numFmtId="1" fontId="20" fillId="0" borderId="33" xfId="0" applyNumberFormat="1" applyFont="1" applyBorder="1" applyAlignment="1">
      <alignment horizontal="left"/>
    </xf>
    <xf numFmtId="1" fontId="20" fillId="0" borderId="66" xfId="0" applyNumberFormat="1" applyFont="1" applyBorder="1" applyAlignment="1">
      <alignment horizontal="left"/>
    </xf>
    <xf numFmtId="1" fontId="6" fillId="5" borderId="57" xfId="10" applyNumberFormat="1" applyFont="1" applyFill="1" applyBorder="1" applyAlignment="1" applyProtection="1">
      <alignment horizontal="left"/>
      <protection locked="0"/>
    </xf>
    <xf numFmtId="1" fontId="6" fillId="5" borderId="32" xfId="10" applyNumberFormat="1" applyFont="1" applyFill="1" applyBorder="1" applyAlignment="1" applyProtection="1">
      <alignment horizontal="left"/>
      <protection locked="0"/>
    </xf>
    <xf numFmtId="1" fontId="20" fillId="0" borderId="38" xfId="0" applyNumberFormat="1" applyFont="1" applyBorder="1" applyAlignment="1">
      <alignment horizontal="left"/>
    </xf>
    <xf numFmtId="1" fontId="20" fillId="0" borderId="63" xfId="0" applyNumberFormat="1" applyFont="1" applyBorder="1" applyAlignment="1">
      <alignment horizontal="left"/>
    </xf>
    <xf numFmtId="1" fontId="20" fillId="0" borderId="27" xfId="0" applyNumberFormat="1" applyFont="1" applyBorder="1" applyAlignment="1">
      <alignment horizontal="left"/>
    </xf>
    <xf numFmtId="1" fontId="20" fillId="0" borderId="49" xfId="0" applyNumberFormat="1" applyFont="1" applyBorder="1" applyAlignment="1">
      <alignment horizontal="left"/>
    </xf>
    <xf numFmtId="1" fontId="6" fillId="0" borderId="21" xfId="10" applyNumberFormat="1" applyFont="1" applyBorder="1" applyAlignment="1">
      <alignment horizontal="left"/>
    </xf>
    <xf numFmtId="1" fontId="6" fillId="5" borderId="20" xfId="10" applyNumberFormat="1" applyFont="1" applyFill="1" applyBorder="1" applyAlignment="1" applyProtection="1">
      <alignment horizontal="left"/>
      <protection locked="0"/>
    </xf>
    <xf numFmtId="1" fontId="6" fillId="5" borderId="21" xfId="10" applyNumberFormat="1" applyFont="1" applyFill="1" applyBorder="1" applyAlignment="1" applyProtection="1">
      <alignment horizontal="left"/>
      <protection locked="0"/>
    </xf>
    <xf numFmtId="1" fontId="6" fillId="5" borderId="193" xfId="10" applyNumberFormat="1" applyFont="1" applyFill="1" applyBorder="1" applyAlignment="1" applyProtection="1">
      <alignment horizontal="left"/>
      <protection locked="0"/>
    </xf>
    <xf numFmtId="1" fontId="6" fillId="5" borderId="58" xfId="10" applyNumberFormat="1" applyFont="1" applyFill="1" applyBorder="1" applyAlignment="1" applyProtection="1">
      <alignment horizontal="left"/>
      <protection locked="0"/>
    </xf>
    <xf numFmtId="1" fontId="6" fillId="5" borderId="22" xfId="10" applyNumberFormat="1" applyFont="1" applyFill="1" applyBorder="1" applyAlignment="1" applyProtection="1">
      <alignment horizontal="left"/>
      <protection locked="0"/>
    </xf>
    <xf numFmtId="1" fontId="6" fillId="5" borderId="755" xfId="0" applyNumberFormat="1" applyFont="1" applyFill="1" applyBorder="1" applyProtection="1">
      <protection locked="0"/>
    </xf>
    <xf numFmtId="1" fontId="20" fillId="0" borderId="410" xfId="0" applyNumberFormat="1" applyFont="1" applyBorder="1" applyAlignment="1">
      <alignment horizontal="left"/>
    </xf>
    <xf numFmtId="1" fontId="20" fillId="0" borderId="411" xfId="0" applyNumberFormat="1" applyFont="1" applyBorder="1" applyAlignment="1">
      <alignment horizontal="left"/>
    </xf>
    <xf numFmtId="1" fontId="6" fillId="0" borderId="407" xfId="0" applyNumberFormat="1" applyFont="1" applyBorder="1" applyAlignment="1">
      <alignment horizontal="left"/>
    </xf>
    <xf numFmtId="1" fontId="6" fillId="5" borderId="410" xfId="0" applyNumberFormat="1" applyFont="1" applyFill="1" applyBorder="1" applyAlignment="1" applyProtection="1">
      <alignment horizontal="left"/>
      <protection locked="0"/>
    </xf>
    <xf numFmtId="1" fontId="6" fillId="5" borderId="407" xfId="0" applyNumberFormat="1" applyFont="1" applyFill="1" applyBorder="1" applyAlignment="1" applyProtection="1">
      <alignment horizontal="left"/>
      <protection locked="0"/>
    </xf>
    <xf numFmtId="1" fontId="6" fillId="5" borderId="412" xfId="0" applyNumberFormat="1" applyFont="1" applyFill="1" applyBorder="1" applyAlignment="1" applyProtection="1">
      <alignment horizontal="left"/>
      <protection locked="0"/>
    </xf>
    <xf numFmtId="1" fontId="6" fillId="5" borderId="417" xfId="0" applyNumberFormat="1" applyFont="1" applyFill="1" applyBorder="1" applyAlignment="1" applyProtection="1">
      <alignment horizontal="left"/>
      <protection locked="0"/>
    </xf>
    <xf numFmtId="1" fontId="6" fillId="5" borderId="451" xfId="0" applyNumberFormat="1" applyFont="1" applyFill="1" applyBorder="1" applyAlignment="1" applyProtection="1">
      <alignment horizontal="left"/>
      <protection locked="0"/>
    </xf>
    <xf numFmtId="1" fontId="6" fillId="5" borderId="418" xfId="0" applyNumberFormat="1" applyFont="1" applyFill="1" applyBorder="1" applyAlignment="1" applyProtection="1">
      <alignment horizontal="left"/>
      <protection locked="0"/>
    </xf>
    <xf numFmtId="1" fontId="20" fillId="0" borderId="16" xfId="0" applyNumberFormat="1" applyFont="1" applyBorder="1" applyAlignment="1">
      <alignment horizontal="left"/>
    </xf>
    <xf numFmtId="1" fontId="20" fillId="0" borderId="45" xfId="0" applyNumberFormat="1" applyFont="1" applyBorder="1" applyAlignment="1">
      <alignment horizontal="left"/>
    </xf>
    <xf numFmtId="1" fontId="20" fillId="0" borderId="416" xfId="0" applyNumberFormat="1" applyFont="1" applyBorder="1" applyAlignment="1">
      <alignment horizontal="left"/>
    </xf>
    <xf numFmtId="1" fontId="6" fillId="5" borderId="296" xfId="0" applyNumberFormat="1" applyFont="1" applyFill="1" applyBorder="1" applyAlignment="1" applyProtection="1">
      <alignment horizontal="left"/>
      <protection locked="0"/>
    </xf>
    <xf numFmtId="1" fontId="20" fillId="0" borderId="51" xfId="0" applyNumberFormat="1" applyFont="1" applyBorder="1" applyAlignment="1">
      <alignment horizontal="left"/>
    </xf>
    <xf numFmtId="1" fontId="6" fillId="5" borderId="37" xfId="0" applyNumberFormat="1" applyFont="1" applyFill="1" applyBorder="1" applyAlignment="1" applyProtection="1">
      <alignment horizontal="left"/>
      <protection locked="0"/>
    </xf>
    <xf numFmtId="1" fontId="20" fillId="0" borderId="20" xfId="0" applyNumberFormat="1" applyFont="1" applyBorder="1" applyAlignment="1">
      <alignment horizontal="left"/>
    </xf>
    <xf numFmtId="1" fontId="20" fillId="0" borderId="46" xfId="0" applyNumberFormat="1" applyFont="1" applyBorder="1" applyAlignment="1">
      <alignment horizontal="left"/>
    </xf>
    <xf numFmtId="1" fontId="6" fillId="5" borderId="30" xfId="0" applyNumberFormat="1" applyFont="1" applyFill="1" applyBorder="1" applyAlignment="1" applyProtection="1">
      <alignment horizontal="left"/>
      <protection locked="0"/>
    </xf>
    <xf numFmtId="1" fontId="6" fillId="5" borderId="57" xfId="0" applyNumberFormat="1" applyFont="1" applyFill="1" applyBorder="1" applyAlignment="1" applyProtection="1">
      <alignment horizontal="left"/>
      <protection locked="0"/>
    </xf>
    <xf numFmtId="1" fontId="6" fillId="5" borderId="61" xfId="0" applyNumberFormat="1" applyFont="1" applyFill="1" applyBorder="1" applyAlignment="1" applyProtection="1">
      <alignment horizontal="left"/>
      <protection locked="0"/>
    </xf>
    <xf numFmtId="1" fontId="6" fillId="5" borderId="32" xfId="0" applyNumberFormat="1" applyFont="1" applyFill="1" applyBorder="1" applyAlignment="1" applyProtection="1">
      <alignment horizontal="left"/>
      <protection locked="0"/>
    </xf>
    <xf numFmtId="1" fontId="6" fillId="5" borderId="62" xfId="0" applyNumberFormat="1" applyFont="1" applyFill="1" applyBorder="1" applyAlignment="1" applyProtection="1">
      <alignment horizontal="left"/>
      <protection locked="0"/>
    </xf>
    <xf numFmtId="1" fontId="6" fillId="5" borderId="9" xfId="0" applyNumberFormat="1" applyFont="1" applyFill="1" applyBorder="1" applyAlignment="1" applyProtection="1">
      <alignment horizontal="left"/>
      <protection locked="0"/>
    </xf>
    <xf numFmtId="1" fontId="6" fillId="5" borderId="56" xfId="0" applyNumberFormat="1" applyFont="1" applyFill="1" applyBorder="1" applyAlignment="1" applyProtection="1">
      <alignment horizontal="left"/>
      <protection locked="0"/>
    </xf>
    <xf numFmtId="1" fontId="6" fillId="5" borderId="93" xfId="0" applyNumberFormat="1" applyFont="1" applyFill="1" applyBorder="1" applyAlignment="1" applyProtection="1">
      <alignment horizontal="left"/>
      <protection locked="0"/>
    </xf>
    <xf numFmtId="1" fontId="6" fillId="5" borderId="25" xfId="0" applyNumberFormat="1" applyFont="1" applyFill="1" applyBorder="1" applyAlignment="1" applyProtection="1">
      <alignment horizontal="left"/>
      <protection locked="0"/>
    </xf>
    <xf numFmtId="1" fontId="6" fillId="0" borderId="33" xfId="0" applyNumberFormat="1" applyFont="1" applyBorder="1" applyAlignment="1">
      <alignment horizontal="left"/>
    </xf>
    <xf numFmtId="1" fontId="6" fillId="0" borderId="66" xfId="0" applyNumberFormat="1" applyFont="1" applyBorder="1" applyAlignment="1">
      <alignment horizontal="left"/>
    </xf>
    <xf numFmtId="1" fontId="6" fillId="0" borderId="81" xfId="0" applyNumberFormat="1" applyFont="1" applyBorder="1" applyAlignment="1">
      <alignment horizontal="left"/>
    </xf>
    <xf numFmtId="1" fontId="6" fillId="4" borderId="18" xfId="10" applyNumberFormat="1" applyFont="1" applyFill="1" applyBorder="1" applyAlignment="1">
      <alignment horizontal="left"/>
    </xf>
    <xf numFmtId="1" fontId="6" fillId="4" borderId="414" xfId="10" applyNumberFormat="1" applyFont="1" applyFill="1" applyBorder="1" applyAlignment="1">
      <alignment horizontal="left"/>
    </xf>
    <xf numFmtId="1" fontId="6" fillId="4" borderId="59" xfId="10" applyNumberFormat="1" applyFont="1" applyFill="1" applyBorder="1" applyAlignment="1">
      <alignment horizontal="left"/>
    </xf>
    <xf numFmtId="1" fontId="6" fillId="4" borderId="420" xfId="10" applyNumberFormat="1" applyFont="1" applyFill="1" applyBorder="1" applyAlignment="1">
      <alignment horizontal="left"/>
    </xf>
    <xf numFmtId="1" fontId="6" fillId="4" borderId="55" xfId="10" applyNumberFormat="1" applyFont="1" applyFill="1" applyBorder="1" applyAlignment="1">
      <alignment horizontal="left"/>
    </xf>
    <xf numFmtId="1" fontId="6" fillId="4" borderId="60" xfId="10" applyNumberFormat="1" applyFont="1" applyFill="1" applyBorder="1" applyAlignment="1">
      <alignment horizontal="left"/>
    </xf>
    <xf numFmtId="1" fontId="6" fillId="4" borderId="36" xfId="10" applyNumberFormat="1" applyFont="1" applyFill="1" applyBorder="1" applyAlignment="1">
      <alignment horizontal="left"/>
    </xf>
    <xf numFmtId="1" fontId="6" fillId="4" borderId="416" xfId="0" applyNumberFormat="1" applyFont="1" applyFill="1" applyBorder="1" applyAlignment="1">
      <alignment horizontal="left"/>
    </xf>
    <xf numFmtId="1" fontId="6" fillId="5" borderId="413" xfId="0" applyNumberFormat="1" applyFont="1" applyFill="1" applyBorder="1" applyAlignment="1" applyProtection="1">
      <alignment horizontal="left"/>
      <protection locked="0"/>
    </xf>
    <xf numFmtId="1" fontId="6" fillId="4" borderId="31" xfId="0" applyNumberFormat="1" applyFont="1" applyFill="1" applyBorder="1" applyAlignment="1">
      <alignment horizontal="left"/>
    </xf>
    <xf numFmtId="1" fontId="6" fillId="5" borderId="88" xfId="0" applyNumberFormat="1" applyFont="1" applyFill="1" applyBorder="1" applyAlignment="1" applyProtection="1">
      <alignment horizontal="left"/>
      <protection locked="0"/>
    </xf>
    <xf numFmtId="1" fontId="6" fillId="5" borderId="24" xfId="0" applyNumberFormat="1" applyFont="1" applyFill="1" applyBorder="1" applyAlignment="1" applyProtection="1">
      <alignment horizontal="left"/>
      <protection locked="0"/>
    </xf>
    <xf numFmtId="1" fontId="6" fillId="0" borderId="413" xfId="0" applyNumberFormat="1" applyFont="1" applyBorder="1" applyAlignment="1">
      <alignment horizontal="left" vertical="center"/>
    </xf>
    <xf numFmtId="1" fontId="6" fillId="5" borderId="27" xfId="0" applyNumberFormat="1" applyFont="1" applyFill="1" applyBorder="1" applyAlignment="1" applyProtection="1">
      <alignment horizontal="left"/>
      <protection locked="0"/>
    </xf>
    <xf numFmtId="1" fontId="6" fillId="5" borderId="342" xfId="0" applyNumberFormat="1" applyFont="1" applyFill="1" applyBorder="1" applyAlignment="1" applyProtection="1">
      <alignment horizontal="left"/>
      <protection locked="0"/>
    </xf>
    <xf numFmtId="1" fontId="6" fillId="0" borderId="25" xfId="0" applyNumberFormat="1" applyFont="1" applyBorder="1" applyAlignment="1">
      <alignment horizontal="left" vertical="center"/>
    </xf>
    <xf numFmtId="1" fontId="6" fillId="3" borderId="24" xfId="0" applyNumberFormat="1" applyFont="1" applyFill="1" applyBorder="1" applyAlignment="1">
      <alignment horizontal="left" vertical="center"/>
    </xf>
    <xf numFmtId="1" fontId="6" fillId="3" borderId="38" xfId="0" applyNumberFormat="1" applyFont="1" applyFill="1" applyBorder="1" applyAlignment="1">
      <alignment horizontal="left"/>
    </xf>
    <xf numFmtId="1" fontId="6" fillId="3" borderId="63" xfId="0" applyNumberFormat="1" applyFont="1" applyFill="1" applyBorder="1" applyAlignment="1">
      <alignment horizontal="left"/>
    </xf>
    <xf numFmtId="1" fontId="6" fillId="4" borderId="40" xfId="0" applyNumberFormat="1" applyFont="1" applyFill="1" applyBorder="1" applyAlignment="1">
      <alignment horizontal="left"/>
    </xf>
    <xf numFmtId="1" fontId="6" fillId="5" borderId="45" xfId="0" applyNumberFormat="1" applyFont="1" applyFill="1" applyBorder="1" applyAlignment="1" applyProtection="1">
      <alignment horizontal="left"/>
      <protection locked="0"/>
    </xf>
    <xf numFmtId="1" fontId="6" fillId="5" borderId="63" xfId="0" applyNumberFormat="1" applyFont="1" applyFill="1" applyBorder="1" applyAlignment="1" applyProtection="1">
      <alignment horizontal="left"/>
      <protection locked="0"/>
    </xf>
    <xf numFmtId="1" fontId="6" fillId="5" borderId="89" xfId="0" applyNumberFormat="1" applyFont="1" applyFill="1" applyBorder="1" applyAlignment="1" applyProtection="1">
      <alignment horizontal="left"/>
      <protection locked="0"/>
    </xf>
    <xf numFmtId="1" fontId="6" fillId="5" borderId="411" xfId="0" applyNumberFormat="1" applyFont="1" applyFill="1" applyBorder="1" applyAlignment="1" applyProtection="1">
      <alignment horizontal="left"/>
      <protection locked="0"/>
    </xf>
    <xf numFmtId="1" fontId="6" fillId="5" borderId="64" xfId="0" applyNumberFormat="1" applyFont="1" applyFill="1" applyBorder="1" applyAlignment="1" applyProtection="1">
      <alignment horizontal="left"/>
      <protection locked="0"/>
    </xf>
    <xf numFmtId="1" fontId="6" fillId="5" borderId="46" xfId="0" applyNumberFormat="1" applyFont="1" applyFill="1" applyBorder="1" applyAlignment="1" applyProtection="1">
      <alignment horizontal="left"/>
      <protection locked="0"/>
    </xf>
    <xf numFmtId="1" fontId="51" fillId="15" borderId="56" xfId="0" applyNumberFormat="1" applyFont="1" applyFill="1" applyBorder="1" applyAlignment="1" applyProtection="1">
      <alignment horizontal="left"/>
      <protection locked="0"/>
    </xf>
    <xf numFmtId="1" fontId="51" fillId="15" borderId="42" xfId="0" applyNumberFormat="1" applyFont="1" applyFill="1" applyBorder="1" applyAlignment="1" applyProtection="1">
      <alignment horizontal="left"/>
      <protection locked="0"/>
    </xf>
    <xf numFmtId="1" fontId="51" fillId="5" borderId="414" xfId="0" applyNumberFormat="1" applyFont="1" applyFill="1" applyBorder="1" applyAlignment="1" applyProtection="1">
      <alignment horizontal="left"/>
      <protection locked="0"/>
    </xf>
    <xf numFmtId="1" fontId="51" fillId="5" borderId="42" xfId="0" applyNumberFormat="1" applyFont="1" applyFill="1" applyBorder="1" applyAlignment="1" applyProtection="1">
      <alignment horizontal="left"/>
      <protection locked="0"/>
    </xf>
    <xf numFmtId="1" fontId="51" fillId="5" borderId="56" xfId="0" applyNumberFormat="1" applyFont="1" applyFill="1" applyBorder="1" applyAlignment="1" applyProtection="1">
      <alignment horizontal="left"/>
      <protection locked="0"/>
    </xf>
    <xf numFmtId="1" fontId="51" fillId="3" borderId="25" xfId="0" applyNumberFormat="1" applyFont="1" applyFill="1" applyBorder="1" applyAlignment="1">
      <alignment horizontal="left" wrapText="1"/>
    </xf>
    <xf numFmtId="1" fontId="51" fillId="15" borderId="55" xfId="0" applyNumberFormat="1" applyFont="1" applyFill="1" applyBorder="1" applyAlignment="1" applyProtection="1">
      <alignment horizontal="left"/>
      <protection locked="0"/>
    </xf>
    <xf numFmtId="1" fontId="51" fillId="15" borderId="36" xfId="0" applyNumberFormat="1" applyFont="1" applyFill="1" applyBorder="1" applyAlignment="1" applyProtection="1">
      <alignment horizontal="left"/>
      <protection locked="0"/>
    </xf>
    <xf numFmtId="1" fontId="51" fillId="5" borderId="55" xfId="0" applyNumberFormat="1" applyFont="1" applyFill="1" applyBorder="1" applyAlignment="1" applyProtection="1">
      <alignment horizontal="left"/>
      <protection locked="0"/>
    </xf>
    <xf numFmtId="1" fontId="51" fillId="5" borderId="36" xfId="0" applyNumberFormat="1" applyFont="1" applyFill="1" applyBorder="1" applyAlignment="1" applyProtection="1">
      <alignment horizontal="left"/>
      <protection locked="0"/>
    </xf>
    <xf numFmtId="1" fontId="51" fillId="15" borderId="57" xfId="0" applyNumberFormat="1" applyFont="1" applyFill="1" applyBorder="1" applyAlignment="1" applyProtection="1">
      <alignment horizontal="left"/>
      <protection locked="0"/>
    </xf>
    <xf numFmtId="1" fontId="51" fillId="15" borderId="32" xfId="0" applyNumberFormat="1" applyFont="1" applyFill="1" applyBorder="1" applyAlignment="1" applyProtection="1">
      <alignment horizontal="left"/>
      <protection locked="0"/>
    </xf>
    <xf numFmtId="1" fontId="51" fillId="5" borderId="57" xfId="0" applyNumberFormat="1" applyFont="1" applyFill="1" applyBorder="1" applyAlignment="1" applyProtection="1">
      <alignment horizontal="left"/>
      <protection locked="0"/>
    </xf>
    <xf numFmtId="1" fontId="51" fillId="5" borderId="32" xfId="0" applyNumberFormat="1" applyFont="1" applyFill="1" applyBorder="1" applyAlignment="1" applyProtection="1">
      <alignment horizontal="left"/>
      <protection locked="0"/>
    </xf>
    <xf numFmtId="1" fontId="51" fillId="3" borderId="422" xfId="0" applyNumberFormat="1" applyFont="1" applyFill="1" applyBorder="1" applyAlignment="1">
      <alignment horizontal="left" wrapText="1"/>
    </xf>
    <xf numFmtId="1" fontId="51" fillId="15" borderId="58" xfId="0" applyNumberFormat="1" applyFont="1" applyFill="1" applyBorder="1" applyAlignment="1" applyProtection="1">
      <alignment horizontal="left"/>
      <protection locked="0"/>
    </xf>
    <xf numFmtId="1" fontId="51" fillId="15" borderId="22" xfId="0" applyNumberFormat="1" applyFont="1" applyFill="1" applyBorder="1" applyAlignment="1" applyProtection="1">
      <alignment horizontal="left"/>
      <protection locked="0"/>
    </xf>
    <xf numFmtId="1" fontId="51" fillId="5" borderId="58" xfId="0" applyNumberFormat="1" applyFont="1" applyFill="1" applyBorder="1" applyAlignment="1" applyProtection="1">
      <alignment horizontal="left"/>
      <protection locked="0"/>
    </xf>
    <xf numFmtId="1" fontId="51" fillId="5" borderId="22" xfId="0" applyNumberFormat="1" applyFont="1" applyFill="1" applyBorder="1" applyAlignment="1" applyProtection="1">
      <alignment horizontal="left"/>
      <protection locked="0"/>
    </xf>
    <xf numFmtId="1" fontId="6" fillId="5" borderId="728" xfId="0" applyNumberFormat="1" applyFont="1" applyFill="1" applyBorder="1" applyProtection="1">
      <protection locked="0"/>
    </xf>
    <xf numFmtId="1" fontId="6" fillId="0" borderId="422" xfId="0" applyNumberFormat="1" applyFont="1" applyBorder="1" applyAlignment="1">
      <alignment horizontal="left" wrapText="1"/>
    </xf>
    <xf numFmtId="1" fontId="6" fillId="5" borderId="426" xfId="0" applyNumberFormat="1" applyFont="1" applyFill="1" applyBorder="1" applyAlignment="1" applyProtection="1">
      <alignment horizontal="left"/>
      <protection locked="0"/>
    </xf>
    <xf numFmtId="1" fontId="6" fillId="5" borderId="28" xfId="0" applyNumberFormat="1" applyFont="1" applyFill="1" applyBorder="1" applyAlignment="1" applyProtection="1">
      <alignment horizontal="left"/>
      <protection locked="0"/>
    </xf>
    <xf numFmtId="1" fontId="51" fillId="5" borderId="704" xfId="0" applyNumberFormat="1" applyFont="1" applyFill="1" applyBorder="1" applyAlignment="1" applyProtection="1">
      <alignment horizontal="left"/>
      <protection locked="0"/>
    </xf>
    <xf numFmtId="1" fontId="51" fillId="5" borderId="539" xfId="0" applyNumberFormat="1" applyFont="1" applyFill="1" applyBorder="1" applyAlignment="1" applyProtection="1">
      <alignment horizontal="left"/>
      <protection locked="0"/>
    </xf>
    <xf numFmtId="1" fontId="6" fillId="5" borderId="730" xfId="0" applyNumberFormat="1" applyFont="1" applyFill="1" applyBorder="1" applyAlignment="1" applyProtection="1">
      <alignment horizontal="left"/>
      <protection locked="0"/>
    </xf>
    <xf numFmtId="1" fontId="6" fillId="5" borderId="731" xfId="0" applyNumberFormat="1" applyFont="1" applyFill="1" applyBorder="1" applyAlignment="1" applyProtection="1">
      <alignment horizontal="left"/>
      <protection locked="0"/>
    </xf>
    <xf numFmtId="1" fontId="6" fillId="5" borderId="733" xfId="0" applyNumberFormat="1" applyFont="1" applyFill="1" applyBorder="1" applyAlignment="1" applyProtection="1">
      <alignment horizontal="left"/>
      <protection locked="0"/>
    </xf>
    <xf numFmtId="1" fontId="6" fillId="5" borderId="734" xfId="0" applyNumberFormat="1" applyFont="1" applyFill="1" applyBorder="1" applyAlignment="1" applyProtection="1">
      <alignment horizontal="left"/>
      <protection locked="0"/>
    </xf>
    <xf numFmtId="1" fontId="6" fillId="5" borderId="739" xfId="0" applyNumberFormat="1" applyFont="1" applyFill="1" applyBorder="1" applyAlignment="1" applyProtection="1">
      <alignment horizontal="left"/>
      <protection locked="0"/>
    </xf>
    <xf numFmtId="1" fontId="6" fillId="5" borderId="732" xfId="0" applyNumberFormat="1" applyFont="1" applyFill="1" applyBorder="1" applyAlignment="1" applyProtection="1">
      <alignment horizontal="left"/>
      <protection locked="0"/>
    </xf>
    <xf numFmtId="1" fontId="51" fillId="5" borderId="38" xfId="0" applyNumberFormat="1" applyFont="1" applyFill="1" applyBorder="1" applyAlignment="1" applyProtection="1">
      <alignment horizontal="left"/>
      <protection locked="0"/>
    </xf>
    <xf numFmtId="1" fontId="51" fillId="5" borderId="63" xfId="0" applyNumberFormat="1" applyFont="1" applyFill="1" applyBorder="1" applyAlignment="1" applyProtection="1">
      <alignment horizontal="left"/>
      <protection locked="0"/>
    </xf>
    <xf numFmtId="1" fontId="51" fillId="5" borderId="20" xfId="0" applyNumberFormat="1" applyFont="1" applyFill="1" applyBorder="1" applyAlignment="1" applyProtection="1">
      <alignment horizontal="left"/>
      <protection locked="0"/>
    </xf>
    <xf numFmtId="1" fontId="51" fillId="5" borderId="46" xfId="0" applyNumberFormat="1" applyFont="1" applyFill="1" applyBorder="1" applyAlignment="1" applyProtection="1">
      <alignment horizontal="left"/>
      <protection locked="0"/>
    </xf>
    <xf numFmtId="1" fontId="6" fillId="5" borderId="714" xfId="0" applyNumberFormat="1" applyFont="1" applyFill="1" applyBorder="1" applyAlignment="1" applyProtection="1">
      <alignment horizontal="left"/>
      <protection locked="0"/>
    </xf>
    <xf numFmtId="1" fontId="6" fillId="13" borderId="22" xfId="0" applyNumberFormat="1" applyFont="1" applyFill="1" applyBorder="1" applyAlignment="1">
      <alignment horizontal="left"/>
    </xf>
    <xf numFmtId="1" fontId="6" fillId="13" borderId="58" xfId="0" applyNumberFormat="1" applyFont="1" applyFill="1" applyBorder="1" applyAlignment="1">
      <alignment horizontal="left"/>
    </xf>
    <xf numFmtId="1" fontId="51" fillId="3" borderId="739" xfId="0" applyNumberFormat="1" applyFont="1" applyFill="1" applyBorder="1" applyAlignment="1">
      <alignment horizontal="left"/>
    </xf>
    <xf numFmtId="1" fontId="51" fillId="3" borderId="37" xfId="0" applyNumberFormat="1" applyFont="1" applyFill="1" applyBorder="1" applyAlignment="1">
      <alignment horizontal="left"/>
    </xf>
    <xf numFmtId="1" fontId="51" fillId="3" borderId="24" xfId="0" applyNumberFormat="1" applyFont="1" applyFill="1" applyBorder="1" applyAlignment="1">
      <alignment horizontal="left"/>
    </xf>
    <xf numFmtId="1" fontId="13" fillId="5" borderId="739" xfId="0" applyNumberFormat="1" applyFont="1" applyFill="1" applyBorder="1" applyProtection="1">
      <protection locked="0"/>
    </xf>
    <xf numFmtId="1" fontId="13" fillId="5" borderId="648" xfId="0" applyNumberFormat="1" applyFont="1" applyFill="1" applyBorder="1" applyProtection="1">
      <protection locked="0"/>
    </xf>
    <xf numFmtId="1" fontId="6" fillId="0" borderId="739" xfId="0" applyNumberFormat="1" applyFont="1" applyBorder="1" applyAlignment="1">
      <alignment vertical="center"/>
    </xf>
    <xf numFmtId="1" fontId="6" fillId="16" borderId="739" xfId="0" applyNumberFormat="1" applyFont="1" applyFill="1" applyBorder="1" applyProtection="1">
      <protection locked="0"/>
    </xf>
    <xf numFmtId="1" fontId="6" fillId="16" borderId="732" xfId="0" applyNumberFormat="1" applyFont="1" applyFill="1" applyBorder="1" applyProtection="1">
      <protection locked="0"/>
    </xf>
    <xf numFmtId="1" fontId="51" fillId="16" borderId="739" xfId="0" applyNumberFormat="1" applyFont="1" applyFill="1" applyBorder="1" applyProtection="1">
      <protection locked="0"/>
    </xf>
    <xf numFmtId="1" fontId="6" fillId="0" borderId="37" xfId="0" applyNumberFormat="1" applyFont="1" applyBorder="1" applyAlignment="1">
      <alignment horizontal="left" vertical="center" wrapText="1"/>
    </xf>
    <xf numFmtId="1" fontId="6" fillId="0" borderId="21" xfId="0" applyNumberFormat="1" applyFont="1" applyBorder="1" applyAlignment="1">
      <alignment horizontal="left"/>
    </xf>
    <xf numFmtId="1" fontId="6" fillId="0" borderId="51" xfId="0" applyNumberFormat="1" applyFont="1" applyBorder="1" applyAlignment="1">
      <alignment horizontal="left"/>
    </xf>
    <xf numFmtId="1" fontId="6" fillId="0" borderId="584" xfId="0" applyNumberFormat="1" applyFont="1" applyBorder="1" applyAlignment="1">
      <alignment horizontal="left"/>
    </xf>
    <xf numFmtId="1" fontId="6" fillId="0" borderId="606" xfId="0" applyNumberFormat="1" applyFont="1" applyBorder="1" applyAlignment="1">
      <alignment vertical="center" wrapText="1"/>
    </xf>
    <xf numFmtId="1" fontId="6" fillId="0" borderId="39" xfId="0" applyNumberFormat="1" applyFont="1" applyBorder="1" applyAlignment="1">
      <alignment wrapText="1"/>
    </xf>
    <xf numFmtId="1" fontId="6" fillId="0" borderId="652" xfId="0" applyNumberFormat="1" applyFont="1" applyBorder="1" applyAlignment="1">
      <alignment horizontal="left"/>
    </xf>
    <xf numFmtId="1" fontId="6" fillId="0" borderId="589" xfId="0" applyNumberFormat="1" applyFont="1" applyBorder="1" applyAlignment="1">
      <alignment horizontal="left"/>
    </xf>
    <xf numFmtId="1" fontId="6" fillId="0" borderId="23" xfId="0" applyNumberFormat="1" applyFont="1" applyBorder="1" applyAlignment="1">
      <alignment horizontal="left"/>
    </xf>
    <xf numFmtId="1" fontId="6" fillId="0" borderId="578" xfId="0" applyNumberFormat="1" applyFont="1" applyBorder="1" applyAlignment="1">
      <alignment vertical="center" wrapText="1"/>
    </xf>
    <xf numFmtId="1" fontId="6" fillId="0" borderId="24" xfId="0" applyNumberFormat="1" applyFont="1" applyBorder="1" applyAlignment="1">
      <alignment horizontal="left" vertical="center" wrapText="1"/>
    </xf>
    <xf numFmtId="1" fontId="6" fillId="0" borderId="40" xfId="0" applyNumberFormat="1" applyFont="1" applyBorder="1" applyAlignment="1">
      <alignment horizontal="left"/>
    </xf>
    <xf numFmtId="1" fontId="6" fillId="0" borderId="418" xfId="0" applyNumberFormat="1" applyFont="1" applyBorder="1" applyAlignment="1">
      <alignment horizontal="center" vertical="center"/>
    </xf>
    <xf numFmtId="1" fontId="6" fillId="0" borderId="703" xfId="0" applyNumberFormat="1" applyFont="1" applyBorder="1" applyAlignment="1">
      <alignment horizontal="left"/>
    </xf>
    <xf numFmtId="1" fontId="6" fillId="0" borderId="39" xfId="0" applyNumberFormat="1" applyFont="1" applyBorder="1" applyAlignment="1">
      <alignment horizontal="left"/>
    </xf>
    <xf numFmtId="1" fontId="2" fillId="3" borderId="0" xfId="0" applyNumberFormat="1" applyFont="1" applyFill="1" applyAlignment="1">
      <alignment wrapText="1"/>
    </xf>
    <xf numFmtId="1" fontId="6" fillId="3" borderId="51" xfId="0" applyNumberFormat="1" applyFont="1" applyFill="1" applyBorder="1" applyAlignment="1">
      <alignment horizontal="left"/>
    </xf>
    <xf numFmtId="1" fontId="6" fillId="3" borderId="21" xfId="0" applyNumberFormat="1" applyFont="1" applyFill="1" applyBorder="1" applyAlignment="1">
      <alignment horizontal="left"/>
    </xf>
    <xf numFmtId="1" fontId="51" fillId="0" borderId="51" xfId="0" applyNumberFormat="1" applyFont="1" applyBorder="1" applyAlignment="1">
      <alignment horizontal="left" vertical="center"/>
    </xf>
    <xf numFmtId="1" fontId="6" fillId="0" borderId="38" xfId="0" applyNumberFormat="1" applyFont="1" applyBorder="1" applyAlignment="1">
      <alignment horizontal="left"/>
    </xf>
    <xf numFmtId="1" fontId="6" fillId="0" borderId="63" xfId="0" applyNumberFormat="1" applyFont="1" applyBorder="1" applyAlignment="1">
      <alignment horizontal="left"/>
    </xf>
    <xf numFmtId="1" fontId="6" fillId="0" borderId="20" xfId="0" applyNumberFormat="1" applyFont="1" applyBorder="1" applyAlignment="1">
      <alignment horizontal="left"/>
    </xf>
    <xf numFmtId="1" fontId="6" fillId="0" borderId="46" xfId="0" applyNumberFormat="1" applyFont="1" applyBorder="1" applyAlignment="1">
      <alignment horizontal="left"/>
    </xf>
    <xf numFmtId="1" fontId="6" fillId="0" borderId="89" xfId="0" applyNumberFormat="1" applyFont="1" applyBorder="1" applyAlignment="1">
      <alignment horizontal="left"/>
    </xf>
    <xf numFmtId="1" fontId="6" fillId="5" borderId="757" xfId="0" applyNumberFormat="1" applyFont="1" applyFill="1" applyBorder="1" applyProtection="1">
      <protection locked="0"/>
    </xf>
    <xf numFmtId="1" fontId="6" fillId="5" borderId="758" xfId="0" applyNumberFormat="1" applyFont="1" applyFill="1" applyBorder="1" applyProtection="1">
      <protection locked="0"/>
    </xf>
    <xf numFmtId="1" fontId="6" fillId="0" borderId="410" xfId="0" applyNumberFormat="1" applyFont="1" applyBorder="1" applyAlignment="1">
      <alignment horizontal="left"/>
    </xf>
    <xf numFmtId="1" fontId="6" fillId="0" borderId="411" xfId="0" applyNumberFormat="1" applyFont="1" applyBorder="1" applyAlignment="1">
      <alignment horizontal="left"/>
    </xf>
    <xf numFmtId="1" fontId="6" fillId="5" borderId="404" xfId="0" applyNumberFormat="1" applyFont="1" applyFill="1" applyBorder="1" applyAlignment="1" applyProtection="1">
      <alignment horizontal="left"/>
      <protection locked="0"/>
    </xf>
    <xf numFmtId="1" fontId="6" fillId="0" borderId="471" xfId="0" applyNumberFormat="1" applyFont="1" applyBorder="1" applyAlignment="1">
      <alignment horizontal="left"/>
    </xf>
    <xf numFmtId="1" fontId="6" fillId="0" borderId="472" xfId="0" applyNumberFormat="1" applyFont="1" applyBorder="1" applyAlignment="1">
      <alignment horizontal="left"/>
    </xf>
    <xf numFmtId="1" fontId="6" fillId="0" borderId="473" xfId="0" applyNumberFormat="1" applyFont="1" applyBorder="1" applyAlignment="1">
      <alignment horizontal="left"/>
    </xf>
    <xf numFmtId="1" fontId="6" fillId="0" borderId="474" xfId="0" applyNumberFormat="1" applyFont="1" applyBorder="1" applyAlignment="1">
      <alignment horizontal="left"/>
    </xf>
    <xf numFmtId="1" fontId="6" fillId="0" borderId="475" xfId="0" applyNumberFormat="1" applyFont="1" applyBorder="1" applyAlignment="1">
      <alignment horizontal="left"/>
    </xf>
    <xf numFmtId="1" fontId="6" fillId="5" borderId="479" xfId="0" applyNumberFormat="1" applyFont="1" applyFill="1" applyBorder="1" applyAlignment="1" applyProtection="1">
      <alignment horizontal="left"/>
      <protection locked="0"/>
    </xf>
    <xf numFmtId="1" fontId="6" fillId="4" borderId="480" xfId="0" applyNumberFormat="1" applyFont="1" applyFill="1" applyBorder="1" applyAlignment="1">
      <alignment horizontal="left"/>
    </xf>
    <xf numFmtId="1" fontId="6" fillId="4" borderId="481" xfId="0" applyNumberFormat="1" applyFont="1" applyFill="1" applyBorder="1" applyAlignment="1">
      <alignment horizontal="left"/>
    </xf>
    <xf numFmtId="1" fontId="6" fillId="4" borderId="482" xfId="0" applyNumberFormat="1" applyFont="1" applyFill="1" applyBorder="1" applyAlignment="1">
      <alignment horizontal="left"/>
    </xf>
    <xf numFmtId="1" fontId="6" fillId="4" borderId="49" xfId="0" applyNumberFormat="1" applyFont="1" applyFill="1" applyBorder="1" applyAlignment="1">
      <alignment horizontal="left"/>
    </xf>
    <xf numFmtId="1" fontId="6" fillId="4" borderId="442" xfId="0" applyNumberFormat="1" applyFont="1" applyFill="1" applyBorder="1" applyAlignment="1">
      <alignment horizontal="left"/>
    </xf>
    <xf numFmtId="1" fontId="6" fillId="4" borderId="28" xfId="0" applyNumberFormat="1" applyFont="1" applyFill="1" applyBorder="1" applyAlignment="1">
      <alignment horizontal="left"/>
    </xf>
    <xf numFmtId="1" fontId="6" fillId="5" borderId="757" xfId="0" applyNumberFormat="1" applyFont="1" applyFill="1" applyBorder="1" applyAlignment="1" applyProtection="1">
      <alignment horizontal="right"/>
      <protection locked="0"/>
    </xf>
    <xf numFmtId="1" fontId="6" fillId="5" borderId="760" xfId="0" applyNumberFormat="1" applyFont="1" applyFill="1" applyBorder="1" applyAlignment="1" applyProtection="1">
      <alignment horizontal="right"/>
      <protection locked="0"/>
    </xf>
    <xf numFmtId="1" fontId="6" fillId="3" borderId="413" xfId="10" applyNumberFormat="1" applyFont="1" applyFill="1" applyBorder="1" applyAlignment="1">
      <alignment horizontal="left" vertical="center" wrapText="1"/>
    </xf>
    <xf numFmtId="1" fontId="6" fillId="5" borderId="414" xfId="10" applyNumberFormat="1" applyFont="1" applyFill="1" applyBorder="1" applyAlignment="1" applyProtection="1">
      <alignment horizontal="left" vertical="center" wrapText="1"/>
      <protection locked="0"/>
    </xf>
    <xf numFmtId="1" fontId="6" fillId="5" borderId="18" xfId="10" applyNumberFormat="1" applyFont="1" applyFill="1" applyBorder="1" applyAlignment="1" applyProtection="1">
      <alignment horizontal="left" vertical="center" wrapText="1"/>
      <protection locked="0"/>
    </xf>
    <xf numFmtId="1" fontId="6" fillId="3" borderId="37" xfId="10" applyNumberFormat="1" applyFont="1" applyFill="1" applyBorder="1" applyAlignment="1">
      <alignment horizontal="left" vertical="center" wrapText="1"/>
    </xf>
    <xf numFmtId="1" fontId="6" fillId="5" borderId="55" xfId="10" applyNumberFormat="1" applyFont="1" applyFill="1" applyBorder="1" applyAlignment="1" applyProtection="1">
      <alignment horizontal="left" vertical="center" wrapText="1"/>
      <protection locked="0"/>
    </xf>
    <xf numFmtId="1" fontId="6" fillId="5" borderId="36" xfId="10" applyNumberFormat="1" applyFont="1" applyFill="1" applyBorder="1" applyAlignment="1" applyProtection="1">
      <alignment horizontal="left" vertical="center" wrapText="1"/>
      <protection locked="0"/>
    </xf>
    <xf numFmtId="1" fontId="6" fillId="3" borderId="24" xfId="10" applyNumberFormat="1" applyFont="1" applyFill="1" applyBorder="1" applyAlignment="1">
      <alignment horizontal="left" vertical="center" wrapText="1"/>
    </xf>
    <xf numFmtId="1" fontId="6" fillId="0" borderId="761" xfId="0" applyNumberFormat="1" applyFont="1" applyBorder="1" applyAlignment="1">
      <alignment horizontal="center" vertical="center" wrapText="1"/>
    </xf>
    <xf numFmtId="1" fontId="6" fillId="5" borderId="761" xfId="0" applyNumberFormat="1" applyFont="1" applyFill="1" applyBorder="1" applyProtection="1">
      <protection locked="0"/>
    </xf>
    <xf numFmtId="1" fontId="6" fillId="5" borderId="413" xfId="0" applyNumberFormat="1" applyFont="1" applyFill="1" applyBorder="1" applyAlignment="1" applyProtection="1">
      <alignment horizontal="left" vertical="center" wrapText="1"/>
      <protection locked="0"/>
    </xf>
    <xf numFmtId="1" fontId="6" fillId="5" borderId="16" xfId="0" applyNumberFormat="1" applyFont="1" applyFill="1" applyBorder="1" applyAlignment="1" applyProtection="1">
      <alignment horizontal="left" vertical="center" wrapText="1"/>
      <protection locked="0"/>
    </xf>
    <xf numFmtId="1" fontId="6" fillId="5" borderId="45" xfId="0" applyNumberFormat="1" applyFont="1" applyFill="1" applyBorder="1" applyAlignment="1" applyProtection="1">
      <alignment horizontal="left" vertical="center" wrapText="1"/>
      <protection locked="0"/>
    </xf>
    <xf numFmtId="1" fontId="6" fillId="5" borderId="416" xfId="0" applyNumberFormat="1" applyFont="1" applyFill="1" applyBorder="1" applyAlignment="1" applyProtection="1">
      <alignment horizontal="left" vertical="center" wrapText="1"/>
      <protection locked="0"/>
    </xf>
    <xf numFmtId="1" fontId="6" fillId="5" borderId="37" xfId="0" applyNumberFormat="1" applyFont="1" applyFill="1" applyBorder="1" applyAlignment="1" applyProtection="1">
      <alignment horizontal="left" vertical="center" wrapText="1"/>
      <protection locked="0"/>
    </xf>
    <xf numFmtId="1" fontId="6" fillId="5" borderId="63" xfId="0" applyNumberFormat="1" applyFont="1" applyFill="1" applyBorder="1" applyAlignment="1" applyProtection="1">
      <alignment horizontal="left" vertical="center" wrapText="1"/>
      <protection locked="0"/>
    </xf>
    <xf numFmtId="1" fontId="6" fillId="5" borderId="29" xfId="0" applyNumberFormat="1" applyFont="1" applyFill="1" applyBorder="1" applyAlignment="1" applyProtection="1">
      <alignment horizontal="left"/>
      <protection locked="0"/>
    </xf>
    <xf numFmtId="1" fontId="6" fillId="5" borderId="414" xfId="0" applyNumberFormat="1" applyFont="1" applyFill="1" applyBorder="1" applyAlignment="1" applyProtection="1">
      <alignment horizontal="left" vertical="center" wrapText="1"/>
      <protection locked="0"/>
    </xf>
    <xf numFmtId="1" fontId="6" fillId="5" borderId="18" xfId="0" applyNumberFormat="1" applyFont="1" applyFill="1" applyBorder="1" applyAlignment="1" applyProtection="1">
      <alignment horizontal="left" vertical="center" wrapText="1"/>
      <protection locked="0"/>
    </xf>
    <xf numFmtId="1" fontId="6" fillId="5" borderId="418" xfId="0" applyNumberFormat="1" applyFont="1" applyFill="1" applyBorder="1" applyAlignment="1" applyProtection="1">
      <alignment horizontal="left" vertical="center" wrapText="1"/>
      <protection locked="0"/>
    </xf>
    <xf numFmtId="1" fontId="6" fillId="5" borderId="410" xfId="0" applyNumberFormat="1" applyFont="1" applyFill="1" applyBorder="1" applyAlignment="1" applyProtection="1">
      <alignment horizontal="left" vertical="center" wrapText="1"/>
      <protection locked="0"/>
    </xf>
    <xf numFmtId="1" fontId="6" fillId="5" borderId="411" xfId="0" applyNumberFormat="1" applyFont="1" applyFill="1" applyBorder="1" applyAlignment="1" applyProtection="1">
      <alignment horizontal="left" vertical="center" wrapText="1"/>
      <protection locked="0"/>
    </xf>
    <xf numFmtId="1" fontId="6" fillId="5" borderId="407" xfId="0" applyNumberFormat="1" applyFont="1" applyFill="1" applyBorder="1" applyAlignment="1" applyProtection="1">
      <alignment horizontal="left" vertical="center" wrapText="1"/>
      <protection locked="0"/>
    </xf>
    <xf numFmtId="1" fontId="6" fillId="5" borderId="41" xfId="0" applyNumberFormat="1" applyFont="1" applyFill="1" applyBorder="1" applyAlignment="1" applyProtection="1">
      <alignment horizontal="left" vertical="center" wrapText="1"/>
      <protection locked="0"/>
    </xf>
    <xf numFmtId="1" fontId="6" fillId="5" borderId="64" xfId="0" applyNumberFormat="1" applyFont="1" applyFill="1" applyBorder="1" applyAlignment="1" applyProtection="1">
      <alignment horizontal="left" vertical="center" wrapText="1"/>
      <protection locked="0"/>
    </xf>
    <xf numFmtId="1" fontId="6" fillId="5" borderId="31" xfId="0" applyNumberFormat="1" applyFont="1" applyFill="1" applyBorder="1" applyAlignment="1" applyProtection="1">
      <alignment horizontal="left" vertical="center" wrapText="1"/>
      <protection locked="0"/>
    </xf>
    <xf numFmtId="1" fontId="6" fillId="5" borderId="24" xfId="0" applyNumberFormat="1" applyFont="1" applyFill="1" applyBorder="1" applyAlignment="1" applyProtection="1">
      <alignment horizontal="left" vertical="center" wrapText="1"/>
      <protection locked="0"/>
    </xf>
    <xf numFmtId="1" fontId="6" fillId="5" borderId="46" xfId="0" applyNumberFormat="1" applyFont="1" applyFill="1" applyBorder="1" applyAlignment="1" applyProtection="1">
      <alignment horizontal="left" vertical="center" wrapText="1"/>
      <protection locked="0"/>
    </xf>
    <xf numFmtId="1" fontId="6" fillId="5" borderId="422" xfId="0" applyNumberFormat="1" applyFont="1" applyFill="1" applyBorder="1" applyAlignment="1" applyProtection="1">
      <alignment horizontal="left" vertical="center" wrapText="1"/>
      <protection locked="0"/>
    </xf>
    <xf numFmtId="1" fontId="6" fillId="5" borderId="25" xfId="0" applyNumberFormat="1" applyFont="1" applyFill="1" applyBorder="1" applyAlignment="1" applyProtection="1">
      <alignment horizontal="left" vertical="center" wrapText="1"/>
      <protection locked="0"/>
    </xf>
    <xf numFmtId="1" fontId="6" fillId="3" borderId="296" xfId="0" applyNumberFormat="1" applyFont="1" applyFill="1" applyBorder="1" applyAlignment="1">
      <alignment horizontal="left" vertical="center" wrapText="1"/>
    </xf>
    <xf numFmtId="1" fontId="6" fillId="5" borderId="311" xfId="0" applyNumberFormat="1" applyFont="1" applyFill="1" applyBorder="1" applyAlignment="1" applyProtection="1">
      <alignment horizontal="left" vertical="center" wrapText="1"/>
      <protection locked="0"/>
    </xf>
    <xf numFmtId="1" fontId="6" fillId="5" borderId="299" xfId="0" applyNumberFormat="1" applyFont="1" applyFill="1" applyBorder="1" applyAlignment="1" applyProtection="1">
      <alignment horizontal="left" vertical="center" wrapText="1"/>
      <protection locked="0"/>
    </xf>
    <xf numFmtId="1" fontId="6" fillId="5" borderId="428" xfId="0" applyNumberFormat="1" applyFont="1" applyFill="1" applyBorder="1" applyAlignment="1" applyProtection="1">
      <alignment horizontal="left" vertical="center" wrapText="1"/>
      <protection locked="0"/>
    </xf>
    <xf numFmtId="1" fontId="6" fillId="3" borderId="25" xfId="0" applyNumberFormat="1" applyFont="1" applyFill="1" applyBorder="1" applyAlignment="1">
      <alignment horizontal="left"/>
    </xf>
    <xf numFmtId="1" fontId="6" fillId="3" borderId="416" xfId="0" applyNumberFormat="1" applyFont="1" applyFill="1" applyBorder="1" applyAlignment="1">
      <alignment horizontal="left" wrapText="1"/>
    </xf>
    <xf numFmtId="1" fontId="6" fillId="5" borderId="16" xfId="0" applyNumberFormat="1" applyFont="1" applyFill="1" applyBorder="1" applyAlignment="1" applyProtection="1">
      <alignment horizontal="left" wrapText="1"/>
      <protection locked="0"/>
    </xf>
    <xf numFmtId="1" fontId="6" fillId="5" borderId="18" xfId="0" applyNumberFormat="1" applyFont="1" applyFill="1" applyBorder="1" applyAlignment="1" applyProtection="1">
      <alignment horizontal="left" wrapText="1"/>
      <protection locked="0"/>
    </xf>
    <xf numFmtId="1" fontId="6" fillId="3" borderId="21" xfId="0" applyNumberFormat="1" applyFont="1" applyFill="1" applyBorder="1" applyAlignment="1">
      <alignment horizontal="left" wrapText="1"/>
    </xf>
    <xf numFmtId="1" fontId="6" fillId="5" borderId="20" xfId="0" applyNumberFormat="1" applyFont="1" applyFill="1" applyBorder="1" applyAlignment="1" applyProtection="1">
      <alignment horizontal="left" wrapText="1"/>
      <protection locked="0"/>
    </xf>
    <xf numFmtId="1" fontId="6" fillId="5" borderId="22" xfId="0" applyNumberFormat="1" applyFont="1" applyFill="1" applyBorder="1" applyAlignment="1" applyProtection="1">
      <alignment horizontal="left" wrapText="1"/>
      <protection locked="0"/>
    </xf>
    <xf numFmtId="1" fontId="6" fillId="3" borderId="422" xfId="0" applyNumberFormat="1" applyFont="1" applyFill="1" applyBorder="1" applyAlignment="1">
      <alignment horizontal="left"/>
    </xf>
    <xf numFmtId="1" fontId="6" fillId="5" borderId="63" xfId="0" applyNumberFormat="1" applyFont="1" applyFill="1" applyBorder="1" applyAlignment="1" applyProtection="1">
      <alignment horizontal="left" wrapText="1"/>
      <protection locked="0"/>
    </xf>
    <xf numFmtId="1" fontId="6" fillId="5" borderId="46" xfId="0" applyNumberFormat="1" applyFont="1" applyFill="1" applyBorder="1" applyAlignment="1" applyProtection="1">
      <alignment horizontal="left" wrapText="1"/>
      <protection locked="0"/>
    </xf>
    <xf numFmtId="1" fontId="26" fillId="0" borderId="0" xfId="0" applyNumberFormat="1" applyFont="1" applyFill="1" applyProtection="1">
      <protection locked="0"/>
    </xf>
    <xf numFmtId="1" fontId="86" fillId="3" borderId="0" xfId="0" applyNumberFormat="1" applyFont="1" applyFill="1" applyAlignment="1">
      <alignment horizontal="center"/>
    </xf>
    <xf numFmtId="1" fontId="26" fillId="26" borderId="0" xfId="0" applyNumberFormat="1" applyFont="1" applyFill="1" applyProtection="1">
      <protection locked="0"/>
    </xf>
    <xf numFmtId="1" fontId="6" fillId="5" borderId="599" xfId="0" applyNumberFormat="1" applyFont="1" applyFill="1" applyBorder="1" applyAlignment="1" applyProtection="1">
      <alignment horizontal="right"/>
      <protection locked="0"/>
    </xf>
    <xf numFmtId="1" fontId="6" fillId="5" borderId="357" xfId="0" applyNumberFormat="1" applyFont="1" applyFill="1" applyBorder="1" applyAlignment="1" applyProtection="1">
      <alignment horizontal="left"/>
      <protection locked="0"/>
    </xf>
    <xf numFmtId="1" fontId="6" fillId="5" borderId="104" xfId="0" applyNumberFormat="1" applyFont="1" applyFill="1" applyBorder="1" applyAlignment="1" applyProtection="1">
      <alignment horizontal="left"/>
      <protection locked="0"/>
    </xf>
    <xf numFmtId="1" fontId="6" fillId="5" borderId="359" xfId="0" applyNumberFormat="1" applyFont="1" applyFill="1" applyBorder="1" applyAlignment="1" applyProtection="1">
      <alignment horizontal="left"/>
      <protection locked="0"/>
    </xf>
    <xf numFmtId="1" fontId="6" fillId="5" borderId="102" xfId="0" applyNumberFormat="1" applyFont="1" applyFill="1" applyBorder="1" applyAlignment="1" applyProtection="1">
      <alignment horizontal="left"/>
      <protection locked="0"/>
    </xf>
    <xf numFmtId="1" fontId="6" fillId="5" borderId="103" xfId="0" applyNumberFormat="1" applyFont="1" applyFill="1" applyBorder="1" applyAlignment="1" applyProtection="1">
      <alignment horizontal="left"/>
      <protection locked="0"/>
    </xf>
    <xf numFmtId="1" fontId="6" fillId="5" borderId="49" xfId="0" applyNumberFormat="1" applyFont="1" applyFill="1" applyBorder="1" applyAlignment="1" applyProtection="1">
      <alignment horizontal="left"/>
      <protection locked="0"/>
    </xf>
    <xf numFmtId="1" fontId="6" fillId="5" borderId="109" xfId="0" applyNumberFormat="1" applyFont="1" applyFill="1" applyBorder="1" applyAlignment="1" applyProtection="1">
      <alignment horizontal="left"/>
      <protection locked="0"/>
    </xf>
    <xf numFmtId="1" fontId="6" fillId="5" borderId="41" xfId="0" applyNumberFormat="1" applyFont="1" applyFill="1" applyBorder="1" applyAlignment="1" applyProtection="1">
      <alignment horizontal="left" vertical="center"/>
      <protection locked="0"/>
    </xf>
    <xf numFmtId="1" fontId="6" fillId="5" borderId="101" xfId="0" applyNumberFormat="1" applyFont="1" applyFill="1" applyBorder="1" applyAlignment="1" applyProtection="1">
      <alignment horizontal="left"/>
      <protection locked="0"/>
    </xf>
    <xf numFmtId="1" fontId="6" fillId="5" borderId="361" xfId="0" applyNumberFormat="1" applyFont="1" applyFill="1" applyBorder="1" applyAlignment="1" applyProtection="1">
      <alignment horizontal="left"/>
      <protection locked="0"/>
    </xf>
    <xf numFmtId="1" fontId="6" fillId="5" borderId="96" xfId="0" applyNumberFormat="1" applyFont="1" applyFill="1" applyBorder="1" applyAlignment="1" applyProtection="1">
      <alignment horizontal="left"/>
      <protection locked="0"/>
    </xf>
    <xf numFmtId="1" fontId="6" fillId="5" borderId="105" xfId="0" applyNumberFormat="1" applyFont="1" applyFill="1" applyBorder="1" applyAlignment="1" applyProtection="1">
      <alignment horizontal="left"/>
      <protection locked="0"/>
    </xf>
    <xf numFmtId="1" fontId="6" fillId="5" borderId="301" xfId="0" applyNumberFormat="1" applyFont="1" applyFill="1" applyBorder="1" applyAlignment="1" applyProtection="1">
      <alignment horizontal="left"/>
      <protection locked="0"/>
    </xf>
    <xf numFmtId="1" fontId="6" fillId="5" borderId="336" xfId="0" applyNumberFormat="1" applyFont="1" applyFill="1" applyBorder="1" applyAlignment="1" applyProtection="1">
      <alignment horizontal="left"/>
      <protection locked="0"/>
    </xf>
    <xf numFmtId="1" fontId="6" fillId="5" borderId="298" xfId="0" applyNumberFormat="1" applyFont="1" applyFill="1" applyBorder="1" applyAlignment="1" applyProtection="1">
      <alignment horizontal="left"/>
      <protection locked="0"/>
    </xf>
    <xf numFmtId="1" fontId="6" fillId="5" borderId="252" xfId="0" applyNumberFormat="1" applyFont="1" applyFill="1" applyBorder="1" applyAlignment="1" applyProtection="1">
      <alignment horizontal="left"/>
      <protection locked="0"/>
    </xf>
    <xf numFmtId="1" fontId="6" fillId="0" borderId="339" xfId="0" applyNumberFormat="1" applyFont="1" applyBorder="1" applyAlignment="1">
      <alignment horizontal="left"/>
    </xf>
    <xf numFmtId="1" fontId="6" fillId="5" borderId="54" xfId="0" applyNumberFormat="1" applyFont="1" applyFill="1" applyBorder="1" applyAlignment="1" applyProtection="1">
      <alignment horizontal="left"/>
      <protection locked="0"/>
    </xf>
    <xf numFmtId="1" fontId="6" fillId="5" borderId="283" xfId="0" applyNumberFormat="1" applyFont="1" applyFill="1" applyBorder="1" applyAlignment="1" applyProtection="1">
      <alignment horizontal="left"/>
      <protection locked="0"/>
    </xf>
    <xf numFmtId="1" fontId="6" fillId="5" borderId="340" xfId="0" applyNumberFormat="1" applyFont="1" applyFill="1" applyBorder="1" applyAlignment="1" applyProtection="1">
      <alignment horizontal="left"/>
      <protection locked="0"/>
    </xf>
    <xf numFmtId="1" fontId="51" fillId="0" borderId="19" xfId="0" applyNumberFormat="1" applyFont="1" applyBorder="1" applyAlignment="1">
      <alignment vertical="top" wrapText="1"/>
    </xf>
    <xf numFmtId="1" fontId="51" fillId="0" borderId="339" xfId="0" applyNumberFormat="1" applyFont="1" applyBorder="1" applyAlignment="1">
      <alignment vertical="top" wrapText="1"/>
    </xf>
    <xf numFmtId="1" fontId="26" fillId="0" borderId="0" xfId="0" applyNumberFormat="1" applyFont="1" applyBorder="1"/>
    <xf numFmtId="1" fontId="6" fillId="0" borderId="761" xfId="0" applyNumberFormat="1" applyFont="1" applyBorder="1" applyAlignment="1">
      <alignment horizontal="right" vertical="center"/>
    </xf>
    <xf numFmtId="1" fontId="6" fillId="5" borderId="758" xfId="0" applyNumberFormat="1" applyFont="1" applyFill="1" applyBorder="1" applyAlignment="1" applyProtection="1">
      <alignment horizontal="right"/>
      <protection locked="0"/>
    </xf>
    <xf numFmtId="1" fontId="6" fillId="5" borderId="762" xfId="0" applyNumberFormat="1" applyFont="1" applyFill="1" applyBorder="1" applyAlignment="1" applyProtection="1">
      <alignment horizontal="right"/>
      <protection locked="0"/>
    </xf>
    <xf numFmtId="1" fontId="6" fillId="5" borderId="764" xfId="0" applyNumberFormat="1" applyFont="1" applyFill="1" applyBorder="1" applyAlignment="1" applyProtection="1">
      <alignment horizontal="right"/>
      <protection locked="0"/>
    </xf>
    <xf numFmtId="1" fontId="6" fillId="5" borderId="766" xfId="0" applyNumberFormat="1" applyFont="1" applyFill="1" applyBorder="1" applyAlignment="1" applyProtection="1">
      <alignment horizontal="right"/>
      <protection locked="0"/>
    </xf>
    <xf numFmtId="1" fontId="51" fillId="0" borderId="21" xfId="0" applyNumberFormat="1" applyFont="1" applyBorder="1" applyAlignment="1">
      <alignment horizontal="left" vertical="center"/>
    </xf>
    <xf numFmtId="1" fontId="6" fillId="0" borderId="648" xfId="0" applyNumberFormat="1" applyFont="1" applyBorder="1" applyAlignment="1">
      <alignment horizontal="right" vertical="center"/>
    </xf>
    <xf numFmtId="1" fontId="6" fillId="5" borderId="31" xfId="0" applyNumberFormat="1" applyFont="1" applyFill="1" applyBorder="1" applyAlignment="1" applyProtection="1">
      <alignment horizontal="left" wrapText="1"/>
      <protection locked="0"/>
    </xf>
    <xf numFmtId="1" fontId="6" fillId="0" borderId="277" xfId="0" applyNumberFormat="1" applyFont="1" applyBorder="1" applyAlignment="1">
      <alignment horizontal="left"/>
    </xf>
    <xf numFmtId="1" fontId="6" fillId="5" borderId="278" xfId="0" applyNumberFormat="1" applyFont="1" applyFill="1" applyBorder="1" applyAlignment="1" applyProtection="1">
      <alignment horizontal="left"/>
      <protection locked="0"/>
    </xf>
    <xf numFmtId="1" fontId="6" fillId="5" borderId="277" xfId="0" applyNumberFormat="1" applyFont="1" applyFill="1" applyBorder="1" applyAlignment="1" applyProtection="1">
      <alignment horizontal="left"/>
      <protection locked="0"/>
    </xf>
    <xf numFmtId="1" fontId="6" fillId="5" borderId="264" xfId="0" applyNumberFormat="1" applyFont="1" applyFill="1" applyBorder="1" applyAlignment="1" applyProtection="1">
      <alignment horizontal="left"/>
      <protection locked="0"/>
    </xf>
    <xf numFmtId="1" fontId="6" fillId="3" borderId="33" xfId="0" applyNumberFormat="1" applyFont="1" applyFill="1" applyBorder="1" applyAlignment="1">
      <alignment horizontal="left" wrapText="1"/>
    </xf>
    <xf numFmtId="1" fontId="6" fillId="3" borderId="565" xfId="0" applyNumberFormat="1" applyFont="1" applyFill="1" applyBorder="1" applyAlignment="1">
      <alignment horizontal="left" wrapText="1"/>
    </xf>
    <xf numFmtId="1" fontId="6" fillId="0" borderId="490" xfId="0" applyNumberFormat="1" applyFont="1" applyBorder="1" applyAlignment="1">
      <alignment horizontal="left"/>
    </xf>
    <xf numFmtId="1" fontId="6" fillId="5" borderId="490" xfId="0" applyNumberFormat="1" applyFont="1" applyFill="1" applyBorder="1" applyAlignment="1" applyProtection="1">
      <alignment horizontal="left"/>
      <protection locked="0"/>
    </xf>
    <xf numFmtId="1" fontId="6" fillId="0" borderId="770" xfId="0" applyNumberFormat="1" applyFont="1" applyBorder="1"/>
    <xf numFmtId="1" fontId="6" fillId="3" borderId="37" xfId="0" applyNumberFormat="1" applyFont="1" applyFill="1" applyBorder="1" applyAlignment="1">
      <alignment vertical="top" wrapText="1"/>
    </xf>
    <xf numFmtId="1" fontId="40" fillId="0" borderId="540" xfId="0" applyNumberFormat="1" applyFont="1" applyBorder="1"/>
    <xf numFmtId="1" fontId="40" fillId="0" borderId="540" xfId="0" applyNumberFormat="1" applyFont="1" applyBorder="1" applyAlignment="1">
      <alignment wrapText="1"/>
    </xf>
    <xf numFmtId="1" fontId="40" fillId="0" borderId="24" xfId="0" applyNumberFormat="1" applyFont="1" applyBorder="1" applyAlignment="1">
      <alignment horizontal="left" vertical="center"/>
    </xf>
    <xf numFmtId="1" fontId="6" fillId="5" borderId="25" xfId="0" applyNumberFormat="1" applyFont="1" applyFill="1" applyBorder="1" applyAlignment="1" applyProtection="1">
      <alignment horizontal="left" vertical="center"/>
      <protection locked="0"/>
    </xf>
    <xf numFmtId="1" fontId="6" fillId="4" borderId="768" xfId="0" applyNumberFormat="1" applyFont="1" applyFill="1" applyBorder="1"/>
    <xf numFmtId="1" fontId="6" fillId="4" borderId="775" xfId="0" applyNumberFormat="1" applyFont="1" applyFill="1" applyBorder="1"/>
    <xf numFmtId="1" fontId="6" fillId="13" borderId="770" xfId="0" applyNumberFormat="1" applyFont="1" applyFill="1" applyBorder="1"/>
    <xf numFmtId="1" fontId="6" fillId="13" borderId="775" xfId="0" applyNumberFormat="1" applyFont="1" applyFill="1" applyBorder="1"/>
    <xf numFmtId="1" fontId="6" fillId="4" borderId="778" xfId="0" applyNumberFormat="1" applyFont="1" applyFill="1" applyBorder="1"/>
    <xf numFmtId="1" fontId="6" fillId="35" borderId="770" xfId="0" applyNumberFormat="1" applyFont="1" applyFill="1" applyBorder="1" applyProtection="1"/>
    <xf numFmtId="1" fontId="6" fillId="35" borderId="775" xfId="0" applyNumberFormat="1" applyFont="1" applyFill="1" applyBorder="1" applyProtection="1"/>
    <xf numFmtId="1" fontId="6" fillId="35" borderId="37" xfId="0" applyNumberFormat="1" applyFont="1" applyFill="1" applyBorder="1" applyProtection="1"/>
    <xf numFmtId="1" fontId="6" fillId="35" borderId="51" xfId="0" applyNumberFormat="1" applyFont="1" applyFill="1" applyBorder="1" applyProtection="1"/>
    <xf numFmtId="1" fontId="6" fillId="2" borderId="771" xfId="24" applyNumberFormat="1" applyFont="1" applyBorder="1" applyAlignment="1" applyProtection="1">
      <alignment horizontal="left" vertical="center"/>
      <protection locked="0"/>
    </xf>
    <xf numFmtId="1" fontId="6" fillId="2" borderId="37" xfId="24" applyNumberFormat="1" applyFont="1" applyBorder="1" applyAlignment="1" applyProtection="1">
      <alignment horizontal="left" vertical="center"/>
      <protection locked="0"/>
    </xf>
    <xf numFmtId="1" fontId="40" fillId="2" borderId="37" xfId="24" applyNumberFormat="1" applyFont="1" applyBorder="1" applyAlignment="1" applyProtection="1">
      <alignment horizontal="left" vertical="center"/>
      <protection locked="0"/>
    </xf>
    <xf numFmtId="1" fontId="6" fillId="2" borderId="445" xfId="24" applyNumberFormat="1" applyFont="1" applyBorder="1" applyAlignment="1" applyProtection="1">
      <alignment horizontal="left" vertical="center"/>
      <protection locked="0"/>
    </xf>
    <xf numFmtId="1" fontId="6" fillId="2" borderId="186" xfId="24" applyNumberFormat="1" applyFont="1" applyBorder="1" applyAlignment="1" applyProtection="1">
      <alignment horizontal="left" vertical="center"/>
      <protection locked="0"/>
    </xf>
    <xf numFmtId="1" fontId="6" fillId="2" borderId="419" xfId="24" applyNumberFormat="1" applyFont="1" applyBorder="1" applyAlignment="1" applyProtection="1">
      <alignment horizontal="left" vertical="center"/>
      <protection locked="0"/>
    </xf>
    <xf numFmtId="1" fontId="6" fillId="2" borderId="188" xfId="24" applyNumberFormat="1" applyFont="1" applyBorder="1" applyAlignment="1" applyProtection="1">
      <alignment horizontal="left" vertical="center"/>
      <protection locked="0"/>
    </xf>
    <xf numFmtId="1" fontId="6" fillId="0" borderId="779" xfId="0" applyNumberFormat="1" applyFont="1" applyBorder="1" applyAlignment="1">
      <alignment horizontal="center" vertical="center"/>
    </xf>
    <xf numFmtId="1" fontId="6" fillId="5" borderId="781" xfId="0" applyNumberFormat="1" applyFont="1" applyFill="1" applyBorder="1" applyProtection="1">
      <protection locked="0"/>
    </xf>
    <xf numFmtId="1" fontId="6" fillId="0" borderId="770" xfId="0" applyNumberFormat="1" applyFont="1" applyBorder="1" applyAlignment="1">
      <alignment horizontal="center" vertical="center"/>
    </xf>
    <xf numFmtId="1" fontId="51" fillId="0" borderId="562" xfId="0" applyNumberFormat="1" applyFont="1" applyBorder="1"/>
    <xf numFmtId="1" fontId="51" fillId="0" borderId="648" xfId="0" applyNumberFormat="1" applyFont="1" applyBorder="1"/>
    <xf numFmtId="1" fontId="6" fillId="0" borderId="771" xfId="0" applyNumberFormat="1" applyFont="1" applyBorder="1"/>
    <xf numFmtId="1" fontId="51" fillId="0" borderId="495" xfId="0" applyNumberFormat="1" applyFont="1" applyBorder="1"/>
    <xf numFmtId="1" fontId="6" fillId="0" borderId="58" xfId="0" applyNumberFormat="1" applyFont="1" applyBorder="1" applyAlignment="1">
      <alignment vertical="center"/>
    </xf>
    <xf numFmtId="1" fontId="6" fillId="0" borderId="20" xfId="0" applyNumberFormat="1" applyFont="1" applyBorder="1" applyAlignment="1">
      <alignment vertical="center"/>
    </xf>
    <xf numFmtId="1" fontId="6" fillId="0" borderId="69" xfId="0" applyNumberFormat="1" applyFont="1" applyBorder="1" applyAlignment="1">
      <alignment vertical="center"/>
    </xf>
    <xf numFmtId="1" fontId="6" fillId="0" borderId="125" xfId="0" applyNumberFormat="1" applyFont="1" applyBorder="1" applyAlignment="1">
      <alignment vertical="center"/>
    </xf>
    <xf numFmtId="1" fontId="6" fillId="0" borderId="278" xfId="0" applyNumberFormat="1" applyFont="1" applyBorder="1" applyAlignment="1">
      <alignment vertical="center"/>
    </xf>
    <xf numFmtId="1" fontId="6" fillId="0" borderId="144" xfId="0" applyNumberFormat="1" applyFont="1" applyBorder="1" applyAlignment="1">
      <alignment vertical="center"/>
    </xf>
    <xf numFmtId="1" fontId="6" fillId="0" borderId="120" xfId="0" applyNumberFormat="1" applyFont="1" applyBorder="1" applyAlignment="1">
      <alignment vertical="center"/>
    </xf>
    <xf numFmtId="1" fontId="13" fillId="0" borderId="771" xfId="0" applyNumberFormat="1" applyFont="1" applyBorder="1" applyAlignment="1">
      <alignment vertical="center" wrapText="1"/>
    </xf>
    <xf numFmtId="1" fontId="13" fillId="0" borderId="37" xfId="0" applyNumberFormat="1" applyFont="1" applyBorder="1" applyAlignment="1" applyProtection="1">
      <alignment vertical="center" wrapText="1"/>
      <protection locked="0"/>
    </xf>
    <xf numFmtId="1" fontId="51" fillId="0" borderId="412" xfId="0" applyNumberFormat="1" applyFont="1" applyBorder="1" applyAlignment="1">
      <alignment vertical="center"/>
    </xf>
    <xf numFmtId="1" fontId="51" fillId="0" borderId="13" xfId="0" applyNumberFormat="1" applyFont="1" applyBorder="1" applyAlignment="1">
      <alignment vertical="center"/>
    </xf>
    <xf numFmtId="1" fontId="51" fillId="0" borderId="410" xfId="0" applyNumberFormat="1" applyFont="1" applyBorder="1" applyAlignment="1">
      <alignment vertical="center"/>
    </xf>
    <xf numFmtId="1" fontId="51" fillId="0" borderId="118" xfId="0" applyNumberFormat="1" applyFont="1" applyBorder="1" applyAlignment="1">
      <alignment vertical="center"/>
    </xf>
    <xf numFmtId="1" fontId="51" fillId="3" borderId="100" xfId="0" applyNumberFormat="1" applyFont="1" applyFill="1" applyBorder="1" applyAlignment="1">
      <alignment vertical="center"/>
    </xf>
    <xf numFmtId="1" fontId="51" fillId="3" borderId="412" xfId="0" applyNumberFormat="1" applyFont="1" applyFill="1" applyBorder="1" applyAlignment="1">
      <alignment vertical="center"/>
    </xf>
    <xf numFmtId="1" fontId="51" fillId="3" borderId="406" xfId="0" applyNumberFormat="1" applyFont="1" applyFill="1" applyBorder="1" applyAlignment="1">
      <alignment vertical="center"/>
    </xf>
    <xf numFmtId="1" fontId="51" fillId="3" borderId="125" xfId="0" applyNumberFormat="1" applyFont="1" applyFill="1" applyBorder="1" applyAlignment="1">
      <alignment vertical="center"/>
    </xf>
    <xf numFmtId="1" fontId="51" fillId="3" borderId="411" xfId="0" applyNumberFormat="1" applyFont="1" applyFill="1" applyBorder="1" applyAlignment="1">
      <alignment vertical="center"/>
    </xf>
    <xf numFmtId="1" fontId="51" fillId="3" borderId="410" xfId="0" applyNumberFormat="1" applyFont="1" applyFill="1" applyBorder="1" applyAlignment="1">
      <alignment vertical="center"/>
    </xf>
    <xf numFmtId="1" fontId="51" fillId="3" borderId="13" xfId="0" applyNumberFormat="1" applyFont="1" applyFill="1" applyBorder="1" applyAlignment="1">
      <alignment vertical="center"/>
    </xf>
    <xf numFmtId="0" fontId="51" fillId="0" borderId="771" xfId="0" applyFont="1" applyBorder="1" applyAlignment="1">
      <alignment horizontal="left" vertical="center" wrapText="1"/>
    </xf>
    <xf numFmtId="0" fontId="51" fillId="0" borderId="562" xfId="0" applyFont="1" applyBorder="1" applyAlignment="1">
      <alignment horizontal="left" vertical="center" wrapText="1"/>
    </xf>
    <xf numFmtId="0" fontId="62" fillId="26" borderId="0" xfId="0" applyFont="1" applyFill="1"/>
    <xf numFmtId="1" fontId="40" fillId="5" borderId="81" xfId="0" applyNumberFormat="1" applyFont="1" applyFill="1" applyBorder="1" applyProtection="1">
      <protection locked="0"/>
    </xf>
    <xf numFmtId="1" fontId="40" fillId="5" borderId="111" xfId="0" applyNumberFormat="1" applyFont="1" applyFill="1" applyBorder="1" applyProtection="1">
      <protection locked="0"/>
    </xf>
    <xf numFmtId="1" fontId="40" fillId="5" borderId="9" xfId="0" applyNumberFormat="1" applyFont="1" applyFill="1" applyBorder="1" applyProtection="1">
      <protection locked="0"/>
    </xf>
    <xf numFmtId="1" fontId="51" fillId="5" borderId="20" xfId="0" applyNumberFormat="1" applyFont="1" applyFill="1" applyBorder="1" applyAlignment="1" applyProtection="1">
      <alignment vertical="center"/>
      <protection locked="0"/>
    </xf>
    <xf numFmtId="1" fontId="51" fillId="5" borderId="21" xfId="0" applyNumberFormat="1" applyFont="1" applyFill="1" applyBorder="1" applyAlignment="1" applyProtection="1">
      <alignment vertical="center"/>
      <protection locked="0"/>
    </xf>
    <xf numFmtId="1" fontId="51" fillId="5" borderId="38" xfId="0" applyNumberFormat="1" applyFont="1" applyFill="1" applyBorder="1" applyAlignment="1" applyProtection="1">
      <alignment vertical="center"/>
      <protection locked="0"/>
    </xf>
    <xf numFmtId="1" fontId="51" fillId="5" borderId="51" xfId="0" applyNumberFormat="1" applyFont="1" applyFill="1" applyBorder="1" applyAlignment="1" applyProtection="1">
      <alignment vertical="center"/>
      <protection locked="0"/>
    </xf>
    <xf numFmtId="1" fontId="51" fillId="5" borderId="30" xfId="0" applyNumberFormat="1" applyFont="1" applyFill="1" applyBorder="1" applyAlignment="1" applyProtection="1">
      <alignment horizontal="left" vertical="center"/>
      <protection locked="0"/>
    </xf>
    <xf numFmtId="1" fontId="51" fillId="5" borderId="32" xfId="0" applyNumberFormat="1" applyFont="1" applyFill="1" applyBorder="1" applyAlignment="1" applyProtection="1">
      <alignment horizontal="left" vertical="center"/>
      <protection locked="0"/>
    </xf>
    <xf numFmtId="1" fontId="51" fillId="5" borderId="57" xfId="0" applyNumberFormat="1" applyFont="1" applyFill="1" applyBorder="1" applyAlignment="1" applyProtection="1">
      <alignment horizontal="left" vertical="center"/>
      <protection locked="0"/>
    </xf>
    <xf numFmtId="1" fontId="51" fillId="5" borderId="129" xfId="0" applyNumberFormat="1" applyFont="1" applyFill="1" applyBorder="1" applyAlignment="1" applyProtection="1">
      <alignment horizontal="left" vertical="center"/>
      <protection locked="0"/>
    </xf>
    <xf numFmtId="1" fontId="51" fillId="16" borderId="39" xfId="0" applyNumberFormat="1" applyFont="1" applyFill="1" applyBorder="1" applyAlignment="1" applyProtection="1">
      <alignment horizontal="left" vertical="center"/>
      <protection locked="0"/>
    </xf>
    <xf numFmtId="1" fontId="51" fillId="5" borderId="29" xfId="0" applyNumberFormat="1" applyFont="1" applyFill="1" applyBorder="1" applyAlignment="1" applyProtection="1">
      <alignment horizontal="left" vertical="center"/>
      <protection locked="0"/>
    </xf>
    <xf numFmtId="1" fontId="51" fillId="5" borderId="39" xfId="0" applyNumberFormat="1" applyFont="1" applyFill="1" applyBorder="1" applyAlignment="1" applyProtection="1">
      <alignment horizontal="left" vertical="center"/>
      <protection locked="0"/>
    </xf>
    <xf numFmtId="1" fontId="51" fillId="5" borderId="217" xfId="0" applyNumberFormat="1" applyFont="1" applyFill="1" applyBorder="1" applyAlignment="1" applyProtection="1">
      <alignment horizontal="left" vertical="center"/>
      <protection locked="0"/>
    </xf>
    <xf numFmtId="1" fontId="51" fillId="5" borderId="20" xfId="0" applyNumberFormat="1" applyFont="1" applyFill="1" applyBorder="1" applyAlignment="1" applyProtection="1">
      <alignment horizontal="left" vertical="center"/>
      <protection locked="0"/>
    </xf>
    <xf numFmtId="1" fontId="51" fillId="5" borderId="22" xfId="0" applyNumberFormat="1" applyFont="1" applyFill="1" applyBorder="1" applyAlignment="1" applyProtection="1">
      <alignment horizontal="left" vertical="center"/>
      <protection locked="0"/>
    </xf>
    <xf numFmtId="1" fontId="51" fillId="5" borderId="58" xfId="0" applyNumberFormat="1" applyFont="1" applyFill="1" applyBorder="1" applyAlignment="1" applyProtection="1">
      <alignment horizontal="left" vertical="center"/>
      <protection locked="0"/>
    </xf>
    <xf numFmtId="1" fontId="51" fillId="5" borderId="120" xfId="0" applyNumberFormat="1" applyFont="1" applyFill="1" applyBorder="1" applyAlignment="1" applyProtection="1">
      <alignment horizontal="left" vertical="center"/>
      <protection locked="0"/>
    </xf>
    <xf numFmtId="1" fontId="51" fillId="16" borderId="21" xfId="0" applyNumberFormat="1" applyFont="1" applyFill="1" applyBorder="1" applyAlignment="1" applyProtection="1">
      <alignment horizontal="left" vertical="center"/>
      <protection locked="0"/>
    </xf>
    <xf numFmtId="1" fontId="51" fillId="5" borderId="24" xfId="0" applyNumberFormat="1" applyFont="1" applyFill="1" applyBorder="1" applyAlignment="1" applyProtection="1">
      <alignment horizontal="left" vertical="center"/>
      <protection locked="0"/>
    </xf>
    <xf numFmtId="1" fontId="51" fillId="5" borderId="21" xfId="0" applyNumberFormat="1" applyFont="1" applyFill="1" applyBorder="1" applyAlignment="1" applyProtection="1">
      <alignment horizontal="left" vertical="center"/>
      <protection locked="0"/>
    </xf>
    <xf numFmtId="1" fontId="51" fillId="5" borderId="110" xfId="0" applyNumberFormat="1" applyFont="1" applyFill="1" applyBorder="1" applyAlignment="1" applyProtection="1">
      <alignment horizontal="left" vertical="center"/>
      <protection locked="0"/>
    </xf>
    <xf numFmtId="0" fontId="51" fillId="0" borderId="416" xfId="0" applyFont="1" applyBorder="1" applyAlignment="1">
      <alignment horizontal="left" vertical="center"/>
    </xf>
    <xf numFmtId="1" fontId="51" fillId="5" borderId="41" xfId="0" applyNumberFormat="1" applyFont="1" applyFill="1" applyBorder="1" applyAlignment="1" applyProtection="1">
      <alignment horizontal="left" vertical="center"/>
      <protection locked="0"/>
    </xf>
    <xf numFmtId="1" fontId="51" fillId="5" borderId="42" xfId="0" applyNumberFormat="1" applyFont="1" applyFill="1" applyBorder="1" applyAlignment="1" applyProtection="1">
      <alignment horizontal="left" vertical="center"/>
      <protection locked="0"/>
    </xf>
    <xf numFmtId="1" fontId="51" fillId="5" borderId="56" xfId="0" applyNumberFormat="1" applyFont="1" applyFill="1" applyBorder="1" applyAlignment="1" applyProtection="1">
      <alignment horizontal="left" vertical="center"/>
      <protection locked="0"/>
    </xf>
    <xf numFmtId="1" fontId="51" fillId="5" borderId="31" xfId="0" applyNumberFormat="1" applyFont="1" applyFill="1" applyBorder="1" applyAlignment="1" applyProtection="1">
      <alignment horizontal="left" vertical="center"/>
      <protection locked="0"/>
    </xf>
    <xf numFmtId="1" fontId="51" fillId="5" borderId="190" xfId="0" applyNumberFormat="1" applyFont="1" applyFill="1" applyBorder="1" applyAlignment="1" applyProtection="1">
      <alignment horizontal="left" vertical="center"/>
      <protection locked="0"/>
    </xf>
    <xf numFmtId="1" fontId="51" fillId="16" borderId="31" xfId="0" applyNumberFormat="1" applyFont="1" applyFill="1" applyBorder="1" applyAlignment="1" applyProtection="1">
      <alignment horizontal="left" vertical="center"/>
      <protection locked="0"/>
    </xf>
    <xf numFmtId="1" fontId="51" fillId="5" borderId="25" xfId="0" applyNumberFormat="1" applyFont="1" applyFill="1" applyBorder="1" applyAlignment="1" applyProtection="1">
      <alignment horizontal="left" vertical="center"/>
      <protection locked="0"/>
    </xf>
    <xf numFmtId="1" fontId="51" fillId="5" borderId="114" xfId="0" applyNumberFormat="1" applyFont="1" applyFill="1" applyBorder="1" applyAlignment="1" applyProtection="1">
      <alignment horizontal="left" vertical="center"/>
      <protection locked="0"/>
    </xf>
    <xf numFmtId="0" fontId="51" fillId="0" borderId="31" xfId="0" applyFont="1" applyBorder="1" applyAlignment="1">
      <alignment horizontal="left" vertical="center"/>
    </xf>
    <xf numFmtId="0" fontId="51" fillId="0" borderId="51" xfId="0" applyFont="1" applyBorder="1" applyAlignment="1">
      <alignment horizontal="left" vertical="center"/>
    </xf>
    <xf numFmtId="1" fontId="51" fillId="5" borderId="38" xfId="0" applyNumberFormat="1" applyFont="1" applyFill="1" applyBorder="1" applyAlignment="1" applyProtection="1">
      <alignment horizontal="left" vertical="center"/>
      <protection locked="0"/>
    </xf>
    <xf numFmtId="1" fontId="51" fillId="5" borderId="36" xfId="0" applyNumberFormat="1" applyFont="1" applyFill="1" applyBorder="1" applyAlignment="1" applyProtection="1">
      <alignment horizontal="left" vertical="center"/>
      <protection locked="0"/>
    </xf>
    <xf numFmtId="1" fontId="51" fillId="5" borderId="55" xfId="0" applyNumberFormat="1" applyFont="1" applyFill="1" applyBorder="1" applyAlignment="1" applyProtection="1">
      <alignment horizontal="left" vertical="center"/>
      <protection locked="0"/>
    </xf>
    <xf numFmtId="1" fontId="51" fillId="5" borderId="51" xfId="0" applyNumberFormat="1" applyFont="1" applyFill="1" applyBorder="1" applyAlignment="1" applyProtection="1">
      <alignment horizontal="left" vertical="center"/>
      <protection locked="0"/>
    </xf>
    <xf numFmtId="1" fontId="51" fillId="5" borderId="191" xfId="0" applyNumberFormat="1" applyFont="1" applyFill="1" applyBorder="1" applyAlignment="1" applyProtection="1">
      <alignment horizontal="left" vertical="center"/>
      <protection locked="0"/>
    </xf>
    <xf numFmtId="1" fontId="51" fillId="16" borderId="51" xfId="0" applyNumberFormat="1" applyFont="1" applyFill="1" applyBorder="1" applyAlignment="1" applyProtection="1">
      <alignment horizontal="left" vertical="center"/>
      <protection locked="0"/>
    </xf>
    <xf numFmtId="1" fontId="51" fillId="5" borderId="37" xfId="0" applyNumberFormat="1" applyFont="1" applyFill="1" applyBorder="1" applyAlignment="1" applyProtection="1">
      <alignment horizontal="left" vertical="center"/>
      <protection locked="0"/>
    </xf>
    <xf numFmtId="1" fontId="51" fillId="5" borderId="127" xfId="0" applyNumberFormat="1" applyFont="1" applyFill="1" applyBorder="1" applyAlignment="1" applyProtection="1">
      <alignment horizontal="left" vertical="center"/>
      <protection locked="0"/>
    </xf>
    <xf numFmtId="0" fontId="51" fillId="0" borderId="21" xfId="0" applyFont="1" applyBorder="1" applyAlignment="1">
      <alignment horizontal="left" vertical="center"/>
    </xf>
    <xf numFmtId="1" fontId="51" fillId="5" borderId="193" xfId="0" applyNumberFormat="1" applyFont="1" applyFill="1" applyBorder="1" applyAlignment="1" applyProtection="1">
      <alignment horizontal="left" vertical="center"/>
      <protection locked="0"/>
    </xf>
    <xf numFmtId="1" fontId="40" fillId="5" borderId="39" xfId="0" applyNumberFormat="1" applyFont="1" applyFill="1" applyBorder="1" applyAlignment="1" applyProtection="1">
      <alignment horizontal="left" vertical="center"/>
      <protection locked="0"/>
    </xf>
    <xf numFmtId="1" fontId="40" fillId="5" borderId="217" xfId="0" applyNumberFormat="1" applyFont="1" applyFill="1" applyBorder="1" applyAlignment="1" applyProtection="1">
      <alignment horizontal="left" vertical="center"/>
      <protection locked="0"/>
    </xf>
    <xf numFmtId="1" fontId="40" fillId="5" borderId="29" xfId="0" applyNumberFormat="1" applyFont="1" applyFill="1" applyBorder="1" applyAlignment="1" applyProtection="1">
      <alignment horizontal="left" vertical="center"/>
      <protection locked="0"/>
    </xf>
    <xf numFmtId="1" fontId="40" fillId="5" borderId="21" xfId="0" applyNumberFormat="1" applyFont="1" applyFill="1" applyBorder="1" applyAlignment="1" applyProtection="1">
      <alignment horizontal="left" vertical="center"/>
      <protection locked="0"/>
    </xf>
    <xf numFmtId="1" fontId="40" fillId="5" borderId="110" xfId="0" applyNumberFormat="1" applyFont="1" applyFill="1" applyBorder="1" applyAlignment="1" applyProtection="1">
      <alignment horizontal="left" vertical="center"/>
      <protection locked="0"/>
    </xf>
    <xf numFmtId="1" fontId="40" fillId="5" borderId="24" xfId="0" applyNumberFormat="1" applyFont="1" applyFill="1" applyBorder="1" applyAlignment="1" applyProtection="1">
      <alignment horizontal="left" vertical="center"/>
      <protection locked="0"/>
    </xf>
    <xf numFmtId="1" fontId="40" fillId="5" borderId="31" xfId="0" applyNumberFormat="1" applyFont="1" applyFill="1" applyBorder="1" applyAlignment="1" applyProtection="1">
      <alignment horizontal="left" vertical="center"/>
      <protection locked="0"/>
    </xf>
    <xf numFmtId="1" fontId="40" fillId="5" borderId="114" xfId="0" applyNumberFormat="1" applyFont="1" applyFill="1" applyBorder="1" applyAlignment="1" applyProtection="1">
      <alignment horizontal="left" vertical="center"/>
      <protection locked="0"/>
    </xf>
    <xf numFmtId="1" fontId="40" fillId="5" borderId="25" xfId="0" applyNumberFormat="1" applyFont="1" applyFill="1" applyBorder="1" applyAlignment="1" applyProtection="1">
      <alignment horizontal="left" vertical="center"/>
      <protection locked="0"/>
    </xf>
    <xf numFmtId="1" fontId="40" fillId="5" borderId="51" xfId="0" applyNumberFormat="1" applyFont="1" applyFill="1" applyBorder="1" applyAlignment="1" applyProtection="1">
      <alignment horizontal="left" vertical="center"/>
      <protection locked="0"/>
    </xf>
    <xf numFmtId="1" fontId="40" fillId="5" borderId="127" xfId="0" applyNumberFormat="1" applyFont="1" applyFill="1" applyBorder="1" applyAlignment="1" applyProtection="1">
      <alignment horizontal="left" vertical="center"/>
      <protection locked="0"/>
    </xf>
    <xf numFmtId="1" fontId="40" fillId="5" borderId="37" xfId="0" applyNumberFormat="1" applyFont="1" applyFill="1" applyBorder="1" applyAlignment="1" applyProtection="1">
      <alignment horizontal="left" vertical="center"/>
      <protection locked="0"/>
    </xf>
    <xf numFmtId="0" fontId="0" fillId="26" borderId="0" xfId="0" applyFill="1"/>
    <xf numFmtId="1" fontId="51" fillId="0" borderId="714" xfId="0" applyNumberFormat="1" applyFont="1" applyBorder="1"/>
    <xf numFmtId="1" fontId="51" fillId="0" borderId="771" xfId="0" applyNumberFormat="1" applyFont="1" applyBorder="1" applyAlignment="1">
      <alignment horizontal="right" vertical="center" wrapText="1"/>
    </xf>
    <xf numFmtId="1" fontId="51" fillId="5" borderId="772" xfId="0" applyNumberFormat="1" applyFont="1" applyFill="1" applyBorder="1" applyAlignment="1" applyProtection="1">
      <alignment vertical="center"/>
      <protection locked="0"/>
    </xf>
    <xf numFmtId="1" fontId="51" fillId="5" borderId="780" xfId="0" applyNumberFormat="1" applyFont="1" applyFill="1" applyBorder="1" applyAlignment="1" applyProtection="1">
      <alignment vertical="center"/>
      <protection locked="0"/>
    </xf>
    <xf numFmtId="1" fontId="51" fillId="5" borderId="777" xfId="0" applyNumberFormat="1" applyFont="1" applyFill="1" applyBorder="1" applyAlignment="1" applyProtection="1">
      <alignment vertical="center"/>
      <protection locked="0"/>
    </xf>
    <xf numFmtId="1" fontId="51" fillId="16" borderId="772" xfId="0" applyNumberFormat="1" applyFont="1" applyFill="1" applyBorder="1" applyAlignment="1" applyProtection="1">
      <alignment vertical="center"/>
      <protection locked="0"/>
    </xf>
    <xf numFmtId="1" fontId="51" fillId="16" borderId="780" xfId="0" applyNumberFormat="1" applyFont="1" applyFill="1" applyBorder="1" applyAlignment="1" applyProtection="1">
      <alignment vertical="center"/>
      <protection locked="0"/>
    </xf>
    <xf numFmtId="1" fontId="51" fillId="16" borderId="784" xfId="0" applyNumberFormat="1" applyFont="1" applyFill="1" applyBorder="1" applyAlignment="1" applyProtection="1">
      <alignment vertical="center"/>
      <protection locked="0"/>
    </xf>
    <xf numFmtId="1" fontId="51" fillId="5" borderId="63" xfId="0" applyNumberFormat="1" applyFont="1" applyFill="1" applyBorder="1" applyAlignment="1" applyProtection="1">
      <alignment vertical="center"/>
      <protection locked="0"/>
    </xf>
    <xf numFmtId="1" fontId="51" fillId="16" borderId="38" xfId="0" applyNumberFormat="1" applyFont="1" applyFill="1" applyBorder="1" applyAlignment="1" applyProtection="1">
      <alignment vertical="center"/>
      <protection locked="0"/>
    </xf>
    <xf numFmtId="1" fontId="51" fillId="16" borderId="63" xfId="0" applyNumberFormat="1" applyFont="1" applyFill="1" applyBorder="1" applyAlignment="1" applyProtection="1">
      <alignment vertical="center"/>
      <protection locked="0"/>
    </xf>
    <xf numFmtId="1" fontId="51" fillId="16" borderId="60" xfId="0" applyNumberFormat="1" applyFont="1" applyFill="1" applyBorder="1" applyAlignment="1" applyProtection="1">
      <alignment vertical="center"/>
      <protection locked="0"/>
    </xf>
    <xf numFmtId="1" fontId="51" fillId="0" borderId="24" xfId="0" applyNumberFormat="1" applyFont="1" applyBorder="1" applyAlignment="1">
      <alignment horizontal="right" vertical="center" wrapText="1"/>
    </xf>
    <xf numFmtId="1" fontId="51" fillId="5" borderId="46" xfId="0" applyNumberFormat="1" applyFont="1" applyFill="1" applyBorder="1" applyAlignment="1" applyProtection="1">
      <alignment vertical="center"/>
      <protection locked="0"/>
    </xf>
    <xf numFmtId="1" fontId="51" fillId="16" borderId="20" xfId="0" applyNumberFormat="1" applyFont="1" applyFill="1" applyBorder="1" applyAlignment="1" applyProtection="1">
      <alignment vertical="center"/>
      <protection locked="0"/>
    </xf>
    <xf numFmtId="1" fontId="51" fillId="16" borderId="46" xfId="0" applyNumberFormat="1" applyFont="1" applyFill="1" applyBorder="1" applyAlignment="1" applyProtection="1">
      <alignment vertical="center"/>
      <protection locked="0"/>
    </xf>
    <xf numFmtId="1" fontId="51" fillId="16" borderId="69" xfId="0" applyNumberFormat="1" applyFont="1" applyFill="1" applyBorder="1" applyAlignment="1" applyProtection="1">
      <alignment vertical="center"/>
      <protection locked="0"/>
    </xf>
    <xf numFmtId="0" fontId="51" fillId="0" borderId="114" xfId="0" applyFont="1" applyBorder="1" applyAlignment="1">
      <alignment vertical="center" wrapText="1"/>
    </xf>
    <xf numFmtId="1" fontId="51" fillId="0" borderId="31" xfId="0" applyNumberFormat="1" applyFont="1" applyBorder="1" applyAlignment="1"/>
    <xf numFmtId="1" fontId="51" fillId="0" borderId="25" xfId="0" applyNumberFormat="1" applyFont="1" applyBorder="1" applyAlignment="1"/>
    <xf numFmtId="1" fontId="51" fillId="5" borderId="56" xfId="0" applyNumberFormat="1" applyFont="1" applyFill="1" applyBorder="1" applyAlignment="1" applyProtection="1">
      <protection locked="0"/>
    </xf>
    <xf numFmtId="1" fontId="51" fillId="5" borderId="42" xfId="0" applyNumberFormat="1" applyFont="1" applyFill="1" applyBorder="1" applyAlignment="1" applyProtection="1">
      <protection locked="0"/>
    </xf>
    <xf numFmtId="0" fontId="51" fillId="15" borderId="114" xfId="0" applyFont="1" applyFill="1" applyBorder="1" applyAlignment="1">
      <alignment vertical="center" wrapText="1"/>
    </xf>
    <xf numFmtId="0" fontId="51" fillId="0" borderId="31" xfId="0" applyFont="1" applyBorder="1" applyAlignment="1">
      <alignment vertical="center" wrapText="1"/>
    </xf>
    <xf numFmtId="0" fontId="51" fillId="0" borderId="127" xfId="0" applyFont="1" applyBorder="1" applyAlignment="1">
      <alignment vertical="center" wrapText="1"/>
    </xf>
    <xf numFmtId="1" fontId="51" fillId="0" borderId="51" xfId="0" applyNumberFormat="1" applyFont="1" applyBorder="1" applyAlignment="1"/>
    <xf numFmtId="1" fontId="51" fillId="0" borderId="37" xfId="0" applyNumberFormat="1" applyFont="1" applyBorder="1" applyAlignment="1"/>
    <xf numFmtId="0" fontId="51" fillId="0" borderId="25" xfId="0" applyFont="1" applyBorder="1" applyAlignment="1">
      <alignment vertical="center" wrapText="1"/>
    </xf>
    <xf numFmtId="0" fontId="51" fillId="0" borderId="31" xfId="0" applyFont="1" applyBorder="1" applyAlignment="1"/>
    <xf numFmtId="1" fontId="51" fillId="5" borderId="55" xfId="0" applyNumberFormat="1" applyFont="1" applyFill="1" applyBorder="1" applyAlignment="1" applyProtection="1">
      <protection locked="0"/>
    </xf>
    <xf numFmtId="1" fontId="51" fillId="5" borderId="36" xfId="0" applyNumberFormat="1" applyFont="1" applyFill="1" applyBorder="1" applyAlignment="1" applyProtection="1">
      <protection locked="0"/>
    </xf>
    <xf numFmtId="1" fontId="6" fillId="0" borderId="586" xfId="0" applyNumberFormat="1" applyFont="1" applyBorder="1" applyAlignment="1">
      <alignment horizontal="left" wrapText="1"/>
    </xf>
    <xf numFmtId="1" fontId="6" fillId="0" borderId="587" xfId="0" applyNumberFormat="1" applyFont="1" applyBorder="1" applyAlignment="1">
      <alignment horizontal="left" wrapText="1"/>
    </xf>
    <xf numFmtId="1" fontId="6" fillId="0" borderId="539" xfId="0" applyNumberFormat="1" applyFont="1" applyBorder="1" applyAlignment="1">
      <alignment horizontal="left" wrapText="1"/>
    </xf>
    <xf numFmtId="1" fontId="6" fillId="0" borderId="605" xfId="0" applyNumberFormat="1" applyFont="1" applyBorder="1" applyAlignment="1">
      <alignment horizontal="left"/>
    </xf>
    <xf numFmtId="1" fontId="6" fillId="0" borderId="606" xfId="0" applyNumberFormat="1" applyFont="1" applyBorder="1" applyAlignment="1">
      <alignment horizontal="left"/>
    </xf>
    <xf numFmtId="1" fontId="51" fillId="3" borderId="0" xfId="0" applyNumberFormat="1" applyFont="1" applyFill="1" applyAlignment="1"/>
    <xf numFmtId="1" fontId="4" fillId="3" borderId="497" xfId="0" applyNumberFormat="1" applyFont="1" applyFill="1" applyBorder="1" applyAlignment="1"/>
    <xf numFmtId="1" fontId="6" fillId="0" borderId="614" xfId="0" applyNumberFormat="1" applyFont="1" applyBorder="1" applyAlignment="1">
      <alignment vertical="center" wrapText="1"/>
    </xf>
    <xf numFmtId="1" fontId="6" fillId="0" borderId="610" xfId="0" applyNumberFormat="1" applyFont="1" applyBorder="1" applyAlignment="1">
      <alignment vertical="center" wrapText="1"/>
    </xf>
    <xf numFmtId="1" fontId="6" fillId="0" borderId="605" xfId="0" applyNumberFormat="1" applyFont="1" applyBorder="1" applyAlignment="1"/>
    <xf numFmtId="1" fontId="6" fillId="0" borderId="607" xfId="0" applyNumberFormat="1" applyFont="1" applyBorder="1" applyAlignment="1"/>
    <xf numFmtId="1" fontId="6" fillId="0" borderId="560" xfId="0" applyNumberFormat="1" applyFont="1" applyBorder="1" applyAlignment="1">
      <alignment wrapText="1"/>
    </xf>
    <xf numFmtId="1" fontId="36" fillId="0" borderId="594" xfId="0" applyNumberFormat="1" applyFont="1" applyBorder="1" applyAlignment="1"/>
    <xf numFmtId="1" fontId="6" fillId="0" borderId="538" xfId="0" applyNumberFormat="1" applyFont="1" applyBorder="1" applyAlignment="1"/>
    <xf numFmtId="1" fontId="36" fillId="0" borderId="514" xfId="0" applyNumberFormat="1" applyFont="1" applyBorder="1" applyAlignment="1"/>
    <xf numFmtId="1" fontId="6" fillId="0" borderId="21" xfId="0" applyNumberFormat="1" applyFont="1" applyBorder="1" applyAlignment="1"/>
    <xf numFmtId="1" fontId="6" fillId="0" borderId="0" xfId="0" applyNumberFormat="1" applyFont="1" applyAlignment="1" applyProtection="1">
      <protection locked="0"/>
    </xf>
    <xf numFmtId="1" fontId="6" fillId="0" borderId="521" xfId="0" applyNumberFormat="1" applyFont="1" applyBorder="1" applyAlignment="1" applyProtection="1">
      <protection locked="0"/>
    </xf>
    <xf numFmtId="1" fontId="6" fillId="0" borderId="0" xfId="0" applyNumberFormat="1" applyFont="1" applyAlignment="1"/>
    <xf numFmtId="1" fontId="6" fillId="0" borderId="535" xfId="0" applyNumberFormat="1" applyFont="1" applyBorder="1" applyAlignment="1">
      <alignment vertical="center" wrapText="1"/>
    </xf>
    <xf numFmtId="1" fontId="6" fillId="0" borderId="485" xfId="0" applyNumberFormat="1" applyFont="1" applyBorder="1" applyAlignment="1">
      <alignment vertical="center" wrapText="1"/>
    </xf>
    <xf numFmtId="1" fontId="6" fillId="0" borderId="509" xfId="0" applyNumberFormat="1" applyFont="1" applyBorder="1" applyAlignment="1">
      <alignment vertical="center" wrapText="1"/>
    </xf>
    <xf numFmtId="1" fontId="6" fillId="0" borderId="586" xfId="0" applyNumberFormat="1" applyFont="1" applyBorder="1" applyAlignment="1">
      <alignment wrapText="1"/>
    </xf>
    <xf numFmtId="1" fontId="6" fillId="0" borderId="587" xfId="0" applyNumberFormat="1" applyFont="1" applyBorder="1" applyAlignment="1">
      <alignment wrapText="1"/>
    </xf>
    <xf numFmtId="1" fontId="6" fillId="0" borderId="606" xfId="0" applyNumberFormat="1" applyFont="1" applyBorder="1" applyAlignment="1">
      <alignment wrapText="1"/>
    </xf>
    <xf numFmtId="1" fontId="6" fillId="0" borderId="584" xfId="0" applyNumberFormat="1" applyFont="1" applyBorder="1" applyAlignment="1"/>
    <xf numFmtId="1" fontId="6" fillId="0" borderId="51" xfId="0" applyNumberFormat="1" applyFont="1" applyBorder="1" applyAlignment="1"/>
    <xf numFmtId="1" fontId="6" fillId="15" borderId="560" xfId="0" applyNumberFormat="1" applyFont="1" applyFill="1" applyBorder="1" applyAlignment="1">
      <alignment wrapText="1"/>
    </xf>
    <xf numFmtId="1" fontId="6" fillId="15" borderId="539" xfId="0" applyNumberFormat="1" applyFont="1" applyFill="1" applyBorder="1" applyAlignment="1">
      <alignment wrapText="1"/>
    </xf>
    <xf numFmtId="1" fontId="6" fillId="15" borderId="538" xfId="0" applyNumberFormat="1" applyFont="1" applyFill="1" applyBorder="1" applyAlignment="1"/>
    <xf numFmtId="1" fontId="6" fillId="0" borderId="39" xfId="0" applyNumberFormat="1" applyFont="1" applyBorder="1" applyAlignment="1"/>
    <xf numFmtId="1" fontId="6" fillId="0" borderId="78" xfId="0" applyNumberFormat="1" applyFont="1" applyBorder="1" applyAlignment="1">
      <alignment wrapText="1"/>
    </xf>
    <xf numFmtId="1" fontId="6" fillId="0" borderId="228" xfId="0" applyNumberFormat="1" applyFont="1" applyBorder="1" applyAlignment="1">
      <alignment wrapText="1"/>
    </xf>
    <xf numFmtId="1" fontId="6" fillId="0" borderId="77" xfId="0" applyNumberFormat="1" applyFont="1" applyBorder="1" applyAlignment="1"/>
    <xf numFmtId="1" fontId="4" fillId="0" borderId="532" xfId="0" applyNumberFormat="1" applyFont="1" applyBorder="1" applyAlignment="1"/>
    <xf numFmtId="1" fontId="6" fillId="0" borderId="484" xfId="0" applyNumberFormat="1" applyFont="1" applyBorder="1" applyAlignment="1">
      <alignment vertical="center" wrapText="1"/>
    </xf>
    <xf numFmtId="1" fontId="6" fillId="0" borderId="560" xfId="0" applyNumberFormat="1" applyFont="1" applyBorder="1" applyAlignment="1"/>
    <xf numFmtId="1" fontId="6" fillId="0" borderId="539" xfId="0" applyNumberFormat="1" applyFont="1" applyBorder="1" applyAlignment="1"/>
    <xf numFmtId="1" fontId="6" fillId="15" borderId="0" xfId="0" applyNumberFormat="1" applyFont="1" applyFill="1" applyAlignment="1"/>
    <xf numFmtId="1" fontId="17" fillId="15" borderId="0" xfId="0" applyNumberFormat="1" applyFont="1" applyFill="1" applyAlignment="1"/>
    <xf numFmtId="1" fontId="4" fillId="15" borderId="0" xfId="0" applyNumberFormat="1" applyFont="1" applyFill="1" applyAlignment="1"/>
    <xf numFmtId="1" fontId="6" fillId="3" borderId="493" xfId="0" applyNumberFormat="1" applyFont="1" applyFill="1" applyBorder="1" applyAlignment="1"/>
    <xf numFmtId="1" fontId="6" fillId="0" borderId="506" xfId="0" applyNumberFormat="1" applyFont="1" applyBorder="1" applyAlignment="1"/>
    <xf numFmtId="1" fontId="19" fillId="3" borderId="0" xfId="0" applyNumberFormat="1" applyFont="1" applyFill="1" applyAlignment="1"/>
    <xf numFmtId="1" fontId="6" fillId="5" borderId="626" xfId="0" applyNumberFormat="1" applyFont="1" applyFill="1" applyBorder="1" applyAlignment="1" applyProtection="1">
      <protection locked="0"/>
    </xf>
    <xf numFmtId="1" fontId="6" fillId="5" borderId="37" xfId="0" applyNumberFormat="1" applyFont="1" applyFill="1" applyBorder="1" applyAlignment="1" applyProtection="1">
      <protection locked="0"/>
    </xf>
    <xf numFmtId="1" fontId="6" fillId="5" borderId="24" xfId="0" applyNumberFormat="1" applyFont="1" applyFill="1" applyBorder="1" applyAlignment="1" applyProtection="1">
      <protection locked="0"/>
    </xf>
    <xf numFmtId="1" fontId="4" fillId="3" borderId="0" xfId="0" applyNumberFormat="1" applyFont="1" applyFill="1" applyAlignment="1"/>
    <xf numFmtId="1" fontId="6" fillId="0" borderId="506" xfId="0" applyNumberFormat="1" applyFont="1" applyBorder="1" applyAlignment="1">
      <alignment vertical="center" wrapText="1"/>
    </xf>
    <xf numFmtId="1" fontId="6" fillId="5" borderId="603" xfId="0" applyNumberFormat="1" applyFont="1" applyFill="1" applyBorder="1" applyAlignment="1" applyProtection="1">
      <protection locked="0"/>
    </xf>
    <xf numFmtId="1" fontId="7" fillId="0" borderId="603" xfId="0" applyNumberFormat="1" applyFont="1" applyBorder="1" applyAlignment="1">
      <alignment vertical="center" wrapText="1"/>
    </xf>
    <xf numFmtId="1" fontId="6" fillId="5" borderId="580" xfId="0" applyNumberFormat="1" applyFont="1" applyFill="1" applyBorder="1" applyAlignment="1" applyProtection="1">
      <protection locked="0"/>
    </xf>
    <xf numFmtId="1" fontId="6" fillId="13" borderId="584" xfId="0" applyNumberFormat="1" applyFont="1" applyFill="1" applyBorder="1" applyAlignment="1"/>
    <xf numFmtId="1" fontId="6" fillId="5" borderId="540" xfId="0" applyNumberFormat="1" applyFont="1" applyFill="1" applyBorder="1" applyAlignment="1" applyProtection="1">
      <protection locked="0"/>
    </xf>
    <xf numFmtId="1" fontId="6" fillId="13" borderId="39" xfId="0" applyNumberFormat="1" applyFont="1" applyFill="1" applyBorder="1" applyAlignment="1"/>
    <xf numFmtId="1" fontId="6" fillId="5" borderId="82" xfId="0" applyNumberFormat="1" applyFont="1" applyFill="1" applyBorder="1" applyAlignment="1" applyProtection="1">
      <protection locked="0"/>
    </xf>
    <xf numFmtId="1" fontId="6" fillId="5" borderId="76" xfId="0" applyNumberFormat="1" applyFont="1" applyFill="1" applyBorder="1" applyAlignment="1" applyProtection="1">
      <protection locked="0"/>
    </xf>
    <xf numFmtId="1" fontId="6" fillId="4" borderId="31" xfId="0" applyNumberFormat="1" applyFont="1" applyFill="1" applyBorder="1" applyAlignment="1"/>
    <xf numFmtId="1" fontId="6" fillId="4" borderId="21" xfId="0" applyNumberFormat="1" applyFont="1" applyFill="1" applyBorder="1" applyAlignment="1"/>
    <xf numFmtId="1" fontId="6" fillId="0" borderId="586" xfId="0" applyNumberFormat="1" applyFont="1" applyBorder="1" applyAlignment="1">
      <alignment vertical="center" wrapText="1"/>
    </xf>
    <xf numFmtId="1" fontId="6" fillId="0" borderId="607" xfId="0" applyNumberFormat="1" applyFont="1" applyBorder="1" applyAlignment="1">
      <alignment vertical="center" wrapText="1"/>
    </xf>
    <xf numFmtId="1" fontId="6" fillId="0" borderId="581" xfId="0" applyNumberFormat="1" applyFont="1" applyBorder="1" applyAlignment="1"/>
    <xf numFmtId="1" fontId="6" fillId="0" borderId="594" xfId="0" applyNumberFormat="1" applyFont="1" applyBorder="1" applyAlignment="1"/>
    <xf numFmtId="1" fontId="6" fillId="0" borderId="627" xfId="0" applyNumberFormat="1" applyFont="1" applyBorder="1" applyAlignment="1"/>
    <xf numFmtId="1" fontId="6" fillId="0" borderId="512" xfId="0" applyNumberFormat="1" applyFont="1" applyBorder="1" applyAlignment="1"/>
    <xf numFmtId="1" fontId="6" fillId="0" borderId="31" xfId="0" applyNumberFormat="1" applyFont="1" applyBorder="1" applyAlignment="1"/>
    <xf numFmtId="1" fontId="6" fillId="0" borderId="490" xfId="0" applyNumberFormat="1" applyFont="1" applyBorder="1" applyAlignment="1"/>
    <xf numFmtId="1" fontId="6" fillId="0" borderId="57" xfId="0" applyNumberFormat="1" applyFont="1" applyBorder="1" applyAlignment="1"/>
    <xf numFmtId="1" fontId="6" fillId="0" borderId="20" xfId="0" applyNumberFormat="1" applyFont="1" applyBorder="1" applyAlignment="1"/>
    <xf numFmtId="1" fontId="6" fillId="0" borderId="58" xfId="0" applyNumberFormat="1" applyFont="1" applyBorder="1" applyAlignment="1"/>
    <xf numFmtId="1" fontId="6" fillId="0" borderId="582" xfId="0" applyNumberFormat="1" applyFont="1" applyBorder="1" applyAlignment="1"/>
    <xf numFmtId="1" fontId="6" fillId="0" borderId="38" xfId="0" applyNumberFormat="1" applyFont="1" applyBorder="1" applyAlignment="1"/>
    <xf numFmtId="1" fontId="6" fillId="0" borderId="63" xfId="0" applyNumberFormat="1" applyFont="1" applyBorder="1" applyAlignment="1"/>
    <xf numFmtId="1" fontId="6" fillId="0" borderId="492" xfId="0" applyNumberFormat="1" applyFont="1" applyBorder="1" applyAlignment="1"/>
    <xf numFmtId="1" fontId="6" fillId="0" borderId="535" xfId="0" applyNumberFormat="1" applyFont="1" applyBorder="1" applyAlignment="1">
      <alignment wrapText="1"/>
    </xf>
    <xf numFmtId="1" fontId="6" fillId="0" borderId="536" xfId="0" applyNumberFormat="1" applyFont="1" applyBorder="1" applyAlignment="1">
      <alignment wrapText="1"/>
    </xf>
    <xf numFmtId="1" fontId="6" fillId="0" borderId="488" xfId="0" applyNumberFormat="1" applyFont="1" applyBorder="1" applyAlignment="1"/>
    <xf numFmtId="1" fontId="4" fillId="0" borderId="497" xfId="0" applyNumberFormat="1" applyFont="1" applyBorder="1" applyAlignment="1"/>
    <xf numFmtId="1" fontId="6" fillId="0" borderId="507" xfId="0" applyNumberFormat="1" applyFont="1" applyBorder="1" applyAlignment="1">
      <alignment vertical="center" wrapText="1"/>
    </xf>
    <xf numFmtId="1" fontId="6" fillId="0" borderId="503" xfId="0" applyNumberFormat="1" applyFont="1" applyBorder="1" applyAlignment="1">
      <alignment vertical="center" wrapText="1"/>
    </xf>
    <xf numFmtId="1" fontId="6" fillId="0" borderId="583" xfId="0" applyNumberFormat="1" applyFont="1" applyBorder="1" applyAlignment="1"/>
    <xf numFmtId="1" fontId="6" fillId="0" borderId="511" xfId="0" applyNumberFormat="1" applyFont="1" applyBorder="1" applyAlignment="1"/>
    <xf numFmtId="1" fontId="6" fillId="0" borderId="36" xfId="0" applyNumberFormat="1" applyFont="1" applyBorder="1" applyAlignment="1"/>
    <xf numFmtId="1" fontId="6" fillId="0" borderId="46" xfId="0" applyNumberFormat="1" applyFont="1" applyBorder="1" applyAlignment="1"/>
    <xf numFmtId="1" fontId="6" fillId="0" borderId="22" xfId="0" applyNumberFormat="1" applyFont="1" applyBorder="1" applyAlignment="1"/>
    <xf numFmtId="1" fontId="6" fillId="0" borderId="89" xfId="0" applyNumberFormat="1" applyFont="1" applyBorder="1" applyAlignment="1"/>
    <xf numFmtId="1" fontId="6" fillId="0" borderId="32" xfId="0" applyNumberFormat="1" applyFont="1" applyBorder="1" applyAlignment="1"/>
    <xf numFmtId="1" fontId="6" fillId="0" borderId="78" xfId="0" applyNumberFormat="1" applyFont="1" applyBorder="1" applyAlignment="1"/>
    <xf numFmtId="1" fontId="6" fillId="0" borderId="228" xfId="0" applyNumberFormat="1" applyFont="1" applyBorder="1" applyAlignment="1"/>
    <xf numFmtId="1" fontId="6" fillId="0" borderId="79" xfId="0" applyNumberFormat="1" applyFont="1" applyBorder="1" applyAlignment="1"/>
    <xf numFmtId="1" fontId="6" fillId="0" borderId="494" xfId="0" applyNumberFormat="1" applyFont="1" applyBorder="1" applyAlignment="1"/>
    <xf numFmtId="1" fontId="6" fillId="0" borderId="548" xfId="0" applyNumberFormat="1" applyFont="1" applyBorder="1" applyAlignment="1"/>
    <xf numFmtId="1" fontId="6" fillId="0" borderId="585" xfId="0" applyNumberFormat="1" applyFont="1" applyBorder="1" applyAlignment="1"/>
    <xf numFmtId="1" fontId="6" fillId="0" borderId="544" xfId="0" applyNumberFormat="1" applyFont="1" applyBorder="1" applyAlignment="1"/>
    <xf numFmtId="1" fontId="6" fillId="0" borderId="590" xfId="0" applyNumberFormat="1" applyFont="1" applyBorder="1" applyAlignment="1"/>
    <xf numFmtId="1" fontId="51" fillId="0" borderId="497" xfId="0" applyNumberFormat="1" applyFont="1" applyBorder="1" applyAlignment="1"/>
    <xf numFmtId="1" fontId="51" fillId="0" borderId="0" xfId="0" applyNumberFormat="1" applyFont="1" applyAlignment="1"/>
    <xf numFmtId="1" fontId="51" fillId="0" borderId="535" xfId="0" applyNumberFormat="1" applyFont="1" applyBorder="1" applyAlignment="1">
      <alignment vertical="center" wrapText="1"/>
    </xf>
    <xf numFmtId="1" fontId="51" fillId="0" borderId="536" xfId="0" applyNumberFormat="1" applyFont="1" applyBorder="1" applyAlignment="1">
      <alignment vertical="center"/>
    </xf>
    <xf numFmtId="1" fontId="51" fillId="0" borderId="534" xfId="0" applyNumberFormat="1" applyFont="1" applyBorder="1" applyAlignment="1">
      <alignment vertical="center"/>
    </xf>
    <xf numFmtId="1" fontId="6" fillId="0" borderId="559" xfId="0" applyNumberFormat="1" applyFont="1" applyBorder="1" applyAlignment="1"/>
    <xf numFmtId="1" fontId="6" fillId="0" borderId="536" xfId="0" applyNumberFormat="1" applyFont="1" applyBorder="1" applyAlignment="1">
      <alignment vertical="center"/>
    </xf>
    <xf numFmtId="1" fontId="6" fillId="0" borderId="534" xfId="0" applyNumberFormat="1" applyFont="1" applyBorder="1" applyAlignment="1">
      <alignment vertical="center"/>
    </xf>
    <xf numFmtId="1" fontId="6" fillId="0" borderId="534" xfId="0" applyNumberFormat="1" applyFont="1" applyBorder="1" applyAlignment="1"/>
    <xf numFmtId="1" fontId="6" fillId="0" borderId="619" xfId="0" applyNumberFormat="1" applyFont="1" applyBorder="1" applyAlignment="1"/>
    <xf numFmtId="1" fontId="0" fillId="3" borderId="0" xfId="0" applyNumberFormat="1" applyFill="1" applyAlignment="1"/>
    <xf numFmtId="1" fontId="41" fillId="0" borderId="0" xfId="0" applyNumberFormat="1" applyFont="1" applyAlignment="1"/>
    <xf numFmtId="1" fontId="6" fillId="0" borderId="551" xfId="0" applyNumberFormat="1" applyFont="1" applyBorder="1" applyAlignment="1">
      <alignment vertical="center" wrapText="1"/>
    </xf>
    <xf numFmtId="1" fontId="6" fillId="0" borderId="552" xfId="0" applyNumberFormat="1" applyFont="1" applyBorder="1" applyAlignment="1">
      <alignment vertical="center" wrapText="1"/>
    </xf>
    <xf numFmtId="1" fontId="6" fillId="0" borderId="547" xfId="0" applyNumberFormat="1" applyFont="1" applyBorder="1" applyAlignment="1">
      <alignment vertical="center" wrapText="1"/>
    </xf>
    <xf numFmtId="1" fontId="6" fillId="0" borderId="559" xfId="0" applyNumberFormat="1" applyFont="1" applyBorder="1" applyAlignment="1">
      <alignment wrapText="1"/>
    </xf>
    <xf numFmtId="1" fontId="63" fillId="0" borderId="0" xfId="0" applyNumberFormat="1" applyFont="1" applyAlignment="1"/>
    <xf numFmtId="1" fontId="6" fillId="0" borderId="535" xfId="11" applyNumberFormat="1" applyFont="1" applyBorder="1" applyAlignment="1" applyProtection="1">
      <alignment vertical="center"/>
      <protection hidden="1"/>
    </xf>
    <xf numFmtId="1" fontId="6" fillId="0" borderId="536" xfId="9" applyNumberFormat="1" applyFont="1" applyBorder="1" applyAlignment="1">
      <alignment vertical="center" wrapText="1"/>
    </xf>
    <xf numFmtId="1" fontId="6" fillId="0" borderId="510" xfId="9" applyNumberFormat="1" applyFont="1" applyBorder="1" applyAlignment="1">
      <alignment vertical="center" wrapText="1"/>
    </xf>
    <xf numFmtId="1" fontId="6" fillId="0" borderId="581" xfId="9" applyNumberFormat="1" applyFont="1" applyBorder="1" applyAlignment="1"/>
    <xf numFmtId="1" fontId="6" fillId="0" borderId="582" xfId="9" applyNumberFormat="1" applyFont="1" applyBorder="1" applyAlignment="1"/>
    <xf numFmtId="1" fontId="6" fillId="0" borderId="584" xfId="9" applyNumberFormat="1" applyFont="1" applyBorder="1" applyAlignment="1"/>
    <xf numFmtId="1" fontId="6" fillId="0" borderId="38" xfId="9" applyNumberFormat="1" applyFont="1" applyBorder="1" applyAlignment="1"/>
    <xf numFmtId="1" fontId="6" fillId="0" borderId="63" xfId="9" applyNumberFormat="1" applyFont="1" applyBorder="1" applyAlignment="1"/>
    <xf numFmtId="1" fontId="6" fillId="0" borderId="51" xfId="9" applyNumberFormat="1" applyFont="1" applyBorder="1" applyAlignment="1"/>
    <xf numFmtId="1" fontId="6" fillId="0" borderId="551" xfId="9" applyNumberFormat="1" applyFont="1" applyBorder="1" applyAlignment="1"/>
    <xf numFmtId="1" fontId="55" fillId="0" borderId="0" xfId="0" applyNumberFormat="1" applyFont="1" applyAlignment="1"/>
    <xf numFmtId="1" fontId="51" fillId="0" borderId="535" xfId="11" applyNumberFormat="1" applyFont="1" applyBorder="1" applyAlignment="1" applyProtection="1">
      <alignment vertical="center"/>
      <protection hidden="1"/>
    </xf>
    <xf numFmtId="1" fontId="51" fillId="0" borderId="536" xfId="9" applyNumberFormat="1" applyFont="1" applyBorder="1" applyAlignment="1">
      <alignment vertical="center" wrapText="1"/>
    </xf>
    <xf numFmtId="1" fontId="51" fillId="0" borderId="510" xfId="9" applyNumberFormat="1" applyFont="1" applyBorder="1" applyAlignment="1">
      <alignment vertical="center" wrapText="1"/>
    </xf>
    <xf numFmtId="1" fontId="51" fillId="0" borderId="605" xfId="9" applyNumberFormat="1" applyFont="1" applyBorder="1" applyAlignment="1"/>
    <xf numFmtId="1" fontId="51" fillId="0" borderId="619" xfId="9" applyNumberFormat="1" applyFont="1" applyBorder="1" applyAlignment="1"/>
    <xf numFmtId="1" fontId="51" fillId="0" borderId="606" xfId="9" applyNumberFormat="1" applyFont="1" applyBorder="1" applyAlignment="1"/>
    <xf numFmtId="1" fontId="51" fillId="0" borderId="551" xfId="9" applyNumberFormat="1" applyFont="1" applyBorder="1" applyAlignment="1">
      <alignment vertical="center" wrapText="1"/>
    </xf>
    <xf numFmtId="1" fontId="51" fillId="0" borderId="553" xfId="9" applyNumberFormat="1" applyFont="1" applyBorder="1" applyAlignment="1">
      <alignment vertical="center" wrapText="1"/>
    </xf>
    <xf numFmtId="1" fontId="51" fillId="5" borderId="581" xfId="9" applyNumberFormat="1" applyFont="1" applyFill="1" applyBorder="1" applyAlignment="1" applyProtection="1">
      <protection locked="0"/>
    </xf>
    <xf numFmtId="1" fontId="51" fillId="5" borderId="584" xfId="9" applyNumberFormat="1" applyFont="1" applyFill="1" applyBorder="1" applyAlignment="1" applyProtection="1">
      <protection locked="0"/>
    </xf>
    <xf numFmtId="1" fontId="51" fillId="5" borderId="38" xfId="9" applyNumberFormat="1" applyFont="1" applyFill="1" applyBorder="1" applyAlignment="1" applyProtection="1">
      <protection locked="0"/>
    </xf>
    <xf numFmtId="1" fontId="51" fillId="5" borderId="51" xfId="9" applyNumberFormat="1" applyFont="1" applyFill="1" applyBorder="1" applyAlignment="1" applyProtection="1">
      <protection locked="0"/>
    </xf>
    <xf numFmtId="1" fontId="51" fillId="5" borderId="585" xfId="9" applyNumberFormat="1" applyFont="1" applyFill="1" applyBorder="1" applyAlignment="1" applyProtection="1">
      <protection locked="0"/>
    </xf>
    <xf numFmtId="1" fontId="51" fillId="5" borderId="559" xfId="9" applyNumberFormat="1" applyFont="1" applyFill="1" applyBorder="1" applyAlignment="1" applyProtection="1">
      <protection locked="0"/>
    </xf>
    <xf numFmtId="1" fontId="0" fillId="24" borderId="0" xfId="0" applyNumberFormat="1" applyFill="1" applyAlignment="1"/>
    <xf numFmtId="1" fontId="51" fillId="0" borderId="605" xfId="0" applyNumberFormat="1" applyFont="1" applyBorder="1" applyAlignment="1">
      <alignment horizontal="left"/>
    </xf>
    <xf numFmtId="1" fontId="51" fillId="0" borderId="619" xfId="0" applyNumberFormat="1" applyFont="1" applyBorder="1" applyAlignment="1">
      <alignment horizontal="left"/>
    </xf>
    <xf numFmtId="1" fontId="51" fillId="0" borderId="627" xfId="0" applyNumberFormat="1" applyFont="1" applyBorder="1" applyAlignment="1">
      <alignment horizontal="left"/>
    </xf>
    <xf numFmtId="1" fontId="51" fillId="0" borderId="539" xfId="0" applyNumberFormat="1" applyFont="1" applyBorder="1" applyAlignment="1">
      <alignment horizontal="left"/>
    </xf>
    <xf numFmtId="1" fontId="51" fillId="0" borderId="490" xfId="0" applyNumberFormat="1" applyFont="1" applyBorder="1" applyAlignment="1">
      <alignment horizontal="left"/>
    </xf>
    <xf numFmtId="1" fontId="51" fillId="0" borderId="580" xfId="0" applyNumberFormat="1" applyFont="1" applyBorder="1" applyAlignment="1">
      <alignment horizontal="left"/>
    </xf>
    <xf numFmtId="1" fontId="51" fillId="0" borderId="565" xfId="0" applyNumberFormat="1" applyFont="1" applyBorder="1" applyAlignment="1">
      <alignment horizontal="left"/>
    </xf>
    <xf numFmtId="1" fontId="6" fillId="0" borderId="631" xfId="0" applyNumberFormat="1" applyFont="1" applyBorder="1" applyAlignment="1">
      <alignment horizontal="left" wrapText="1"/>
    </xf>
    <xf numFmtId="1" fontId="6" fillId="0" borderId="627" xfId="0" applyNumberFormat="1" applyFont="1" applyBorder="1" applyAlignment="1">
      <alignment horizontal="left"/>
    </xf>
    <xf numFmtId="1" fontId="6" fillId="0" borderId="582" xfId="0" applyNumberFormat="1" applyFont="1" applyBorder="1" applyAlignment="1">
      <alignment horizontal="left"/>
    </xf>
    <xf numFmtId="1" fontId="6" fillId="3" borderId="584" xfId="0" applyNumberFormat="1" applyFont="1" applyFill="1" applyBorder="1" applyAlignment="1">
      <alignment horizontal="left"/>
    </xf>
    <xf numFmtId="1" fontId="6" fillId="3" borderId="31" xfId="0" applyNumberFormat="1" applyFont="1" applyFill="1" applyBorder="1" applyAlignment="1">
      <alignment horizontal="left"/>
    </xf>
    <xf numFmtId="1" fontId="6" fillId="4" borderId="89" xfId="0" applyNumberFormat="1" applyFont="1" applyFill="1" applyBorder="1" applyAlignment="1">
      <alignment horizontal="left"/>
    </xf>
    <xf numFmtId="1" fontId="6" fillId="3" borderId="39" xfId="0" applyNumberFormat="1" applyFont="1" applyFill="1" applyBorder="1" applyAlignment="1">
      <alignment horizontal="left"/>
    </xf>
    <xf numFmtId="1" fontId="6" fillId="0" borderId="585" xfId="0" applyNumberFormat="1" applyFont="1" applyBorder="1" applyAlignment="1">
      <alignment horizontal="left" wrapText="1"/>
    </xf>
    <xf numFmtId="1" fontId="6" fillId="3" borderId="559" xfId="0" applyNumberFormat="1" applyFont="1" applyFill="1" applyBorder="1" applyAlignment="1">
      <alignment horizontal="left"/>
    </xf>
    <xf numFmtId="1" fontId="6" fillId="0" borderId="581" xfId="0" applyNumberFormat="1" applyFont="1" applyBorder="1" applyAlignment="1">
      <alignment horizontal="left"/>
    </xf>
    <xf numFmtId="1" fontId="6" fillId="0" borderId="492" xfId="0" applyNumberFormat="1" applyFont="1" applyBorder="1" applyAlignment="1">
      <alignment horizontal="left"/>
    </xf>
    <xf numFmtId="1" fontId="6" fillId="0" borderId="494" xfId="0" applyNumberFormat="1" applyFont="1" applyBorder="1" applyAlignment="1">
      <alignment horizontal="left"/>
    </xf>
    <xf numFmtId="1" fontId="6" fillId="2" borderId="596" xfId="15" applyNumberFormat="1" applyFont="1" applyBorder="1" applyAlignment="1" applyProtection="1">
      <alignment horizontal="left"/>
      <protection locked="0"/>
    </xf>
    <xf numFmtId="1" fontId="6" fillId="2" borderId="639" xfId="15" applyNumberFormat="1" applyFont="1" applyBorder="1" applyAlignment="1" applyProtection="1">
      <alignment horizontal="left"/>
      <protection locked="0"/>
    </xf>
    <xf numFmtId="1" fontId="6" fillId="0" borderId="626" xfId="0" applyNumberFormat="1" applyFont="1" applyBorder="1" applyAlignment="1">
      <alignment horizontal="left" wrapText="1"/>
    </xf>
    <xf numFmtId="1" fontId="6" fillId="0" borderId="619" xfId="0" applyNumberFormat="1" applyFont="1" applyBorder="1" applyAlignment="1">
      <alignment horizontal="left"/>
    </xf>
    <xf numFmtId="1" fontId="6" fillId="0" borderId="605" xfId="0" applyNumberFormat="1" applyFont="1" applyBorder="1" applyAlignment="1">
      <alignment horizontal="left" wrapText="1"/>
    </xf>
    <xf numFmtId="1" fontId="6" fillId="0" borderId="619" xfId="0" applyNumberFormat="1" applyFont="1" applyBorder="1" applyAlignment="1">
      <alignment horizontal="left" wrapText="1"/>
    </xf>
    <xf numFmtId="1" fontId="6" fillId="0" borderId="588" xfId="0" applyNumberFormat="1" applyFont="1" applyBorder="1" applyAlignment="1">
      <alignment horizontal="left"/>
    </xf>
    <xf numFmtId="1" fontId="6" fillId="0" borderId="656" xfId="0" applyNumberFormat="1" applyFont="1" applyBorder="1" applyAlignment="1">
      <alignment horizontal="left"/>
    </xf>
    <xf numFmtId="1" fontId="6" fillId="0" borderId="693" xfId="0" applyNumberFormat="1" applyFont="1" applyBorder="1" applyAlignment="1">
      <alignment horizontal="left"/>
    </xf>
    <xf numFmtId="1" fontId="6" fillId="0" borderId="694" xfId="0" applyNumberFormat="1" applyFont="1" applyBorder="1" applyAlignment="1">
      <alignment horizontal="left"/>
    </xf>
    <xf numFmtId="1" fontId="6" fillId="0" borderId="692" xfId="0" applyNumberFormat="1" applyFont="1" applyBorder="1" applyAlignment="1">
      <alignment horizontal="left"/>
    </xf>
    <xf numFmtId="1" fontId="6" fillId="4" borderId="689" xfId="0" applyNumberFormat="1" applyFont="1" applyFill="1" applyBorder="1" applyAlignment="1">
      <alignment horizontal="left"/>
    </xf>
    <xf numFmtId="1" fontId="6" fillId="0" borderId="650" xfId="0" applyNumberFormat="1" applyFont="1" applyBorder="1" applyAlignment="1">
      <alignment horizontal="left"/>
    </xf>
    <xf numFmtId="1" fontId="6" fillId="0" borderId="544" xfId="0" applyNumberFormat="1" applyFont="1" applyBorder="1" applyAlignment="1">
      <alignment horizontal="left"/>
    </xf>
    <xf numFmtId="1" fontId="6" fillId="0" borderId="38" xfId="0" applyNumberFormat="1" applyFont="1" applyBorder="1" applyAlignment="1">
      <alignment horizontal="left" shrinkToFit="1"/>
    </xf>
    <xf numFmtId="1" fontId="6" fillId="0" borderId="63" xfId="0" applyNumberFormat="1" applyFont="1" applyBorder="1" applyAlignment="1">
      <alignment horizontal="left" shrinkToFit="1"/>
    </xf>
    <xf numFmtId="1" fontId="6" fillId="0" borderId="490" xfId="0" applyNumberFormat="1" applyFont="1" applyBorder="1" applyAlignment="1">
      <alignment horizontal="left" shrinkToFit="1"/>
    </xf>
    <xf numFmtId="1" fontId="6" fillId="0" borderId="89" xfId="0" applyNumberFormat="1" applyFont="1" applyBorder="1" applyAlignment="1">
      <alignment horizontal="left" shrinkToFit="1"/>
    </xf>
    <xf numFmtId="1" fontId="6" fillId="0" borderId="688" xfId="0" applyNumberFormat="1" applyFont="1" applyBorder="1" applyAlignment="1">
      <alignment horizontal="left"/>
    </xf>
    <xf numFmtId="1" fontId="6" fillId="0" borderId="689" xfId="0" applyNumberFormat="1" applyFont="1" applyBorder="1" applyAlignment="1">
      <alignment horizontal="left"/>
    </xf>
    <xf numFmtId="1" fontId="6" fillId="0" borderId="695" xfId="0" applyNumberFormat="1" applyFont="1" applyBorder="1" applyAlignment="1">
      <alignment horizontal="left"/>
    </xf>
    <xf numFmtId="1" fontId="6" fillId="0" borderId="495" xfId="0" applyNumberFormat="1" applyFont="1" applyBorder="1" applyAlignment="1">
      <alignment horizontal="center" vertical="center" wrapText="1"/>
    </xf>
    <xf numFmtId="1" fontId="6" fillId="0" borderId="0" xfId="0" applyNumberFormat="1" applyFont="1" applyAlignment="1">
      <alignment horizontal="center" vertical="center" wrapText="1"/>
    </xf>
    <xf numFmtId="1" fontId="6" fillId="0" borderId="37" xfId="0" applyNumberFormat="1" applyFont="1" applyBorder="1" applyAlignment="1">
      <alignment horizontal="left" vertical="center" wrapText="1"/>
    </xf>
    <xf numFmtId="1" fontId="6" fillId="0" borderId="493" xfId="0" applyNumberFormat="1" applyFont="1" applyBorder="1" applyAlignment="1">
      <alignment horizontal="center" vertical="center" wrapText="1"/>
    </xf>
    <xf numFmtId="1" fontId="6" fillId="0" borderId="534" xfId="0" applyNumberFormat="1" applyFont="1" applyBorder="1" applyAlignment="1">
      <alignment horizontal="center" vertical="center" wrapText="1"/>
    </xf>
    <xf numFmtId="1" fontId="6" fillId="0" borderId="37" xfId="0" applyNumberFormat="1" applyFont="1" applyBorder="1" applyAlignment="1">
      <alignment horizontal="center" vertical="center" wrapText="1"/>
    </xf>
    <xf numFmtId="1" fontId="6" fillId="0" borderId="21" xfId="0" applyNumberFormat="1" applyFont="1" applyBorder="1" applyAlignment="1">
      <alignment horizontal="left"/>
    </xf>
    <xf numFmtId="1" fontId="6" fillId="0" borderId="51" xfId="0" applyNumberFormat="1" applyFont="1" applyBorder="1" applyAlignment="1">
      <alignment horizontal="left"/>
    </xf>
    <xf numFmtId="1" fontId="6" fillId="0" borderId="559" xfId="0" applyNumberFormat="1" applyFont="1" applyBorder="1" applyAlignment="1">
      <alignment horizontal="center" vertical="center" wrapText="1"/>
    </xf>
    <xf numFmtId="1" fontId="6" fillId="0" borderId="51" xfId="0" applyNumberFormat="1" applyFont="1" applyBorder="1" applyAlignment="1">
      <alignment horizontal="left" vertical="center" wrapText="1"/>
    </xf>
    <xf numFmtId="1" fontId="6" fillId="0" borderId="51" xfId="0" applyNumberFormat="1" applyFont="1" applyBorder="1" applyAlignment="1">
      <alignment vertical="center" wrapText="1"/>
    </xf>
    <xf numFmtId="1" fontId="6" fillId="0" borderId="648" xfId="0" applyNumberFormat="1" applyFont="1" applyBorder="1" applyAlignment="1">
      <alignment horizontal="center" vertical="center" wrapText="1"/>
    </xf>
    <xf numFmtId="1" fontId="6" fillId="0" borderId="51" xfId="0" applyNumberFormat="1" applyFont="1" applyBorder="1" applyAlignment="1">
      <alignment horizontal="left" wrapText="1"/>
    </xf>
    <xf numFmtId="1" fontId="6" fillId="0" borderId="39" xfId="0" applyNumberFormat="1" applyFont="1" applyBorder="1" applyAlignment="1">
      <alignment horizontal="left" wrapText="1"/>
    </xf>
    <xf numFmtId="1" fontId="55" fillId="0" borderId="0" xfId="0" applyNumberFormat="1" applyFont="1"/>
    <xf numFmtId="1" fontId="6" fillId="0" borderId="559" xfId="0" applyNumberFormat="1" applyFont="1" applyBorder="1" applyAlignment="1">
      <alignment horizontal="center" vertical="center"/>
    </xf>
    <xf numFmtId="1" fontId="20" fillId="0" borderId="0" xfId="0" applyNumberFormat="1" applyFont="1"/>
    <xf numFmtId="0" fontId="0" fillId="0" borderId="558" xfId="0" applyBorder="1"/>
    <xf numFmtId="1" fontId="6" fillId="0" borderId="726" xfId="0" applyNumberFormat="1" applyFont="1" applyBorder="1" applyAlignment="1">
      <alignment horizontal="center" vertical="center" wrapText="1"/>
    </xf>
    <xf numFmtId="1" fontId="6" fillId="0" borderId="703" xfId="0" applyNumberFormat="1" applyFont="1" applyBorder="1" applyAlignment="1">
      <alignment horizontal="left"/>
    </xf>
    <xf numFmtId="1" fontId="6" fillId="0" borderId="38" xfId="0" applyNumberFormat="1" applyFont="1" applyBorder="1" applyAlignment="1">
      <alignment vertical="center" wrapText="1"/>
    </xf>
    <xf numFmtId="1" fontId="6" fillId="0" borderId="38" xfId="0" applyNumberFormat="1" applyFont="1" applyBorder="1"/>
    <xf numFmtId="1" fontId="6" fillId="0" borderId="63" xfId="0" applyNumberFormat="1" applyFont="1" applyBorder="1"/>
    <xf numFmtId="1" fontId="6" fillId="0" borderId="63" xfId="0" applyNumberFormat="1" applyFont="1" applyBorder="1" applyAlignment="1">
      <alignment horizontal="left"/>
    </xf>
    <xf numFmtId="1" fontId="6" fillId="0" borderId="37" xfId="0" applyNumberFormat="1" applyFont="1" applyBorder="1" applyAlignment="1">
      <alignment horizontal="left" vertical="center" wrapText="1"/>
    </xf>
    <xf numFmtId="1" fontId="6" fillId="0" borderId="626" xfId="0" applyNumberFormat="1" applyFont="1" applyBorder="1" applyAlignment="1">
      <alignment horizontal="left" vertical="center" wrapText="1"/>
    </xf>
    <xf numFmtId="1" fontId="6" fillId="0" borderId="24" xfId="0" applyNumberFormat="1" applyFont="1" applyBorder="1" applyAlignment="1">
      <alignment horizontal="left" vertical="center" wrapText="1"/>
    </xf>
    <xf numFmtId="1" fontId="6" fillId="0" borderId="768" xfId="0" applyNumberFormat="1" applyFont="1" applyBorder="1" applyAlignment="1">
      <alignment horizontal="center" vertical="center"/>
    </xf>
    <xf numFmtId="1" fontId="6" fillId="0" borderId="718" xfId="0" applyNumberFormat="1" applyFont="1" applyBorder="1" applyAlignment="1">
      <alignment horizontal="center" vertical="center"/>
    </xf>
    <xf numFmtId="1" fontId="6" fillId="0" borderId="775" xfId="0" applyNumberFormat="1" applyFont="1" applyBorder="1" applyAlignment="1">
      <alignment horizontal="center" vertical="center" wrapText="1"/>
    </xf>
    <xf numFmtId="1" fontId="6" fillId="0" borderId="774" xfId="0" applyNumberFormat="1" applyFont="1" applyBorder="1" applyAlignment="1">
      <alignment horizontal="center" vertical="center" wrapText="1"/>
    </xf>
    <xf numFmtId="1" fontId="6" fillId="0" borderId="790" xfId="0" applyNumberFormat="1" applyFont="1" applyBorder="1" applyAlignment="1">
      <alignment horizontal="center" vertical="center" wrapText="1"/>
    </xf>
    <xf numFmtId="1" fontId="6" fillId="5" borderId="772" xfId="0" applyNumberFormat="1" applyFont="1" applyFill="1" applyBorder="1" applyProtection="1">
      <protection locked="0"/>
    </xf>
    <xf numFmtId="1" fontId="20" fillId="0" borderId="497" xfId="0" applyNumberFormat="1" applyFont="1" applyBorder="1"/>
    <xf numFmtId="1" fontId="13" fillId="3" borderId="497" xfId="0" applyNumberFormat="1" applyFont="1" applyFill="1" applyBorder="1" applyAlignment="1">
      <alignment horizontal="left" vertical="top"/>
    </xf>
    <xf numFmtId="1" fontId="13" fillId="3" borderId="769" xfId="0" applyNumberFormat="1" applyFont="1" applyFill="1" applyBorder="1" applyAlignment="1">
      <alignment vertical="top"/>
    </xf>
    <xf numFmtId="1" fontId="6" fillId="0" borderId="768" xfId="0" applyNumberFormat="1" applyFont="1" applyBorder="1" applyAlignment="1">
      <alignment horizontal="center" vertical="center" wrapText="1"/>
    </xf>
    <xf numFmtId="1" fontId="6" fillId="0" borderId="718" xfId="0" applyNumberFormat="1" applyFont="1" applyBorder="1" applyAlignment="1">
      <alignment horizontal="center" vertical="center" wrapText="1"/>
    </xf>
    <xf numFmtId="1" fontId="6" fillId="0" borderId="740" xfId="0" applyNumberFormat="1" applyFont="1" applyBorder="1" applyAlignment="1">
      <alignment horizontal="center" vertical="center" wrapText="1"/>
    </xf>
    <xf numFmtId="1" fontId="6" fillId="0" borderId="791" xfId="0" applyNumberFormat="1" applyFont="1" applyBorder="1" applyAlignment="1">
      <alignment horizontal="center" vertical="center" wrapText="1"/>
    </xf>
    <xf numFmtId="1" fontId="6" fillId="0" borderId="772" xfId="0" applyNumberFormat="1" applyFont="1" applyBorder="1"/>
    <xf numFmtId="1" fontId="6" fillId="0" borderId="780" xfId="0" applyNumberFormat="1" applyFont="1" applyBorder="1"/>
    <xf numFmtId="1" fontId="6" fillId="0" borderId="777" xfId="0" applyNumberFormat="1" applyFont="1" applyBorder="1"/>
    <xf numFmtId="1" fontId="6" fillId="5" borderId="777" xfId="0" applyNumberFormat="1" applyFont="1" applyFill="1" applyBorder="1" applyProtection="1">
      <protection locked="0"/>
    </xf>
    <xf numFmtId="1" fontId="6" fillId="5" borderId="765" xfId="0" applyNumberFormat="1" applyFont="1" applyFill="1" applyBorder="1" applyProtection="1">
      <protection locked="0"/>
    </xf>
    <xf numFmtId="1" fontId="6" fillId="5" borderId="789" xfId="0" applyNumberFormat="1" applyFont="1" applyFill="1" applyBorder="1" applyProtection="1">
      <protection locked="0"/>
    </xf>
    <xf numFmtId="1" fontId="13" fillId="5" borderId="771" xfId="0" applyNumberFormat="1" applyFont="1" applyFill="1" applyBorder="1" applyProtection="1">
      <protection locked="0"/>
    </xf>
    <xf numFmtId="1" fontId="6" fillId="3" borderId="772" xfId="0" applyNumberFormat="1" applyFont="1" applyFill="1" applyBorder="1"/>
    <xf numFmtId="1" fontId="6" fillId="3" borderId="780" xfId="0" applyNumberFormat="1" applyFont="1" applyFill="1" applyBorder="1"/>
    <xf numFmtId="1" fontId="6" fillId="3" borderId="777" xfId="0" applyNumberFormat="1" applyFont="1" applyFill="1" applyBorder="1"/>
    <xf numFmtId="1" fontId="13" fillId="5" borderId="777" xfId="0" applyNumberFormat="1" applyFont="1" applyFill="1" applyBorder="1" applyProtection="1">
      <protection locked="0"/>
    </xf>
    <xf numFmtId="1" fontId="6" fillId="0" borderId="768" xfId="0" applyNumberFormat="1" applyFont="1" applyBorder="1"/>
    <xf numFmtId="1" fontId="6" fillId="0" borderId="718" xfId="0" applyNumberFormat="1" applyFont="1" applyBorder="1"/>
    <xf numFmtId="1" fontId="6" fillId="0" borderId="775" xfId="0" applyNumberFormat="1" applyFont="1" applyBorder="1"/>
    <xf numFmtId="1" fontId="6" fillId="0" borderId="786" xfId="0" applyNumberFormat="1" applyFont="1" applyBorder="1"/>
    <xf numFmtId="1" fontId="12" fillId="3" borderId="769" xfId="0" applyNumberFormat="1" applyFont="1" applyFill="1" applyBorder="1"/>
    <xf numFmtId="1" fontId="13" fillId="0" borderId="769" xfId="0" applyNumberFormat="1" applyFont="1" applyBorder="1"/>
    <xf numFmtId="1" fontId="20" fillId="0" borderId="768" xfId="0" applyNumberFormat="1" applyFont="1" applyBorder="1" applyAlignment="1">
      <alignment horizontal="center" vertical="center"/>
    </xf>
    <xf numFmtId="1" fontId="51" fillId="0" borderId="718" xfId="0" applyNumberFormat="1" applyFont="1" applyBorder="1" applyAlignment="1">
      <alignment horizontal="center" vertical="center"/>
    </xf>
    <xf numFmtId="1" fontId="20" fillId="0" borderId="775" xfId="0" applyNumberFormat="1" applyFont="1" applyBorder="1" applyAlignment="1">
      <alignment horizontal="center" vertical="center"/>
    </xf>
    <xf numFmtId="1" fontId="20" fillId="0" borderId="769" xfId="0" applyNumberFormat="1" applyFont="1" applyBorder="1" applyAlignment="1">
      <alignment horizontal="center" vertical="center"/>
    </xf>
    <xf numFmtId="1" fontId="51" fillId="0" borderId="775" xfId="0" applyNumberFormat="1" applyFont="1" applyBorder="1" applyAlignment="1">
      <alignment horizontal="center"/>
    </xf>
    <xf numFmtId="1" fontId="20" fillId="0" borderId="790" xfId="0" applyNumberFormat="1" applyFont="1" applyBorder="1" applyAlignment="1">
      <alignment horizontal="center" vertical="center"/>
    </xf>
    <xf numFmtId="1" fontId="6" fillId="0" borderId="772" xfId="0" applyNumberFormat="1" applyFont="1" applyBorder="1" applyAlignment="1">
      <alignment vertical="center" wrapText="1"/>
    </xf>
    <xf numFmtId="1" fontId="6" fillId="0" borderId="780" xfId="0" applyNumberFormat="1" applyFont="1" applyBorder="1" applyAlignment="1">
      <alignment vertical="center" wrapText="1"/>
    </xf>
    <xf numFmtId="1" fontId="6" fillId="0" borderId="777" xfId="0" applyNumberFormat="1" applyFont="1" applyBorder="1" applyAlignment="1">
      <alignment vertical="center" wrapText="1"/>
    </xf>
    <xf numFmtId="1" fontId="6" fillId="5" borderId="772" xfId="0" applyNumberFormat="1" applyFont="1" applyFill="1" applyBorder="1" applyAlignment="1" applyProtection="1">
      <alignment vertical="center" wrapText="1"/>
      <protection locked="0"/>
    </xf>
    <xf numFmtId="1" fontId="6" fillId="5" borderId="783" xfId="0" applyNumberFormat="1" applyFont="1" applyFill="1" applyBorder="1" applyAlignment="1" applyProtection="1">
      <alignment vertical="center" wrapText="1"/>
      <protection locked="0"/>
    </xf>
    <xf numFmtId="1" fontId="6" fillId="5" borderId="781" xfId="0" applyNumberFormat="1" applyFont="1" applyFill="1" applyBorder="1" applyAlignment="1" applyProtection="1">
      <alignment vertical="center" wrapText="1"/>
      <protection locked="0"/>
    </xf>
    <xf numFmtId="1" fontId="6" fillId="5" borderId="765" xfId="0" applyNumberFormat="1" applyFont="1" applyFill="1" applyBorder="1" applyAlignment="1" applyProtection="1">
      <alignment vertical="center" wrapText="1"/>
      <protection locked="0"/>
    </xf>
    <xf numFmtId="1" fontId="6" fillId="5" borderId="785" xfId="0" applyNumberFormat="1" applyFont="1" applyFill="1" applyBorder="1" applyAlignment="1" applyProtection="1">
      <alignment vertical="center" wrapText="1"/>
      <protection locked="0"/>
    </xf>
    <xf numFmtId="1" fontId="6" fillId="5" borderId="777" xfId="0" applyNumberFormat="1" applyFont="1" applyFill="1" applyBorder="1" applyAlignment="1" applyProtection="1">
      <alignment vertical="center" wrapText="1"/>
      <protection locked="0"/>
    </xf>
    <xf numFmtId="1" fontId="6" fillId="0" borderId="627" xfId="0" applyNumberFormat="1" applyFont="1" applyBorder="1" applyAlignment="1">
      <alignment vertical="center" wrapText="1"/>
    </xf>
    <xf numFmtId="1" fontId="6" fillId="0" borderId="703" xfId="0" applyNumberFormat="1" applyFont="1" applyBorder="1" applyAlignment="1">
      <alignment vertical="center" wrapText="1"/>
    </xf>
    <xf numFmtId="1" fontId="6" fillId="5" borderId="627" xfId="0" applyNumberFormat="1" applyFont="1" applyFill="1" applyBorder="1" applyAlignment="1" applyProtection="1">
      <alignment vertical="center" wrapText="1"/>
      <protection locked="0"/>
    </xf>
    <xf numFmtId="1" fontId="6" fillId="5" borderId="703" xfId="0" applyNumberFormat="1" applyFont="1" applyFill="1" applyBorder="1" applyAlignment="1" applyProtection="1">
      <alignment vertical="center" wrapText="1"/>
      <protection locked="0"/>
    </xf>
    <xf numFmtId="1" fontId="6" fillId="5" borderId="719" xfId="0" applyNumberFormat="1" applyFont="1" applyFill="1" applyBorder="1" applyAlignment="1" applyProtection="1">
      <alignment vertical="center" wrapText="1"/>
      <protection locked="0"/>
    </xf>
    <xf numFmtId="1" fontId="6" fillId="5" borderId="511" xfId="0" applyNumberFormat="1" applyFont="1" applyFill="1" applyBorder="1" applyAlignment="1" applyProtection="1">
      <alignment vertical="center" wrapText="1"/>
      <protection locked="0"/>
    </xf>
    <xf numFmtId="1" fontId="6" fillId="5" borderId="38" xfId="0" applyNumberFormat="1" applyFont="1" applyFill="1" applyBorder="1" applyAlignment="1" applyProtection="1">
      <alignment vertical="center" wrapText="1"/>
      <protection locked="0"/>
    </xf>
    <xf numFmtId="1" fontId="6" fillId="5" borderId="36" xfId="0" applyNumberFormat="1" applyFont="1" applyFill="1" applyBorder="1" applyAlignment="1" applyProtection="1">
      <alignment vertical="center" wrapText="1"/>
      <protection locked="0"/>
    </xf>
    <xf numFmtId="1" fontId="6" fillId="5" borderId="55" xfId="0" applyNumberFormat="1" applyFont="1" applyFill="1" applyBorder="1" applyAlignment="1" applyProtection="1">
      <alignment vertical="center" wrapText="1"/>
      <protection locked="0"/>
    </xf>
    <xf numFmtId="1" fontId="6" fillId="5" borderId="60" xfId="0" applyNumberFormat="1" applyFont="1" applyFill="1" applyBorder="1" applyAlignment="1" applyProtection="1">
      <alignment vertical="center" wrapText="1"/>
      <protection locked="0"/>
    </xf>
    <xf numFmtId="1" fontId="6" fillId="5" borderId="119" xfId="0" applyNumberFormat="1" applyFont="1" applyFill="1" applyBorder="1" applyAlignment="1" applyProtection="1">
      <alignment vertical="center" wrapText="1"/>
      <protection locked="0"/>
    </xf>
    <xf numFmtId="1" fontId="6" fillId="5" borderId="51" xfId="0" applyNumberFormat="1" applyFont="1" applyFill="1" applyBorder="1" applyAlignment="1" applyProtection="1">
      <alignment vertical="center" wrapText="1"/>
      <protection locked="0"/>
    </xf>
    <xf numFmtId="1" fontId="6" fillId="0" borderId="490" xfId="0" applyNumberFormat="1" applyFont="1" applyBorder="1" applyAlignment="1">
      <alignment vertical="center" wrapText="1"/>
    </xf>
    <xf numFmtId="1" fontId="6" fillId="0" borderId="89" xfId="0" applyNumberFormat="1" applyFont="1" applyBorder="1" applyAlignment="1">
      <alignment vertical="center" wrapText="1"/>
    </xf>
    <xf numFmtId="1" fontId="6" fillId="0" borderId="39" xfId="0" applyNumberFormat="1" applyFont="1" applyBorder="1" applyAlignment="1">
      <alignment vertical="center" wrapText="1"/>
    </xf>
    <xf numFmtId="1" fontId="6" fillId="5" borderId="20" xfId="0" applyNumberFormat="1" applyFont="1" applyFill="1" applyBorder="1" applyAlignment="1" applyProtection="1">
      <alignment vertical="center" wrapText="1"/>
      <protection locked="0"/>
    </xf>
    <xf numFmtId="1" fontId="6" fillId="5" borderId="22" xfId="0" applyNumberFormat="1" applyFont="1" applyFill="1" applyBorder="1" applyAlignment="1" applyProtection="1">
      <alignment vertical="center" wrapText="1"/>
      <protection locked="0"/>
    </xf>
    <xf numFmtId="1" fontId="6" fillId="5" borderId="57" xfId="0" applyNumberFormat="1" applyFont="1" applyFill="1" applyBorder="1" applyAlignment="1" applyProtection="1">
      <alignment vertical="center" wrapText="1"/>
      <protection locked="0"/>
    </xf>
    <xf numFmtId="1" fontId="6" fillId="5" borderId="61" xfId="0" applyNumberFormat="1" applyFont="1" applyFill="1" applyBorder="1" applyAlignment="1" applyProtection="1">
      <alignment vertical="center" wrapText="1"/>
      <protection locked="0"/>
    </xf>
    <xf numFmtId="1" fontId="6" fillId="5" borderId="120" xfId="0" applyNumberFormat="1" applyFont="1" applyFill="1" applyBorder="1" applyAlignment="1" applyProtection="1">
      <alignment vertical="center" wrapText="1"/>
      <protection locked="0"/>
    </xf>
    <xf numFmtId="1" fontId="6" fillId="5" borderId="21" xfId="0" applyNumberFormat="1" applyFont="1" applyFill="1" applyBorder="1" applyAlignment="1" applyProtection="1">
      <alignment vertical="center" wrapText="1"/>
      <protection locked="0"/>
    </xf>
    <xf numFmtId="1" fontId="6" fillId="5" borderId="39" xfId="0" applyNumberFormat="1" applyFont="1" applyFill="1" applyBorder="1" applyAlignment="1" applyProtection="1">
      <alignment vertical="center" wrapText="1"/>
      <protection locked="0"/>
    </xf>
    <xf numFmtId="1" fontId="6" fillId="4" borderId="768" xfId="0" applyNumberFormat="1" applyFont="1" applyFill="1" applyBorder="1" applyAlignment="1">
      <alignment horizontal="center"/>
    </xf>
    <xf numFmtId="1" fontId="6" fillId="4" borderId="775" xfId="0" applyNumberFormat="1" applyFont="1" applyFill="1" applyBorder="1" applyAlignment="1">
      <alignment horizontal="center"/>
    </xf>
    <xf numFmtId="1" fontId="6" fillId="0" borderId="787" xfId="0" applyNumberFormat="1" applyFont="1" applyBorder="1" applyAlignment="1">
      <alignment horizontal="center" vertical="center" wrapText="1"/>
    </xf>
    <xf numFmtId="1" fontId="6" fillId="0" borderId="786" xfId="0" applyNumberFormat="1" applyFont="1" applyBorder="1" applyAlignment="1">
      <alignment horizontal="center" vertical="center" wrapText="1"/>
    </xf>
    <xf numFmtId="1" fontId="6" fillId="0" borderId="768" xfId="0" applyNumberFormat="1" applyFont="1" applyBorder="1" applyAlignment="1">
      <alignment vertical="center" wrapText="1"/>
    </xf>
    <xf numFmtId="1" fontId="6" fillId="0" borderId="718" xfId="0" applyNumberFormat="1" applyFont="1" applyBorder="1" applyAlignment="1">
      <alignment vertical="center" wrapText="1"/>
    </xf>
    <xf numFmtId="1" fontId="6" fillId="0" borderId="775" xfId="0" applyNumberFormat="1" applyFont="1" applyBorder="1" applyAlignment="1">
      <alignment vertical="center" wrapText="1"/>
    </xf>
    <xf numFmtId="1" fontId="6" fillId="5" borderId="768" xfId="0" applyNumberFormat="1" applyFont="1" applyFill="1" applyBorder="1" applyAlignment="1" applyProtection="1">
      <alignment vertical="center" wrapText="1"/>
      <protection locked="0"/>
    </xf>
    <xf numFmtId="1" fontId="6" fillId="5" borderId="788" xfId="0" applyNumberFormat="1" applyFont="1" applyFill="1" applyBorder="1" applyAlignment="1" applyProtection="1">
      <alignment vertical="center" wrapText="1"/>
      <protection locked="0"/>
    </xf>
    <xf numFmtId="1" fontId="6" fillId="5" borderId="769" xfId="0" applyNumberFormat="1" applyFont="1" applyFill="1" applyBorder="1" applyAlignment="1" applyProtection="1">
      <alignment vertical="center" wrapText="1"/>
      <protection locked="0"/>
    </xf>
    <xf numFmtId="1" fontId="6" fillId="5" borderId="720" xfId="0" applyNumberFormat="1" applyFont="1" applyFill="1" applyBorder="1" applyAlignment="1" applyProtection="1">
      <alignment vertical="center" wrapText="1"/>
      <protection locked="0"/>
    </xf>
    <xf numFmtId="1" fontId="6" fillId="5" borderId="721" xfId="0" applyNumberFormat="1" applyFont="1" applyFill="1" applyBorder="1" applyAlignment="1" applyProtection="1">
      <alignment vertical="center" wrapText="1"/>
      <protection locked="0"/>
    </xf>
    <xf numFmtId="1" fontId="6" fillId="5" borderId="775" xfId="0" applyNumberFormat="1" applyFont="1" applyFill="1" applyBorder="1" applyAlignment="1" applyProtection="1">
      <alignment vertical="center" wrapText="1"/>
      <protection locked="0"/>
    </xf>
    <xf numFmtId="1" fontId="6" fillId="3" borderId="626" xfId="0" applyNumberFormat="1" applyFont="1" applyFill="1" applyBorder="1" applyAlignment="1">
      <alignment horizontal="center" vertical="center" wrapText="1"/>
    </xf>
    <xf numFmtId="1" fontId="6" fillId="3" borderId="627" xfId="0" applyNumberFormat="1" applyFont="1" applyFill="1" applyBorder="1" applyAlignment="1">
      <alignment vertical="center" wrapText="1"/>
    </xf>
    <xf numFmtId="1" fontId="6" fillId="3" borderId="539" xfId="0" applyNumberFormat="1" applyFont="1" applyFill="1" applyBorder="1" applyAlignment="1">
      <alignment vertical="center" wrapText="1"/>
    </xf>
    <xf numFmtId="1" fontId="6" fillId="5" borderId="537" xfId="0" applyNumberFormat="1" applyFont="1" applyFill="1" applyBorder="1" applyAlignment="1" applyProtection="1">
      <alignment vertical="center" wrapText="1"/>
      <protection locked="0"/>
    </xf>
    <xf numFmtId="1" fontId="6" fillId="5" borderId="642" xfId="0" applyNumberFormat="1" applyFont="1" applyFill="1" applyBorder="1" applyAlignment="1" applyProtection="1">
      <alignment vertical="center" wrapText="1"/>
      <protection locked="0"/>
    </xf>
    <xf numFmtId="1" fontId="6" fillId="5" borderId="85" xfId="0" applyNumberFormat="1" applyFont="1" applyFill="1" applyBorder="1" applyAlignment="1" applyProtection="1">
      <alignment vertical="center" wrapText="1"/>
      <protection locked="0"/>
    </xf>
    <xf numFmtId="1" fontId="6" fillId="5" borderId="102" xfId="0" applyNumberFormat="1" applyFont="1" applyFill="1" applyBorder="1" applyAlignment="1" applyProtection="1">
      <alignment vertical="center" wrapText="1"/>
      <protection locked="0"/>
    </xf>
    <xf numFmtId="1" fontId="6" fillId="0" borderId="540" xfId="0" applyNumberFormat="1" applyFont="1" applyBorder="1" applyAlignment="1">
      <alignment horizontal="center" vertical="center" wrapText="1"/>
    </xf>
    <xf numFmtId="1" fontId="6" fillId="5" borderId="490" xfId="0" applyNumberFormat="1" applyFont="1" applyFill="1" applyBorder="1" applyAlignment="1" applyProtection="1">
      <alignment vertical="center" wrapText="1"/>
      <protection locked="0"/>
    </xf>
    <xf numFmtId="1" fontId="6" fillId="5" borderId="87" xfId="0" applyNumberFormat="1" applyFont="1" applyFill="1" applyBorder="1" applyAlignment="1" applyProtection="1">
      <alignment vertical="center" wrapText="1"/>
      <protection locked="0"/>
    </xf>
    <xf numFmtId="1" fontId="6" fillId="5" borderId="32" xfId="0" applyNumberFormat="1" applyFont="1" applyFill="1" applyBorder="1" applyAlignment="1" applyProtection="1">
      <alignment vertical="center" wrapText="1"/>
      <protection locked="0"/>
    </xf>
    <xf numFmtId="1" fontId="6" fillId="5" borderId="129" xfId="0" applyNumberFormat="1" applyFont="1" applyFill="1" applyBorder="1" applyAlignment="1" applyProtection="1">
      <alignment vertical="center" wrapText="1"/>
      <protection locked="0"/>
    </xf>
    <xf numFmtId="1" fontId="6" fillId="5" borderId="103" xfId="0" applyNumberFormat="1" applyFont="1" applyFill="1" applyBorder="1" applyAlignment="1" applyProtection="1">
      <alignment vertical="center" wrapText="1"/>
      <protection locked="0"/>
    </xf>
    <xf numFmtId="1" fontId="6" fillId="5" borderId="109" xfId="0" applyNumberFormat="1" applyFont="1" applyFill="1" applyBorder="1" applyAlignment="1" applyProtection="1">
      <alignment vertical="center" wrapText="1"/>
      <protection locked="0"/>
    </xf>
    <xf numFmtId="1" fontId="6" fillId="3" borderId="786" xfId="0" applyNumberFormat="1" applyFont="1" applyFill="1" applyBorder="1" applyAlignment="1">
      <alignment horizontal="center" vertical="center" wrapText="1"/>
    </xf>
    <xf numFmtId="1" fontId="6" fillId="3" borderId="768" xfId="0" applyNumberFormat="1" applyFont="1" applyFill="1" applyBorder="1" applyAlignment="1">
      <alignment horizontal="center" vertical="center" wrapText="1"/>
    </xf>
    <xf numFmtId="1" fontId="6" fillId="3" borderId="718" xfId="0" applyNumberFormat="1" applyFont="1" applyFill="1" applyBorder="1" applyAlignment="1">
      <alignment horizontal="center" vertical="center" wrapText="1"/>
    </xf>
    <xf numFmtId="1" fontId="6" fillId="0" borderId="769" xfId="0" applyNumberFormat="1" applyFont="1" applyBorder="1" applyAlignment="1">
      <alignment horizontal="center" vertical="center" wrapText="1"/>
    </xf>
    <xf numFmtId="1" fontId="6" fillId="0" borderId="788" xfId="0" applyNumberFormat="1" applyFont="1" applyBorder="1" applyAlignment="1">
      <alignment horizontal="center" vertical="center" wrapText="1"/>
    </xf>
    <xf numFmtId="1" fontId="6" fillId="0" borderId="720" xfId="0" applyNumberFormat="1" applyFont="1" applyBorder="1" applyAlignment="1">
      <alignment horizontal="center" vertical="center" wrapText="1"/>
    </xf>
    <xf numFmtId="1" fontId="6" fillId="0" borderId="721" xfId="0" applyNumberFormat="1" applyFont="1" applyBorder="1" applyAlignment="1">
      <alignment horizontal="center" vertical="center" wrapText="1"/>
    </xf>
    <xf numFmtId="0" fontId="0" fillId="23" borderId="772" xfId="0" applyFill="1" applyBorder="1"/>
    <xf numFmtId="0" fontId="0" fillId="23" borderId="783" xfId="0" applyFill="1" applyBorder="1"/>
    <xf numFmtId="0" fontId="0" fillId="23" borderId="781" xfId="0" applyFill="1" applyBorder="1"/>
    <xf numFmtId="1" fontId="6" fillId="13" borderId="490" xfId="0" applyNumberFormat="1" applyFont="1" applyFill="1" applyBorder="1" applyAlignment="1" applyProtection="1">
      <alignment vertical="center" wrapText="1"/>
      <protection locked="0"/>
    </xf>
    <xf numFmtId="1" fontId="6" fillId="13" borderId="32" xfId="0" applyNumberFormat="1" applyFont="1" applyFill="1" applyBorder="1" applyAlignment="1" applyProtection="1">
      <alignment vertical="center" wrapText="1"/>
      <protection locked="0"/>
    </xf>
    <xf numFmtId="1" fontId="6" fillId="5" borderId="743" xfId="0" applyNumberFormat="1" applyFont="1" applyFill="1" applyBorder="1" applyAlignment="1" applyProtection="1">
      <alignment vertical="center" wrapText="1"/>
      <protection locked="0"/>
    </xf>
    <xf numFmtId="1" fontId="6" fillId="5" borderId="782" xfId="0" applyNumberFormat="1" applyFont="1" applyFill="1" applyBorder="1" applyAlignment="1" applyProtection="1">
      <alignment vertical="center" wrapText="1"/>
      <protection locked="0"/>
    </xf>
    <xf numFmtId="1" fontId="6" fillId="5" borderId="540" xfId="0" applyNumberFormat="1" applyFont="1" applyFill="1" applyBorder="1" applyAlignment="1" applyProtection="1">
      <alignment vertical="center" wrapText="1"/>
      <protection locked="0"/>
    </xf>
    <xf numFmtId="1" fontId="51" fillId="0" borderId="540" xfId="0" applyNumberFormat="1" applyFont="1" applyBorder="1" applyAlignment="1">
      <alignment horizontal="center" vertical="center" wrapText="1"/>
    </xf>
    <xf numFmtId="1" fontId="51" fillId="0" borderId="786" xfId="0" applyNumberFormat="1" applyFont="1" applyBorder="1" applyAlignment="1">
      <alignment horizontal="center" vertical="center" wrapText="1"/>
    </xf>
    <xf numFmtId="1" fontId="6" fillId="13" borderId="768" xfId="0" applyNumberFormat="1" applyFont="1" applyFill="1" applyBorder="1" applyAlignment="1">
      <alignment horizontal="center" vertical="center" wrapText="1"/>
    </xf>
    <xf numFmtId="1" fontId="6" fillId="13" borderId="775" xfId="0" applyNumberFormat="1" applyFont="1" applyFill="1" applyBorder="1" applyAlignment="1">
      <alignment horizontal="center" vertical="center" wrapText="1"/>
    </xf>
    <xf numFmtId="1" fontId="6" fillId="13" borderId="769" xfId="0" applyNumberFormat="1" applyFont="1" applyFill="1" applyBorder="1" applyAlignment="1">
      <alignment horizontal="center" vertical="center" wrapText="1"/>
    </xf>
    <xf numFmtId="1" fontId="6" fillId="0" borderId="786" xfId="0" applyNumberFormat="1" applyFont="1" applyBorder="1" applyAlignment="1">
      <alignment horizontal="center" vertical="center"/>
    </xf>
    <xf numFmtId="1" fontId="68" fillId="0" borderId="786" xfId="0" applyNumberFormat="1" applyFont="1" applyBorder="1" applyAlignment="1">
      <alignment horizontal="center" vertical="center" wrapText="1"/>
    </xf>
    <xf numFmtId="1" fontId="68" fillId="0" borderId="786" xfId="0" applyNumberFormat="1" applyFont="1" applyBorder="1" applyAlignment="1">
      <alignment horizontal="center" vertical="center"/>
    </xf>
    <xf numFmtId="1" fontId="6" fillId="5" borderId="786" xfId="0" applyNumberFormat="1" applyFont="1" applyFill="1" applyBorder="1" applyAlignment="1" applyProtection="1">
      <alignment horizontal="left" vertical="center" wrapText="1"/>
      <protection locked="0"/>
    </xf>
    <xf numFmtId="1" fontId="40" fillId="5" borderId="786" xfId="0" applyNumberFormat="1" applyFont="1" applyFill="1" applyBorder="1" applyAlignment="1" applyProtection="1">
      <alignment horizontal="left" vertical="center" wrapText="1"/>
      <protection locked="0"/>
    </xf>
    <xf numFmtId="1" fontId="6" fillId="5" borderId="771" xfId="0" applyNumberFormat="1" applyFont="1" applyFill="1" applyBorder="1" applyAlignment="1" applyProtection="1">
      <alignment horizontal="left" vertical="center" wrapText="1"/>
      <protection locked="0"/>
    </xf>
    <xf numFmtId="1" fontId="40" fillId="5" borderId="771" xfId="0" applyNumberFormat="1" applyFont="1" applyFill="1" applyBorder="1" applyAlignment="1" applyProtection="1">
      <alignment horizontal="left" vertical="center" wrapText="1"/>
      <protection locked="0"/>
    </xf>
    <xf numFmtId="1" fontId="6" fillId="0" borderId="788" xfId="0" applyNumberFormat="1" applyFont="1" applyBorder="1" applyAlignment="1">
      <alignment horizontal="center" vertical="center"/>
    </xf>
    <xf numFmtId="1" fontId="6" fillId="0" borderId="787" xfId="0" applyNumberFormat="1" applyFont="1" applyBorder="1" applyAlignment="1">
      <alignment horizontal="center" vertical="center"/>
    </xf>
    <xf numFmtId="1" fontId="6" fillId="0" borderId="790" xfId="0" applyNumberFormat="1" applyFont="1" applyBorder="1" applyAlignment="1">
      <alignment horizontal="center" vertical="center"/>
    </xf>
    <xf numFmtId="1" fontId="6" fillId="0" borderId="771" xfId="0" applyNumberFormat="1" applyFont="1" applyBorder="1" applyAlignment="1">
      <alignment horizontal="left" wrapText="1"/>
    </xf>
    <xf numFmtId="1" fontId="6" fillId="5" borderId="772" xfId="0" applyNumberFormat="1" applyFont="1" applyFill="1" applyBorder="1" applyAlignment="1" applyProtection="1">
      <alignment horizontal="left"/>
      <protection locked="0"/>
    </xf>
    <xf numFmtId="1" fontId="6" fillId="5" borderId="780" xfId="0" applyNumberFormat="1" applyFont="1" applyFill="1" applyBorder="1" applyAlignment="1" applyProtection="1">
      <alignment horizontal="left"/>
      <protection locked="0"/>
    </xf>
    <xf numFmtId="1" fontId="6" fillId="5" borderId="781" xfId="0" applyNumberFormat="1" applyFont="1" applyFill="1" applyBorder="1" applyAlignment="1" applyProtection="1">
      <alignment horizontal="left"/>
      <protection locked="0"/>
    </xf>
    <xf numFmtId="1" fontId="6" fillId="5" borderId="789" xfId="0" applyNumberFormat="1" applyFont="1" applyFill="1" applyBorder="1" applyAlignment="1" applyProtection="1">
      <alignment horizontal="left"/>
      <protection locked="0"/>
    </xf>
    <xf numFmtId="1" fontId="6" fillId="5" borderId="777" xfId="0" applyNumberFormat="1" applyFont="1" applyFill="1" applyBorder="1" applyAlignment="1" applyProtection="1">
      <alignment horizontal="left"/>
      <protection locked="0"/>
    </xf>
    <xf numFmtId="1" fontId="6" fillId="5" borderId="771" xfId="0" applyNumberFormat="1" applyFont="1" applyFill="1" applyBorder="1" applyAlignment="1" applyProtection="1">
      <alignment horizontal="left"/>
      <protection locked="0"/>
    </xf>
    <xf numFmtId="1" fontId="6" fillId="0" borderId="775" xfId="0" applyNumberFormat="1" applyFont="1" applyBorder="1" applyAlignment="1">
      <alignment horizontal="right" wrapText="1"/>
    </xf>
    <xf numFmtId="1" fontId="6" fillId="0" borderId="768" xfId="0" applyNumberFormat="1" applyFont="1" applyBorder="1" applyAlignment="1">
      <alignment horizontal="right" wrapText="1"/>
    </xf>
    <xf numFmtId="1" fontId="6" fillId="0" borderId="775" xfId="0" applyNumberFormat="1" applyFont="1" applyBorder="1" applyAlignment="1">
      <alignment horizontal="right"/>
    </xf>
    <xf numFmtId="1" fontId="6" fillId="0" borderId="768" xfId="0" applyNumberFormat="1" applyFont="1" applyBorder="1" applyAlignment="1">
      <alignment horizontal="right"/>
    </xf>
    <xf numFmtId="1" fontId="6" fillId="0" borderId="718" xfId="0" applyNumberFormat="1" applyFont="1" applyBorder="1" applyAlignment="1">
      <alignment horizontal="right"/>
    </xf>
    <xf numFmtId="1" fontId="6" fillId="0" borderId="787" xfId="0" applyNumberFormat="1" applyFont="1" applyBorder="1" applyAlignment="1">
      <alignment horizontal="right"/>
    </xf>
    <xf numFmtId="1" fontId="6" fillId="0" borderId="790" xfId="0" applyNumberFormat="1" applyFont="1" applyBorder="1" applyAlignment="1">
      <alignment horizontal="right"/>
    </xf>
    <xf numFmtId="1" fontId="6" fillId="0" borderId="769" xfId="0" applyNumberFormat="1" applyFont="1" applyBorder="1" applyAlignment="1">
      <alignment horizontal="right"/>
    </xf>
    <xf numFmtId="1" fontId="6" fillId="0" borderId="793" xfId="0" applyNumberFormat="1" applyFont="1" applyBorder="1" applyAlignment="1">
      <alignment horizontal="right"/>
    </xf>
    <xf numFmtId="1" fontId="6" fillId="0" borderId="786" xfId="0" applyNumberFormat="1" applyFont="1" applyBorder="1" applyAlignment="1">
      <alignment horizontal="right"/>
    </xf>
    <xf numFmtId="1" fontId="6" fillId="0" borderId="777" xfId="0" applyNumberFormat="1" applyFont="1" applyBorder="1" applyAlignment="1">
      <alignment horizontal="left" wrapText="1"/>
    </xf>
    <xf numFmtId="1" fontId="6" fillId="2" borderId="794" xfId="15" applyNumberFormat="1" applyFont="1" applyBorder="1" applyAlignment="1" applyProtection="1">
      <alignment horizontal="left" vertical="center" wrapText="1"/>
      <protection locked="0"/>
    </xf>
    <xf numFmtId="1" fontId="6" fillId="5" borderId="795" xfId="0" applyNumberFormat="1" applyFont="1" applyFill="1" applyBorder="1" applyProtection="1">
      <protection locked="0"/>
    </xf>
    <xf numFmtId="1" fontId="6" fillId="5" borderId="796" xfId="0" applyNumberFormat="1" applyFont="1" applyFill="1" applyBorder="1" applyProtection="1">
      <protection locked="0"/>
    </xf>
    <xf numFmtId="1" fontId="6" fillId="5" borderId="797" xfId="0" applyNumberFormat="1" applyFont="1" applyFill="1" applyBorder="1" applyProtection="1">
      <protection locked="0"/>
    </xf>
    <xf numFmtId="1" fontId="40" fillId="5" borderId="797" xfId="0" applyNumberFormat="1" applyFont="1" applyFill="1" applyBorder="1" applyProtection="1">
      <protection locked="0"/>
    </xf>
    <xf numFmtId="1" fontId="6" fillId="2" borderId="800" xfId="15" applyNumberFormat="1" applyFont="1" applyBorder="1" applyAlignment="1" applyProtection="1">
      <alignment horizontal="left" vertical="center" wrapText="1"/>
      <protection locked="0"/>
    </xf>
    <xf numFmtId="1" fontId="6" fillId="2" borderId="801" xfId="15" applyNumberFormat="1" applyFont="1" applyBorder="1" applyProtection="1">
      <protection locked="0"/>
    </xf>
    <xf numFmtId="1" fontId="6" fillId="0" borderId="804" xfId="0" applyNumberFormat="1" applyFont="1" applyBorder="1" applyAlignment="1">
      <alignment horizontal="right" wrapText="1"/>
    </xf>
    <xf numFmtId="1" fontId="6" fillId="0" borderId="805" xfId="0" applyNumberFormat="1" applyFont="1" applyBorder="1" applyAlignment="1">
      <alignment horizontal="right"/>
    </xf>
    <xf numFmtId="1" fontId="6" fillId="0" borderId="806" xfId="0" applyNumberFormat="1" applyFont="1" applyBorder="1" applyAlignment="1">
      <alignment horizontal="right"/>
    </xf>
    <xf numFmtId="1" fontId="6" fillId="0" borderId="807" xfId="0" applyNumberFormat="1" applyFont="1" applyBorder="1" applyAlignment="1">
      <alignment horizontal="right"/>
    </xf>
    <xf numFmtId="1" fontId="6" fillId="0" borderId="803" xfId="0" applyNumberFormat="1" applyFont="1" applyBorder="1" applyAlignment="1">
      <alignment horizontal="right"/>
    </xf>
    <xf numFmtId="1" fontId="6" fillId="0" borderId="804" xfId="0" applyNumberFormat="1" applyFont="1" applyBorder="1" applyAlignment="1">
      <alignment horizontal="right"/>
    </xf>
    <xf numFmtId="1" fontId="6" fillId="3" borderId="805" xfId="0" applyNumberFormat="1" applyFont="1" applyFill="1" applyBorder="1" applyAlignment="1">
      <alignment horizontal="right"/>
    </xf>
    <xf numFmtId="1" fontId="6" fillId="0" borderId="805" xfId="0" applyNumberFormat="1" applyFont="1" applyBorder="1" applyAlignment="1">
      <alignment horizontal="center" vertical="center"/>
    </xf>
    <xf numFmtId="1" fontId="6" fillId="0" borderId="804" xfId="0" applyNumberFormat="1" applyFont="1" applyBorder="1" applyAlignment="1">
      <alignment horizontal="center" vertical="center"/>
    </xf>
    <xf numFmtId="1" fontId="6" fillId="0" borderId="805" xfId="0" applyNumberFormat="1" applyFont="1" applyBorder="1" applyAlignment="1">
      <alignment horizontal="center" vertical="center" wrapText="1"/>
    </xf>
    <xf numFmtId="1" fontId="6" fillId="0" borderId="806" xfId="0" applyNumberFormat="1" applyFont="1" applyBorder="1" applyAlignment="1">
      <alignment horizontal="center" vertical="center" wrapText="1"/>
    </xf>
    <xf numFmtId="1" fontId="6" fillId="0" borderId="804" xfId="0" applyNumberFormat="1" applyFont="1" applyBorder="1" applyAlignment="1">
      <alignment horizontal="center" vertical="center" wrapText="1"/>
    </xf>
    <xf numFmtId="1" fontId="6" fillId="0" borderId="802" xfId="0" applyNumberFormat="1" applyFont="1" applyBorder="1" applyAlignment="1">
      <alignment horizontal="center" vertical="center" wrapText="1"/>
    </xf>
    <xf numFmtId="1" fontId="6" fillId="0" borderId="811" xfId="0" applyNumberFormat="1" applyFont="1" applyBorder="1" applyAlignment="1">
      <alignment horizontal="center" vertical="center" wrapText="1"/>
    </xf>
    <xf numFmtId="1" fontId="6" fillId="3" borderId="797" xfId="0" applyNumberFormat="1" applyFont="1" applyFill="1" applyBorder="1" applyAlignment="1">
      <alignment horizontal="left" wrapText="1"/>
    </xf>
    <xf numFmtId="1" fontId="6" fillId="13" borderId="797" xfId="0" applyNumberFormat="1" applyFont="1" applyFill="1" applyBorder="1" applyAlignment="1">
      <alignment horizontal="left" wrapText="1"/>
    </xf>
    <xf numFmtId="1" fontId="6" fillId="3" borderId="797" xfId="0" applyNumberFormat="1" applyFont="1" applyFill="1" applyBorder="1" applyAlignment="1">
      <alignment horizontal="left"/>
    </xf>
    <xf numFmtId="1" fontId="6" fillId="4" borderId="772" xfId="0" applyNumberFormat="1" applyFont="1" applyFill="1" applyBorder="1"/>
    <xf numFmtId="1" fontId="6" fillId="4" borderId="783" xfId="0" applyNumberFormat="1" applyFont="1" applyFill="1" applyBorder="1"/>
    <xf numFmtId="1" fontId="6" fillId="13" borderId="772" xfId="0" applyNumberFormat="1" applyFont="1" applyFill="1" applyBorder="1" applyProtection="1">
      <protection locked="0"/>
    </xf>
    <xf numFmtId="1" fontId="6" fillId="5" borderId="814" xfId="0" applyNumberFormat="1" applyFont="1" applyFill="1" applyBorder="1" applyProtection="1">
      <protection locked="0"/>
    </xf>
    <xf numFmtId="1" fontId="6" fillId="5" borderId="815" xfId="0" applyNumberFormat="1" applyFont="1" applyFill="1" applyBorder="1" applyProtection="1">
      <protection locked="0"/>
    </xf>
    <xf numFmtId="1" fontId="6" fillId="5" borderId="783" xfId="0" applyNumberFormat="1" applyFont="1" applyFill="1" applyBorder="1" applyProtection="1">
      <protection locked="0"/>
    </xf>
    <xf numFmtId="1" fontId="40" fillId="5" borderId="814" xfId="0" applyNumberFormat="1" applyFont="1" applyFill="1" applyBorder="1" applyProtection="1">
      <protection locked="0"/>
    </xf>
    <xf numFmtId="1" fontId="40" fillId="13" borderId="772" xfId="0" applyNumberFormat="1" applyFont="1" applyFill="1" applyBorder="1" applyProtection="1">
      <protection locked="0"/>
    </xf>
    <xf numFmtId="1" fontId="6" fillId="13" borderId="650" xfId="0" applyNumberFormat="1" applyFont="1" applyFill="1" applyBorder="1" applyProtection="1">
      <protection locked="0"/>
    </xf>
    <xf numFmtId="1" fontId="6" fillId="0" borderId="805" xfId="0" applyNumberFormat="1" applyFont="1" applyBorder="1" applyAlignment="1">
      <alignment horizontal="left" vertical="center"/>
    </xf>
    <xf numFmtId="1" fontId="6" fillId="4" borderId="806" xfId="0" applyNumberFormat="1" applyFont="1" applyFill="1" applyBorder="1"/>
    <xf numFmtId="1" fontId="6" fillId="4" borderId="816" xfId="0" applyNumberFormat="1" applyFont="1" applyFill="1" applyBorder="1"/>
    <xf numFmtId="1" fontId="6" fillId="13" borderId="806" xfId="0" applyNumberFormat="1" applyFont="1" applyFill="1" applyBorder="1"/>
    <xf numFmtId="1" fontId="6" fillId="0" borderId="804" xfId="0" applyNumberFormat="1" applyFont="1" applyBorder="1"/>
    <xf numFmtId="1" fontId="6" fillId="0" borderId="811" xfId="0" applyNumberFormat="1" applyFont="1" applyBorder="1"/>
    <xf numFmtId="1" fontId="6" fillId="0" borderId="816" xfId="0" applyNumberFormat="1" applyFont="1" applyBorder="1"/>
    <xf numFmtId="1" fontId="6" fillId="0" borderId="626" xfId="0" applyNumberFormat="1" applyFont="1" applyBorder="1" applyAlignment="1">
      <alignment horizontal="left" vertical="center"/>
    </xf>
    <xf numFmtId="1" fontId="6" fillId="3" borderId="626" xfId="0" applyNumberFormat="1" applyFont="1" applyFill="1" applyBorder="1" applyAlignment="1">
      <alignment horizontal="left" wrapText="1"/>
    </xf>
    <xf numFmtId="1" fontId="51" fillId="0" borderId="626" xfId="0" applyNumberFormat="1" applyFont="1" applyBorder="1" applyAlignment="1">
      <alignment horizontal="left" vertical="center"/>
    </xf>
    <xf numFmtId="1" fontId="6" fillId="13" borderId="540" xfId="0" applyNumberFormat="1" applyFont="1" applyFill="1" applyBorder="1" applyAlignment="1">
      <alignment horizontal="left" wrapText="1"/>
    </xf>
    <xf numFmtId="1" fontId="6" fillId="3" borderId="540" xfId="0" applyNumberFormat="1" applyFont="1" applyFill="1" applyBorder="1" applyAlignment="1">
      <alignment horizontal="left"/>
    </xf>
    <xf numFmtId="1" fontId="6" fillId="3" borderId="797" xfId="0" applyNumberFormat="1" applyFont="1" applyFill="1" applyBorder="1" applyAlignment="1">
      <alignment vertical="center"/>
    </xf>
    <xf numFmtId="1" fontId="6" fillId="13" borderId="817" xfId="0" applyNumberFormat="1" applyFont="1" applyFill="1" applyBorder="1" applyProtection="1">
      <protection locked="0"/>
    </xf>
    <xf numFmtId="1" fontId="6" fillId="13" borderId="815" xfId="0" applyNumberFormat="1" applyFont="1" applyFill="1" applyBorder="1" applyProtection="1">
      <protection locked="0"/>
    </xf>
    <xf numFmtId="1" fontId="6" fillId="13" borderId="704" xfId="0" applyNumberFormat="1" applyFont="1" applyFill="1" applyBorder="1" applyProtection="1">
      <protection locked="0"/>
    </xf>
    <xf numFmtId="1" fontId="6" fillId="13" borderId="669" xfId="0" applyNumberFormat="1" applyFont="1" applyFill="1" applyBorder="1" applyProtection="1">
      <protection locked="0"/>
    </xf>
    <xf numFmtId="1" fontId="6" fillId="3" borderId="626" xfId="0" applyNumberFormat="1" applyFont="1" applyFill="1" applyBorder="1" applyAlignment="1">
      <alignment vertical="center"/>
    </xf>
    <xf numFmtId="1" fontId="6" fillId="13" borderId="626" xfId="0" applyNumberFormat="1" applyFont="1" applyFill="1" applyBorder="1" applyAlignment="1">
      <alignment horizontal="left"/>
    </xf>
    <xf numFmtId="1" fontId="6" fillId="13" borderId="818" xfId="0" applyNumberFormat="1" applyFont="1" applyFill="1" applyBorder="1" applyProtection="1">
      <protection locked="0"/>
    </xf>
    <xf numFmtId="1" fontId="40" fillId="15" borderId="797" xfId="0" applyNumberFormat="1" applyFont="1" applyFill="1" applyBorder="1" applyAlignment="1">
      <alignment horizontal="left" vertical="center"/>
    </xf>
    <xf numFmtId="1" fontId="40" fillId="5" borderId="772" xfId="0" applyNumberFormat="1" applyFont="1" applyFill="1" applyBorder="1" applyProtection="1">
      <protection locked="0"/>
    </xf>
    <xf numFmtId="1" fontId="6" fillId="0" borderId="797" xfId="0" applyNumberFormat="1" applyFont="1" applyBorder="1" applyAlignment="1">
      <alignment horizontal="left" vertical="center"/>
    </xf>
    <xf numFmtId="1" fontId="6" fillId="3" borderId="631" xfId="0" applyNumberFormat="1" applyFont="1" applyFill="1" applyBorder="1" applyAlignment="1">
      <alignment horizontal="left" wrapText="1"/>
    </xf>
    <xf numFmtId="1" fontId="6" fillId="3" borderId="493" xfId="0" applyNumberFormat="1" applyFont="1" applyFill="1" applyBorder="1" applyAlignment="1">
      <alignment horizontal="left" wrapText="1"/>
    </xf>
    <xf numFmtId="1" fontId="6" fillId="0" borderId="797" xfId="0" applyNumberFormat="1" applyFont="1" applyBorder="1" applyAlignment="1">
      <alignment wrapText="1"/>
    </xf>
    <xf numFmtId="1" fontId="6" fillId="0" borderId="797" xfId="0" applyNumberFormat="1" applyFont="1" applyBorder="1" applyAlignment="1">
      <alignment vertical="center" wrapText="1"/>
    </xf>
    <xf numFmtId="1" fontId="68" fillId="3" borderId="726" xfId="0" applyNumberFormat="1" applyFont="1" applyFill="1" applyBorder="1" applyAlignment="1">
      <alignment horizontal="center" vertical="center" wrapText="1"/>
    </xf>
    <xf numFmtId="1" fontId="6" fillId="0" borderId="806" xfId="0" applyNumberFormat="1" applyFont="1" applyBorder="1" applyAlignment="1">
      <alignment horizontal="center" vertical="center"/>
    </xf>
    <xf numFmtId="1" fontId="6" fillId="0" borderId="820" xfId="0" applyNumberFormat="1" applyFont="1" applyBorder="1" applyAlignment="1">
      <alignment horizontal="center" vertical="center"/>
    </xf>
    <xf numFmtId="1" fontId="6" fillId="0" borderId="803" xfId="0" applyNumberFormat="1" applyFont="1" applyBorder="1" applyAlignment="1">
      <alignment horizontal="center" vertical="center" wrapText="1"/>
    </xf>
    <xf numFmtId="1" fontId="68" fillId="3" borderId="559" xfId="0" applyNumberFormat="1" applyFont="1" applyFill="1" applyBorder="1" applyAlignment="1">
      <alignment horizontal="center" vertical="center" wrapText="1"/>
    </xf>
    <xf numFmtId="1" fontId="6" fillId="3" borderId="772" xfId="0" applyNumberFormat="1" applyFont="1" applyFill="1" applyBorder="1" applyAlignment="1">
      <alignment horizontal="left" wrapText="1"/>
    </xf>
    <xf numFmtId="1" fontId="6" fillId="0" borderId="780" xfId="0" applyNumberFormat="1" applyFont="1" applyBorder="1" applyAlignment="1">
      <alignment horizontal="left"/>
    </xf>
    <xf numFmtId="1" fontId="6" fillId="0" borderId="814" xfId="0" applyNumberFormat="1" applyFont="1" applyBorder="1" applyAlignment="1">
      <alignment horizontal="left"/>
    </xf>
    <xf numFmtId="1" fontId="6" fillId="4" borderId="814" xfId="0" applyNumberFormat="1" applyFont="1" applyFill="1" applyBorder="1"/>
    <xf numFmtId="1" fontId="6" fillId="4" borderId="785" xfId="0" applyNumberFormat="1" applyFont="1" applyFill="1" applyBorder="1"/>
    <xf numFmtId="1" fontId="40" fillId="0" borderId="797" xfId="0" applyNumberFormat="1" applyFont="1" applyBorder="1" applyProtection="1">
      <protection locked="0"/>
    </xf>
    <xf numFmtId="1" fontId="6" fillId="3" borderId="627" xfId="0" applyNumberFormat="1" applyFont="1" applyFill="1" applyBorder="1" applyAlignment="1">
      <alignment horizontal="left" wrapText="1"/>
    </xf>
    <xf numFmtId="1" fontId="40" fillId="5" borderId="627" xfId="0" applyNumberFormat="1" applyFont="1" applyFill="1" applyBorder="1" applyProtection="1">
      <protection locked="0"/>
    </xf>
    <xf numFmtId="1" fontId="13" fillId="0" borderId="821" xfId="0" applyNumberFormat="1" applyFont="1" applyBorder="1"/>
    <xf numFmtId="1" fontId="6" fillId="0" borderId="803" xfId="0" applyNumberFormat="1" applyFont="1" applyBorder="1" applyAlignment="1">
      <alignment horizontal="center" vertical="center"/>
    </xf>
    <xf numFmtId="1" fontId="6" fillId="0" borderId="813" xfId="0" applyNumberFormat="1" applyFont="1" applyBorder="1" applyAlignment="1">
      <alignment horizontal="left" wrapText="1"/>
    </xf>
    <xf numFmtId="1" fontId="6" fillId="3" borderId="825" xfId="0" applyNumberFormat="1" applyFont="1" applyFill="1" applyBorder="1" applyAlignment="1">
      <alignment horizontal="center" vertical="center" wrapText="1"/>
    </xf>
    <xf numFmtId="1" fontId="6" fillId="3" borderId="823" xfId="0" applyNumberFormat="1" applyFont="1" applyFill="1" applyBorder="1" applyAlignment="1">
      <alignment horizontal="center" vertical="center" wrapText="1"/>
    </xf>
    <xf numFmtId="1" fontId="20" fillId="0" borderId="806" xfId="0" applyNumberFormat="1" applyFont="1" applyBorder="1" applyAlignment="1">
      <alignment horizontal="center" vertical="center" wrapText="1"/>
    </xf>
    <xf numFmtId="1" fontId="20" fillId="0" borderId="816" xfId="0" applyNumberFormat="1" applyFont="1" applyBorder="1" applyAlignment="1">
      <alignment horizontal="center" vertical="center" wrapText="1"/>
    </xf>
    <xf numFmtId="1" fontId="20" fillId="0" borderId="826" xfId="0" applyNumberFormat="1" applyFont="1" applyBorder="1" applyAlignment="1">
      <alignment horizontal="center" vertical="center" wrapText="1"/>
    </xf>
    <xf numFmtId="1" fontId="20" fillId="0" borderId="826" xfId="0" applyNumberFormat="1" applyFont="1" applyBorder="1" applyAlignment="1">
      <alignment horizontal="center" vertical="center"/>
    </xf>
    <xf numFmtId="1" fontId="20" fillId="0" borderId="816" xfId="0" applyNumberFormat="1" applyFont="1" applyBorder="1" applyAlignment="1">
      <alignment horizontal="center" vertical="center"/>
    </xf>
    <xf numFmtId="1" fontId="20" fillId="0" borderId="811" xfId="0" applyNumberFormat="1" applyFont="1" applyBorder="1" applyAlignment="1">
      <alignment horizontal="center" vertical="center"/>
    </xf>
    <xf numFmtId="1" fontId="6" fillId="3" borderId="772" xfId="0" applyNumberFormat="1" applyFont="1" applyFill="1" applyBorder="1" applyAlignment="1">
      <alignment horizontal="left" vertical="center" wrapText="1"/>
    </xf>
    <xf numFmtId="1" fontId="6" fillId="3" borderId="780" xfId="0" applyNumberFormat="1" applyFont="1" applyFill="1" applyBorder="1" applyAlignment="1">
      <alignment horizontal="left" vertical="center" wrapText="1"/>
    </xf>
    <xf numFmtId="1" fontId="6" fillId="0" borderId="814" xfId="0" applyNumberFormat="1" applyFont="1" applyBorder="1" applyAlignment="1">
      <alignment horizontal="left" vertical="center" wrapText="1"/>
    </xf>
    <xf numFmtId="1" fontId="6" fillId="5" borderId="772" xfId="0" applyNumberFormat="1" applyFont="1" applyFill="1" applyBorder="1" applyAlignment="1" applyProtection="1">
      <alignment wrapText="1"/>
      <protection locked="0"/>
    </xf>
    <xf numFmtId="1" fontId="6" fillId="5" borderId="783" xfId="0" applyNumberFormat="1" applyFont="1" applyFill="1" applyBorder="1" applyAlignment="1" applyProtection="1">
      <alignment wrapText="1"/>
      <protection locked="0"/>
    </xf>
    <xf numFmtId="1" fontId="6" fillId="5" borderId="817" xfId="0" applyNumberFormat="1" applyFont="1" applyFill="1" applyBorder="1" applyAlignment="1" applyProtection="1">
      <alignment wrapText="1"/>
      <protection locked="0"/>
    </xf>
    <xf numFmtId="1" fontId="6" fillId="5" borderId="815" xfId="0" applyNumberFormat="1" applyFont="1" applyFill="1" applyBorder="1" applyAlignment="1" applyProtection="1">
      <alignment wrapText="1"/>
      <protection locked="0"/>
    </xf>
    <xf numFmtId="1" fontId="6" fillId="5" borderId="766" xfId="0" applyNumberFormat="1" applyFont="1" applyFill="1" applyBorder="1" applyAlignment="1" applyProtection="1">
      <alignment wrapText="1"/>
      <protection locked="0"/>
    </xf>
    <xf numFmtId="1" fontId="6" fillId="5" borderId="780" xfId="0" applyNumberFormat="1" applyFont="1" applyFill="1" applyBorder="1" applyAlignment="1" applyProtection="1">
      <alignment wrapText="1"/>
      <protection locked="0"/>
    </xf>
    <xf numFmtId="1" fontId="6" fillId="5" borderId="814" xfId="0" applyNumberFormat="1" applyFont="1" applyFill="1" applyBorder="1" applyAlignment="1" applyProtection="1">
      <alignment wrapText="1"/>
      <protection locked="0"/>
    </xf>
    <xf numFmtId="1" fontId="6" fillId="0" borderId="828" xfId="15" applyNumberFormat="1" applyFont="1" applyFill="1" applyBorder="1" applyAlignment="1">
      <alignment horizontal="left" wrapText="1"/>
    </xf>
    <xf numFmtId="1" fontId="6" fillId="0" borderId="829" xfId="15" applyNumberFormat="1" applyFont="1" applyFill="1" applyBorder="1" applyAlignment="1">
      <alignment horizontal="left" wrapText="1"/>
    </xf>
    <xf numFmtId="1" fontId="6" fillId="0" borderId="830" xfId="15" applyNumberFormat="1" applyFont="1" applyFill="1" applyBorder="1" applyAlignment="1">
      <alignment horizontal="left" wrapText="1"/>
    </xf>
    <xf numFmtId="1" fontId="6" fillId="0" borderId="831" xfId="15" applyNumberFormat="1" applyFont="1" applyFill="1" applyBorder="1" applyAlignment="1">
      <alignment horizontal="left" wrapText="1"/>
    </xf>
    <xf numFmtId="1" fontId="6" fillId="7" borderId="845" xfId="20" applyNumberFormat="1" applyFont="1" applyBorder="1" applyAlignment="1" applyProtection="1">
      <alignment wrapText="1"/>
      <protection locked="0"/>
    </xf>
    <xf numFmtId="1" fontId="6" fillId="7" borderId="828" xfId="20" applyNumberFormat="1" applyFont="1" applyBorder="1" applyAlignment="1" applyProtection="1">
      <alignment wrapText="1"/>
      <protection locked="0"/>
    </xf>
    <xf numFmtId="1" fontId="6" fillId="13" borderId="828" xfId="20" applyNumberFormat="1" applyFont="1" applyFill="1" applyBorder="1" applyAlignment="1" applyProtection="1">
      <alignment wrapText="1"/>
      <protection locked="0"/>
    </xf>
    <xf numFmtId="1" fontId="6" fillId="5" borderId="850" xfId="0" applyNumberFormat="1" applyFont="1" applyFill="1" applyBorder="1" applyAlignment="1" applyProtection="1">
      <alignment wrapText="1"/>
      <protection locked="0"/>
    </xf>
    <xf numFmtId="1" fontId="6" fillId="5" borderId="851" xfId="0" applyNumberFormat="1" applyFont="1" applyFill="1" applyBorder="1" applyAlignment="1" applyProtection="1">
      <alignment wrapText="1"/>
      <protection locked="0"/>
    </xf>
    <xf numFmtId="1" fontId="6" fillId="3" borderId="78" xfId="0" applyNumberFormat="1" applyFont="1" applyFill="1" applyBorder="1" applyAlignment="1">
      <alignment horizontal="right" wrapText="1"/>
    </xf>
    <xf numFmtId="1" fontId="6" fillId="3" borderId="228" xfId="0" applyNumberFormat="1" applyFont="1" applyFill="1" applyBorder="1" applyAlignment="1">
      <alignment horizontal="right" wrapText="1"/>
    </xf>
    <xf numFmtId="1" fontId="6" fillId="3" borderId="79" xfId="0" applyNumberFormat="1" applyFont="1" applyFill="1" applyBorder="1" applyAlignment="1">
      <alignment horizontal="right" wrapText="1"/>
    </xf>
    <xf numFmtId="1" fontId="6" fillId="3" borderId="38" xfId="0" applyNumberFormat="1" applyFont="1" applyFill="1" applyBorder="1" applyAlignment="1">
      <alignment horizontal="right" wrapText="1"/>
    </xf>
    <xf numFmtId="1" fontId="6" fillId="3" borderId="63" xfId="0" applyNumberFormat="1" applyFont="1" applyFill="1" applyBorder="1" applyAlignment="1">
      <alignment horizontal="right" wrapText="1"/>
    </xf>
    <xf numFmtId="1" fontId="6" fillId="3" borderId="36" xfId="0" applyNumberFormat="1" applyFont="1" applyFill="1" applyBorder="1" applyAlignment="1">
      <alignment horizontal="right" wrapText="1"/>
    </xf>
    <xf numFmtId="1" fontId="6" fillId="3" borderId="46" xfId="0" applyNumberFormat="1" applyFont="1" applyFill="1" applyBorder="1" applyAlignment="1">
      <alignment horizontal="right" wrapText="1"/>
    </xf>
    <xf numFmtId="1" fontId="6" fillId="0" borderId="865" xfId="0" applyNumberFormat="1" applyFont="1" applyBorder="1" applyAlignment="1">
      <alignment horizontal="left" vertical="center" wrapText="1"/>
    </xf>
    <xf numFmtId="1" fontId="6" fillId="5" borderId="862" xfId="0" applyNumberFormat="1" applyFont="1" applyFill="1" applyBorder="1" applyProtection="1">
      <protection locked="0"/>
    </xf>
    <xf numFmtId="1" fontId="4" fillId="3" borderId="866" xfId="0" applyNumberFormat="1" applyFont="1" applyFill="1" applyBorder="1" applyAlignment="1">
      <alignment horizontal="center"/>
    </xf>
    <xf numFmtId="1" fontId="26" fillId="15" borderId="716" xfId="0" applyNumberFormat="1" applyFont="1" applyFill="1" applyBorder="1"/>
    <xf numFmtId="1" fontId="15" fillId="0" borderId="867" xfId="0" applyNumberFormat="1" applyFont="1" applyBorder="1" applyAlignment="1">
      <alignment vertical="center"/>
    </xf>
    <xf numFmtId="2" fontId="6" fillId="5" borderId="864" xfId="0" applyNumberFormat="1" applyFont="1" applyFill="1" applyBorder="1" applyProtection="1">
      <protection locked="0"/>
    </xf>
    <xf numFmtId="2" fontId="6" fillId="5" borderId="797" xfId="0" applyNumberFormat="1" applyFont="1" applyFill="1" applyBorder="1" applyProtection="1">
      <protection locked="0"/>
    </xf>
    <xf numFmtId="1" fontId="6" fillId="0" borderId="867" xfId="0" applyNumberFormat="1" applyFont="1" applyBorder="1" applyAlignment="1">
      <alignment vertical="center"/>
    </xf>
    <xf numFmtId="1" fontId="6" fillId="0" borderId="797" xfId="0" applyNumberFormat="1" applyFont="1" applyBorder="1"/>
    <xf numFmtId="1" fontId="6" fillId="4" borderId="864" xfId="0" applyNumberFormat="1" applyFont="1" applyFill="1" applyBorder="1"/>
    <xf numFmtId="1" fontId="6" fillId="4" borderId="797" xfId="0" applyNumberFormat="1" applyFont="1" applyFill="1" applyBorder="1"/>
    <xf numFmtId="1" fontId="6" fillId="5" borderId="864" xfId="0" applyNumberFormat="1" applyFont="1" applyFill="1" applyBorder="1" applyProtection="1">
      <protection locked="0"/>
    </xf>
    <xf numFmtId="1" fontId="6" fillId="0" borderId="867" xfId="0" applyNumberFormat="1" applyFont="1" applyBorder="1" applyAlignment="1" applyProtection="1">
      <alignment horizontal="center" vertical="center" wrapText="1"/>
      <protection hidden="1"/>
    </xf>
    <xf numFmtId="1" fontId="6" fillId="0" borderId="307" xfId="0" applyNumberFormat="1" applyFont="1" applyBorder="1" applyAlignment="1">
      <alignment horizontal="center" vertical="center" wrapText="1"/>
    </xf>
    <xf numFmtId="1" fontId="6" fillId="0" borderId="0" xfId="0" applyNumberFormat="1" applyFont="1" applyAlignment="1">
      <alignment horizontal="center"/>
    </xf>
    <xf numFmtId="1" fontId="6" fillId="0" borderId="869" xfId="0" applyNumberFormat="1" applyFont="1" applyBorder="1" applyAlignment="1">
      <alignment horizontal="left" vertical="center" wrapText="1"/>
    </xf>
    <xf numFmtId="1" fontId="51" fillId="0" borderId="869" xfId="0" applyNumberFormat="1" applyFont="1" applyBorder="1" applyAlignment="1">
      <alignment horizontal="left" vertical="center" wrapText="1"/>
    </xf>
    <xf numFmtId="1" fontId="2" fillId="3" borderId="0" xfId="0" applyNumberFormat="1" applyFont="1" applyFill="1" applyAlignment="1">
      <alignment horizontal="center" vertical="center" wrapText="1"/>
    </xf>
    <xf numFmtId="1" fontId="6" fillId="0" borderId="37" xfId="0" applyNumberFormat="1" applyFont="1" applyBorder="1" applyAlignment="1">
      <alignment horizontal="left" vertical="center" wrapText="1"/>
    </xf>
    <xf numFmtId="1" fontId="6" fillId="0" borderId="9" xfId="0" applyNumberFormat="1" applyFont="1" applyBorder="1" applyAlignment="1">
      <alignment horizontal="center" vertical="center" wrapText="1"/>
    </xf>
    <xf numFmtId="1" fontId="6" fillId="0" borderId="40" xfId="0" applyNumberFormat="1" applyFont="1" applyBorder="1" applyAlignment="1">
      <alignment vertical="center" wrapText="1"/>
    </xf>
    <xf numFmtId="1" fontId="6" fillId="0" borderId="21" xfId="0" applyNumberFormat="1" applyFont="1" applyBorder="1" applyAlignment="1">
      <alignment vertical="center" wrapText="1"/>
    </xf>
    <xf numFmtId="1" fontId="6" fillId="0" borderId="534" xfId="0" applyNumberFormat="1" applyFont="1" applyBorder="1" applyAlignment="1">
      <alignment horizontal="center" vertical="center"/>
    </xf>
    <xf numFmtId="1" fontId="6" fillId="0" borderId="534" xfId="0" applyNumberFormat="1" applyFont="1" applyBorder="1" applyAlignment="1">
      <alignment horizontal="center" vertical="center" wrapText="1"/>
    </xf>
    <xf numFmtId="1" fontId="6" fillId="0" borderId="21" xfId="0" applyNumberFormat="1" applyFont="1" applyBorder="1" applyAlignment="1">
      <alignment horizontal="left"/>
    </xf>
    <xf numFmtId="1" fontId="6" fillId="0" borderId="51" xfId="0" applyNumberFormat="1" applyFont="1" applyBorder="1" applyAlignment="1">
      <alignment horizontal="left"/>
    </xf>
    <xf numFmtId="1" fontId="6" fillId="0" borderId="534" xfId="0" applyNumberFormat="1" applyFont="1" applyBorder="1" applyAlignment="1">
      <alignment horizontal="left"/>
    </xf>
    <xf numFmtId="1" fontId="6" fillId="0" borderId="493" xfId="0" applyNumberFormat="1" applyFont="1" applyBorder="1" applyAlignment="1">
      <alignment vertical="center" wrapText="1"/>
    </xf>
    <xf numFmtId="1" fontId="6" fillId="0" borderId="37" xfId="0" applyNumberFormat="1" applyFont="1" applyBorder="1" applyAlignment="1">
      <alignment horizontal="center" vertical="center" wrapText="1"/>
    </xf>
    <xf numFmtId="1" fontId="6" fillId="0" borderId="24" xfId="0" applyNumberFormat="1" applyFont="1" applyBorder="1" applyAlignment="1">
      <alignment horizontal="center" vertical="center" wrapText="1"/>
    </xf>
    <xf numFmtId="1" fontId="6" fillId="0" borderId="24" xfId="0" applyNumberFormat="1" applyFont="1" applyBorder="1" applyAlignment="1">
      <alignment horizontal="left" vertical="center" wrapText="1"/>
    </xf>
    <xf numFmtId="1" fontId="55" fillId="0" borderId="0" xfId="0" applyNumberFormat="1" applyFont="1"/>
    <xf numFmtId="0" fontId="0" fillId="0" borderId="0" xfId="0"/>
    <xf numFmtId="1" fontId="20" fillId="0" borderId="0" xfId="0" applyNumberFormat="1" applyFont="1"/>
    <xf numFmtId="1" fontId="6" fillId="0" borderId="39" xfId="0" applyNumberFormat="1" applyFont="1" applyBorder="1" applyAlignment="1">
      <alignment horizontal="left"/>
    </xf>
    <xf numFmtId="1" fontId="6" fillId="3" borderId="40" xfId="0" applyNumberFormat="1" applyFont="1" applyFill="1" applyBorder="1" applyAlignment="1">
      <alignment horizontal="left"/>
    </xf>
    <xf numFmtId="1" fontId="6" fillId="3" borderId="0" xfId="0" applyNumberFormat="1" applyFont="1" applyFill="1" applyAlignment="1">
      <alignment horizontal="center" vertical="center"/>
    </xf>
    <xf numFmtId="1" fontId="6" fillId="0" borderId="9" xfId="0" applyNumberFormat="1" applyFont="1" applyBorder="1" applyAlignment="1">
      <alignment horizontal="left" vertical="center" wrapText="1"/>
    </xf>
    <xf numFmtId="1" fontId="6" fillId="0" borderId="20" xfId="0" applyNumberFormat="1" applyFont="1" applyBorder="1" applyAlignment="1">
      <alignment horizontal="left"/>
    </xf>
    <xf numFmtId="1" fontId="6" fillId="0" borderId="46" xfId="0" applyNumberFormat="1" applyFont="1" applyBorder="1" applyAlignment="1">
      <alignment horizontal="left"/>
    </xf>
    <xf numFmtId="1" fontId="6" fillId="0" borderId="870" xfId="0" applyNumberFormat="1" applyFont="1" applyBorder="1" applyAlignment="1">
      <alignment horizontal="center" vertical="center" wrapText="1"/>
    </xf>
    <xf numFmtId="1" fontId="6" fillId="0" borderId="871" xfId="0" applyNumberFormat="1" applyFont="1" applyBorder="1" applyAlignment="1">
      <alignment horizontal="center" vertical="center" wrapText="1"/>
    </xf>
    <xf numFmtId="1" fontId="17" fillId="15" borderId="0" xfId="0" applyNumberFormat="1" applyFont="1" applyFill="1" applyBorder="1" applyAlignment="1">
      <alignment wrapText="1"/>
    </xf>
    <xf numFmtId="1" fontId="35" fillId="15" borderId="0" xfId="0" applyNumberFormat="1" applyFont="1" applyFill="1" applyBorder="1"/>
    <xf numFmtId="1" fontId="35" fillId="18" borderId="0" xfId="0" applyNumberFormat="1" applyFont="1" applyFill="1" applyBorder="1" applyProtection="1">
      <protection locked="0"/>
    </xf>
    <xf numFmtId="1" fontId="35" fillId="3" borderId="0" xfId="0" applyNumberFormat="1" applyFont="1" applyFill="1" applyBorder="1"/>
    <xf numFmtId="1" fontId="63" fillId="0" borderId="0" xfId="0" applyNumberFormat="1" applyFont="1" applyBorder="1" applyAlignment="1">
      <alignment wrapText="1"/>
    </xf>
    <xf numFmtId="1" fontId="6" fillId="0" borderId="0" xfId="0" applyNumberFormat="1" applyFont="1" applyBorder="1" applyAlignment="1">
      <alignment wrapText="1"/>
    </xf>
    <xf numFmtId="1" fontId="0" fillId="0" borderId="0" xfId="0" applyNumberFormat="1" applyBorder="1"/>
    <xf numFmtId="1" fontId="15" fillId="0" borderId="0" xfId="0" applyNumberFormat="1" applyFont="1" applyBorder="1" applyAlignment="1">
      <alignment wrapText="1"/>
    </xf>
    <xf numFmtId="1" fontId="40" fillId="0" borderId="0" xfId="0" applyNumberFormat="1" applyFont="1" applyBorder="1" applyAlignment="1">
      <alignment vertical="center"/>
    </xf>
    <xf numFmtId="1" fontId="6" fillId="15" borderId="0" xfId="0" applyNumberFormat="1" applyFont="1" applyFill="1" applyBorder="1" applyAlignment="1">
      <alignment wrapText="1"/>
    </xf>
    <xf numFmtId="1" fontId="0" fillId="15" borderId="0" xfId="0" applyNumberFormat="1" applyFill="1" applyBorder="1"/>
    <xf numFmtId="1" fontId="0" fillId="18" borderId="0" xfId="0" applyNumberFormat="1" applyFill="1" applyBorder="1" applyProtection="1">
      <protection locked="0"/>
    </xf>
    <xf numFmtId="1" fontId="0" fillId="3" borderId="0" xfId="0" applyNumberFormat="1" applyFill="1" applyBorder="1"/>
    <xf numFmtId="1" fontId="6" fillId="0" borderId="874" xfId="0" applyNumberFormat="1" applyFont="1" applyBorder="1" applyAlignment="1">
      <alignment horizontal="center" vertical="center"/>
    </xf>
    <xf numFmtId="1" fontId="6" fillId="0" borderId="873" xfId="0" applyNumberFormat="1" applyFont="1" applyBorder="1" applyAlignment="1">
      <alignment horizontal="center" vertical="center" wrapText="1"/>
    </xf>
    <xf numFmtId="1" fontId="6" fillId="0" borderId="874" xfId="0" applyNumberFormat="1" applyFont="1" applyBorder="1" applyAlignment="1">
      <alignment horizontal="center" vertical="center" wrapText="1"/>
    </xf>
    <xf numFmtId="1" fontId="6" fillId="0" borderId="875" xfId="0" applyNumberFormat="1" applyFont="1" applyBorder="1" applyAlignment="1">
      <alignment horizontal="center" vertical="center" wrapText="1"/>
    </xf>
    <xf numFmtId="1" fontId="6" fillId="0" borderId="876" xfId="0" applyNumberFormat="1" applyFont="1" applyBorder="1" applyAlignment="1">
      <alignment horizontal="center" vertical="center" wrapText="1"/>
    </xf>
    <xf numFmtId="1" fontId="6" fillId="13" borderId="877" xfId="0" applyNumberFormat="1" applyFont="1" applyFill="1" applyBorder="1"/>
    <xf numFmtId="1" fontId="6" fillId="13" borderId="872" xfId="0" applyNumberFormat="1" applyFont="1" applyFill="1" applyBorder="1"/>
    <xf numFmtId="1" fontId="6" fillId="5" borderId="877" xfId="0" applyNumberFormat="1" applyFont="1" applyFill="1" applyBorder="1" applyProtection="1">
      <protection locked="0"/>
    </xf>
    <xf numFmtId="1" fontId="6" fillId="5" borderId="878" xfId="0" applyNumberFormat="1" applyFont="1" applyFill="1" applyBorder="1" applyProtection="1">
      <protection locked="0"/>
    </xf>
    <xf numFmtId="1" fontId="6" fillId="5" borderId="879" xfId="0" applyNumberFormat="1" applyFont="1" applyFill="1" applyBorder="1" applyProtection="1">
      <protection locked="0"/>
    </xf>
    <xf numFmtId="1" fontId="6" fillId="16" borderId="872" xfId="0" applyNumberFormat="1" applyFont="1" applyFill="1" applyBorder="1" applyProtection="1">
      <protection locked="0"/>
    </xf>
    <xf numFmtId="1" fontId="6" fillId="5" borderId="880" xfId="0" applyNumberFormat="1" applyFont="1" applyFill="1" applyBorder="1" applyProtection="1">
      <protection locked="0"/>
    </xf>
    <xf numFmtId="1" fontId="3" fillId="3" borderId="0" xfId="0" applyNumberFormat="1" applyFont="1" applyFill="1" applyAlignment="1">
      <alignment vertical="center"/>
    </xf>
    <xf numFmtId="1" fontId="3" fillId="3" borderId="172" xfId="0" applyNumberFormat="1" applyFont="1" applyFill="1" applyBorder="1" applyAlignment="1">
      <alignment vertical="center"/>
    </xf>
    <xf numFmtId="1" fontId="3" fillId="3" borderId="167" xfId="0" applyNumberFormat="1" applyFont="1" applyFill="1" applyBorder="1" applyAlignment="1">
      <alignment vertical="center"/>
    </xf>
    <xf numFmtId="1" fontId="26" fillId="3" borderId="0" xfId="0" applyNumberFormat="1" applyFont="1" applyFill="1" applyAlignment="1">
      <alignment horizontal="center"/>
    </xf>
    <xf numFmtId="1" fontId="26" fillId="3" borderId="50" xfId="0" applyNumberFormat="1" applyFont="1" applyFill="1" applyBorder="1" applyAlignment="1">
      <alignment horizontal="center"/>
    </xf>
    <xf numFmtId="1" fontId="40" fillId="15" borderId="0" xfId="0" applyNumberFormat="1" applyFont="1" applyFill="1" applyBorder="1" applyAlignment="1" applyProtection="1">
      <alignment horizontal="center" vertical="center"/>
      <protection locked="0"/>
    </xf>
    <xf numFmtId="1" fontId="40" fillId="15" borderId="0" xfId="0" applyNumberFormat="1" applyFont="1" applyFill="1" applyAlignment="1">
      <alignment horizontal="center" vertical="top" wrapText="1"/>
    </xf>
    <xf numFmtId="1" fontId="6" fillId="15" borderId="0" xfId="0" applyNumberFormat="1" applyFont="1" applyFill="1" applyAlignment="1">
      <alignment horizontal="center"/>
    </xf>
    <xf numFmtId="1" fontId="6" fillId="0" borderId="172" xfId="0" applyNumberFormat="1" applyFont="1" applyBorder="1" applyAlignment="1">
      <alignment horizontal="center"/>
    </xf>
    <xf numFmtId="1" fontId="6" fillId="3" borderId="172" xfId="0" applyNumberFormat="1" applyFont="1" applyFill="1" applyBorder="1" applyAlignment="1">
      <alignment horizontal="center"/>
    </xf>
    <xf numFmtId="1" fontId="26" fillId="3" borderId="172" xfId="0" applyNumberFormat="1" applyFont="1" applyFill="1" applyBorder="1" applyAlignment="1">
      <alignment horizontal="center"/>
    </xf>
    <xf numFmtId="1" fontId="26" fillId="3" borderId="0" xfId="0" applyNumberFormat="1" applyFont="1" applyFill="1" applyAlignment="1" applyProtection="1">
      <alignment horizontal="center"/>
      <protection locked="0"/>
    </xf>
    <xf numFmtId="1" fontId="26" fillId="18" borderId="0" xfId="0" applyNumberFormat="1" applyFont="1" applyFill="1" applyAlignment="1" applyProtection="1">
      <alignment horizontal="center"/>
      <protection locked="0"/>
    </xf>
    <xf numFmtId="1" fontId="26" fillId="20" borderId="0" xfId="0" applyNumberFormat="1" applyFont="1" applyFill="1" applyAlignment="1" applyProtection="1">
      <alignment horizontal="center"/>
      <protection locked="0"/>
    </xf>
    <xf numFmtId="1" fontId="6" fillId="3" borderId="0" xfId="0" applyNumberFormat="1" applyFont="1" applyFill="1" applyAlignment="1">
      <alignment vertical="center" wrapText="1"/>
    </xf>
    <xf numFmtId="1" fontId="6" fillId="3" borderId="172" xfId="0" applyNumberFormat="1" applyFont="1" applyFill="1" applyBorder="1" applyAlignment="1">
      <alignment vertical="center" wrapText="1"/>
    </xf>
    <xf numFmtId="1" fontId="6" fillId="0" borderId="172" xfId="0" applyNumberFormat="1" applyFont="1" applyBorder="1" applyAlignment="1">
      <alignment vertical="center" wrapText="1"/>
    </xf>
    <xf numFmtId="1" fontId="26" fillId="3" borderId="172" xfId="0" applyNumberFormat="1" applyFont="1" applyFill="1" applyBorder="1" applyAlignment="1">
      <alignment vertical="center"/>
    </xf>
    <xf numFmtId="1" fontId="4" fillId="0" borderId="99" xfId="0" applyNumberFormat="1" applyFont="1" applyBorder="1" applyAlignment="1">
      <alignment horizontal="left"/>
    </xf>
    <xf numFmtId="1" fontId="4" fillId="3" borderId="99" xfId="0" applyNumberFormat="1" applyFont="1" applyFill="1" applyBorder="1" applyAlignment="1"/>
    <xf numFmtId="1" fontId="6" fillId="0" borderId="882" xfId="0" applyNumberFormat="1" applyFont="1" applyBorder="1" applyAlignment="1">
      <alignment horizontal="left" vertical="center" wrapText="1"/>
    </xf>
    <xf numFmtId="1" fontId="6" fillId="0" borderId="874" xfId="0" applyNumberFormat="1" applyFont="1" applyBorder="1" applyAlignment="1">
      <alignment horizontal="left" vertical="center" wrapText="1"/>
    </xf>
    <xf numFmtId="1" fontId="6" fillId="0" borderId="883" xfId="0" applyNumberFormat="1" applyFont="1" applyBorder="1" applyAlignment="1">
      <alignment horizontal="center" vertical="center" wrapText="1"/>
    </xf>
    <xf numFmtId="1" fontId="6" fillId="0" borderId="884" xfId="0" applyNumberFormat="1" applyFont="1" applyBorder="1" applyAlignment="1">
      <alignment horizontal="center" vertical="center" wrapText="1"/>
    </xf>
    <xf numFmtId="1" fontId="6" fillId="0" borderId="885" xfId="0" applyNumberFormat="1" applyFont="1" applyBorder="1" applyAlignment="1">
      <alignment horizontal="center" vertical="center" wrapText="1"/>
    </xf>
    <xf numFmtId="1" fontId="68" fillId="0" borderId="886" xfId="0" applyNumberFormat="1" applyFont="1" applyBorder="1" applyAlignment="1">
      <alignment horizontal="center" vertical="center" wrapText="1"/>
    </xf>
    <xf numFmtId="1" fontId="51" fillId="0" borderId="887" xfId="0" applyNumberFormat="1" applyFont="1" applyBorder="1" applyAlignment="1">
      <alignment horizontal="center" vertical="center" wrapText="1"/>
    </xf>
    <xf numFmtId="1" fontId="51" fillId="3" borderId="888" xfId="0" applyNumberFormat="1" applyFont="1" applyFill="1" applyBorder="1" applyAlignment="1">
      <alignment horizontal="center" vertical="center" wrapText="1"/>
    </xf>
    <xf numFmtId="1" fontId="68" fillId="3" borderId="888" xfId="0" applyNumberFormat="1" applyFont="1" applyFill="1" applyBorder="1" applyAlignment="1">
      <alignment horizontal="center" vertical="center" wrapText="1"/>
    </xf>
    <xf numFmtId="1" fontId="68" fillId="0" borderId="889" xfId="0" applyNumberFormat="1" applyFont="1" applyBorder="1" applyAlignment="1">
      <alignment horizontal="center" vertical="center" wrapText="1"/>
    </xf>
    <xf numFmtId="1" fontId="68" fillId="3" borderId="886" xfId="0" applyNumberFormat="1" applyFont="1" applyFill="1" applyBorder="1" applyAlignment="1">
      <alignment horizontal="center" vertical="center" wrapText="1"/>
    </xf>
    <xf numFmtId="1" fontId="6" fillId="0" borderId="890" xfId="0" applyNumberFormat="1" applyFont="1" applyBorder="1" applyAlignment="1">
      <alignment horizontal="center" vertical="center" wrapText="1"/>
    </xf>
    <xf numFmtId="1" fontId="51" fillId="0" borderId="890" xfId="0" applyNumberFormat="1" applyFont="1" applyBorder="1" applyAlignment="1">
      <alignment horizontal="center" vertical="center" wrapText="1"/>
    </xf>
    <xf numFmtId="1" fontId="6" fillId="5" borderId="560" xfId="0" applyNumberFormat="1" applyFont="1" applyFill="1" applyBorder="1" applyAlignment="1" applyProtection="1">
      <alignment horizontal="right"/>
      <protection locked="0"/>
    </xf>
    <xf numFmtId="1" fontId="6" fillId="5" borderId="46" xfId="0" applyNumberFormat="1" applyFont="1" applyFill="1" applyBorder="1" applyAlignment="1" applyProtection="1">
      <alignment horizontal="right"/>
      <protection locked="0"/>
    </xf>
    <xf numFmtId="1" fontId="55" fillId="3" borderId="497" xfId="0" applyNumberFormat="1" applyFont="1" applyFill="1" applyBorder="1" applyAlignment="1">
      <alignment horizontal="left"/>
    </xf>
    <xf numFmtId="1" fontId="6" fillId="3" borderId="497" xfId="0" applyNumberFormat="1" applyFont="1" applyFill="1" applyBorder="1" applyAlignment="1">
      <alignment horizontal="left" vertical="center"/>
    </xf>
    <xf numFmtId="1" fontId="6" fillId="3" borderId="497" xfId="0" applyNumberFormat="1" applyFont="1" applyFill="1" applyBorder="1"/>
    <xf numFmtId="1" fontId="6" fillId="0" borderId="857" xfId="0" applyNumberFormat="1" applyFont="1" applyBorder="1" applyAlignment="1">
      <alignment horizontal="center" vertical="center" wrapText="1"/>
    </xf>
    <xf numFmtId="1" fontId="6" fillId="0" borderId="895" xfId="0" applyNumberFormat="1" applyFont="1" applyBorder="1" applyAlignment="1">
      <alignment horizontal="center" vertical="center" wrapText="1"/>
    </xf>
    <xf numFmtId="1" fontId="6" fillId="0" borderId="896" xfId="0" applyNumberFormat="1" applyFont="1" applyBorder="1" applyAlignment="1">
      <alignment horizontal="center" vertical="center" wrapText="1"/>
    </xf>
    <xf numFmtId="1" fontId="51" fillId="0" borderId="897" xfId="0" applyNumberFormat="1" applyFont="1" applyBorder="1" applyAlignment="1">
      <alignment horizontal="center" vertical="center" wrapText="1"/>
    </xf>
    <xf numFmtId="1" fontId="6" fillId="5" borderId="898" xfId="0" applyNumberFormat="1" applyFont="1" applyFill="1" applyBorder="1" applyProtection="1">
      <protection locked="0"/>
    </xf>
    <xf numFmtId="1" fontId="6" fillId="5" borderId="899" xfId="0" applyNumberFormat="1" applyFont="1" applyFill="1" applyBorder="1" applyProtection="1">
      <protection locked="0"/>
    </xf>
    <xf numFmtId="1" fontId="6" fillId="5" borderId="900" xfId="0" applyNumberFormat="1" applyFont="1" applyFill="1" applyBorder="1" applyProtection="1">
      <protection locked="0"/>
    </xf>
    <xf numFmtId="1" fontId="6" fillId="4" borderId="894" xfId="0" applyNumberFormat="1" applyFont="1" applyFill="1" applyBorder="1"/>
    <xf numFmtId="1" fontId="6" fillId="0" borderId="901" xfId="0" applyNumberFormat="1" applyFont="1" applyBorder="1" applyAlignment="1">
      <alignment vertical="center" wrapText="1"/>
    </xf>
    <xf numFmtId="1" fontId="6" fillId="5" borderId="357" xfId="0" applyNumberFormat="1" applyFont="1" applyFill="1" applyBorder="1" applyProtection="1">
      <protection locked="0"/>
    </xf>
    <xf numFmtId="1" fontId="6" fillId="5" borderId="902" xfId="0" applyNumberFormat="1" applyFont="1" applyFill="1" applyBorder="1" applyProtection="1">
      <protection locked="0"/>
    </xf>
    <xf numFmtId="1" fontId="6" fillId="5" borderId="903" xfId="0" applyNumberFormat="1" applyFont="1" applyFill="1" applyBorder="1" applyProtection="1">
      <protection locked="0"/>
    </xf>
    <xf numFmtId="1" fontId="6" fillId="0" borderId="904" xfId="0" applyNumberFormat="1" applyFont="1" applyBorder="1" applyAlignment="1">
      <alignment horizontal="right"/>
    </xf>
    <xf numFmtId="1" fontId="6" fillId="0" borderId="896" xfId="0" applyNumberFormat="1" applyFont="1" applyBorder="1" applyAlignment="1">
      <alignment horizontal="right"/>
    </xf>
    <xf numFmtId="1" fontId="6" fillId="0" borderId="905" xfId="0" applyNumberFormat="1" applyFont="1" applyBorder="1" applyAlignment="1">
      <alignment horizontal="right"/>
    </xf>
    <xf numFmtId="1" fontId="6" fillId="0" borderId="906" xfId="0" applyNumberFormat="1" applyFont="1" applyBorder="1" applyAlignment="1">
      <alignment horizontal="right"/>
    </xf>
    <xf numFmtId="1" fontId="6" fillId="0" borderId="881" xfId="0" applyNumberFormat="1" applyFont="1" applyBorder="1" applyAlignment="1">
      <alignment horizontal="right"/>
    </xf>
    <xf numFmtId="1" fontId="6" fillId="3" borderId="871" xfId="0" applyNumberFormat="1" applyFont="1" applyFill="1" applyBorder="1" applyAlignment="1">
      <alignment vertical="center"/>
    </xf>
    <xf numFmtId="1" fontId="6" fillId="3" borderId="871" xfId="0" applyNumberFormat="1" applyFont="1" applyFill="1" applyBorder="1" applyAlignment="1">
      <alignment horizontal="center"/>
    </xf>
    <xf numFmtId="1" fontId="13" fillId="3" borderId="871" xfId="0" applyNumberFormat="1" applyFont="1" applyFill="1" applyBorder="1"/>
    <xf numFmtId="1" fontId="23" fillId="3" borderId="497" xfId="0" applyNumberFormat="1" applyFont="1" applyFill="1" applyBorder="1"/>
    <xf numFmtId="1" fontId="6" fillId="0" borderId="867" xfId="0" applyNumberFormat="1" applyFont="1" applyBorder="1" applyAlignment="1">
      <alignment horizontal="center" vertical="center" wrapText="1"/>
    </xf>
    <xf numFmtId="1" fontId="6" fillId="0" borderId="904" xfId="0" applyNumberFormat="1" applyFont="1" applyBorder="1" applyAlignment="1">
      <alignment horizontal="center" vertical="center" wrapText="1"/>
    </xf>
    <xf numFmtId="1" fontId="6" fillId="0" borderId="907" xfId="0" applyNumberFormat="1" applyFont="1" applyBorder="1" applyAlignment="1">
      <alignment horizontal="center" vertical="center" wrapText="1"/>
    </xf>
    <xf numFmtId="1" fontId="6" fillId="0" borderId="908" xfId="0" applyNumberFormat="1" applyFont="1" applyBorder="1" applyAlignment="1">
      <alignment horizontal="center" vertical="center" wrapText="1"/>
    </xf>
    <xf numFmtId="1" fontId="6" fillId="3" borderId="901" xfId="0" applyNumberFormat="1" applyFont="1" applyFill="1" applyBorder="1"/>
    <xf numFmtId="1" fontId="6" fillId="4" borderId="892" xfId="0" applyNumberFormat="1" applyFont="1" applyFill="1" applyBorder="1"/>
    <xf numFmtId="1" fontId="6" fillId="3" borderId="834" xfId="0" applyNumberFormat="1" applyFont="1" applyFill="1" applyBorder="1"/>
    <xf numFmtId="1" fontId="6" fillId="5" borderId="910" xfId="0" applyNumberFormat="1" applyFont="1" applyFill="1" applyBorder="1" applyProtection="1">
      <protection locked="0"/>
    </xf>
    <xf numFmtId="1" fontId="6" fillId="5" borderId="911" xfId="0" applyNumberFormat="1" applyFont="1" applyFill="1" applyBorder="1" applyProtection="1">
      <protection locked="0"/>
    </xf>
    <xf numFmtId="1" fontId="6" fillId="4" borderId="912" xfId="0" applyNumberFormat="1" applyFont="1" applyFill="1" applyBorder="1"/>
    <xf numFmtId="1" fontId="51" fillId="0" borderId="880" xfId="0" applyNumberFormat="1" applyFont="1" applyBorder="1" applyAlignment="1">
      <alignment vertical="center" wrapText="1"/>
    </xf>
    <xf numFmtId="1" fontId="6" fillId="5" borderId="892" xfId="0" applyNumberFormat="1" applyFont="1" applyFill="1" applyBorder="1" applyProtection="1">
      <protection locked="0"/>
    </xf>
    <xf numFmtId="1" fontId="6" fillId="5" borderId="253" xfId="0" applyNumberFormat="1" applyFont="1" applyFill="1" applyBorder="1" applyProtection="1">
      <protection locked="0"/>
    </xf>
    <xf numFmtId="1" fontId="6" fillId="5" borderId="872" xfId="0" applyNumberFormat="1" applyFont="1" applyFill="1" applyBorder="1" applyProtection="1">
      <protection locked="0"/>
    </xf>
    <xf numFmtId="1" fontId="6" fillId="4" borderId="102" xfId="0" applyNumberFormat="1" applyFont="1" applyFill="1" applyBorder="1"/>
    <xf numFmtId="1" fontId="6" fillId="4" borderId="910" xfId="0" applyNumberFormat="1" applyFont="1" applyFill="1" applyBorder="1"/>
    <xf numFmtId="1" fontId="6" fillId="5" borderId="912" xfId="0" applyNumberFormat="1" applyFont="1" applyFill="1" applyBorder="1" applyProtection="1">
      <protection locked="0"/>
    </xf>
    <xf numFmtId="1" fontId="23" fillId="15" borderId="497" xfId="0" applyNumberFormat="1" applyFont="1" applyFill="1" applyBorder="1"/>
    <xf numFmtId="1" fontId="3" fillId="15" borderId="497" xfId="0" applyNumberFormat="1" applyFont="1" applyFill="1" applyBorder="1"/>
    <xf numFmtId="1" fontId="6" fillId="0" borderId="905" xfId="0" applyNumberFormat="1" applyFont="1" applyBorder="1" applyAlignment="1">
      <alignment horizontal="center" vertical="center" wrapText="1"/>
    </xf>
    <xf numFmtId="1" fontId="6" fillId="3" borderId="879" xfId="0" applyNumberFormat="1" applyFont="1" applyFill="1" applyBorder="1"/>
    <xf numFmtId="1" fontId="6" fillId="5" borderId="909" xfId="0" applyNumberFormat="1" applyFont="1" applyFill="1" applyBorder="1" applyProtection="1">
      <protection locked="0"/>
    </xf>
    <xf numFmtId="1" fontId="6" fillId="5" borderId="901" xfId="0" applyNumberFormat="1" applyFont="1" applyFill="1" applyBorder="1" applyProtection="1">
      <protection locked="0"/>
    </xf>
    <xf numFmtId="1" fontId="6" fillId="0" borderId="913" xfId="0" applyNumberFormat="1" applyFont="1" applyBorder="1" applyAlignment="1">
      <alignment horizontal="center" vertical="center" wrapText="1"/>
    </xf>
    <xf numFmtId="1" fontId="20" fillId="0" borderId="901" xfId="0" applyNumberFormat="1" applyFont="1" applyBorder="1"/>
    <xf numFmtId="1" fontId="6" fillId="5" borderId="914" xfId="0" applyNumberFormat="1" applyFont="1" applyFill="1" applyBorder="1" applyProtection="1">
      <protection locked="0"/>
    </xf>
    <xf numFmtId="1" fontId="20" fillId="0" borderId="834" xfId="0" applyNumberFormat="1" applyFont="1" applyBorder="1"/>
    <xf numFmtId="1" fontId="6" fillId="3" borderId="867" xfId="0" applyNumberFormat="1" applyFont="1" applyFill="1" applyBorder="1"/>
    <xf numFmtId="1" fontId="6" fillId="5" borderId="904" xfId="0" applyNumberFormat="1" applyFont="1" applyFill="1" applyBorder="1" applyProtection="1">
      <protection locked="0"/>
    </xf>
    <xf numFmtId="1" fontId="6" fillId="5" borderId="913" xfId="0" applyNumberFormat="1" applyFont="1" applyFill="1" applyBorder="1" applyProtection="1">
      <protection locked="0"/>
    </xf>
    <xf numFmtId="1" fontId="6" fillId="5" borderId="874" xfId="0" applyNumberFormat="1" applyFont="1" applyFill="1" applyBorder="1" applyProtection="1">
      <protection locked="0"/>
    </xf>
    <xf numFmtId="1" fontId="51" fillId="5" borderId="867" xfId="0" applyNumberFormat="1" applyFont="1" applyFill="1" applyBorder="1" applyProtection="1">
      <protection locked="0"/>
    </xf>
    <xf numFmtId="1" fontId="6" fillId="0" borderId="825" xfId="0" applyNumberFormat="1" applyFont="1" applyBorder="1" applyAlignment="1">
      <alignment horizontal="center" vertical="center"/>
    </xf>
    <xf numFmtId="1" fontId="6" fillId="0" borderId="895" xfId="0" applyNumberFormat="1" applyFont="1" applyBorder="1" applyAlignment="1">
      <alignment horizontal="center" vertical="center"/>
    </xf>
    <xf numFmtId="1" fontId="6" fillId="0" borderId="825" xfId="0" applyNumberFormat="1" applyFont="1" applyBorder="1" applyAlignment="1">
      <alignment horizontal="center" vertical="center" wrapText="1"/>
    </xf>
    <xf numFmtId="1" fontId="6" fillId="0" borderId="748" xfId="0" applyNumberFormat="1" applyFont="1" applyBorder="1" applyAlignment="1">
      <alignment horizontal="center" vertical="center" wrapText="1"/>
    </xf>
    <xf numFmtId="1" fontId="6" fillId="0" borderId="901" xfId="0" applyNumberFormat="1" applyFont="1" applyBorder="1" applyAlignment="1">
      <alignment horizontal="left" vertical="center"/>
    </xf>
    <xf numFmtId="1" fontId="6" fillId="0" borderId="899" xfId="0" applyNumberFormat="1" applyFont="1" applyBorder="1" applyAlignment="1">
      <alignment horizontal="right"/>
    </xf>
    <xf numFmtId="1" fontId="6" fillId="0" borderId="880" xfId="0" applyNumberFormat="1" applyFont="1" applyBorder="1" applyAlignment="1">
      <alignment horizontal="right"/>
    </xf>
    <xf numFmtId="1" fontId="6" fillId="0" borderId="497" xfId="0" applyNumberFormat="1" applyFont="1" applyBorder="1"/>
    <xf numFmtId="1" fontId="6" fillId="0" borderId="904" xfId="0" applyNumberFormat="1" applyFont="1" applyBorder="1" applyAlignment="1">
      <alignment horizontal="center" vertical="center"/>
    </xf>
    <xf numFmtId="1" fontId="6" fillId="0" borderId="896" xfId="0" applyNumberFormat="1" applyFont="1" applyBorder="1" applyAlignment="1">
      <alignment horizontal="center" vertical="center"/>
    </xf>
    <xf numFmtId="1" fontId="6" fillId="0" borderId="893" xfId="0" applyNumberFormat="1" applyFont="1" applyBorder="1" applyAlignment="1">
      <alignment horizontal="right"/>
    </xf>
    <xf numFmtId="1" fontId="6" fillId="5" borderId="893" xfId="0" applyNumberFormat="1" applyFont="1" applyFill="1" applyBorder="1" applyProtection="1">
      <protection locked="0"/>
    </xf>
    <xf numFmtId="1" fontId="6" fillId="0" borderId="901" xfId="0" applyNumberFormat="1" applyFont="1" applyBorder="1" applyAlignment="1">
      <alignment horizontal="left" vertical="center" wrapText="1"/>
    </xf>
    <xf numFmtId="1" fontId="6" fillId="0" borderId="898" xfId="0" applyNumberFormat="1" applyFont="1" applyBorder="1" applyAlignment="1">
      <alignment horizontal="right" wrapText="1"/>
    </xf>
    <xf numFmtId="1" fontId="6" fillId="0" borderId="899" xfId="0" applyNumberFormat="1" applyFont="1" applyBorder="1" applyAlignment="1">
      <alignment horizontal="right" wrapText="1"/>
    </xf>
    <xf numFmtId="1" fontId="4" fillId="0" borderId="871" xfId="0" applyNumberFormat="1" applyFont="1" applyBorder="1"/>
    <xf numFmtId="1" fontId="51" fillId="0" borderId="913" xfId="0" applyNumberFormat="1" applyFont="1" applyBorder="1" applyAlignment="1">
      <alignment horizontal="center" vertical="center" wrapText="1"/>
    </xf>
    <xf numFmtId="1" fontId="51" fillId="0" borderId="874" xfId="0" applyNumberFormat="1" applyFont="1" applyBorder="1" applyAlignment="1">
      <alignment horizontal="center" vertical="center" wrapText="1"/>
    </xf>
    <xf numFmtId="1" fontId="51" fillId="5" borderId="879" xfId="0" applyNumberFormat="1" applyFont="1" applyFill="1" applyBorder="1" applyProtection="1">
      <protection locked="0"/>
    </xf>
    <xf numFmtId="1" fontId="6" fillId="0" borderId="904" xfId="0" applyNumberFormat="1" applyFont="1" applyBorder="1" applyAlignment="1">
      <alignment horizontal="right" wrapText="1"/>
    </xf>
    <xf numFmtId="1" fontId="6" fillId="0" borderId="896" xfId="0" applyNumberFormat="1" applyFont="1" applyBorder="1" applyAlignment="1">
      <alignment horizontal="right" wrapText="1"/>
    </xf>
    <xf numFmtId="1" fontId="6" fillId="0" borderId="874" xfId="0" applyNumberFormat="1" applyFont="1" applyBorder="1" applyAlignment="1">
      <alignment horizontal="right"/>
    </xf>
    <xf numFmtId="1" fontId="6" fillId="0" borderId="904" xfId="0" applyNumberFormat="1" applyFont="1" applyBorder="1"/>
    <xf numFmtId="1" fontId="6" fillId="0" borderId="874" xfId="0" applyNumberFormat="1" applyFont="1" applyBorder="1"/>
    <xf numFmtId="1" fontId="6" fillId="0" borderId="905" xfId="0" applyNumberFormat="1" applyFont="1" applyBorder="1"/>
    <xf numFmtId="1" fontId="6" fillId="0" borderId="913" xfId="0" applyNumberFormat="1" applyFont="1" applyBorder="1"/>
    <xf numFmtId="1" fontId="6" fillId="0" borderId="907" xfId="0" applyNumberFormat="1" applyFont="1" applyBorder="1"/>
    <xf numFmtId="1" fontId="6" fillId="0" borderId="873" xfId="0" applyNumberFormat="1" applyFont="1" applyBorder="1"/>
    <xf numFmtId="1" fontId="51" fillId="0" borderId="873" xfId="0" applyNumberFormat="1" applyFont="1" applyBorder="1"/>
    <xf numFmtId="1" fontId="51" fillId="0" borderId="905" xfId="0" applyNumberFormat="1" applyFont="1" applyBorder="1"/>
    <xf numFmtId="1" fontId="63" fillId="3" borderId="871" xfId="0" applyNumberFormat="1" applyFont="1" applyFill="1" applyBorder="1"/>
    <xf numFmtId="1" fontId="4" fillId="3" borderId="871" xfId="0" applyNumberFormat="1" applyFont="1" applyFill="1" applyBorder="1"/>
    <xf numFmtId="1" fontId="6" fillId="0" borderId="879" xfId="0" applyNumberFormat="1" applyFont="1" applyBorder="1" applyAlignment="1">
      <alignment vertical="center" wrapText="1"/>
    </xf>
    <xf numFmtId="1" fontId="6" fillId="0" borderId="867" xfId="0" applyNumberFormat="1" applyFont="1" applyBorder="1"/>
    <xf numFmtId="1" fontId="6" fillId="0" borderId="872" xfId="0" applyNumberFormat="1" applyFont="1" applyBorder="1" applyAlignment="1">
      <alignment horizontal="right" wrapText="1"/>
    </xf>
    <xf numFmtId="1" fontId="6" fillId="0" borderId="901" xfId="0" applyNumberFormat="1" applyFont="1" applyBorder="1" applyAlignment="1">
      <alignment horizontal="right" wrapText="1"/>
    </xf>
    <xf numFmtId="1" fontId="6" fillId="5" borderId="898" xfId="0" applyNumberFormat="1" applyFont="1" applyFill="1" applyBorder="1" applyAlignment="1" applyProtection="1">
      <alignment horizontal="right"/>
      <protection locked="0"/>
    </xf>
    <xf numFmtId="1" fontId="6" fillId="5" borderId="914" xfId="0" applyNumberFormat="1" applyFont="1" applyFill="1" applyBorder="1" applyAlignment="1" applyProtection="1">
      <alignment horizontal="right"/>
      <protection locked="0"/>
    </xf>
    <xf numFmtId="1" fontId="6" fillId="5" borderId="879" xfId="0" applyNumberFormat="1" applyFont="1" applyFill="1" applyBorder="1" applyAlignment="1" applyProtection="1">
      <alignment horizontal="right"/>
      <protection locked="0"/>
    </xf>
    <xf numFmtId="1" fontId="6" fillId="5" borderId="909" xfId="0" applyNumberFormat="1" applyFont="1" applyFill="1" applyBorder="1" applyAlignment="1" applyProtection="1">
      <alignment horizontal="right"/>
      <protection locked="0"/>
    </xf>
    <xf numFmtId="1" fontId="6" fillId="5" borderId="901" xfId="0" applyNumberFormat="1" applyFont="1" applyFill="1" applyBorder="1" applyAlignment="1" applyProtection="1">
      <alignment horizontal="right"/>
      <protection locked="0"/>
    </xf>
    <xf numFmtId="1" fontId="6" fillId="5" borderId="38" xfId="0" applyNumberFormat="1" applyFont="1" applyFill="1" applyBorder="1" applyAlignment="1" applyProtection="1">
      <alignment horizontal="right" wrapText="1"/>
      <protection locked="0"/>
    </xf>
    <xf numFmtId="1" fontId="6" fillId="5" borderId="51" xfId="0" applyNumberFormat="1" applyFont="1" applyFill="1" applyBorder="1" applyAlignment="1" applyProtection="1">
      <alignment horizontal="right" wrapText="1"/>
      <protection locked="0"/>
    </xf>
    <xf numFmtId="1" fontId="6" fillId="5" borderId="55" xfId="0" applyNumberFormat="1" applyFont="1" applyFill="1" applyBorder="1" applyAlignment="1" applyProtection="1">
      <alignment horizontal="right" wrapText="1"/>
      <protection locked="0"/>
    </xf>
    <xf numFmtId="1" fontId="6" fillId="5" borderId="85" xfId="0" applyNumberFormat="1" applyFont="1" applyFill="1" applyBorder="1" applyAlignment="1" applyProtection="1">
      <alignment horizontal="right" wrapText="1"/>
      <protection locked="0"/>
    </xf>
    <xf numFmtId="1" fontId="6" fillId="5" borderId="36" xfId="0" applyNumberFormat="1" applyFont="1" applyFill="1" applyBorder="1" applyAlignment="1" applyProtection="1">
      <alignment horizontal="right" wrapText="1"/>
      <protection locked="0"/>
    </xf>
    <xf numFmtId="1" fontId="6" fillId="5" borderId="60" xfId="0" applyNumberFormat="1" applyFont="1" applyFill="1" applyBorder="1" applyAlignment="1" applyProtection="1">
      <alignment horizontal="right" wrapText="1"/>
      <protection locked="0"/>
    </xf>
    <xf numFmtId="1" fontId="6" fillId="5" borderId="40" xfId="0" applyNumberFormat="1" applyFont="1" applyFill="1" applyBorder="1" applyAlignment="1" applyProtection="1">
      <alignment horizontal="right" wrapText="1"/>
      <protection locked="0"/>
    </xf>
    <xf numFmtId="1" fontId="6" fillId="5" borderId="37" xfId="0" applyNumberFormat="1" applyFont="1" applyFill="1" applyBorder="1" applyAlignment="1" applyProtection="1">
      <alignment horizontal="right" wrapText="1"/>
      <protection locked="0"/>
    </xf>
    <xf numFmtId="1" fontId="6" fillId="0" borderId="122" xfId="0" applyNumberFormat="1" applyFont="1" applyBorder="1" applyAlignment="1">
      <alignment horizontal="right" wrapText="1"/>
    </xf>
    <xf numFmtId="1" fontId="6" fillId="0" borderId="132" xfId="0" applyNumberFormat="1" applyFont="1" applyBorder="1" applyAlignment="1">
      <alignment horizontal="right" wrapText="1"/>
    </xf>
    <xf numFmtId="1" fontId="6" fillId="5" borderId="153" xfId="0" applyNumberFormat="1" applyFont="1" applyFill="1" applyBorder="1" applyAlignment="1" applyProtection="1">
      <alignment horizontal="right" wrapText="1"/>
      <protection locked="0"/>
    </xf>
    <xf numFmtId="1" fontId="6" fillId="5" borderId="151" xfId="0" applyNumberFormat="1" applyFont="1" applyFill="1" applyBorder="1" applyAlignment="1" applyProtection="1">
      <alignment horizontal="right" wrapText="1"/>
      <protection locked="0"/>
    </xf>
    <xf numFmtId="1" fontId="6" fillId="5" borderId="154" xfId="0" applyNumberFormat="1" applyFont="1" applyFill="1" applyBorder="1" applyAlignment="1" applyProtection="1">
      <alignment horizontal="right" wrapText="1"/>
      <protection locked="0"/>
    </xf>
    <xf numFmtId="1" fontId="6" fillId="5" borderId="126" xfId="0" applyNumberFormat="1" applyFont="1" applyFill="1" applyBorder="1" applyAlignment="1" applyProtection="1">
      <alignment horizontal="right" wrapText="1"/>
      <protection locked="0"/>
    </xf>
    <xf numFmtId="1" fontId="6" fillId="5" borderId="176" xfId="0" applyNumberFormat="1" applyFont="1" applyFill="1" applyBorder="1" applyAlignment="1" applyProtection="1">
      <alignment horizontal="right" wrapText="1"/>
      <protection locked="0"/>
    </xf>
    <xf numFmtId="1" fontId="6" fillId="5" borderId="196" xfId="0" applyNumberFormat="1" applyFont="1" applyFill="1" applyBorder="1" applyAlignment="1" applyProtection="1">
      <alignment horizontal="right" wrapText="1"/>
      <protection locked="0"/>
    </xf>
    <xf numFmtId="1" fontId="6" fillId="5" borderId="195" xfId="0" applyNumberFormat="1" applyFont="1" applyFill="1" applyBorder="1" applyAlignment="1" applyProtection="1">
      <alignment horizontal="right" wrapText="1"/>
      <protection locked="0"/>
    </xf>
    <xf numFmtId="1" fontId="6" fillId="5" borderId="152" xfId="0" applyNumberFormat="1" applyFont="1" applyFill="1" applyBorder="1" applyAlignment="1" applyProtection="1">
      <alignment horizontal="right" wrapText="1"/>
      <protection locked="0"/>
    </xf>
    <xf numFmtId="1" fontId="6" fillId="0" borderId="560" xfId="0" applyNumberFormat="1" applyFont="1" applyBorder="1" applyAlignment="1">
      <alignment horizontal="right" wrapText="1"/>
    </xf>
    <xf numFmtId="1" fontId="6" fillId="0" borderId="893" xfId="0" applyNumberFormat="1" applyFont="1" applyBorder="1" applyAlignment="1">
      <alignment horizontal="right" wrapText="1"/>
    </xf>
    <xf numFmtId="1" fontId="6" fillId="5" borderId="79" xfId="0" applyNumberFormat="1" applyFont="1" applyFill="1" applyBorder="1" applyAlignment="1" applyProtection="1">
      <alignment horizontal="right" wrapText="1"/>
      <protection locked="0"/>
    </xf>
    <xf numFmtId="1" fontId="6" fillId="5" borderId="91" xfId="0" applyNumberFormat="1" applyFont="1" applyFill="1" applyBorder="1" applyAlignment="1" applyProtection="1">
      <alignment horizontal="right" wrapText="1"/>
      <protection locked="0"/>
    </xf>
    <xf numFmtId="1" fontId="6" fillId="5" borderId="90" xfId="0" applyNumberFormat="1" applyFont="1" applyFill="1" applyBorder="1" applyAlignment="1" applyProtection="1">
      <alignment horizontal="right" wrapText="1"/>
      <protection locked="0"/>
    </xf>
    <xf numFmtId="1" fontId="6" fillId="5" borderId="78" xfId="0" applyNumberFormat="1" applyFont="1" applyFill="1" applyBorder="1" applyAlignment="1" applyProtection="1">
      <alignment horizontal="right" wrapText="1"/>
      <protection locked="0"/>
    </xf>
    <xf numFmtId="1" fontId="6" fillId="5" borderId="92" xfId="0" applyNumberFormat="1" applyFont="1" applyFill="1" applyBorder="1" applyAlignment="1" applyProtection="1">
      <alignment horizontal="right" wrapText="1"/>
      <protection locked="0"/>
    </xf>
    <xf numFmtId="1" fontId="6" fillId="5" borderId="80" xfId="0" applyNumberFormat="1" applyFont="1" applyFill="1" applyBorder="1" applyAlignment="1" applyProtection="1">
      <alignment horizontal="right" wrapText="1"/>
      <protection locked="0"/>
    </xf>
    <xf numFmtId="1" fontId="6" fillId="5" borderId="76" xfId="0" applyNumberFormat="1" applyFont="1" applyFill="1" applyBorder="1" applyAlignment="1" applyProtection="1">
      <alignment horizontal="right" wrapText="1"/>
      <protection locked="0"/>
    </xf>
    <xf numFmtId="1" fontId="6" fillId="13" borderId="76" xfId="0" applyNumberFormat="1" applyFont="1" applyFill="1" applyBorder="1" applyAlignment="1" applyProtection="1">
      <alignment horizontal="right" wrapText="1"/>
      <protection locked="0"/>
    </xf>
    <xf numFmtId="1" fontId="6" fillId="0" borderId="534" xfId="0" applyNumberFormat="1" applyFont="1" applyBorder="1" applyAlignment="1">
      <alignment horizontal="right" wrapText="1"/>
    </xf>
    <xf numFmtId="1" fontId="6" fillId="5" borderId="490" xfId="0" applyNumberFormat="1" applyFont="1" applyFill="1" applyBorder="1" applyAlignment="1" applyProtection="1">
      <alignment horizontal="right" wrapText="1"/>
      <protection locked="0"/>
    </xf>
    <xf numFmtId="1" fontId="6" fillId="5" borderId="534" xfId="0" applyNumberFormat="1" applyFont="1" applyFill="1" applyBorder="1" applyAlignment="1" applyProtection="1">
      <alignment horizontal="right" wrapText="1"/>
      <protection locked="0"/>
    </xf>
    <xf numFmtId="1" fontId="6" fillId="5" borderId="917" xfId="0" applyNumberFormat="1" applyFont="1" applyFill="1" applyBorder="1" applyAlignment="1" applyProtection="1">
      <alignment horizontal="right" wrapText="1"/>
      <protection locked="0"/>
    </xf>
    <xf numFmtId="1" fontId="6" fillId="5" borderId="0" xfId="0" applyNumberFormat="1" applyFont="1" applyFill="1" applyAlignment="1" applyProtection="1">
      <alignment horizontal="right" wrapText="1"/>
      <protection locked="0"/>
    </xf>
    <xf numFmtId="1" fontId="6" fillId="5" borderId="548" xfId="0" applyNumberFormat="1" applyFont="1" applyFill="1" applyBorder="1" applyAlignment="1" applyProtection="1">
      <alignment horizontal="right" wrapText="1"/>
      <protection locked="0"/>
    </xf>
    <xf numFmtId="1" fontId="6" fillId="5" borderId="94" xfId="0" applyNumberFormat="1" applyFont="1" applyFill="1" applyBorder="1" applyAlignment="1" applyProtection="1">
      <alignment horizontal="right" wrapText="1"/>
      <protection locked="0"/>
    </xf>
    <xf numFmtId="1" fontId="6" fillId="0" borderId="85" xfId="0" applyNumberFormat="1" applyFont="1" applyBorder="1" applyAlignment="1">
      <alignment horizontal="right" wrapText="1"/>
    </xf>
    <xf numFmtId="1" fontId="6" fillId="13" borderId="37" xfId="0" applyNumberFormat="1" applyFont="1" applyFill="1" applyBorder="1" applyAlignment="1" applyProtection="1">
      <alignment horizontal="right" wrapText="1"/>
      <protection locked="0"/>
    </xf>
    <xf numFmtId="1" fontId="6" fillId="5" borderId="559" xfId="0" applyNumberFormat="1" applyFont="1" applyFill="1" applyBorder="1" applyAlignment="1" applyProtection="1">
      <alignment horizontal="right" wrapText="1"/>
      <protection locked="0"/>
    </xf>
    <xf numFmtId="1" fontId="6" fillId="5" borderId="818" xfId="0" applyNumberFormat="1" applyFont="1" applyFill="1" applyBorder="1" applyAlignment="1" applyProtection="1">
      <alignment horizontal="right" wrapText="1"/>
      <protection locked="0"/>
    </xf>
    <xf numFmtId="1" fontId="6" fillId="5" borderId="497" xfId="0" applyNumberFormat="1" applyFont="1" applyFill="1" applyBorder="1" applyAlignment="1" applyProtection="1">
      <alignment horizontal="right" wrapText="1"/>
      <protection locked="0"/>
    </xf>
    <xf numFmtId="1" fontId="6" fillId="5" borderId="916" xfId="0" applyNumberFormat="1" applyFont="1" applyFill="1" applyBorder="1" applyAlignment="1" applyProtection="1">
      <alignment horizontal="right" wrapText="1"/>
      <protection locked="0"/>
    </xf>
    <xf numFmtId="1" fontId="6" fillId="5" borderId="911" xfId="0" applyNumberFormat="1" applyFont="1" applyFill="1" applyBorder="1" applyAlignment="1" applyProtection="1">
      <alignment horizontal="right" wrapText="1"/>
      <protection locked="0"/>
    </xf>
    <xf numFmtId="1" fontId="6" fillId="5" borderId="751" xfId="0" applyNumberFormat="1" applyFont="1" applyFill="1" applyBorder="1" applyAlignment="1" applyProtection="1">
      <alignment horizontal="right" wrapText="1"/>
      <protection locked="0"/>
    </xf>
    <xf numFmtId="1" fontId="6" fillId="0" borderId="901" xfId="0" applyNumberFormat="1" applyFont="1" applyBorder="1" applyAlignment="1">
      <alignment horizontal="center" vertical="center" wrapText="1"/>
    </xf>
    <xf numFmtId="1" fontId="6" fillId="5" borderId="901" xfId="0" applyNumberFormat="1" applyFont="1" applyFill="1" applyBorder="1" applyAlignment="1" applyProtection="1">
      <alignment horizontal="right" wrapText="1"/>
      <protection locked="0"/>
    </xf>
    <xf numFmtId="1" fontId="6" fillId="5" borderId="24" xfId="0" applyNumberFormat="1" applyFont="1" applyFill="1" applyBorder="1" applyAlignment="1" applyProtection="1">
      <alignment horizontal="right" wrapText="1"/>
      <protection locked="0"/>
    </xf>
    <xf numFmtId="1" fontId="2" fillId="0" borderId="918" xfId="0" applyNumberFormat="1" applyFont="1" applyBorder="1"/>
    <xf numFmtId="1" fontId="26" fillId="0" borderId="918" xfId="0" applyNumberFormat="1" applyFont="1" applyBorder="1"/>
    <xf numFmtId="1" fontId="6" fillId="0" borderId="919" xfId="0" applyNumberFormat="1" applyFont="1" applyBorder="1"/>
    <xf numFmtId="1" fontId="15" fillId="0" borderId="919" xfId="0" applyNumberFormat="1" applyFont="1" applyBorder="1"/>
    <xf numFmtId="1" fontId="6" fillId="0" borderId="918" xfId="0" applyNumberFormat="1" applyFont="1" applyBorder="1"/>
    <xf numFmtId="1" fontId="6" fillId="0" borderId="920" xfId="0" applyNumberFormat="1" applyFont="1" applyBorder="1"/>
    <xf numFmtId="1" fontId="6" fillId="0" borderId="64" xfId="0" applyNumberFormat="1" applyFont="1" applyBorder="1" applyAlignment="1">
      <alignment horizontal="right" wrapText="1"/>
    </xf>
    <xf numFmtId="1" fontId="6" fillId="5" borderId="512" xfId="0" applyNumberFormat="1" applyFont="1" applyFill="1" applyBorder="1" applyAlignment="1" applyProtection="1">
      <alignment horizontal="right"/>
      <protection locked="0"/>
    </xf>
    <xf numFmtId="1" fontId="6" fillId="5" borderId="93" xfId="0" applyNumberFormat="1" applyFont="1" applyFill="1" applyBorder="1" applyAlignment="1" applyProtection="1">
      <alignment horizontal="right"/>
      <protection locked="0"/>
    </xf>
    <xf numFmtId="1" fontId="6" fillId="5" borderId="893" xfId="0" applyNumberFormat="1" applyFont="1" applyFill="1" applyBorder="1" applyAlignment="1" applyProtection="1">
      <alignment horizontal="right"/>
      <protection locked="0"/>
    </xf>
    <xf numFmtId="1" fontId="6" fillId="0" borderId="562" xfId="0" applyNumberFormat="1" applyFont="1" applyBorder="1" applyAlignment="1">
      <alignment horizontal="center" vertical="center" wrapText="1"/>
    </xf>
    <xf numFmtId="1" fontId="6" fillId="0" borderId="921" xfId="0" applyNumberFormat="1" applyFont="1" applyBorder="1" applyAlignment="1">
      <alignment horizontal="center" vertical="center" wrapText="1"/>
    </xf>
    <xf numFmtId="1" fontId="6" fillId="3" borderId="873" xfId="0" applyNumberFormat="1" applyFont="1" applyFill="1" applyBorder="1" applyAlignment="1">
      <alignment horizontal="center" vertical="center"/>
    </xf>
    <xf numFmtId="1" fontId="6" fillId="3" borderId="906" xfId="0" applyNumberFormat="1" applyFont="1" applyFill="1" applyBorder="1" applyAlignment="1">
      <alignment horizontal="center" vertical="center"/>
    </xf>
    <xf numFmtId="1" fontId="6" fillId="0" borderId="892" xfId="0" applyNumberFormat="1" applyFont="1" applyBorder="1" applyAlignment="1">
      <alignment horizontal="center" vertical="center" wrapText="1"/>
    </xf>
    <xf numFmtId="1" fontId="6" fillId="3" borderId="882" xfId="0" applyNumberFormat="1" applyFont="1" applyFill="1" applyBorder="1" applyAlignment="1">
      <alignment horizontal="center" vertical="center" wrapText="1"/>
    </xf>
    <xf numFmtId="1" fontId="6" fillId="5" borderId="900" xfId="0" applyNumberFormat="1" applyFont="1" applyFill="1" applyBorder="1" applyAlignment="1" applyProtection="1">
      <alignment horizontal="right"/>
      <protection locked="0"/>
    </xf>
    <xf numFmtId="1" fontId="6" fillId="5" borderId="872" xfId="0" applyNumberFormat="1" applyFont="1" applyFill="1" applyBorder="1" applyAlignment="1" applyProtection="1">
      <alignment horizontal="right"/>
      <protection locked="0"/>
    </xf>
    <xf numFmtId="1" fontId="6" fillId="5" borderId="892" xfId="0" applyNumberFormat="1" applyFont="1" applyFill="1" applyBorder="1" applyAlignment="1" applyProtection="1">
      <alignment horizontal="right"/>
      <protection locked="0"/>
    </xf>
    <xf numFmtId="1" fontId="6" fillId="4" borderId="900" xfId="0" applyNumberFormat="1" applyFont="1" applyFill="1" applyBorder="1" applyAlignment="1">
      <alignment horizontal="right"/>
    </xf>
    <xf numFmtId="1" fontId="6" fillId="4" borderId="909" xfId="0" applyNumberFormat="1" applyFont="1" applyFill="1" applyBorder="1" applyAlignment="1">
      <alignment horizontal="right"/>
    </xf>
    <xf numFmtId="1" fontId="6" fillId="5" borderId="902" xfId="0" applyNumberFormat="1" applyFont="1" applyFill="1" applyBorder="1" applyAlignment="1" applyProtection="1">
      <alignment horizontal="right"/>
      <protection locked="0"/>
    </xf>
    <xf numFmtId="1" fontId="6" fillId="0" borderId="924" xfId="0" applyNumberFormat="1" applyFont="1" applyBorder="1" applyAlignment="1">
      <alignment horizontal="right"/>
    </xf>
    <xf numFmtId="1" fontId="6" fillId="0" borderId="827" xfId="0" applyNumberFormat="1" applyFont="1" applyBorder="1" applyAlignment="1">
      <alignment horizontal="right"/>
    </xf>
    <xf numFmtId="1" fontId="6" fillId="0" borderId="559" xfId="0" applyNumberFormat="1" applyFont="1" applyBorder="1" applyAlignment="1">
      <alignment horizontal="right"/>
    </xf>
    <xf numFmtId="1" fontId="6" fillId="5" borderId="818" xfId="0" applyNumberFormat="1" applyFont="1" applyFill="1" applyBorder="1" applyAlignment="1" applyProtection="1">
      <alignment horizontal="right"/>
      <protection locked="0"/>
    </xf>
    <xf numFmtId="1" fontId="6" fillId="5" borderId="911" xfId="0" applyNumberFormat="1" applyFont="1" applyFill="1" applyBorder="1" applyAlignment="1" applyProtection="1">
      <alignment horizontal="right"/>
      <protection locked="0"/>
    </xf>
    <xf numFmtId="1" fontId="6" fillId="5" borderId="924" xfId="0" applyNumberFormat="1" applyFont="1" applyFill="1" applyBorder="1" applyAlignment="1" applyProtection="1">
      <alignment horizontal="right"/>
      <protection locked="0"/>
    </xf>
    <xf numFmtId="1" fontId="6" fillId="5" borderId="916" xfId="0" applyNumberFormat="1" applyFont="1" applyFill="1" applyBorder="1" applyAlignment="1" applyProtection="1">
      <alignment horizontal="right"/>
      <protection locked="0"/>
    </xf>
    <xf numFmtId="1" fontId="6" fillId="5" borderId="497" xfId="0" applyNumberFormat="1" applyFont="1" applyFill="1" applyBorder="1" applyAlignment="1" applyProtection="1">
      <alignment horizontal="right"/>
      <protection locked="0"/>
    </xf>
    <xf numFmtId="1" fontId="6" fillId="5" borderId="751" xfId="0" applyNumberFormat="1" applyFont="1" applyFill="1" applyBorder="1" applyAlignment="1" applyProtection="1">
      <alignment horizontal="right"/>
      <protection locked="0"/>
    </xf>
    <xf numFmtId="1" fontId="6" fillId="4" borderId="925" xfId="0" applyNumberFormat="1" applyFont="1" applyFill="1" applyBorder="1" applyAlignment="1">
      <alignment horizontal="right"/>
    </xf>
    <xf numFmtId="1" fontId="6" fillId="4" borderId="827" xfId="0" applyNumberFormat="1" applyFont="1" applyFill="1" applyBorder="1" applyAlignment="1">
      <alignment horizontal="right"/>
    </xf>
    <xf numFmtId="1" fontId="6" fillId="5" borderId="923" xfId="0" applyNumberFormat="1" applyFont="1" applyFill="1" applyBorder="1" applyAlignment="1" applyProtection="1">
      <alignment horizontal="right"/>
      <protection locked="0"/>
    </xf>
    <xf numFmtId="1" fontId="6" fillId="5" borderId="912" xfId="0" applyNumberFormat="1" applyFont="1" applyFill="1" applyBorder="1" applyAlignment="1" applyProtection="1">
      <alignment horizontal="right"/>
      <protection locked="0"/>
    </xf>
    <xf numFmtId="1" fontId="6" fillId="5" borderId="921" xfId="0" applyNumberFormat="1" applyFont="1" applyFill="1" applyBorder="1" applyAlignment="1" applyProtection="1">
      <alignment horizontal="right"/>
      <protection locked="0"/>
    </xf>
    <xf numFmtId="1" fontId="6" fillId="0" borderId="926" xfId="0" applyNumberFormat="1" applyFont="1" applyBorder="1" applyAlignment="1">
      <alignment horizontal="center" vertical="center" wrapText="1"/>
    </xf>
    <xf numFmtId="1" fontId="6" fillId="0" borderId="927" xfId="0" applyNumberFormat="1" applyFont="1" applyBorder="1" applyAlignment="1">
      <alignment horizontal="center" vertical="center" wrapText="1"/>
    </xf>
    <xf numFmtId="1" fontId="6" fillId="0" borderId="881" xfId="0" applyNumberFormat="1" applyFont="1" applyBorder="1" applyAlignment="1">
      <alignment horizontal="center" vertical="center" wrapText="1"/>
    </xf>
    <xf numFmtId="1" fontId="6" fillId="0" borderId="901" xfId="0" applyNumberFormat="1" applyFont="1" applyBorder="1" applyAlignment="1">
      <alignment horizontal="left" wrapText="1"/>
    </xf>
    <xf numFmtId="1" fontId="6" fillId="0" borderId="901" xfId="0" applyNumberFormat="1" applyFont="1" applyBorder="1"/>
    <xf numFmtId="1" fontId="6" fillId="4" borderId="928" xfId="0" applyNumberFormat="1" applyFont="1" applyFill="1" applyBorder="1"/>
    <xf numFmtId="1" fontId="6" fillId="0" borderId="901" xfId="0" applyNumberFormat="1" applyFont="1" applyBorder="1" applyAlignment="1">
      <alignment wrapText="1"/>
    </xf>
    <xf numFmtId="1" fontId="6" fillId="0" borderId="562" xfId="0" applyNumberFormat="1" applyFont="1" applyBorder="1" applyAlignment="1">
      <alignment wrapText="1"/>
    </xf>
    <xf numFmtId="1" fontId="6" fillId="0" borderId="867" xfId="0" applyNumberFormat="1" applyFont="1" applyBorder="1" applyAlignment="1">
      <alignment horizontal="center"/>
    </xf>
    <xf numFmtId="1" fontId="3" fillId="3" borderId="497" xfId="0" applyNumberFormat="1" applyFont="1" applyFill="1" applyBorder="1"/>
    <xf numFmtId="1" fontId="6" fillId="5" borderId="867" xfId="0" applyNumberFormat="1" applyFont="1" applyFill="1" applyBorder="1" applyProtection="1">
      <protection locked="0"/>
    </xf>
    <xf numFmtId="1" fontId="54" fillId="18" borderId="0" xfId="0" applyNumberFormat="1" applyFont="1" applyFill="1"/>
    <xf numFmtId="1" fontId="54" fillId="20" borderId="0" xfId="0" applyNumberFormat="1" applyFont="1" applyFill="1"/>
    <xf numFmtId="1" fontId="6" fillId="0" borderId="882" xfId="0" applyNumberFormat="1" applyFont="1" applyBorder="1" applyAlignment="1">
      <alignment horizontal="center" vertical="center"/>
    </xf>
    <xf numFmtId="1" fontId="6" fillId="0" borderId="921" xfId="0" applyNumberFormat="1" applyFont="1" applyBorder="1"/>
    <xf numFmtId="1" fontId="6" fillId="5" borderId="924" xfId="0" applyNumberFormat="1" applyFont="1" applyFill="1" applyBorder="1" applyProtection="1">
      <protection locked="0"/>
    </xf>
    <xf numFmtId="1" fontId="6" fillId="5" borderId="921" xfId="0" applyNumberFormat="1" applyFont="1" applyFill="1" applyBorder="1" applyProtection="1">
      <protection locked="0"/>
    </xf>
    <xf numFmtId="1" fontId="6" fillId="5" borderId="818" xfId="0" applyNumberFormat="1" applyFont="1" applyFill="1" applyBorder="1" applyProtection="1">
      <protection locked="0"/>
    </xf>
    <xf numFmtId="1" fontId="6" fillId="5" borderId="825" xfId="0" applyNumberFormat="1" applyFont="1" applyFill="1" applyBorder="1" applyProtection="1">
      <protection locked="0"/>
    </xf>
    <xf numFmtId="1" fontId="6" fillId="4" borderId="914" xfId="0" applyNumberFormat="1" applyFont="1" applyFill="1" applyBorder="1"/>
    <xf numFmtId="1" fontId="6" fillId="4" borderId="880" xfId="0" applyNumberFormat="1" applyFont="1" applyFill="1" applyBorder="1"/>
    <xf numFmtId="1" fontId="6" fillId="4" borderId="874" xfId="0" applyNumberFormat="1" applyFont="1" applyFill="1" applyBorder="1"/>
    <xf numFmtId="1" fontId="6" fillId="5" borderId="917" xfId="0" applyNumberFormat="1" applyFont="1" applyFill="1" applyBorder="1" applyProtection="1">
      <protection locked="0"/>
    </xf>
    <xf numFmtId="1" fontId="6" fillId="4" borderId="893" xfId="0" applyNumberFormat="1" applyFont="1" applyFill="1" applyBorder="1"/>
    <xf numFmtId="1" fontId="4" fillId="0" borderId="882" xfId="0" applyNumberFormat="1" applyFont="1" applyBorder="1"/>
    <xf numFmtId="1" fontId="6" fillId="5" borderId="891" xfId="0" applyNumberFormat="1" applyFont="1" applyFill="1" applyBorder="1" applyProtection="1">
      <protection locked="0"/>
    </xf>
    <xf numFmtId="1" fontId="6" fillId="3" borderId="904" xfId="0" applyNumberFormat="1" applyFont="1" applyFill="1" applyBorder="1" applyAlignment="1">
      <alignment horizontal="center" vertical="center" wrapText="1"/>
    </xf>
    <xf numFmtId="1" fontId="6" fillId="3" borderId="896" xfId="0" applyNumberFormat="1" applyFont="1" applyFill="1" applyBorder="1" applyAlignment="1" applyProtection="1">
      <alignment horizontal="center"/>
      <protection locked="0"/>
    </xf>
    <xf numFmtId="1" fontId="6" fillId="3" borderId="874" xfId="0" applyNumberFormat="1" applyFont="1" applyFill="1" applyBorder="1" applyAlignment="1" applyProtection="1">
      <alignment horizontal="center"/>
      <protection locked="0"/>
    </xf>
    <xf numFmtId="1" fontId="6" fillId="3" borderId="825" xfId="0" applyNumberFormat="1" applyFont="1" applyFill="1" applyBorder="1" applyAlignment="1">
      <alignment horizontal="right" wrapText="1"/>
    </xf>
    <xf numFmtId="1" fontId="6" fillId="3" borderId="895" xfId="0" applyNumberFormat="1" applyFont="1" applyFill="1" applyBorder="1" applyAlignment="1">
      <alignment horizontal="right"/>
    </xf>
    <xf numFmtId="1" fontId="6" fillId="3" borderId="880" xfId="0" applyNumberFormat="1" applyFont="1" applyFill="1" applyBorder="1" applyAlignment="1">
      <alignment horizontal="right"/>
    </xf>
    <xf numFmtId="1" fontId="6" fillId="4" borderId="836" xfId="0" applyNumberFormat="1" applyFont="1" applyFill="1" applyBorder="1" applyAlignment="1">
      <alignment horizontal="right"/>
    </xf>
    <xf numFmtId="1" fontId="6" fillId="4" borderId="893" xfId="0" applyNumberFormat="1" applyFont="1" applyFill="1" applyBorder="1" applyAlignment="1">
      <alignment horizontal="right"/>
    </xf>
    <xf numFmtId="1" fontId="6" fillId="4" borderId="93" xfId="0" applyNumberFormat="1" applyFont="1" applyFill="1" applyBorder="1" applyAlignment="1">
      <alignment horizontal="right"/>
    </xf>
    <xf numFmtId="1" fontId="6" fillId="4" borderId="837" xfId="0" applyNumberFormat="1" applyFont="1" applyFill="1" applyBorder="1" applyAlignment="1">
      <alignment horizontal="right"/>
    </xf>
    <xf numFmtId="1" fontId="6" fillId="2" borderId="930" xfId="29" applyNumberFormat="1" applyFont="1" applyBorder="1" applyAlignment="1" applyProtection="1">
      <alignment horizontal="right"/>
      <protection locked="0"/>
    </xf>
    <xf numFmtId="1" fontId="6" fillId="2" borderId="931" xfId="29" applyNumberFormat="1" applyFont="1" applyBorder="1" applyAlignment="1" applyProtection="1">
      <alignment horizontal="right"/>
      <protection locked="0"/>
    </xf>
    <xf numFmtId="1" fontId="6" fillId="2" borderId="932" xfId="29" applyNumberFormat="1" applyFont="1" applyBorder="1" applyAlignment="1" applyProtection="1">
      <alignment horizontal="right"/>
      <protection locked="0"/>
    </xf>
    <xf numFmtId="1" fontId="6" fillId="2" borderId="933" xfId="29" applyNumberFormat="1" applyFont="1" applyBorder="1" applyAlignment="1" applyProtection="1">
      <alignment horizontal="right"/>
      <protection locked="0"/>
    </xf>
    <xf numFmtId="1" fontId="6" fillId="2" borderId="934" xfId="29" applyNumberFormat="1" applyFont="1" applyBorder="1" applyAlignment="1" applyProtection="1">
      <alignment horizontal="right"/>
      <protection locked="0"/>
    </xf>
    <xf numFmtId="1" fontId="6" fillId="2" borderId="935" xfId="29" applyNumberFormat="1" applyFont="1" applyBorder="1" applyAlignment="1" applyProtection="1">
      <alignment horizontal="right"/>
      <protection locked="0"/>
    </xf>
    <xf numFmtId="1" fontId="6" fillId="2" borderId="936" xfId="29" applyNumberFormat="1" applyFont="1" applyBorder="1" applyAlignment="1" applyProtection="1">
      <alignment horizontal="right"/>
      <protection locked="0"/>
    </xf>
    <xf numFmtId="1" fontId="6" fillId="2" borderId="937" xfId="29" applyNumberFormat="1" applyFont="1" applyBorder="1" applyAlignment="1" applyProtection="1">
      <alignment horizontal="right"/>
      <protection locked="0"/>
    </xf>
    <xf numFmtId="1" fontId="6" fillId="3" borderId="559" xfId="0" applyNumberFormat="1" applyFont="1" applyFill="1" applyBorder="1" applyAlignment="1">
      <alignment horizontal="right"/>
    </xf>
    <xf numFmtId="1" fontId="6" fillId="2" borderId="938" xfId="29" applyNumberFormat="1" applyFont="1" applyBorder="1" applyAlignment="1" applyProtection="1">
      <alignment horizontal="right"/>
      <protection locked="0"/>
    </xf>
    <xf numFmtId="1" fontId="6" fillId="2" borderId="939" xfId="29" applyNumberFormat="1" applyFont="1" applyBorder="1" applyAlignment="1" applyProtection="1">
      <alignment horizontal="right"/>
      <protection locked="0"/>
    </xf>
    <xf numFmtId="1" fontId="6" fillId="2" borderId="940" xfId="29" applyNumberFormat="1" applyFont="1" applyBorder="1" applyAlignment="1" applyProtection="1">
      <alignment horizontal="right"/>
      <protection locked="0"/>
    </xf>
    <xf numFmtId="1" fontId="6" fillId="2" borderId="941" xfId="29" applyNumberFormat="1" applyFont="1" applyBorder="1" applyAlignment="1" applyProtection="1">
      <alignment horizontal="right"/>
      <protection locked="0"/>
    </xf>
    <xf numFmtId="1" fontId="4" fillId="3" borderId="870" xfId="0" applyNumberFormat="1" applyFont="1" applyFill="1" applyBorder="1"/>
    <xf numFmtId="1" fontId="5" fillId="0" borderId="919" xfId="0" applyNumberFormat="1" applyFont="1" applyBorder="1"/>
    <xf numFmtId="1" fontId="6" fillId="0" borderId="875" xfId="0" applyNumberFormat="1" applyFont="1" applyBorder="1" applyAlignment="1">
      <alignment horizontal="center" vertical="center"/>
    </xf>
    <xf numFmtId="1" fontId="6" fillId="0" borderId="885" xfId="0" applyNumberFormat="1" applyFont="1" applyBorder="1" applyAlignment="1">
      <alignment horizontal="center" vertical="center"/>
    </xf>
    <xf numFmtId="1" fontId="6" fillId="0" borderId="942" xfId="0" applyNumberFormat="1" applyFont="1" applyBorder="1" applyAlignment="1">
      <alignment horizontal="center" vertical="center" wrapText="1"/>
    </xf>
    <xf numFmtId="1" fontId="6" fillId="5" borderId="899" xfId="0" applyNumberFormat="1" applyFont="1" applyFill="1" applyBorder="1" applyAlignment="1" applyProtection="1">
      <alignment horizontal="right"/>
      <protection locked="0"/>
    </xf>
    <xf numFmtId="1" fontId="6" fillId="0" borderId="827" xfId="0" applyNumberFormat="1" applyFont="1" applyBorder="1" applyAlignment="1">
      <alignment horizontal="right" wrapText="1"/>
    </xf>
    <xf numFmtId="1" fontId="6" fillId="5" borderId="23" xfId="0" applyNumberFormat="1" applyFont="1" applyFill="1" applyBorder="1" applyAlignment="1" applyProtection="1">
      <alignment horizontal="right"/>
      <protection locked="0"/>
    </xf>
    <xf numFmtId="1" fontId="4" fillId="15" borderId="870" xfId="0" applyNumberFormat="1" applyFont="1" applyFill="1" applyBorder="1"/>
    <xf numFmtId="1" fontId="4" fillId="15" borderId="497" xfId="0" applyNumberFormat="1" applyFont="1" applyFill="1" applyBorder="1"/>
    <xf numFmtId="1" fontId="6" fillId="0" borderId="883" xfId="0" applyNumberFormat="1" applyFont="1" applyBorder="1" applyAlignment="1">
      <alignment horizontal="center" vertical="center"/>
    </xf>
    <xf numFmtId="1" fontId="6" fillId="0" borderId="875" xfId="0" applyNumberFormat="1" applyFont="1" applyBorder="1" applyAlignment="1">
      <alignment horizontal="right"/>
    </xf>
    <xf numFmtId="1" fontId="6" fillId="0" borderId="885" xfId="0" applyNumberFormat="1" applyFont="1" applyBorder="1" applyAlignment="1">
      <alignment horizontal="right"/>
    </xf>
    <xf numFmtId="1" fontId="6" fillId="5" borderId="875" xfId="0" applyNumberFormat="1" applyFont="1" applyFill="1" applyBorder="1" applyAlignment="1" applyProtection="1">
      <alignment horizontal="right"/>
      <protection locked="0"/>
    </xf>
    <xf numFmtId="1" fontId="6" fillId="5" borderId="942" xfId="0" applyNumberFormat="1" applyFont="1" applyFill="1" applyBorder="1" applyAlignment="1" applyProtection="1">
      <alignment horizontal="right"/>
      <protection locked="0"/>
    </xf>
    <xf numFmtId="1" fontId="6" fillId="5" borderId="874" xfId="0" applyNumberFormat="1" applyFont="1" applyFill="1" applyBorder="1" applyAlignment="1" applyProtection="1">
      <alignment horizontal="right"/>
      <protection locked="0"/>
    </xf>
    <xf numFmtId="1" fontId="51" fillId="0" borderId="874" xfId="0" applyNumberFormat="1" applyFont="1" applyBorder="1" applyAlignment="1">
      <alignment horizontal="center" vertical="center"/>
    </xf>
    <xf numFmtId="1" fontId="51" fillId="0" borderId="883" xfId="0" applyNumberFormat="1" applyFont="1" applyBorder="1" applyAlignment="1">
      <alignment horizontal="center" vertical="center"/>
    </xf>
    <xf numFmtId="1" fontId="51" fillId="0" borderId="875" xfId="0" applyNumberFormat="1" applyFont="1" applyBorder="1" applyAlignment="1">
      <alignment horizontal="center" vertical="center" wrapText="1"/>
    </xf>
    <xf numFmtId="1" fontId="51" fillId="0" borderId="818" xfId="0" applyNumberFormat="1" applyFont="1" applyBorder="1" applyAlignment="1">
      <alignment horizontal="center" vertical="center" wrapText="1"/>
    </xf>
    <xf numFmtId="1" fontId="51" fillId="0" borderId="924" xfId="0" applyNumberFormat="1" applyFont="1" applyBorder="1" applyAlignment="1">
      <alignment horizontal="center" vertical="center" wrapText="1"/>
    </xf>
    <xf numFmtId="1" fontId="51" fillId="0" borderId="916" xfId="0" applyNumberFormat="1" applyFont="1" applyBorder="1" applyAlignment="1">
      <alignment horizontal="center" vertical="center" wrapText="1"/>
    </xf>
    <xf numFmtId="1" fontId="51" fillId="0" borderId="881" xfId="0" applyNumberFormat="1" applyFont="1" applyBorder="1" applyAlignment="1">
      <alignment horizontal="center" vertical="center" wrapText="1"/>
    </xf>
    <xf numFmtId="1" fontId="51" fillId="0" borderId="888" xfId="0" applyNumberFormat="1" applyFont="1" applyBorder="1" applyAlignment="1">
      <alignment horizontal="center" vertical="center" wrapText="1"/>
    </xf>
    <xf numFmtId="1" fontId="51" fillId="0" borderId="559" xfId="0" applyNumberFormat="1" applyFont="1" applyBorder="1" applyAlignment="1">
      <alignment horizontal="right" vertical="center"/>
    </xf>
    <xf numFmtId="1" fontId="51" fillId="0" borderId="921" xfId="0" applyNumberFormat="1" applyFont="1" applyBorder="1" applyAlignment="1">
      <alignment horizontal="right" vertical="center"/>
    </xf>
    <xf numFmtId="1" fontId="51" fillId="0" borderId="559" xfId="0" applyNumberFormat="1" applyFont="1" applyBorder="1" applyAlignment="1">
      <alignment vertical="center" wrapText="1"/>
    </xf>
    <xf numFmtId="1" fontId="51" fillId="3" borderId="875" xfId="0" applyNumberFormat="1" applyFont="1" applyFill="1" applyBorder="1"/>
    <xf numFmtId="1" fontId="51" fillId="3" borderId="874" xfId="0" applyNumberFormat="1" applyFont="1" applyFill="1" applyBorder="1"/>
    <xf numFmtId="1" fontId="51" fillId="3" borderId="942" xfId="0" applyNumberFormat="1" applyFont="1" applyFill="1" applyBorder="1"/>
    <xf numFmtId="1" fontId="51" fillId="0" borderId="875" xfId="0" applyNumberFormat="1" applyFont="1" applyBorder="1" applyAlignment="1">
      <alignment horizontal="right"/>
    </xf>
    <xf numFmtId="1" fontId="51" fillId="3" borderId="913" xfId="0" applyNumberFormat="1" applyFont="1" applyFill="1" applyBorder="1"/>
    <xf numFmtId="1" fontId="51" fillId="3" borderId="890" xfId="0" applyNumberFormat="1" applyFont="1" applyFill="1" applyBorder="1"/>
    <xf numFmtId="1" fontId="51" fillId="0" borderId="901" xfId="0" applyNumberFormat="1" applyFont="1" applyBorder="1" applyAlignment="1">
      <alignment horizontal="left" vertical="center" wrapText="1"/>
    </xf>
    <xf numFmtId="1" fontId="51" fillId="0" borderId="901" xfId="0" applyNumberFormat="1" applyFont="1" applyBorder="1" applyAlignment="1">
      <alignment horizontal="right" vertical="center" wrapText="1"/>
    </xf>
    <xf numFmtId="1" fontId="51" fillId="0" borderId="901" xfId="0" applyNumberFormat="1" applyFont="1" applyBorder="1" applyAlignment="1">
      <alignment horizontal="right"/>
    </xf>
    <xf numFmtId="1" fontId="51" fillId="5" borderId="560" xfId="0" applyNumberFormat="1" applyFont="1" applyFill="1" applyBorder="1" applyAlignment="1" applyProtection="1">
      <alignment horizontal="right"/>
      <protection locked="0"/>
    </xf>
    <xf numFmtId="1" fontId="51" fillId="5" borderId="893" xfId="0" applyNumberFormat="1" applyFont="1" applyFill="1" applyBorder="1" applyAlignment="1" applyProtection="1">
      <alignment horizontal="right"/>
      <protection locked="0"/>
    </xf>
    <xf numFmtId="1" fontId="51" fillId="5" borderId="42" xfId="0" applyNumberFormat="1" applyFont="1" applyFill="1" applyBorder="1" applyAlignment="1" applyProtection="1">
      <alignment horizontal="right"/>
      <protection locked="0"/>
    </xf>
    <xf numFmtId="1" fontId="51" fillId="5" borderId="190" xfId="0" applyNumberFormat="1" applyFont="1" applyFill="1" applyBorder="1" applyAlignment="1" applyProtection="1">
      <alignment horizontal="right"/>
      <protection locked="0"/>
    </xf>
    <xf numFmtId="1" fontId="51" fillId="5" borderId="104" xfId="0" applyNumberFormat="1" applyFont="1" applyFill="1" applyBorder="1" applyAlignment="1" applyProtection="1">
      <alignment horizontal="right"/>
      <protection locked="0"/>
    </xf>
    <xf numFmtId="1" fontId="51" fillId="0" borderId="37" xfId="0" applyNumberFormat="1" applyFont="1" applyBorder="1" applyAlignment="1">
      <alignment horizontal="right"/>
    </xf>
    <xf numFmtId="1" fontId="51" fillId="0" borderId="921" xfId="0" applyNumberFormat="1" applyFont="1" applyBorder="1" applyAlignment="1">
      <alignment horizontal="left" vertical="center" wrapText="1"/>
    </xf>
    <xf numFmtId="1" fontId="51" fillId="0" borderId="921" xfId="0" applyNumberFormat="1" applyFont="1" applyBorder="1" applyAlignment="1">
      <alignment horizontal="right" vertical="center" wrapText="1"/>
    </xf>
    <xf numFmtId="1" fontId="51" fillId="0" borderId="921" xfId="0" applyNumberFormat="1" applyFont="1" applyBorder="1" applyAlignment="1">
      <alignment horizontal="right"/>
    </xf>
    <xf numFmtId="1" fontId="6" fillId="0" borderId="909" xfId="0" applyNumberFormat="1" applyFont="1" applyFill="1" applyBorder="1" applyProtection="1">
      <protection locked="0"/>
    </xf>
    <xf numFmtId="1" fontId="6" fillId="0" borderId="898" xfId="0" applyNumberFormat="1" applyFont="1" applyBorder="1" applyAlignment="1">
      <alignment horizontal="left"/>
    </xf>
    <xf numFmtId="1" fontId="6" fillId="0" borderId="899" xfId="0" applyNumberFormat="1" applyFont="1" applyBorder="1" applyAlignment="1">
      <alignment horizontal="left"/>
    </xf>
    <xf numFmtId="1" fontId="6" fillId="0" borderId="880" xfId="0" applyNumberFormat="1" applyFont="1" applyBorder="1" applyAlignment="1">
      <alignment horizontal="left"/>
    </xf>
    <xf numFmtId="1" fontId="6" fillId="0" borderId="33" xfId="0" applyNumberFormat="1" applyFont="1" applyBorder="1" applyAlignment="1">
      <alignment horizontal="left" wrapText="1"/>
    </xf>
    <xf numFmtId="1" fontId="6" fillId="0" borderId="904" xfId="0" applyNumberFormat="1" applyFont="1" applyBorder="1" applyAlignment="1">
      <alignment horizontal="left" vertical="center"/>
    </xf>
    <xf numFmtId="1" fontId="6" fillId="0" borderId="896" xfId="0" applyNumberFormat="1" applyFont="1" applyBorder="1" applyAlignment="1">
      <alignment horizontal="left" vertical="center"/>
    </xf>
    <xf numFmtId="1" fontId="6" fillId="0" borderId="893" xfId="0" applyNumberFormat="1" applyFont="1" applyBorder="1" applyAlignment="1">
      <alignment horizontal="left"/>
    </xf>
    <xf numFmtId="1" fontId="6" fillId="0" borderId="898" xfId="0" applyNumberFormat="1" applyFont="1" applyBorder="1" applyAlignment="1">
      <alignment horizontal="left" wrapText="1"/>
    </xf>
    <xf numFmtId="1" fontId="6" fillId="0" borderId="899" xfId="0" applyNumberFormat="1" applyFont="1" applyBorder="1" applyAlignment="1">
      <alignment horizontal="left" wrapText="1"/>
    </xf>
    <xf numFmtId="1" fontId="51" fillId="36" borderId="879" xfId="0" applyNumberFormat="1" applyFont="1" applyFill="1" applyBorder="1" applyProtection="1">
      <protection locked="0"/>
    </xf>
    <xf numFmtId="1" fontId="51" fillId="0" borderId="879" xfId="0" applyNumberFormat="1" applyFont="1" applyFill="1" applyBorder="1" applyAlignment="1" applyProtection="1">
      <alignment horizontal="left"/>
      <protection locked="0"/>
    </xf>
    <xf numFmtId="1" fontId="6" fillId="0" borderId="875" xfId="0" applyNumberFormat="1" applyFont="1" applyBorder="1" applyAlignment="1">
      <alignment horizontal="right" wrapText="1"/>
    </xf>
    <xf numFmtId="1" fontId="6" fillId="5" borderId="33" xfId="0" applyNumberFormat="1" applyFont="1" applyFill="1" applyBorder="1" applyAlignment="1" applyProtection="1">
      <alignment horizontal="right" wrapText="1"/>
      <protection locked="0"/>
    </xf>
    <xf numFmtId="1" fontId="6" fillId="5" borderId="35" xfId="0" applyNumberFormat="1" applyFont="1" applyFill="1" applyBorder="1" applyAlignment="1" applyProtection="1">
      <alignment horizontal="right" wrapText="1"/>
      <protection locked="0"/>
    </xf>
    <xf numFmtId="1" fontId="6" fillId="5" borderId="9" xfId="0" applyNumberFormat="1" applyFont="1" applyFill="1" applyBorder="1" applyAlignment="1" applyProtection="1">
      <alignment horizontal="right" wrapText="1"/>
      <protection locked="0"/>
    </xf>
    <xf numFmtId="1" fontId="6" fillId="13" borderId="9" xfId="0" applyNumberFormat="1" applyFont="1" applyFill="1" applyBorder="1" applyAlignment="1" applyProtection="1">
      <alignment horizontal="right" wrapText="1"/>
      <protection locked="0"/>
    </xf>
    <xf numFmtId="1" fontId="6" fillId="5" borderId="924" xfId="0" applyNumberFormat="1" applyFont="1" applyFill="1" applyBorder="1" applyAlignment="1" applyProtection="1">
      <alignment horizontal="right" wrapText="1"/>
      <protection locked="0"/>
    </xf>
    <xf numFmtId="1" fontId="6" fillId="5" borderId="921" xfId="0" applyNumberFormat="1" applyFont="1" applyFill="1" applyBorder="1" applyAlignment="1" applyProtection="1">
      <alignment horizontal="right" wrapText="1"/>
      <protection locked="0"/>
    </xf>
    <xf numFmtId="1" fontId="6" fillId="13" borderId="921" xfId="0" applyNumberFormat="1" applyFont="1" applyFill="1" applyBorder="1" applyAlignment="1" applyProtection="1">
      <alignment horizontal="right" wrapText="1"/>
      <protection locked="0"/>
    </xf>
    <xf numFmtId="1" fontId="6" fillId="0" borderId="123" xfId="0" applyNumberFormat="1" applyFont="1" applyBorder="1" applyAlignment="1">
      <alignment horizontal="right" wrapText="1"/>
    </xf>
    <xf numFmtId="1" fontId="20" fillId="0" borderId="494" xfId="0" applyNumberFormat="1" applyFont="1" applyBorder="1" applyAlignment="1">
      <alignment horizontal="right" wrapText="1"/>
    </xf>
    <xf numFmtId="1" fontId="20" fillId="0" borderId="882" xfId="0" applyNumberFormat="1" applyFont="1" applyBorder="1"/>
    <xf numFmtId="1" fontId="20" fillId="0" borderId="883" xfId="0" applyNumberFormat="1" applyFont="1" applyBorder="1" applyAlignment="1">
      <alignment wrapText="1"/>
    </xf>
    <xf numFmtId="1" fontId="51" fillId="0" borderId="883" xfId="0" applyNumberFormat="1" applyFont="1" applyBorder="1" applyAlignment="1">
      <alignment wrapText="1"/>
    </xf>
    <xf numFmtId="1" fontId="6" fillId="3" borderId="894" xfId="0" applyNumberFormat="1" applyFont="1" applyFill="1" applyBorder="1" applyAlignment="1">
      <alignment horizontal="left"/>
    </xf>
    <xf numFmtId="1" fontId="6" fillId="5" borderId="560" xfId="0" applyNumberFormat="1" applyFont="1" applyFill="1" applyBorder="1" applyAlignment="1" applyProtection="1">
      <alignment horizontal="left"/>
      <protection locked="0"/>
    </xf>
    <xf numFmtId="1" fontId="6" fillId="5" borderId="891" xfId="0" applyNumberFormat="1" applyFont="1" applyFill="1" applyBorder="1" applyAlignment="1" applyProtection="1">
      <alignment horizontal="left"/>
      <protection locked="0"/>
    </xf>
    <xf numFmtId="1" fontId="6" fillId="5" borderId="142" xfId="0" applyNumberFormat="1" applyFont="1" applyFill="1" applyBorder="1" applyAlignment="1" applyProtection="1">
      <alignment horizontal="left"/>
      <protection locked="0"/>
    </xf>
    <xf numFmtId="1" fontId="6" fillId="4" borderId="892" xfId="0" applyNumberFormat="1" applyFont="1" applyFill="1" applyBorder="1" applyAlignment="1">
      <alignment horizontal="left"/>
    </xf>
    <xf numFmtId="1" fontId="6" fillId="5" borderId="143" xfId="0" applyNumberFormat="1" applyFont="1" applyFill="1" applyBorder="1" applyAlignment="1" applyProtection="1">
      <alignment horizontal="left"/>
      <protection locked="0"/>
    </xf>
    <xf numFmtId="1" fontId="6" fillId="4" borderId="102" xfId="0" applyNumberFormat="1" applyFont="1" applyFill="1" applyBorder="1" applyAlignment="1">
      <alignment horizontal="left"/>
    </xf>
    <xf numFmtId="1" fontId="6" fillId="0" borderId="562" xfId="0" applyNumberFormat="1" applyFont="1" applyBorder="1" applyAlignment="1">
      <alignment horizontal="left" vertical="center" wrapText="1"/>
    </xf>
    <xf numFmtId="1" fontId="6" fillId="13" borderId="104" xfId="0" applyNumberFormat="1" applyFont="1" applyFill="1" applyBorder="1" applyAlignment="1">
      <alignment horizontal="left"/>
    </xf>
    <xf numFmtId="1" fontId="6" fillId="13" borderId="102" xfId="0" applyNumberFormat="1" applyFont="1" applyFill="1" applyBorder="1" applyAlignment="1" applyProtection="1">
      <alignment horizontal="left"/>
      <protection locked="0"/>
    </xf>
    <xf numFmtId="1" fontId="6" fillId="5" borderId="129" xfId="0" applyNumberFormat="1" applyFont="1" applyFill="1" applyBorder="1" applyAlignment="1" applyProtection="1">
      <alignment horizontal="left"/>
      <protection locked="0"/>
    </xf>
    <xf numFmtId="1" fontId="6" fillId="5" borderId="87" xfId="0" applyNumberFormat="1" applyFont="1" applyFill="1" applyBorder="1" applyAlignment="1" applyProtection="1">
      <alignment horizontal="left"/>
      <protection locked="0"/>
    </xf>
    <xf numFmtId="1" fontId="6" fillId="5" borderId="360" xfId="0" applyNumberFormat="1" applyFont="1" applyFill="1" applyBorder="1" applyAlignment="1" applyProtection="1">
      <alignment horizontal="left"/>
      <protection locked="0"/>
    </xf>
    <xf numFmtId="1" fontId="6" fillId="13" borderId="103" xfId="0" applyNumberFormat="1" applyFont="1" applyFill="1" applyBorder="1" applyAlignment="1" applyProtection="1">
      <alignment horizontal="left"/>
      <protection locked="0"/>
    </xf>
    <xf numFmtId="1" fontId="6" fillId="13" borderId="58" xfId="0" applyNumberFormat="1" applyFont="1" applyFill="1" applyBorder="1" applyAlignment="1" applyProtection="1">
      <alignment horizontal="left"/>
      <protection locked="0"/>
    </xf>
    <xf numFmtId="0" fontId="0" fillId="0" borderId="0" xfId="0"/>
    <xf numFmtId="1" fontId="51" fillId="0" borderId="563" xfId="0" applyNumberFormat="1" applyFont="1" applyBorder="1" applyAlignment="1">
      <alignment horizontal="center" vertical="center" wrapText="1"/>
    </xf>
    <xf numFmtId="1" fontId="6" fillId="0" borderId="786" xfId="0" applyNumberFormat="1" applyFont="1" applyBorder="1" applyAlignment="1">
      <alignment horizontal="center" vertical="center" wrapText="1"/>
    </xf>
    <xf numFmtId="1" fontId="6" fillId="0" borderId="782" xfId="0" applyNumberFormat="1" applyFont="1" applyBorder="1" applyAlignment="1">
      <alignment horizontal="center" vertical="center"/>
    </xf>
    <xf numFmtId="1" fontId="6" fillId="0" borderId="725" xfId="0" applyNumberFormat="1" applyFont="1" applyBorder="1" applyAlignment="1">
      <alignment horizontal="center" vertical="center"/>
    </xf>
    <xf numFmtId="0" fontId="86" fillId="3" borderId="0" xfId="0" applyNumberFormat="1" applyFont="1" applyFill="1" applyAlignment="1" applyProtection="1">
      <alignment horizontal="center"/>
    </xf>
    <xf numFmtId="0" fontId="76" fillId="3" borderId="0" xfId="0" quotePrefix="1" applyNumberFormat="1" applyFont="1" applyFill="1" applyAlignment="1" applyProtection="1">
      <alignment horizontal="center"/>
    </xf>
    <xf numFmtId="1" fontId="56" fillId="3" borderId="0" xfId="0" quotePrefix="1" applyNumberFormat="1" applyFont="1" applyFill="1" applyAlignment="1">
      <alignment horizontal="center"/>
    </xf>
    <xf numFmtId="0" fontId="90" fillId="3" borderId="0" xfId="0" quotePrefix="1" applyNumberFormat="1" applyFont="1" applyFill="1" applyAlignment="1" applyProtection="1">
      <alignment horizontal="center"/>
    </xf>
    <xf numFmtId="1" fontId="56" fillId="15" borderId="0" xfId="0" quotePrefix="1" applyNumberFormat="1" applyFont="1" applyFill="1"/>
    <xf numFmtId="49" fontId="86" fillId="3" borderId="0" xfId="0" applyNumberFormat="1" applyFont="1" applyFill="1" applyAlignment="1" applyProtection="1">
      <alignment horizontal="center" vertical="center"/>
    </xf>
    <xf numFmtId="0" fontId="90" fillId="3" borderId="534" xfId="0" applyNumberFormat="1" applyFont="1" applyFill="1" applyBorder="1" applyAlignment="1" applyProtection="1">
      <alignment horizontal="center" vertical="center"/>
    </xf>
    <xf numFmtId="0" fontId="90" fillId="3" borderId="0" xfId="0" applyNumberFormat="1" applyFont="1" applyFill="1" applyAlignment="1" applyProtection="1">
      <alignment horizontal="center" vertical="center"/>
    </xf>
    <xf numFmtId="1" fontId="6" fillId="0" borderId="98" xfId="0" applyNumberFormat="1" applyFont="1" applyBorder="1"/>
    <xf numFmtId="1" fontId="6" fillId="5" borderId="956" xfId="0" applyNumberFormat="1" applyFont="1" applyFill="1" applyBorder="1" applyProtection="1">
      <protection locked="0"/>
    </xf>
    <xf numFmtId="1" fontId="54" fillId="15" borderId="0" xfId="0" quotePrefix="1" applyNumberFormat="1" applyFont="1" applyFill="1"/>
    <xf numFmtId="49" fontId="90" fillId="3" borderId="0" xfId="0" applyNumberFormat="1" applyFont="1" applyFill="1" applyAlignment="1" applyProtection="1">
      <alignment horizontal="center" vertical="center"/>
    </xf>
    <xf numFmtId="49" fontId="76" fillId="3" borderId="0" xfId="0" applyNumberFormat="1" applyFont="1" applyFill="1" applyAlignment="1" applyProtection="1">
      <alignment horizontal="center" vertical="center"/>
    </xf>
    <xf numFmtId="1" fontId="6" fillId="0" borderId="51" xfId="0" applyNumberFormat="1" applyFont="1" applyBorder="1" applyAlignment="1">
      <alignment vertical="center" wrapText="1"/>
    </xf>
    <xf numFmtId="1" fontId="6" fillId="0" borderId="21" xfId="0" applyNumberFormat="1" applyFont="1" applyBorder="1" applyAlignment="1">
      <alignment vertical="center" wrapText="1"/>
    </xf>
    <xf numFmtId="1" fontId="6" fillId="0" borderId="85" xfId="0" applyNumberFormat="1" applyFont="1" applyBorder="1" applyAlignment="1">
      <alignment horizontal="left"/>
    </xf>
    <xf numFmtId="1" fontId="6" fillId="0" borderId="51" xfId="0" applyNumberFormat="1" applyFont="1" applyBorder="1" applyAlignment="1">
      <alignment horizontal="left"/>
    </xf>
    <xf numFmtId="1" fontId="6" fillId="0" borderId="874" xfId="0" applyNumberFormat="1" applyFont="1" applyBorder="1" applyAlignment="1">
      <alignment horizontal="center" vertical="center" wrapText="1"/>
    </xf>
    <xf numFmtId="1" fontId="20" fillId="0" borderId="751" xfId="0" applyNumberFormat="1" applyFont="1" applyBorder="1"/>
    <xf numFmtId="1" fontId="51" fillId="0" borderId="926" xfId="0" applyNumberFormat="1" applyFont="1" applyBorder="1" applyAlignment="1">
      <alignment horizontal="right"/>
    </xf>
    <xf numFmtId="1" fontId="6" fillId="0" borderId="904" xfId="0" applyNumberFormat="1" applyFont="1" applyBorder="1" applyAlignment="1">
      <alignment horizontal="center" vertical="center" wrapText="1"/>
    </xf>
    <xf numFmtId="0" fontId="86" fillId="15" borderId="534" xfId="0" applyNumberFormat="1" applyFont="1" applyFill="1" applyBorder="1" applyAlignment="1" applyProtection="1">
      <alignment horizontal="center"/>
    </xf>
    <xf numFmtId="0" fontId="86" fillId="15" borderId="0" xfId="0" applyNumberFormat="1" applyFont="1" applyFill="1" applyAlignment="1" applyProtection="1">
      <alignment horizontal="center"/>
    </xf>
    <xf numFmtId="1" fontId="40" fillId="15" borderId="24" xfId="0" applyNumberFormat="1" applyFont="1" applyFill="1" applyBorder="1" applyAlignment="1">
      <alignment horizontal="left" vertical="center"/>
    </xf>
    <xf numFmtId="1" fontId="40" fillId="15" borderId="0" xfId="0" applyNumberFormat="1" applyFont="1" applyFill="1" applyAlignment="1">
      <alignment horizontal="left" wrapText="1"/>
    </xf>
    <xf numFmtId="1" fontId="40" fillId="15" borderId="0" xfId="0" applyNumberFormat="1" applyFont="1" applyFill="1" applyAlignment="1">
      <alignment wrapText="1"/>
    </xf>
    <xf numFmtId="1" fontId="40" fillId="15" borderId="497" xfId="0" applyNumberFormat="1" applyFont="1" applyFill="1" applyBorder="1" applyAlignment="1">
      <alignment wrapText="1"/>
    </xf>
    <xf numFmtId="1" fontId="63" fillId="15" borderId="0" xfId="0" applyNumberFormat="1" applyFont="1" applyFill="1" applyAlignment="1">
      <alignment horizontal="center"/>
    </xf>
    <xf numFmtId="1" fontId="69" fillId="15" borderId="497" xfId="0" applyNumberFormat="1" applyFont="1" applyFill="1" applyBorder="1" applyAlignment="1">
      <alignment horizontal="left"/>
    </xf>
    <xf numFmtId="1" fontId="13" fillId="15" borderId="0" xfId="0" applyNumberFormat="1" applyFont="1" applyFill="1" applyAlignment="1">
      <alignment horizontal="left" vertical="top"/>
    </xf>
    <xf numFmtId="1" fontId="13" fillId="15" borderId="0" xfId="0" applyNumberFormat="1" applyFont="1" applyFill="1" applyAlignment="1">
      <alignment vertical="top"/>
    </xf>
    <xf numFmtId="1" fontId="26" fillId="0" borderId="0" xfId="0" applyNumberFormat="1" applyFont="1" applyAlignment="1">
      <alignment horizontal="center"/>
    </xf>
    <xf numFmtId="1" fontId="26" fillId="26" borderId="0" xfId="0" applyNumberFormat="1" applyFont="1" applyFill="1" applyAlignment="1">
      <alignment horizontal="center"/>
    </xf>
    <xf numFmtId="1" fontId="56" fillId="3" borderId="0" xfId="0" applyNumberFormat="1" applyFont="1" applyFill="1" applyAlignment="1">
      <alignment horizontal="center"/>
    </xf>
    <xf numFmtId="0" fontId="86" fillId="3" borderId="534" xfId="0" applyNumberFormat="1" applyFont="1" applyFill="1" applyBorder="1" applyAlignment="1" applyProtection="1">
      <alignment horizontal="center"/>
    </xf>
    <xf numFmtId="1" fontId="51" fillId="0" borderId="55" xfId="0" applyNumberFormat="1" applyFont="1" applyBorder="1" applyAlignment="1">
      <alignment horizontal="left"/>
    </xf>
    <xf numFmtId="0" fontId="76" fillId="3" borderId="534" xfId="0" applyNumberFormat="1" applyFont="1" applyFill="1" applyBorder="1" applyAlignment="1" applyProtection="1">
      <alignment horizontal="center"/>
    </xf>
    <xf numFmtId="1" fontId="56" fillId="15" borderId="0" xfId="0" applyNumberFormat="1" applyFont="1" applyFill="1" applyAlignment="1">
      <alignment horizontal="center" vertical="center"/>
    </xf>
    <xf numFmtId="0" fontId="86" fillId="3" borderId="0" xfId="0" quotePrefix="1" applyFont="1" applyFill="1" applyAlignment="1">
      <alignment horizontal="center"/>
    </xf>
    <xf numFmtId="1" fontId="13" fillId="0" borderId="562" xfId="0" applyNumberFormat="1" applyFont="1" applyBorder="1" applyAlignment="1">
      <alignment vertical="center" wrapText="1"/>
    </xf>
    <xf numFmtId="1" fontId="6" fillId="4" borderId="719" xfId="0" applyNumberFormat="1" applyFont="1" applyFill="1" applyBorder="1"/>
    <xf numFmtId="1" fontId="6" fillId="3" borderId="883" xfId="0" applyNumberFormat="1" applyFont="1" applyFill="1" applyBorder="1"/>
    <xf numFmtId="1" fontId="6" fillId="5" borderId="870" xfId="0" applyNumberFormat="1" applyFont="1" applyFill="1" applyBorder="1" applyProtection="1">
      <protection locked="0"/>
    </xf>
    <xf numFmtId="1" fontId="6" fillId="4" borderId="908" xfId="0" applyNumberFormat="1" applyFont="1" applyFill="1" applyBorder="1"/>
    <xf numFmtId="1" fontId="6" fillId="5" borderId="908" xfId="0" applyNumberFormat="1" applyFont="1" applyFill="1" applyBorder="1" applyProtection="1">
      <protection locked="0"/>
    </xf>
    <xf numFmtId="0" fontId="0" fillId="0" borderId="0" xfId="0"/>
    <xf numFmtId="0" fontId="51" fillId="15" borderId="40" xfId="0" applyFont="1" applyFill="1" applyBorder="1" applyAlignment="1">
      <alignment horizontal="left" vertical="center" wrapText="1"/>
    </xf>
    <xf numFmtId="0" fontId="89" fillId="15" borderId="534" xfId="0" applyFont="1" applyFill="1" applyBorder="1" applyAlignment="1">
      <alignment horizontal="center"/>
    </xf>
    <xf numFmtId="0" fontId="86" fillId="15" borderId="0" xfId="0" applyNumberFormat="1" applyFont="1" applyFill="1" applyAlignment="1" applyProtection="1">
      <alignment horizontal="left"/>
    </xf>
    <xf numFmtId="0" fontId="74" fillId="15" borderId="0" xfId="0" applyNumberFormat="1" applyFont="1" applyFill="1" applyAlignment="1" applyProtection="1">
      <alignment horizontal="center"/>
    </xf>
    <xf numFmtId="0" fontId="74" fillId="15" borderId="0" xfId="0" applyFont="1" applyFill="1" applyAlignment="1">
      <alignment horizontal="center"/>
    </xf>
    <xf numFmtId="1" fontId="6" fillId="5" borderId="964" xfId="0" applyNumberFormat="1" applyFont="1" applyFill="1" applyBorder="1" applyProtection="1">
      <protection locked="0"/>
    </xf>
    <xf numFmtId="1" fontId="6" fillId="5" borderId="963" xfId="0" applyNumberFormat="1" applyFont="1" applyFill="1" applyBorder="1" applyProtection="1">
      <protection locked="0"/>
    </xf>
    <xf numFmtId="1" fontId="56" fillId="26" borderId="0" xfId="0" quotePrefix="1" applyNumberFormat="1" applyFont="1" applyFill="1" applyAlignment="1">
      <alignment horizontal="center"/>
    </xf>
    <xf numFmtId="1" fontId="6" fillId="5" borderId="963" xfId="0" applyNumberFormat="1" applyFont="1" applyFill="1" applyBorder="1" applyAlignment="1" applyProtection="1">
      <alignment horizontal="left" wrapText="1"/>
      <protection locked="0"/>
    </xf>
    <xf numFmtId="1" fontId="6" fillId="5" borderId="893" xfId="0" applyNumberFormat="1" applyFont="1" applyFill="1" applyBorder="1" applyAlignment="1" applyProtection="1">
      <alignment horizontal="left" wrapText="1"/>
      <protection locked="0"/>
    </xf>
    <xf numFmtId="1" fontId="6" fillId="5" borderId="539" xfId="0" applyNumberFormat="1" applyFont="1" applyFill="1" applyBorder="1" applyAlignment="1" applyProtection="1">
      <alignment horizontal="left" wrapText="1"/>
      <protection locked="0"/>
    </xf>
    <xf numFmtId="1" fontId="6" fillId="0" borderId="921" xfId="0" applyNumberFormat="1" applyFont="1" applyBorder="1" applyAlignment="1">
      <alignment horizontal="center"/>
    </xf>
    <xf numFmtId="1" fontId="6" fillId="3" borderId="924" xfId="0" applyNumberFormat="1" applyFont="1" applyFill="1" applyBorder="1" applyAlignment="1">
      <alignment horizontal="right" wrapText="1"/>
    </xf>
    <xf numFmtId="1" fontId="6" fillId="3" borderId="827" xfId="0" applyNumberFormat="1" applyFont="1" applyFill="1" applyBorder="1" applyAlignment="1">
      <alignment horizontal="right" wrapText="1"/>
    </xf>
    <xf numFmtId="1" fontId="6" fillId="0" borderId="944" xfId="0" applyNumberFormat="1" applyFont="1" applyBorder="1" applyAlignment="1">
      <alignment horizontal="right"/>
    </xf>
    <xf numFmtId="1" fontId="20" fillId="0" borderId="944" xfId="0" applyNumberFormat="1" applyFont="1" applyBorder="1"/>
    <xf numFmtId="1" fontId="20" fillId="0" borderId="943" xfId="0" applyNumberFormat="1" applyFont="1" applyBorder="1"/>
    <xf numFmtId="1" fontId="6" fillId="0" borderId="916" xfId="0" applyNumberFormat="1" applyFont="1" applyBorder="1"/>
    <xf numFmtId="1" fontId="6" fillId="0" borderId="924" xfId="0" applyNumberFormat="1" applyFont="1" applyBorder="1"/>
    <xf numFmtId="1" fontId="6" fillId="0" borderId="751" xfId="0" applyNumberFormat="1" applyFont="1" applyBorder="1"/>
    <xf numFmtId="1" fontId="6" fillId="0" borderId="965" xfId="0" applyNumberFormat="1" applyFont="1" applyBorder="1"/>
    <xf numFmtId="1" fontId="6" fillId="0" borderId="943" xfId="0" applyNumberFormat="1" applyFont="1" applyBorder="1"/>
    <xf numFmtId="1" fontId="6" fillId="0" borderId="944" xfId="0" applyNumberFormat="1" applyFont="1" applyBorder="1"/>
    <xf numFmtId="1" fontId="6" fillId="3" borderId="966" xfId="0" applyNumberFormat="1" applyFont="1" applyFill="1" applyBorder="1" applyAlignment="1">
      <alignment horizontal="left" wrapText="1"/>
    </xf>
    <xf numFmtId="1" fontId="6" fillId="3" borderId="961" xfId="0" applyNumberFormat="1" applyFont="1" applyFill="1" applyBorder="1" applyAlignment="1">
      <alignment horizontal="left" wrapText="1"/>
    </xf>
    <xf numFmtId="1" fontId="6" fillId="3" borderId="963" xfId="0" applyNumberFormat="1" applyFont="1" applyFill="1" applyBorder="1" applyAlignment="1">
      <alignment horizontal="left" wrapText="1"/>
    </xf>
    <xf numFmtId="1" fontId="6" fillId="0" borderId="960" xfId="0" applyNumberFormat="1" applyFont="1" applyBorder="1" applyAlignment="1">
      <alignment horizontal="left"/>
    </xf>
    <xf numFmtId="1" fontId="6" fillId="5" borderId="961" xfId="0" applyNumberFormat="1" applyFont="1" applyFill="1" applyBorder="1" applyAlignment="1" applyProtection="1">
      <alignment horizontal="left"/>
      <protection locked="0"/>
    </xf>
    <xf numFmtId="1" fontId="6" fillId="5" borderId="960" xfId="0" applyNumberFormat="1" applyFont="1" applyFill="1" applyBorder="1" applyAlignment="1" applyProtection="1">
      <alignment horizontal="left"/>
      <protection locked="0"/>
    </xf>
    <xf numFmtId="1" fontId="6" fillId="5" borderId="959" xfId="0" applyNumberFormat="1" applyFont="1" applyFill="1" applyBorder="1" applyAlignment="1" applyProtection="1">
      <alignment horizontal="left"/>
      <protection locked="0"/>
    </xf>
    <xf numFmtId="1" fontId="6" fillId="5" borderId="966" xfId="0" applyNumberFormat="1" applyFont="1" applyFill="1" applyBorder="1" applyAlignment="1" applyProtection="1">
      <alignment horizontal="left"/>
      <protection locked="0"/>
    </xf>
    <xf numFmtId="1" fontId="6" fillId="5" borderId="967" xfId="0" applyNumberFormat="1" applyFont="1" applyFill="1" applyBorder="1" applyAlignment="1" applyProtection="1">
      <alignment horizontal="left"/>
      <protection locked="0"/>
    </xf>
    <xf numFmtId="1" fontId="6" fillId="5" borderId="968" xfId="0" applyNumberFormat="1" applyFont="1" applyFill="1" applyBorder="1" applyAlignment="1" applyProtection="1">
      <alignment horizontal="left"/>
      <protection locked="0"/>
    </xf>
    <xf numFmtId="1" fontId="6" fillId="5" borderId="958" xfId="0" applyNumberFormat="1" applyFont="1" applyFill="1" applyBorder="1" applyAlignment="1" applyProtection="1">
      <alignment horizontal="left"/>
      <protection locked="0"/>
    </xf>
    <xf numFmtId="1" fontId="6" fillId="5" borderId="950" xfId="0" applyNumberFormat="1" applyFont="1" applyFill="1" applyBorder="1" applyAlignment="1" applyProtection="1">
      <alignment horizontal="left"/>
      <protection locked="0"/>
    </xf>
    <xf numFmtId="1" fontId="6" fillId="3" borderId="40" xfId="0" applyNumberFormat="1" applyFont="1" applyFill="1" applyBorder="1" applyAlignment="1">
      <alignment horizontal="left" wrapText="1"/>
    </xf>
    <xf numFmtId="1" fontId="6" fillId="0" borderId="950" xfId="0" applyNumberFormat="1" applyFont="1" applyBorder="1" applyAlignment="1">
      <alignment horizontal="left"/>
    </xf>
    <xf numFmtId="1" fontId="91" fillId="3" borderId="0" xfId="0" applyNumberFormat="1" applyFont="1" applyFill="1"/>
    <xf numFmtId="0" fontId="93" fillId="3" borderId="0" xfId="0" applyNumberFormat="1" applyFont="1" applyFill="1" applyAlignment="1">
      <alignment horizontal="center"/>
    </xf>
    <xf numFmtId="0" fontId="93" fillId="3" borderId="0" xfId="0" applyFont="1" applyFill="1" applyAlignment="1">
      <alignment horizontal="center"/>
    </xf>
    <xf numFmtId="0" fontId="93" fillId="3" borderId="534" xfId="0" applyFont="1" applyFill="1" applyBorder="1" applyAlignment="1">
      <alignment horizontal="center"/>
    </xf>
    <xf numFmtId="0" fontId="70" fillId="3" borderId="534" xfId="0" applyNumberFormat="1" applyFont="1" applyFill="1" applyBorder="1" applyAlignment="1" applyProtection="1">
      <alignment horizontal="center"/>
    </xf>
    <xf numFmtId="1" fontId="91" fillId="26" borderId="0" xfId="0" applyNumberFormat="1" applyFont="1" applyFill="1"/>
    <xf numFmtId="1" fontId="91" fillId="15" borderId="0" xfId="0" applyNumberFormat="1" applyFont="1" applyFill="1"/>
    <xf numFmtId="0" fontId="93" fillId="3" borderId="534" xfId="0" applyNumberFormat="1" applyFont="1" applyFill="1" applyBorder="1" applyAlignment="1" applyProtection="1">
      <alignment horizontal="center"/>
    </xf>
    <xf numFmtId="0" fontId="93" fillId="3" borderId="0" xfId="0" applyNumberFormat="1" applyFont="1" applyFill="1" applyAlignment="1" applyProtection="1">
      <alignment horizontal="center"/>
    </xf>
    <xf numFmtId="1" fontId="91" fillId="19" borderId="0" xfId="0" applyNumberFormat="1" applyFont="1" applyFill="1"/>
    <xf numFmtId="0" fontId="76" fillId="3" borderId="0" xfId="0" applyNumberFormat="1" applyFont="1" applyFill="1" applyAlignment="1" applyProtection="1">
      <alignment horizontal="center"/>
    </xf>
    <xf numFmtId="1" fontId="51" fillId="0" borderId="893" xfId="0" applyNumberFormat="1" applyFont="1" applyBorder="1" applyAlignment="1"/>
    <xf numFmtId="1" fontId="51" fillId="0" borderId="562" xfId="0" applyNumberFormat="1" applyFont="1" applyBorder="1" applyAlignment="1"/>
    <xf numFmtId="1" fontId="51" fillId="5" borderId="704" xfId="0" applyNumberFormat="1" applyFont="1" applyFill="1" applyBorder="1" applyAlignment="1" applyProtection="1">
      <protection locked="0"/>
    </xf>
    <xf numFmtId="1" fontId="51" fillId="5" borderId="511" xfId="0" applyNumberFormat="1" applyFont="1" applyFill="1" applyBorder="1" applyAlignment="1" applyProtection="1">
      <protection locked="0"/>
    </xf>
    <xf numFmtId="1" fontId="6" fillId="3" borderId="490" xfId="0" applyNumberFormat="1" applyFont="1" applyFill="1" applyBorder="1" applyAlignment="1">
      <alignment horizontal="left" wrapText="1"/>
    </xf>
    <xf numFmtId="1" fontId="6" fillId="3" borderId="89" xfId="0" applyNumberFormat="1" applyFont="1" applyFill="1" applyBorder="1" applyAlignment="1">
      <alignment horizontal="left" wrapText="1"/>
    </xf>
    <xf numFmtId="1" fontId="6" fillId="5" borderId="491" xfId="0" applyNumberFormat="1" applyFont="1" applyFill="1" applyBorder="1" applyAlignment="1" applyProtection="1">
      <alignment horizontal="left"/>
      <protection locked="0"/>
    </xf>
    <xf numFmtId="1" fontId="6" fillId="5" borderId="540" xfId="0" applyNumberFormat="1" applyFont="1" applyFill="1" applyBorder="1" applyAlignment="1" applyProtection="1">
      <alignment horizontal="left"/>
      <protection locked="0"/>
    </xf>
    <xf numFmtId="1" fontId="68" fillId="3" borderId="491" xfId="0" applyNumberFormat="1" applyFont="1" applyFill="1" applyBorder="1" applyAlignment="1">
      <alignment horizontal="left" wrapText="1"/>
    </xf>
    <xf numFmtId="1" fontId="6" fillId="3" borderId="943" xfId="0" applyNumberFormat="1" applyFont="1" applyFill="1" applyBorder="1" applyAlignment="1">
      <alignment vertical="center"/>
    </xf>
    <xf numFmtId="1" fontId="2" fillId="3" borderId="0" xfId="0" applyNumberFormat="1" applyFont="1" applyFill="1" applyAlignment="1">
      <alignment horizontal="center" vertical="center" wrapText="1"/>
    </xf>
    <xf numFmtId="1" fontId="6" fillId="0" borderId="2" xfId="0" applyNumberFormat="1" applyFont="1" applyBorder="1" applyAlignment="1">
      <alignment horizontal="center" vertical="center"/>
    </xf>
    <xf numFmtId="1" fontId="6" fillId="0" borderId="37" xfId="0" applyNumberFormat="1" applyFont="1" applyBorder="1" applyAlignment="1">
      <alignment horizontal="left" vertical="center" wrapText="1"/>
    </xf>
    <xf numFmtId="1" fontId="6" fillId="0" borderId="540" xfId="0" applyNumberFormat="1" applyFont="1" applyBorder="1" applyAlignment="1">
      <alignment horizontal="left" vertical="center" wrapText="1"/>
    </xf>
    <xf numFmtId="1" fontId="6" fillId="0" borderId="81" xfId="0" applyNumberFormat="1" applyFont="1" applyBorder="1" applyAlignment="1">
      <alignment horizontal="center" vertical="center" wrapText="1"/>
    </xf>
    <xf numFmtId="1" fontId="6" fillId="0" borderId="407" xfId="0" applyNumberFormat="1" applyFont="1" applyBorder="1" applyAlignment="1">
      <alignment horizontal="center" vertical="center" wrapText="1"/>
    </xf>
    <xf numFmtId="1" fontId="6" fillId="0" borderId="404" xfId="0" applyNumberFormat="1" applyFont="1" applyBorder="1" applyAlignment="1">
      <alignment horizontal="center" vertical="center"/>
    </xf>
    <xf numFmtId="1" fontId="6" fillId="0" borderId="312" xfId="0" applyNumberFormat="1" applyFont="1" applyBorder="1" applyAlignment="1">
      <alignment horizontal="center" vertical="center"/>
    </xf>
    <xf numFmtId="1" fontId="6" fillId="0" borderId="407" xfId="0" applyNumberFormat="1" applyFont="1" applyBorder="1" applyAlignment="1">
      <alignment horizontal="center" vertical="center"/>
    </xf>
    <xf numFmtId="1" fontId="6" fillId="0" borderId="40" xfId="0" applyNumberFormat="1" applyFont="1" applyBorder="1" applyAlignment="1">
      <alignment vertical="center" wrapText="1"/>
    </xf>
    <xf numFmtId="1" fontId="6" fillId="0" borderId="23" xfId="0" applyNumberFormat="1" applyFont="1" applyBorder="1" applyAlignment="1">
      <alignment vertical="center" wrapText="1"/>
    </xf>
    <xf numFmtId="1" fontId="6" fillId="0" borderId="534" xfId="0" applyNumberFormat="1" applyFont="1" applyBorder="1" applyAlignment="1">
      <alignment horizontal="center" vertical="center" wrapText="1"/>
    </xf>
    <xf numFmtId="1" fontId="6" fillId="0" borderId="40" xfId="0" applyNumberFormat="1" applyFont="1" applyBorder="1" applyAlignment="1">
      <alignment horizontal="left" vertical="center" wrapText="1"/>
    </xf>
    <xf numFmtId="1" fontId="6" fillId="0" borderId="21" xfId="0" applyNumberFormat="1" applyFont="1" applyBorder="1" applyAlignment="1">
      <alignment horizontal="left" vertical="center" wrapText="1"/>
    </xf>
    <xf numFmtId="1" fontId="6" fillId="0" borderId="626" xfId="0" applyNumberFormat="1" applyFont="1" applyBorder="1" applyAlignment="1">
      <alignment horizontal="left" vertical="center" wrapText="1"/>
    </xf>
    <xf numFmtId="1" fontId="6" fillId="0" borderId="21" xfId="0" applyNumberFormat="1" applyFont="1" applyBorder="1" applyAlignment="1">
      <alignment horizontal="left"/>
    </xf>
    <xf numFmtId="1" fontId="6" fillId="0" borderId="51" xfId="0" applyNumberFormat="1" applyFont="1" applyBorder="1" applyAlignment="1">
      <alignment horizontal="left"/>
    </xf>
    <xf numFmtId="1" fontId="6" fillId="0" borderId="584" xfId="0" applyNumberFormat="1" applyFont="1" applyBorder="1" applyAlignment="1">
      <alignment horizontal="left"/>
    </xf>
    <xf numFmtId="1" fontId="6" fillId="0" borderId="0" xfId="0" applyNumberFormat="1" applyFont="1" applyAlignment="1">
      <alignment horizontal="left"/>
    </xf>
    <xf numFmtId="1" fontId="6" fillId="0" borderId="0" xfId="0" applyNumberFormat="1" applyFont="1" applyAlignment="1">
      <alignment horizontal="center" vertical="center"/>
    </xf>
    <xf numFmtId="1" fontId="6" fillId="0" borderId="874" xfId="0" applyNumberFormat="1" applyFont="1" applyBorder="1" applyAlignment="1">
      <alignment horizontal="center" vertical="center"/>
    </xf>
    <xf numFmtId="1" fontId="6" fillId="0" borderId="339" xfId="0" applyNumberFormat="1" applyFont="1" applyBorder="1" applyAlignment="1">
      <alignment horizontal="center" vertical="center"/>
    </xf>
    <xf numFmtId="1" fontId="6" fillId="0" borderId="375" xfId="0" applyNumberFormat="1" applyFont="1" applyBorder="1" applyAlignment="1">
      <alignment horizontal="center" vertical="center" wrapText="1"/>
    </xf>
    <xf numFmtId="1" fontId="6" fillId="0" borderId="339" xfId="0" applyNumberFormat="1" applyFont="1" applyBorder="1" applyAlignment="1">
      <alignment horizontal="center" vertical="center" wrapText="1"/>
    </xf>
    <xf numFmtId="1" fontId="6" fillId="0" borderId="337" xfId="0" applyNumberFormat="1" applyFont="1" applyBorder="1" applyAlignment="1">
      <alignment horizontal="center" vertical="center" wrapText="1"/>
    </xf>
    <xf numFmtId="1" fontId="6" fillId="0" borderId="24" xfId="0" applyNumberFormat="1" applyFont="1" applyBorder="1" applyAlignment="1">
      <alignment horizontal="left" vertical="center" wrapText="1"/>
    </xf>
    <xf numFmtId="1" fontId="6" fillId="0" borderId="14" xfId="0" applyNumberFormat="1" applyFont="1" applyBorder="1" applyAlignment="1">
      <alignment horizontal="center" vertical="center"/>
    </xf>
    <xf numFmtId="1" fontId="6" fillId="0" borderId="307" xfId="0" applyNumberFormat="1" applyFont="1" applyBorder="1" applyAlignment="1">
      <alignment horizontal="center" vertical="center" wrapText="1"/>
    </xf>
    <xf numFmtId="1" fontId="6" fillId="0" borderId="51" xfId="0" applyNumberFormat="1" applyFont="1" applyBorder="1" applyAlignment="1">
      <alignment horizontal="left" wrapText="1"/>
    </xf>
    <xf numFmtId="1" fontId="6" fillId="0" borderId="39" xfId="0" applyNumberFormat="1" applyFont="1" applyBorder="1" applyAlignment="1">
      <alignment horizontal="left" wrapText="1"/>
    </xf>
    <xf numFmtId="1" fontId="6" fillId="0" borderId="409" xfId="0" applyNumberFormat="1" applyFont="1" applyBorder="1" applyAlignment="1">
      <alignment horizontal="center" vertical="center" wrapText="1"/>
    </xf>
    <xf numFmtId="1" fontId="6" fillId="0" borderId="418" xfId="0" applyNumberFormat="1" applyFont="1" applyBorder="1" applyAlignment="1">
      <alignment horizontal="center" vertical="center" wrapText="1"/>
    </xf>
    <xf numFmtId="1" fontId="6" fillId="0" borderId="648" xfId="0" applyNumberFormat="1" applyFont="1" applyBorder="1" applyAlignment="1">
      <alignment horizontal="left" vertical="center" wrapText="1"/>
    </xf>
    <xf numFmtId="1" fontId="6" fillId="0" borderId="631" xfId="0" applyNumberFormat="1" applyFont="1" applyBorder="1" applyAlignment="1">
      <alignment horizontal="left" vertical="center" wrapText="1"/>
    </xf>
    <xf numFmtId="0" fontId="6" fillId="0" borderId="418" xfId="0" applyFont="1" applyBorder="1" applyAlignment="1">
      <alignment horizontal="center" vertical="center"/>
    </xf>
    <xf numFmtId="0" fontId="6" fillId="0" borderId="418" xfId="0" applyFont="1" applyBorder="1" applyAlignment="1">
      <alignment horizontal="center" vertical="center" wrapText="1"/>
    </xf>
    <xf numFmtId="0" fontId="6" fillId="0" borderId="407" xfId="0" applyFont="1" applyBorder="1" applyAlignment="1">
      <alignment horizontal="center" vertical="center" wrapText="1"/>
    </xf>
    <xf numFmtId="0" fontId="6" fillId="0" borderId="412" xfId="0" applyFont="1" applyBorder="1" applyAlignment="1">
      <alignment horizontal="center" vertical="center" wrapText="1"/>
    </xf>
    <xf numFmtId="0" fontId="6" fillId="0" borderId="406" xfId="0" applyFont="1" applyBorder="1" applyAlignment="1">
      <alignment horizontal="center" vertical="center" wrapText="1"/>
    </xf>
    <xf numFmtId="1" fontId="6" fillId="0" borderId="39" xfId="0" applyNumberFormat="1" applyFont="1" applyBorder="1" applyAlignment="1">
      <alignment horizontal="left"/>
    </xf>
    <xf numFmtId="1" fontId="6" fillId="0" borderId="27" xfId="0" applyNumberFormat="1" applyFont="1" applyBorder="1"/>
    <xf numFmtId="1" fontId="6" fillId="0" borderId="28" xfId="0" applyNumberFormat="1" applyFont="1" applyBorder="1"/>
    <xf numFmtId="1" fontId="6" fillId="0" borderId="342" xfId="0" applyNumberFormat="1" applyFont="1" applyBorder="1" applyAlignment="1">
      <alignment horizontal="center" vertical="center"/>
    </xf>
    <xf numFmtId="1" fontId="6" fillId="0" borderId="406" xfId="0" applyNumberFormat="1" applyFont="1" applyBorder="1" applyAlignment="1">
      <alignment horizontal="center" vertical="center" wrapText="1"/>
    </xf>
    <xf numFmtId="1" fontId="6" fillId="0" borderId="405" xfId="0" applyNumberFormat="1" applyFont="1" applyBorder="1" applyAlignment="1">
      <alignment horizontal="center" vertical="center"/>
    </xf>
    <xf numFmtId="1" fontId="6" fillId="0" borderId="412" xfId="0" applyNumberFormat="1" applyFont="1" applyBorder="1" applyAlignment="1">
      <alignment horizontal="center" vertical="center" wrapText="1"/>
    </xf>
    <xf numFmtId="1" fontId="6" fillId="0" borderId="7" xfId="13" applyNumberFormat="1" applyFont="1" applyBorder="1" applyAlignment="1">
      <alignment horizontal="center" vertical="center" wrapText="1"/>
    </xf>
    <xf numFmtId="1" fontId="6" fillId="0" borderId="413" xfId="0" applyNumberFormat="1" applyFont="1" applyBorder="1" applyAlignment="1">
      <alignment horizontal="left" vertical="center" wrapText="1"/>
    </xf>
    <xf numFmtId="1" fontId="6" fillId="0" borderId="410" xfId="0" applyNumberFormat="1" applyFont="1" applyBorder="1"/>
    <xf numFmtId="1" fontId="6" fillId="0" borderId="411" xfId="0" applyNumberFormat="1" applyFont="1" applyBorder="1"/>
    <xf numFmtId="1" fontId="6" fillId="0" borderId="9" xfId="0" applyNumberFormat="1" applyFont="1" applyBorder="1" applyAlignment="1">
      <alignment horizontal="left" vertical="center" wrapText="1"/>
    </xf>
    <xf numFmtId="1" fontId="6" fillId="0" borderId="8" xfId="0" applyNumberFormat="1" applyFont="1" applyBorder="1"/>
    <xf numFmtId="1" fontId="6" fillId="0" borderId="901" xfId="0" applyNumberFormat="1" applyFont="1" applyBorder="1" applyAlignment="1">
      <alignment horizontal="left" vertical="center" wrapText="1"/>
    </xf>
    <xf numFmtId="1" fontId="6" fillId="0" borderId="260" xfId="0" applyNumberFormat="1" applyFont="1" applyBorder="1" applyAlignment="1">
      <alignment horizontal="center" vertical="center" wrapText="1"/>
    </xf>
    <xf numFmtId="1" fontId="6" fillId="0" borderId="22" xfId="0" applyNumberFormat="1" applyFont="1" applyBorder="1" applyAlignment="1">
      <alignment horizontal="left"/>
    </xf>
    <xf numFmtId="1" fontId="6" fillId="0" borderId="260" xfId="0" applyNumberFormat="1" applyFont="1" applyBorder="1" applyAlignment="1">
      <alignment horizontal="center" vertical="center"/>
    </xf>
    <xf numFmtId="1" fontId="6" fillId="0" borderId="266" xfId="0" applyNumberFormat="1" applyFont="1" applyBorder="1" applyAlignment="1">
      <alignment horizontal="center" vertical="center" wrapText="1"/>
    </xf>
    <xf numFmtId="1" fontId="6" fillId="0" borderId="285" xfId="0" applyNumberFormat="1" applyFont="1" applyBorder="1" applyAlignment="1">
      <alignment horizontal="center" vertical="center" wrapText="1"/>
    </xf>
    <xf numFmtId="1" fontId="6" fillId="0" borderId="18" xfId="0" applyNumberFormat="1" applyFont="1" applyBorder="1" applyAlignment="1">
      <alignment horizontal="left"/>
    </xf>
    <xf numFmtId="1" fontId="6" fillId="0" borderId="265" xfId="0" applyNumberFormat="1" applyFont="1" applyBorder="1" applyAlignment="1">
      <alignment horizontal="center" vertical="center"/>
    </xf>
    <xf numFmtId="1" fontId="4" fillId="0" borderId="99" xfId="0" applyNumberFormat="1" applyFont="1" applyBorder="1" applyAlignment="1"/>
    <xf numFmtId="1" fontId="4" fillId="3" borderId="943" xfId="0" applyNumberFormat="1" applyFont="1" applyFill="1" applyBorder="1"/>
    <xf numFmtId="1" fontId="6" fillId="0" borderId="952" xfId="0" applyNumberFormat="1" applyFont="1" applyBorder="1" applyAlignment="1">
      <alignment horizontal="center" vertical="center"/>
    </xf>
    <xf numFmtId="1" fontId="6" fillId="0" borderId="953" xfId="0" applyNumberFormat="1" applyFont="1" applyBorder="1" applyAlignment="1">
      <alignment horizontal="center" vertical="center" wrapText="1"/>
    </xf>
    <xf numFmtId="1" fontId="6" fillId="0" borderId="954" xfId="0" applyNumberFormat="1" applyFont="1" applyBorder="1" applyAlignment="1">
      <alignment horizontal="center" vertical="center" wrapText="1"/>
    </xf>
    <xf numFmtId="1" fontId="6" fillId="0" borderId="952" xfId="0" applyNumberFormat="1" applyFont="1" applyBorder="1" applyAlignment="1">
      <alignment horizontal="center" vertical="center" wrapText="1"/>
    </xf>
    <xf numFmtId="1" fontId="6" fillId="0" borderId="945" xfId="0" applyNumberFormat="1" applyFont="1" applyBorder="1"/>
    <xf numFmtId="1" fontId="6" fillId="3" borderId="946" xfId="20" applyNumberFormat="1" applyFont="1" applyFill="1" applyBorder="1" applyAlignment="1">
      <alignment horizontal="right"/>
    </xf>
    <xf numFmtId="1" fontId="6" fillId="3" borderId="947" xfId="20" applyNumberFormat="1" applyFont="1" applyFill="1" applyBorder="1" applyAlignment="1">
      <alignment horizontal="right"/>
    </xf>
    <xf numFmtId="1" fontId="6" fillId="3" borderId="948" xfId="20" applyNumberFormat="1" applyFont="1" applyFill="1" applyBorder="1" applyAlignment="1">
      <alignment horizontal="right"/>
    </xf>
    <xf numFmtId="1" fontId="6" fillId="5" borderId="949" xfId="0" applyNumberFormat="1" applyFont="1" applyFill="1" applyBorder="1" applyProtection="1">
      <protection locked="0"/>
    </xf>
    <xf numFmtId="1" fontId="6" fillId="5" borderId="948" xfId="0" applyNumberFormat="1" applyFont="1" applyFill="1" applyBorder="1" applyProtection="1">
      <protection locked="0"/>
    </xf>
    <xf numFmtId="1" fontId="6" fillId="16" borderId="949" xfId="0" applyNumberFormat="1" applyFont="1" applyFill="1" applyBorder="1"/>
    <xf numFmtId="1" fontId="6" fillId="16" borderId="948" xfId="0" applyNumberFormat="1" applyFont="1" applyFill="1" applyBorder="1"/>
    <xf numFmtId="1" fontId="6" fillId="16" borderId="946" xfId="0" applyNumberFormat="1" applyFont="1" applyFill="1" applyBorder="1"/>
    <xf numFmtId="1" fontId="6" fillId="16" borderId="947" xfId="0" applyNumberFormat="1" applyFont="1" applyFill="1" applyBorder="1"/>
    <xf numFmtId="1" fontId="6" fillId="5" borderId="950" xfId="0" applyNumberFormat="1" applyFont="1" applyFill="1" applyBorder="1" applyProtection="1">
      <protection locked="0"/>
    </xf>
    <xf numFmtId="1" fontId="6" fillId="3" borderId="38" xfId="20" applyNumberFormat="1" applyFont="1" applyFill="1" applyBorder="1" applyAlignment="1">
      <alignment horizontal="right"/>
    </xf>
    <xf numFmtId="1" fontId="6" fillId="3" borderId="36" xfId="20" applyNumberFormat="1" applyFont="1" applyFill="1" applyBorder="1" applyAlignment="1">
      <alignment horizontal="right"/>
    </xf>
    <xf numFmtId="1" fontId="6" fillId="16" borderId="55" xfId="0" applyNumberFormat="1" applyFont="1" applyFill="1" applyBorder="1"/>
    <xf numFmtId="1" fontId="6" fillId="16" borderId="36" xfId="0" applyNumberFormat="1" applyFont="1" applyFill="1" applyBorder="1"/>
    <xf numFmtId="1" fontId="6" fillId="16" borderId="38" xfId="0" applyNumberFormat="1" applyFont="1" applyFill="1" applyBorder="1"/>
    <xf numFmtId="1" fontId="6" fillId="3" borderId="650" xfId="20" applyNumberFormat="1" applyFont="1" applyFill="1" applyBorder="1" applyAlignment="1">
      <alignment horizontal="right"/>
    </xf>
    <xf numFmtId="1" fontId="6" fillId="3" borderId="544" xfId="20" applyNumberFormat="1" applyFont="1" applyFill="1" applyBorder="1" applyAlignment="1">
      <alignment horizontal="right"/>
    </xf>
    <xf numFmtId="1" fontId="6" fillId="3" borderId="684" xfId="20" applyNumberFormat="1" applyFont="1" applyFill="1" applyBorder="1" applyAlignment="1">
      <alignment horizontal="right"/>
    </xf>
    <xf numFmtId="1" fontId="6" fillId="5" borderId="951" xfId="0" applyNumberFormat="1" applyFont="1" applyFill="1" applyBorder="1" applyProtection="1">
      <protection locked="0"/>
    </xf>
    <xf numFmtId="1" fontId="6" fillId="16" borderId="951" xfId="0" applyNumberFormat="1" applyFont="1" applyFill="1" applyBorder="1"/>
    <xf numFmtId="1" fontId="6" fillId="16" borderId="684" xfId="0" applyNumberFormat="1" applyFont="1" applyFill="1" applyBorder="1"/>
    <xf numFmtId="1" fontId="6" fillId="16" borderId="650" xfId="0" applyNumberFormat="1" applyFont="1" applyFill="1" applyBorder="1"/>
    <xf numFmtId="1" fontId="6" fillId="16" borderId="544" xfId="0" applyNumberFormat="1" applyFont="1" applyFill="1" applyBorder="1"/>
    <xf numFmtId="1" fontId="6" fillId="5" borderId="944" xfId="0" applyNumberFormat="1" applyFont="1" applyFill="1" applyBorder="1" applyProtection="1">
      <protection locked="0"/>
    </xf>
    <xf numFmtId="0" fontId="4" fillId="0" borderId="0" xfId="0" applyFont="1"/>
    <xf numFmtId="0" fontId="10" fillId="0" borderId="0" xfId="0" applyFont="1"/>
    <xf numFmtId="0" fontId="6" fillId="0" borderId="27" xfId="0" applyFont="1" applyBorder="1" applyAlignment="1">
      <alignment horizontal="center" vertical="center" wrapText="1"/>
    </xf>
    <xf numFmtId="0" fontId="6" fillId="0" borderId="49" xfId="0" applyFont="1" applyBorder="1" applyAlignment="1">
      <alignment horizontal="center" vertical="center" wrapText="1"/>
    </xf>
    <xf numFmtId="0" fontId="6" fillId="0" borderId="96" xfId="0" applyFont="1" applyBorder="1" applyAlignment="1">
      <alignment horizontal="center" vertical="center" wrapText="1"/>
    </xf>
    <xf numFmtId="0" fontId="6" fillId="0" borderId="411" xfId="0" applyFont="1" applyBorder="1" applyAlignment="1">
      <alignment horizontal="center" vertical="center" wrapText="1"/>
    </xf>
    <xf numFmtId="0" fontId="6" fillId="0" borderId="275" xfId="0" applyFont="1" applyBorder="1" applyAlignment="1">
      <alignment horizontal="center" vertical="center" wrapText="1"/>
    </xf>
    <xf numFmtId="0" fontId="6" fillId="0" borderId="279" xfId="0" applyFont="1" applyBorder="1" applyAlignment="1">
      <alignment horizontal="center" vertical="center" wrapText="1"/>
    </xf>
    <xf numFmtId="0" fontId="6" fillId="0" borderId="413" xfId="0" applyFont="1" applyBorder="1" applyAlignment="1">
      <alignment horizontal="left" vertical="center" wrapText="1"/>
    </xf>
    <xf numFmtId="1" fontId="6" fillId="5" borderId="780" xfId="0" applyNumberFormat="1" applyFont="1" applyFill="1" applyBorder="1" applyProtection="1">
      <protection locked="0"/>
    </xf>
    <xf numFmtId="1" fontId="6" fillId="5" borderId="784" xfId="0" applyNumberFormat="1" applyFont="1" applyFill="1" applyBorder="1" applyProtection="1">
      <protection locked="0"/>
    </xf>
    <xf numFmtId="0" fontId="6" fillId="0" borderId="37" xfId="0" applyFont="1" applyBorder="1" applyAlignment="1">
      <alignment horizontal="left" vertical="center" wrapText="1"/>
    </xf>
    <xf numFmtId="0" fontId="6" fillId="0" borderId="29" xfId="0" applyFont="1" applyBorder="1" applyAlignment="1">
      <alignment horizontal="left" vertical="center" wrapText="1"/>
    </xf>
    <xf numFmtId="0" fontId="6" fillId="0" borderId="24" xfId="0" applyFont="1" applyBorder="1" applyAlignment="1">
      <alignment horizontal="left" vertical="center" wrapText="1"/>
    </xf>
    <xf numFmtId="0" fontId="6" fillId="0" borderId="418" xfId="0" applyFont="1" applyBorder="1" applyAlignment="1">
      <alignment vertical="center" wrapText="1"/>
    </xf>
    <xf numFmtId="1" fontId="6" fillId="0" borderId="407" xfId="0" applyNumberFormat="1" applyFont="1" applyBorder="1" applyAlignment="1">
      <alignment vertical="center" wrapText="1"/>
    </xf>
    <xf numFmtId="1" fontId="6" fillId="0" borderId="406" xfId="0" applyNumberFormat="1" applyFont="1" applyBorder="1"/>
    <xf numFmtId="0" fontId="6" fillId="0" borderId="40" xfId="0" applyFont="1" applyBorder="1" applyAlignment="1">
      <alignment horizontal="left" vertical="center" wrapText="1"/>
    </xf>
    <xf numFmtId="0" fontId="87" fillId="0" borderId="51" xfId="0" applyFont="1" applyBorder="1"/>
    <xf numFmtId="0" fontId="6" fillId="0" borderId="426" xfId="0" applyFont="1" applyBorder="1" applyAlignment="1">
      <alignment horizontal="left" vertical="center" wrapText="1"/>
    </xf>
    <xf numFmtId="0" fontId="87" fillId="0" borderId="0" xfId="0" applyFont="1"/>
    <xf numFmtId="0" fontId="6" fillId="0" borderId="118" xfId="0" applyFont="1" applyBorder="1" applyAlignment="1">
      <alignment horizontal="center" vertical="center" wrapText="1"/>
    </xf>
    <xf numFmtId="1" fontId="6" fillId="16" borderId="780" xfId="0" applyNumberFormat="1" applyFont="1" applyFill="1" applyBorder="1" applyAlignment="1" applyProtection="1">
      <alignment vertical="center"/>
      <protection locked="0"/>
    </xf>
    <xf numFmtId="1" fontId="6" fillId="16" borderId="781" xfId="0" applyNumberFormat="1" applyFont="1" applyFill="1" applyBorder="1" applyAlignment="1" applyProtection="1">
      <alignment vertical="center"/>
      <protection locked="0"/>
    </xf>
    <xf numFmtId="1" fontId="6" fillId="16" borderId="784" xfId="0" applyNumberFormat="1" applyFont="1" applyFill="1" applyBorder="1" applyAlignment="1" applyProtection="1">
      <alignment vertical="center"/>
      <protection locked="0"/>
    </xf>
    <xf numFmtId="1" fontId="6" fillId="16" borderId="785" xfId="0" applyNumberFormat="1" applyFont="1" applyFill="1" applyBorder="1" applyAlignment="1" applyProtection="1">
      <alignment vertical="center"/>
      <protection locked="0"/>
    </xf>
    <xf numFmtId="1" fontId="6" fillId="16" borderId="63" xfId="0" applyNumberFormat="1" applyFont="1" applyFill="1" applyBorder="1" applyAlignment="1" applyProtection="1">
      <alignment vertical="center"/>
      <protection locked="0"/>
    </xf>
    <xf numFmtId="1" fontId="6" fillId="16" borderId="55" xfId="0" applyNumberFormat="1" applyFont="1" applyFill="1" applyBorder="1" applyAlignment="1" applyProtection="1">
      <alignment vertical="center"/>
      <protection locked="0"/>
    </xf>
    <xf numFmtId="1" fontId="6" fillId="16" borderId="60" xfId="0" applyNumberFormat="1" applyFont="1" applyFill="1" applyBorder="1" applyAlignment="1" applyProtection="1">
      <alignment vertical="center"/>
      <protection locked="0"/>
    </xf>
    <xf numFmtId="1" fontId="6" fillId="16" borderId="119" xfId="0" applyNumberFormat="1" applyFont="1" applyFill="1" applyBorder="1" applyAlignment="1" applyProtection="1">
      <alignment vertical="center"/>
      <protection locked="0"/>
    </xf>
    <xf numFmtId="1" fontId="6" fillId="16" borderId="46" xfId="0" applyNumberFormat="1" applyFont="1" applyFill="1" applyBorder="1" applyAlignment="1" applyProtection="1">
      <alignment vertical="center"/>
      <protection locked="0"/>
    </xf>
    <xf numFmtId="1" fontId="6" fillId="16" borderId="58" xfId="0" applyNumberFormat="1" applyFont="1" applyFill="1" applyBorder="1" applyAlignment="1" applyProtection="1">
      <alignment vertical="center"/>
      <protection locked="0"/>
    </xf>
    <xf numFmtId="1" fontId="6" fillId="16" borderId="69" xfId="0" applyNumberFormat="1" applyFont="1" applyFill="1" applyBorder="1" applyAlignment="1" applyProtection="1">
      <alignment vertical="center"/>
      <protection locked="0"/>
    </xf>
    <xf numFmtId="1" fontId="6" fillId="16" borderId="120" xfId="0" applyNumberFormat="1" applyFont="1" applyFill="1" applyBorder="1" applyAlignment="1" applyProtection="1">
      <alignment vertical="center"/>
      <protection locked="0"/>
    </xf>
    <xf numFmtId="1" fontId="6" fillId="0" borderId="664" xfId="0" applyNumberFormat="1" applyFont="1" applyBorder="1"/>
    <xf numFmtId="1" fontId="6" fillId="0" borderId="714" xfId="0" applyNumberFormat="1" applyFont="1" applyBorder="1"/>
    <xf numFmtId="1" fontId="6" fillId="0" borderId="651" xfId="0" applyNumberFormat="1" applyFont="1" applyBorder="1"/>
    <xf numFmtId="1" fontId="6" fillId="5" borderId="51" xfId="0" applyNumberFormat="1" applyFont="1" applyFill="1" applyBorder="1" applyAlignment="1" applyProtection="1">
      <protection locked="0"/>
    </xf>
    <xf numFmtId="1" fontId="6" fillId="5" borderId="25" xfId="0" applyNumberFormat="1" applyFont="1" applyFill="1" applyBorder="1" applyAlignment="1" applyProtection="1">
      <protection locked="0"/>
    </xf>
    <xf numFmtId="1" fontId="6" fillId="5" borderId="31" xfId="0" applyNumberFormat="1" applyFont="1" applyFill="1" applyBorder="1" applyAlignment="1" applyProtection="1">
      <protection locked="0"/>
    </xf>
    <xf numFmtId="1" fontId="6" fillId="0" borderId="412" xfId="0" applyNumberFormat="1" applyFont="1" applyFill="1" applyBorder="1"/>
    <xf numFmtId="1" fontId="15" fillId="0" borderId="418" xfId="0" applyNumberFormat="1" applyFont="1" applyBorder="1" applyAlignment="1">
      <alignment horizontal="center" vertical="center" wrapText="1"/>
    </xf>
    <xf numFmtId="1" fontId="15" fillId="0" borderId="418" xfId="0" applyNumberFormat="1" applyFont="1" applyBorder="1" applyAlignment="1">
      <alignment vertical="center" wrapText="1"/>
    </xf>
    <xf numFmtId="1" fontId="12" fillId="0" borderId="422" xfId="0" applyNumberFormat="1" applyFont="1" applyBorder="1" applyAlignment="1">
      <alignment horizontal="left" vertical="center"/>
    </xf>
    <xf numFmtId="1" fontId="12" fillId="0" borderId="418" xfId="0" applyNumberFormat="1" applyFont="1" applyBorder="1" applyAlignment="1">
      <alignment horizontal="left" vertical="center" wrapText="1"/>
    </xf>
    <xf numFmtId="1" fontId="13" fillId="0" borderId="404" xfId="0" applyNumberFormat="1" applyFont="1" applyBorder="1" applyAlignment="1">
      <alignment vertical="center" wrapText="1"/>
    </xf>
    <xf numFmtId="1" fontId="6" fillId="5" borderId="786" xfId="0" applyNumberFormat="1" applyFont="1" applyFill="1" applyBorder="1" applyProtection="1">
      <protection locked="0"/>
    </xf>
    <xf numFmtId="1" fontId="6" fillId="5" borderId="787" xfId="0" applyNumberFormat="1" applyFont="1" applyFill="1" applyBorder="1" applyProtection="1">
      <protection locked="0"/>
    </xf>
    <xf numFmtId="1" fontId="6" fillId="5" borderId="788" xfId="0" applyNumberFormat="1" applyFont="1" applyFill="1" applyBorder="1" applyProtection="1">
      <protection locked="0"/>
    </xf>
    <xf numFmtId="0" fontId="6" fillId="27" borderId="418" xfId="0" applyFont="1" applyFill="1" applyBorder="1" applyAlignment="1">
      <alignment horizontal="left" vertical="center"/>
    </xf>
    <xf numFmtId="0" fontId="6" fillId="27" borderId="418" xfId="0" applyFont="1" applyFill="1" applyBorder="1" applyAlignment="1">
      <alignment horizontal="left" vertical="center" wrapText="1"/>
    </xf>
    <xf numFmtId="1" fontId="6" fillId="35" borderId="562" xfId="0" applyNumberFormat="1" applyFont="1" applyFill="1" applyBorder="1" applyProtection="1"/>
    <xf numFmtId="1" fontId="6" fillId="35" borderId="25" xfId="0" applyNumberFormat="1" applyFont="1" applyFill="1" applyBorder="1" applyProtection="1"/>
    <xf numFmtId="1" fontId="15" fillId="3" borderId="40" xfId="0" applyNumberFormat="1" applyFont="1" applyFill="1" applyBorder="1"/>
    <xf numFmtId="0" fontId="15" fillId="0" borderId="40" xfId="0" applyFont="1" applyBorder="1"/>
    <xf numFmtId="0" fontId="15" fillId="0" borderId="23" xfId="0" applyFont="1" applyBorder="1"/>
    <xf numFmtId="1" fontId="6" fillId="35" borderId="495" xfId="0" applyNumberFormat="1" applyFont="1" applyFill="1" applyBorder="1" applyProtection="1"/>
    <xf numFmtId="1" fontId="6" fillId="3" borderId="776" xfId="0" applyNumberFormat="1" applyFont="1" applyFill="1" applyBorder="1"/>
    <xf numFmtId="1" fontId="6" fillId="3" borderId="534" xfId="0" applyNumberFormat="1" applyFont="1" applyFill="1" applyBorder="1"/>
    <xf numFmtId="1" fontId="6" fillId="0" borderId="770" xfId="0" applyNumberFormat="1" applyFont="1" applyBorder="1" applyAlignment="1">
      <alignment wrapText="1"/>
    </xf>
    <xf numFmtId="1" fontId="6" fillId="5" borderId="768" xfId="0" applyNumberFormat="1" applyFont="1" applyFill="1" applyBorder="1" applyProtection="1">
      <protection locked="0"/>
    </xf>
    <xf numFmtId="1" fontId="6" fillId="5" borderId="775" xfId="0" applyNumberFormat="1" applyFont="1" applyFill="1" applyBorder="1" applyProtection="1">
      <protection locked="0"/>
    </xf>
    <xf numFmtId="1" fontId="6" fillId="35" borderId="565" xfId="0" applyNumberFormat="1" applyFont="1" applyFill="1" applyBorder="1" applyProtection="1"/>
    <xf numFmtId="1" fontId="6" fillId="2" borderId="24" xfId="24" applyNumberFormat="1" applyFont="1" applyBorder="1" applyAlignment="1" applyProtection="1">
      <alignment horizontal="left" vertical="center"/>
      <protection locked="0"/>
    </xf>
    <xf numFmtId="1" fontId="6" fillId="2" borderId="413" xfId="24" applyNumberFormat="1" applyFont="1" applyBorder="1" applyAlignment="1" applyProtection="1">
      <alignment wrapText="1"/>
      <protection locked="0"/>
    </xf>
    <xf numFmtId="1" fontId="6" fillId="2" borderId="422" xfId="24" applyNumberFormat="1" applyFont="1" applyBorder="1" applyProtection="1">
      <protection locked="0"/>
    </xf>
    <xf numFmtId="1" fontId="6" fillId="3" borderId="420" xfId="0" applyNumberFormat="1" applyFont="1" applyFill="1" applyBorder="1" applyAlignment="1">
      <alignment vertical="center"/>
    </xf>
    <xf numFmtId="1" fontId="6" fillId="3" borderId="968" xfId="0" applyNumberFormat="1" applyFont="1" applyFill="1" applyBorder="1" applyAlignment="1">
      <alignment vertical="center"/>
    </xf>
    <xf numFmtId="1" fontId="6" fillId="0" borderId="418" xfId="0" applyNumberFormat="1" applyFont="1" applyBorder="1" applyAlignment="1">
      <alignment horizontal="left" vertical="center" wrapText="1"/>
    </xf>
    <xf numFmtId="49" fontId="6" fillId="0" borderId="418" xfId="0" applyNumberFormat="1" applyFont="1" applyBorder="1" applyAlignment="1">
      <alignment horizontal="center" vertical="center" wrapText="1"/>
    </xf>
    <xf numFmtId="0" fontId="79" fillId="0" borderId="403" xfId="0" applyFont="1" applyBorder="1" applyAlignment="1">
      <alignment vertical="center" wrapText="1"/>
    </xf>
    <xf numFmtId="0" fontId="79" fillId="0" borderId="418" xfId="0" applyFont="1" applyBorder="1" applyAlignment="1">
      <alignment vertical="center" wrapText="1"/>
    </xf>
    <xf numFmtId="1" fontId="6" fillId="5" borderId="418" xfId="0" applyNumberFormat="1" applyFont="1" applyFill="1" applyBorder="1" applyAlignment="1" applyProtection="1">
      <alignment vertical="center"/>
      <protection locked="0"/>
    </xf>
    <xf numFmtId="1" fontId="6" fillId="0" borderId="427" xfId="0" applyNumberFormat="1" applyFont="1" applyBorder="1" applyAlignment="1">
      <alignment horizontal="right" vertical="center" wrapText="1"/>
    </xf>
    <xf numFmtId="0" fontId="6" fillId="0" borderId="375" xfId="0" applyFont="1" applyBorder="1" applyAlignment="1">
      <alignment horizontal="center" vertical="center" wrapText="1"/>
    </xf>
    <xf numFmtId="1" fontId="6" fillId="0" borderId="9" xfId="0" applyNumberFormat="1" applyFont="1" applyBorder="1" applyAlignment="1">
      <alignment vertical="center" wrapText="1"/>
    </xf>
    <xf numFmtId="0" fontId="6" fillId="0" borderId="404" xfId="0" applyFont="1" applyBorder="1" applyAlignment="1">
      <alignment horizontal="center" vertical="center" wrapText="1"/>
    </xf>
    <xf numFmtId="49" fontId="6" fillId="0" borderId="404" xfId="0" applyNumberFormat="1" applyFont="1" applyBorder="1" applyAlignment="1">
      <alignment horizontal="center" vertical="center" wrapText="1"/>
    </xf>
    <xf numFmtId="1" fontId="6" fillId="35" borderId="38" xfId="0" applyNumberFormat="1" applyFont="1" applyFill="1" applyBorder="1" applyProtection="1"/>
    <xf numFmtId="1" fontId="6" fillId="35" borderId="63" xfId="0" applyNumberFormat="1" applyFont="1" applyFill="1" applyBorder="1" applyProtection="1"/>
    <xf numFmtId="1" fontId="6" fillId="35" borderId="55" xfId="0" applyNumberFormat="1" applyFont="1" applyFill="1" applyBorder="1" applyProtection="1"/>
    <xf numFmtId="1" fontId="6" fillId="35" borderId="60" xfId="0" applyNumberFormat="1" applyFont="1" applyFill="1" applyBorder="1" applyProtection="1"/>
    <xf numFmtId="1" fontId="4" fillId="3" borderId="316" xfId="0" applyNumberFormat="1" applyFont="1" applyFill="1" applyBorder="1"/>
    <xf numFmtId="0" fontId="6" fillId="0" borderId="304" xfId="0" applyFont="1" applyBorder="1" applyAlignment="1">
      <alignment horizontal="center" vertical="center"/>
    </xf>
    <xf numFmtId="0" fontId="6" fillId="0" borderId="285" xfId="0" applyFont="1" applyBorder="1" applyAlignment="1">
      <alignment horizontal="center" vertical="center"/>
    </xf>
    <xf numFmtId="0" fontId="6" fillId="0" borderId="286" xfId="0" applyFont="1" applyBorder="1" applyAlignment="1">
      <alignment horizontal="center" vertical="center"/>
    </xf>
    <xf numFmtId="0" fontId="6" fillId="0" borderId="287" xfId="0" applyFont="1" applyBorder="1" applyAlignment="1">
      <alignment horizontal="center" vertical="center" wrapText="1"/>
    </xf>
    <xf numFmtId="0" fontId="6" fillId="0" borderId="337" xfId="0" applyFont="1" applyBorder="1" applyAlignment="1">
      <alignment horizontal="center" vertical="center"/>
    </xf>
    <xf numFmtId="1" fontId="6" fillId="0" borderId="19" xfId="0" applyNumberFormat="1" applyFont="1" applyBorder="1" applyAlignment="1">
      <alignment vertical="center" wrapText="1"/>
    </xf>
    <xf numFmtId="1" fontId="6" fillId="5" borderId="348" xfId="0" applyNumberFormat="1" applyFont="1" applyFill="1" applyBorder="1" applyProtection="1">
      <protection locked="0"/>
    </xf>
    <xf numFmtId="1" fontId="6" fillId="5" borderId="304" xfId="0" applyNumberFormat="1" applyFont="1" applyFill="1" applyBorder="1" applyProtection="1">
      <protection locked="0"/>
    </xf>
    <xf numFmtId="1" fontId="6" fillId="5" borderId="285" xfId="0" applyNumberFormat="1" applyFont="1" applyFill="1" applyBorder="1" applyProtection="1">
      <protection locked="0"/>
    </xf>
    <xf numFmtId="1" fontId="6" fillId="5" borderId="286" xfId="0" applyNumberFormat="1" applyFont="1" applyFill="1" applyBorder="1" applyProtection="1">
      <protection locked="0"/>
    </xf>
    <xf numFmtId="1" fontId="6" fillId="5" borderId="287" xfId="0" applyNumberFormat="1" applyFont="1" applyFill="1" applyBorder="1" applyProtection="1">
      <protection locked="0"/>
    </xf>
    <xf numFmtId="1" fontId="6" fillId="5" borderId="337" xfId="0" applyNumberFormat="1" applyFont="1" applyFill="1" applyBorder="1" applyProtection="1">
      <protection locked="0"/>
    </xf>
    <xf numFmtId="1" fontId="6" fillId="0" borderId="260" xfId="0" applyNumberFormat="1" applyFont="1" applyBorder="1" applyAlignment="1">
      <alignment vertical="center" wrapText="1"/>
    </xf>
    <xf numFmtId="1" fontId="6" fillId="5" borderId="290" xfId="0" applyNumberFormat="1" applyFont="1" applyFill="1" applyBorder="1" applyProtection="1">
      <protection locked="0"/>
    </xf>
    <xf numFmtId="1" fontId="6" fillId="15" borderId="35" xfId="0" applyNumberFormat="1" applyFont="1" applyFill="1" applyBorder="1" applyAlignment="1">
      <alignment vertical="center"/>
    </xf>
    <xf numFmtId="1" fontId="6" fillId="0" borderId="894" xfId="0" applyNumberFormat="1" applyFont="1" applyBorder="1" applyAlignment="1">
      <alignment vertical="center" wrapText="1"/>
    </xf>
    <xf numFmtId="1" fontId="4" fillId="3" borderId="131" xfId="0" applyNumberFormat="1" applyFont="1" applyFill="1" applyBorder="1" applyAlignment="1">
      <alignment horizontal="left"/>
    </xf>
    <xf numFmtId="1" fontId="4" fillId="0" borderId="0" xfId="13" applyNumberFormat="1" applyFont="1" applyBorder="1" applyAlignment="1">
      <alignment vertical="center"/>
    </xf>
    <xf numFmtId="1" fontId="6" fillId="0" borderId="300" xfId="13" applyNumberFormat="1" applyFont="1" applyBorder="1" applyAlignment="1">
      <alignment horizontal="center" vertical="center" wrapText="1"/>
    </xf>
    <xf numFmtId="1" fontId="6" fillId="0" borderId="52" xfId="13" applyNumberFormat="1" applyFont="1" applyBorder="1" applyAlignment="1">
      <alignment vertical="center"/>
    </xf>
    <xf numFmtId="1" fontId="6" fillId="0" borderId="112" xfId="13" applyNumberFormat="1" applyFont="1" applyBorder="1" applyAlignment="1">
      <alignment vertical="center"/>
    </xf>
    <xf numFmtId="1" fontId="6" fillId="5" borderId="31" xfId="13" applyNumberFormat="1" applyFont="1" applyFill="1" applyBorder="1" applyAlignment="1" applyProtection="1">
      <alignment horizontal="center" vertical="center"/>
      <protection locked="0"/>
    </xf>
    <xf numFmtId="1" fontId="6" fillId="5" borderId="25" xfId="13" applyNumberFormat="1" applyFont="1" applyFill="1" applyBorder="1" applyAlignment="1" applyProtection="1">
      <alignment horizontal="center" vertical="center"/>
      <protection locked="0"/>
    </xf>
    <xf numFmtId="1" fontId="6" fillId="0" borderId="127" xfId="13" applyNumberFormat="1" applyFont="1" applyBorder="1" applyAlignment="1">
      <alignment vertical="center"/>
    </xf>
    <xf numFmtId="1" fontId="6" fillId="0" borderId="114" xfId="13" applyNumberFormat="1" applyFont="1" applyBorder="1" applyAlignment="1">
      <alignment vertical="center"/>
    </xf>
    <xf numFmtId="1" fontId="6" fillId="0" borderId="62" xfId="13" applyNumberFormat="1" applyFont="1" applyBorder="1" applyAlignment="1">
      <alignment horizontal="left" vertical="center"/>
    </xf>
    <xf numFmtId="1" fontId="6" fillId="0" borderId="217" xfId="13" applyNumberFormat="1" applyFont="1" applyBorder="1" applyAlignment="1">
      <alignment horizontal="left" vertical="center"/>
    </xf>
    <xf numFmtId="1" fontId="6" fillId="5" borderId="81" xfId="13" applyNumberFormat="1" applyFont="1" applyFill="1" applyBorder="1" applyAlignment="1" applyProtection="1">
      <alignment horizontal="center" vertical="center"/>
      <protection locked="0"/>
    </xf>
    <xf numFmtId="1" fontId="6" fillId="5" borderId="9" xfId="13" applyNumberFormat="1" applyFont="1" applyFill="1" applyBorder="1" applyAlignment="1" applyProtection="1">
      <alignment horizontal="center" vertical="center"/>
      <protection locked="0"/>
    </xf>
    <xf numFmtId="1" fontId="6" fillId="0" borderId="110" xfId="13" applyNumberFormat="1" applyFont="1" applyBorder="1" applyAlignment="1">
      <alignment vertical="center"/>
    </xf>
    <xf numFmtId="1" fontId="6" fillId="5" borderId="21" xfId="13" applyNumberFormat="1" applyFont="1" applyFill="1" applyBorder="1" applyAlignment="1" applyProtection="1">
      <alignment horizontal="center" vertical="center"/>
      <protection locked="0"/>
    </xf>
    <xf numFmtId="1" fontId="6" fillId="5" borderId="24" xfId="13" applyNumberFormat="1" applyFont="1" applyFill="1" applyBorder="1" applyAlignment="1" applyProtection="1">
      <alignment horizontal="center" vertical="center"/>
      <protection locked="0"/>
    </xf>
    <xf numFmtId="1" fontId="6" fillId="0" borderId="752" xfId="13" applyNumberFormat="1" applyFont="1" applyBorder="1" applyAlignment="1">
      <alignment vertical="center"/>
    </xf>
    <xf numFmtId="1" fontId="6" fillId="5" borderId="25" xfId="13" applyNumberFormat="1" applyFont="1" applyFill="1" applyBorder="1" applyAlignment="1" applyProtection="1">
      <alignment vertical="center"/>
      <protection locked="0"/>
    </xf>
    <xf numFmtId="1" fontId="6" fillId="0" borderId="561" xfId="13" applyNumberFormat="1" applyFont="1" applyBorder="1" applyAlignment="1">
      <alignment vertical="center"/>
    </xf>
    <xf numFmtId="1" fontId="6" fillId="0" borderId="35" xfId="13" applyNumberFormat="1" applyFont="1" applyBorder="1" applyAlignment="1">
      <alignment vertical="center"/>
    </xf>
    <xf numFmtId="1" fontId="6" fillId="0" borderId="23" xfId="13" applyNumberFormat="1" applyFont="1" applyBorder="1" applyAlignment="1">
      <alignment vertical="center"/>
    </xf>
    <xf numFmtId="1" fontId="6" fillId="5" borderId="24" xfId="13" applyNumberFormat="1" applyFont="1" applyFill="1" applyBorder="1" applyAlignment="1" applyProtection="1">
      <alignment vertical="center"/>
      <protection locked="0"/>
    </xf>
    <xf numFmtId="1" fontId="4" fillId="0" borderId="71" xfId="13" applyNumberFormat="1" applyFont="1" applyBorder="1" applyAlignment="1" applyProtection="1">
      <alignment vertical="center"/>
      <protection hidden="1"/>
    </xf>
    <xf numFmtId="1" fontId="6" fillId="0" borderId="754" xfId="13" applyNumberFormat="1" applyFont="1" applyBorder="1" applyAlignment="1">
      <alignment vertical="center"/>
    </xf>
    <xf numFmtId="1" fontId="6" fillId="0" borderId="24" xfId="13" applyNumberFormat="1" applyFont="1" applyBorder="1" applyAlignment="1">
      <alignment horizontal="left" vertical="center"/>
    </xf>
    <xf numFmtId="1" fontId="4" fillId="0" borderId="751" xfId="0" applyNumberFormat="1" applyFont="1" applyBorder="1"/>
    <xf numFmtId="1" fontId="6" fillId="13" borderId="539" xfId="0" applyNumberFormat="1" applyFont="1" applyFill="1" applyBorder="1" applyProtection="1">
      <protection locked="0"/>
    </xf>
    <xf numFmtId="1" fontId="6" fillId="13" borderId="191" xfId="0" applyNumberFormat="1" applyFont="1" applyFill="1" applyBorder="1" applyProtection="1">
      <protection locked="0"/>
    </xf>
    <xf numFmtId="1" fontId="6" fillId="13" borderId="37" xfId="0" applyNumberFormat="1" applyFont="1" applyFill="1" applyBorder="1" applyProtection="1">
      <protection locked="0"/>
    </xf>
    <xf numFmtId="1" fontId="6" fillId="16" borderId="63" xfId="0" applyNumberFormat="1" applyFont="1" applyFill="1" applyBorder="1" applyProtection="1">
      <protection locked="0"/>
    </xf>
    <xf numFmtId="1" fontId="6" fillId="16" borderId="55" xfId="0" applyNumberFormat="1" applyFont="1" applyFill="1" applyBorder="1" applyProtection="1">
      <protection locked="0"/>
    </xf>
    <xf numFmtId="1" fontId="6" fillId="16" borderId="51" xfId="0" applyNumberFormat="1" applyFont="1" applyFill="1" applyBorder="1" applyProtection="1">
      <protection locked="0"/>
    </xf>
    <xf numFmtId="1" fontId="6" fillId="16" borderId="37" xfId="0" applyNumberFormat="1" applyFont="1" applyFill="1" applyBorder="1" applyProtection="1">
      <protection locked="0"/>
    </xf>
    <xf numFmtId="1" fontId="6" fillId="3" borderId="813" xfId="0" applyNumberFormat="1" applyFont="1" applyFill="1" applyBorder="1" applyAlignment="1">
      <alignment horizontal="left" wrapText="1"/>
    </xf>
    <xf numFmtId="1" fontId="6" fillId="5" borderId="819" xfId="0" applyNumberFormat="1" applyFont="1" applyFill="1" applyBorder="1" applyProtection="1">
      <protection locked="0"/>
    </xf>
    <xf numFmtId="1" fontId="6" fillId="5" borderId="785" xfId="0" applyNumberFormat="1" applyFont="1" applyFill="1" applyBorder="1" applyProtection="1">
      <protection locked="0"/>
    </xf>
    <xf numFmtId="1" fontId="6" fillId="5" borderId="724" xfId="0" applyNumberFormat="1" applyFont="1" applyFill="1" applyBorder="1" applyProtection="1">
      <protection locked="0"/>
    </xf>
    <xf numFmtId="1" fontId="6" fillId="3" borderId="648" xfId="0" applyNumberFormat="1" applyFont="1" applyFill="1" applyBorder="1" applyAlignment="1">
      <alignment horizontal="left" wrapText="1"/>
    </xf>
    <xf numFmtId="1" fontId="6" fillId="3" borderId="751" xfId="0" applyNumberFormat="1" applyFont="1" applyFill="1" applyBorder="1" applyAlignment="1">
      <alignment horizontal="left" wrapText="1"/>
    </xf>
    <xf numFmtId="1" fontId="6" fillId="0" borderId="704" xfId="0" applyNumberFormat="1" applyFont="1" applyBorder="1" applyAlignment="1">
      <alignment horizontal="left" wrapText="1"/>
    </xf>
    <xf numFmtId="1" fontId="6" fillId="5" borderId="627" xfId="0" applyNumberFormat="1" applyFont="1" applyFill="1" applyBorder="1" applyAlignment="1" applyProtection="1">
      <alignment wrapText="1"/>
      <protection locked="0"/>
    </xf>
    <xf numFmtId="1" fontId="6" fillId="5" borderId="511" xfId="0" applyNumberFormat="1" applyFont="1" applyFill="1" applyBorder="1" applyAlignment="1" applyProtection="1">
      <alignment wrapText="1"/>
      <protection locked="0"/>
    </xf>
    <xf numFmtId="1" fontId="6" fillId="5" borderId="704" xfId="0" applyNumberFormat="1" applyFont="1" applyFill="1" applyBorder="1" applyAlignment="1" applyProtection="1">
      <alignment wrapText="1"/>
      <protection locked="0"/>
    </xf>
    <xf numFmtId="1" fontId="6" fillId="5" borderId="669" xfId="0" applyNumberFormat="1" applyFont="1" applyFill="1" applyBorder="1" applyAlignment="1" applyProtection="1">
      <alignment wrapText="1"/>
      <protection locked="0"/>
    </xf>
    <xf numFmtId="1" fontId="6" fillId="5" borderId="661" xfId="0" applyNumberFormat="1" applyFont="1" applyFill="1" applyBorder="1" applyAlignment="1" applyProtection="1">
      <alignment wrapText="1"/>
      <protection locked="0"/>
    </xf>
    <xf numFmtId="1" fontId="6" fillId="0" borderId="780" xfId="0" applyNumberFormat="1" applyFont="1" applyBorder="1" applyAlignment="1">
      <alignment horizontal="left" wrapText="1"/>
    </xf>
    <xf numFmtId="1" fontId="6" fillId="0" borderId="817" xfId="0" applyNumberFormat="1" applyFont="1" applyBorder="1" applyAlignment="1">
      <alignment horizontal="left" wrapText="1"/>
    </xf>
    <xf numFmtId="1" fontId="6" fillId="4" borderId="780" xfId="0" applyNumberFormat="1" applyFont="1" applyFill="1" applyBorder="1" applyAlignment="1">
      <alignment wrapText="1"/>
    </xf>
    <xf numFmtId="1" fontId="6" fillId="0" borderId="57" xfId="0" applyNumberFormat="1" applyFont="1" applyBorder="1" applyAlignment="1">
      <alignment horizontal="left" wrapText="1"/>
    </xf>
    <xf numFmtId="1" fontId="6" fillId="4" borderId="766" xfId="0" applyNumberFormat="1" applyFont="1" applyFill="1" applyBorder="1" applyAlignment="1">
      <alignment wrapText="1"/>
    </xf>
    <xf numFmtId="1" fontId="6" fillId="13" borderId="144" xfId="0" applyNumberFormat="1" applyFont="1" applyFill="1" applyBorder="1" applyAlignment="1" applyProtection="1">
      <alignment wrapText="1"/>
      <protection locked="0"/>
    </xf>
    <xf numFmtId="1" fontId="6" fillId="13" borderId="766" xfId="0" applyNumberFormat="1" applyFont="1" applyFill="1" applyBorder="1" applyAlignment="1">
      <alignment wrapText="1"/>
    </xf>
    <xf numFmtId="1" fontId="6" fillId="13" borderId="780" xfId="0" applyNumberFormat="1" applyFont="1" applyFill="1" applyBorder="1" applyAlignment="1">
      <alignment wrapText="1"/>
    </xf>
    <xf numFmtId="1" fontId="6" fillId="4" borderId="772" xfId="0" applyNumberFormat="1" applyFont="1" applyFill="1" applyBorder="1" applyAlignment="1">
      <alignment wrapText="1"/>
    </xf>
    <xf numFmtId="1" fontId="6" fillId="4" borderId="783" xfId="0" applyNumberFormat="1" applyFont="1" applyFill="1" applyBorder="1" applyAlignment="1">
      <alignment wrapText="1"/>
    </xf>
    <xf numFmtId="1" fontId="6" fillId="4" borderId="817" xfId="0" applyNumberFormat="1" applyFont="1" applyFill="1" applyBorder="1" applyAlignment="1">
      <alignment wrapText="1"/>
    </xf>
    <xf numFmtId="1" fontId="6" fillId="13" borderId="704" xfId="0" applyNumberFormat="1" applyFont="1" applyFill="1" applyBorder="1" applyAlignment="1" applyProtection="1">
      <alignment wrapText="1"/>
      <protection locked="0"/>
    </xf>
    <xf numFmtId="1" fontId="6" fillId="13" borderId="511" xfId="0" applyNumberFormat="1" applyFont="1" applyFill="1" applyBorder="1" applyAlignment="1" applyProtection="1">
      <alignment wrapText="1"/>
      <protection locked="0"/>
    </xf>
    <xf numFmtId="1" fontId="6" fillId="4" borderId="20" xfId="0" applyNumberFormat="1" applyFont="1" applyFill="1" applyBorder="1" applyAlignment="1">
      <alignment wrapText="1"/>
    </xf>
    <xf numFmtId="1" fontId="6" fillId="4" borderId="22" xfId="0" applyNumberFormat="1" applyFont="1" applyFill="1" applyBorder="1" applyAlignment="1">
      <alignment wrapText="1"/>
    </xf>
    <xf numFmtId="1" fontId="6" fillId="4" borderId="58" xfId="0" applyNumberFormat="1" applyFont="1" applyFill="1" applyBorder="1" applyAlignment="1">
      <alignment wrapText="1"/>
    </xf>
    <xf numFmtId="1" fontId="6" fillId="0" borderId="832" xfId="15" applyNumberFormat="1" applyFont="1" applyFill="1" applyBorder="1" applyAlignment="1">
      <alignment horizontal="left" wrapText="1"/>
    </xf>
    <xf numFmtId="1" fontId="6" fillId="0" borderId="833" xfId="15" applyNumberFormat="1" applyFont="1" applyFill="1" applyBorder="1" applyAlignment="1">
      <alignment horizontal="left" wrapText="1"/>
    </xf>
    <xf numFmtId="1" fontId="6" fillId="4" borderId="627" xfId="0" applyNumberFormat="1" applyFont="1" applyFill="1" applyBorder="1" applyAlignment="1">
      <alignment wrapText="1"/>
    </xf>
    <xf numFmtId="1" fontId="6" fillId="4" borderId="511" xfId="0" applyNumberFormat="1" applyFont="1" applyFill="1" applyBorder="1" applyAlignment="1">
      <alignment wrapText="1"/>
    </xf>
    <xf numFmtId="1" fontId="6" fillId="4" borderId="704" xfId="0" applyNumberFormat="1" applyFont="1" applyFill="1" applyBorder="1" applyAlignment="1">
      <alignment wrapText="1"/>
    </xf>
    <xf numFmtId="1" fontId="6" fillId="13" borderId="627" xfId="0" applyNumberFormat="1" applyFont="1" applyFill="1" applyBorder="1" applyAlignment="1">
      <alignment wrapText="1"/>
    </xf>
    <xf numFmtId="1" fontId="6" fillId="13" borderId="511" xfId="0" applyNumberFormat="1" applyFont="1" applyFill="1" applyBorder="1" applyAlignment="1">
      <alignment wrapText="1"/>
    </xf>
    <xf numFmtId="1" fontId="6" fillId="13" borderId="704" xfId="0" applyNumberFormat="1" applyFont="1" applyFill="1" applyBorder="1" applyAlignment="1">
      <alignment wrapText="1"/>
    </xf>
    <xf numFmtId="1" fontId="6" fillId="13" borderId="20" xfId="0" applyNumberFormat="1" applyFont="1" applyFill="1" applyBorder="1" applyAlignment="1" applyProtection="1">
      <alignment wrapText="1"/>
      <protection locked="0"/>
    </xf>
    <xf numFmtId="1" fontId="6" fillId="0" borderId="825" xfId="0" applyNumberFormat="1" applyFont="1" applyBorder="1" applyAlignment="1">
      <alignment horizontal="left" wrapText="1"/>
    </xf>
    <xf numFmtId="1" fontId="6" fillId="0" borderId="828" xfId="20" applyNumberFormat="1" applyFont="1" applyFill="1" applyBorder="1" applyAlignment="1">
      <alignment horizontal="left" wrapText="1"/>
    </xf>
    <xf numFmtId="1" fontId="6" fillId="0" borderId="835" xfId="20" applyNumberFormat="1" applyFont="1" applyFill="1" applyBorder="1" applyAlignment="1">
      <alignment horizontal="left" wrapText="1"/>
    </xf>
    <xf numFmtId="1" fontId="6" fillId="7" borderId="836" xfId="20" applyNumberFormat="1" applyFont="1" applyBorder="1" applyAlignment="1" applyProtection="1">
      <alignment wrapText="1"/>
      <protection locked="0"/>
    </xf>
    <xf numFmtId="1" fontId="6" fillId="7" borderId="837" xfId="20" applyNumberFormat="1" applyFont="1" applyBorder="1" applyAlignment="1" applyProtection="1">
      <alignment wrapText="1"/>
      <protection locked="0"/>
    </xf>
    <xf numFmtId="1" fontId="6" fillId="7" borderId="838" xfId="20" applyNumberFormat="1" applyFont="1" applyBorder="1" applyAlignment="1" applyProtection="1">
      <alignment wrapText="1"/>
      <protection locked="0"/>
    </xf>
    <xf numFmtId="1" fontId="6" fillId="7" borderId="839" xfId="20" applyNumberFormat="1" applyFont="1" applyBorder="1" applyAlignment="1" applyProtection="1">
      <alignment wrapText="1"/>
      <protection locked="0"/>
    </xf>
    <xf numFmtId="1" fontId="6" fillId="7" borderId="840" xfId="20" applyNumberFormat="1" applyFont="1" applyBorder="1" applyAlignment="1" applyProtection="1">
      <alignment wrapText="1"/>
      <protection locked="0"/>
    </xf>
    <xf numFmtId="1" fontId="6" fillId="7" borderId="494" xfId="20" applyNumberFormat="1" applyFont="1" applyBorder="1" applyAlignment="1" applyProtection="1">
      <alignment wrapText="1"/>
      <protection locked="0"/>
    </xf>
    <xf numFmtId="1" fontId="6" fillId="0" borderId="492" xfId="0" applyNumberFormat="1" applyFont="1" applyBorder="1" applyAlignment="1">
      <alignment horizontal="left" wrapText="1"/>
    </xf>
    <xf numFmtId="1" fontId="6" fillId="0" borderId="841" xfId="20" applyNumberFormat="1" applyFont="1" applyFill="1" applyBorder="1" applyAlignment="1">
      <alignment horizontal="left" wrapText="1"/>
    </xf>
    <xf numFmtId="1" fontId="6" fillId="7" borderId="842" xfId="20" applyNumberFormat="1" applyFont="1" applyBorder="1" applyAlignment="1" applyProtection="1">
      <alignment wrapText="1"/>
      <protection locked="0"/>
    </xf>
    <xf numFmtId="1" fontId="6" fillId="7" borderId="843" xfId="20" applyNumberFormat="1" applyFont="1" applyBorder="1" applyAlignment="1" applyProtection="1">
      <alignment wrapText="1"/>
      <protection locked="0"/>
    </xf>
    <xf numFmtId="1" fontId="6" fillId="7" borderId="844" xfId="20" applyNumberFormat="1" applyFont="1" applyBorder="1" applyAlignment="1" applyProtection="1">
      <alignment wrapText="1"/>
      <protection locked="0"/>
    </xf>
    <xf numFmtId="1" fontId="6" fillId="13" borderId="494" xfId="20" applyNumberFormat="1" applyFont="1" applyFill="1" applyBorder="1" applyAlignment="1" applyProtection="1">
      <alignment wrapText="1"/>
      <protection locked="0"/>
    </xf>
    <xf numFmtId="1" fontId="6" fillId="7" borderId="846" xfId="20" applyNumberFormat="1" applyFont="1" applyBorder="1" applyAlignment="1" applyProtection="1">
      <alignment wrapText="1"/>
      <protection locked="0"/>
    </xf>
    <xf numFmtId="1" fontId="6" fillId="7" borderId="847" xfId="20" applyNumberFormat="1" applyFont="1" applyBorder="1" applyAlignment="1" applyProtection="1">
      <alignment wrapText="1"/>
      <protection locked="0"/>
    </xf>
    <xf numFmtId="1" fontId="6" fillId="7" borderId="848" xfId="20" applyNumberFormat="1" applyFont="1" applyBorder="1" applyAlignment="1" applyProtection="1">
      <alignment wrapText="1"/>
      <protection locked="0"/>
    </xf>
    <xf numFmtId="1" fontId="6" fillId="7" borderId="849" xfId="20" applyNumberFormat="1" applyFont="1" applyBorder="1" applyAlignment="1" applyProtection="1">
      <alignment wrapText="1"/>
      <protection locked="0"/>
    </xf>
    <xf numFmtId="1" fontId="6" fillId="0" borderId="830" xfId="20" applyNumberFormat="1" applyFont="1" applyFill="1" applyBorder="1" applyAlignment="1">
      <alignment horizontal="left" wrapText="1"/>
    </xf>
    <xf numFmtId="1" fontId="6" fillId="0" borderId="831" xfId="20" applyNumberFormat="1" applyFont="1" applyFill="1" applyBorder="1" applyAlignment="1">
      <alignment horizontal="left" wrapText="1"/>
    </xf>
    <xf numFmtId="1" fontId="6" fillId="7" borderId="852" xfId="20" applyNumberFormat="1" applyFont="1" applyBorder="1" applyAlignment="1" applyProtection="1">
      <alignment wrapText="1"/>
      <protection locked="0"/>
    </xf>
    <xf numFmtId="1" fontId="6" fillId="7" borderId="853" xfId="20" applyNumberFormat="1" applyFont="1" applyBorder="1" applyAlignment="1" applyProtection="1">
      <alignment wrapText="1"/>
      <protection locked="0"/>
    </xf>
    <xf numFmtId="1" fontId="6" fillId="7" borderId="854" xfId="20" applyNumberFormat="1" applyFont="1" applyBorder="1" applyAlignment="1" applyProtection="1">
      <alignment wrapText="1"/>
      <protection locked="0"/>
    </xf>
    <xf numFmtId="1" fontId="6" fillId="7" borderId="855" xfId="20" applyNumberFormat="1" applyFont="1" applyBorder="1" applyAlignment="1" applyProtection="1">
      <alignment wrapText="1"/>
      <protection locked="0"/>
    </xf>
    <xf numFmtId="1" fontId="6" fillId="5" borderId="572" xfId="0" applyNumberFormat="1" applyFont="1" applyFill="1" applyBorder="1" applyAlignment="1" applyProtection="1">
      <alignment wrapText="1"/>
      <protection locked="0"/>
    </xf>
    <xf numFmtId="1" fontId="6" fillId="5" borderId="132" xfId="0" applyNumberFormat="1" applyFont="1" applyFill="1" applyBorder="1" applyAlignment="1" applyProtection="1">
      <alignment wrapText="1"/>
      <protection locked="0"/>
    </xf>
    <xf numFmtId="1" fontId="6" fillId="13" borderId="856" xfId="20" applyNumberFormat="1" applyFont="1" applyFill="1" applyBorder="1" applyAlignment="1" applyProtection="1">
      <alignment wrapText="1"/>
      <protection locked="0"/>
    </xf>
    <xf numFmtId="1" fontId="6" fillId="13" borderId="196" xfId="20" applyNumberFormat="1" applyFont="1" applyFill="1" applyBorder="1" applyAlignment="1" applyProtection="1">
      <alignment wrapText="1"/>
      <protection locked="0"/>
    </xf>
    <xf numFmtId="1" fontId="6" fillId="0" borderId="85" xfId="0" applyNumberFormat="1" applyFont="1" applyBorder="1" applyAlignment="1">
      <alignment horizontal="center" vertical="center" wrapText="1"/>
    </xf>
    <xf numFmtId="1" fontId="6" fillId="0" borderId="126" xfId="0" applyNumberFormat="1" applyFont="1" applyBorder="1" applyAlignment="1">
      <alignment horizontal="center" vertical="center" wrapText="1"/>
    </xf>
    <xf numFmtId="1" fontId="6" fillId="0" borderId="559" xfId="0" applyNumberFormat="1" applyFont="1" applyBorder="1"/>
    <xf numFmtId="1" fontId="6" fillId="0" borderId="901" xfId="0" applyNumberFormat="1" applyFont="1" applyBorder="1" applyAlignment="1">
      <alignment horizontal="right" vertical="center" wrapText="1"/>
    </xf>
    <xf numFmtId="1" fontId="6" fillId="5" borderId="880" xfId="0" applyNumberFormat="1" applyFont="1" applyFill="1" applyBorder="1" applyAlignment="1" applyProtection="1">
      <alignment horizontal="right"/>
      <protection locked="0"/>
    </xf>
    <xf numFmtId="1" fontId="6" fillId="0" borderId="24" xfId="0" applyNumberFormat="1" applyFont="1" applyBorder="1" applyAlignment="1">
      <alignment horizontal="right" vertical="center" wrapText="1"/>
    </xf>
    <xf numFmtId="1" fontId="6" fillId="5" borderId="24" xfId="0" applyNumberFormat="1" applyFont="1" applyFill="1" applyBorder="1" applyAlignment="1" applyProtection="1">
      <alignment horizontal="right"/>
      <protection locked="0"/>
    </xf>
    <xf numFmtId="1" fontId="6" fillId="13" borderId="883" xfId="0" applyNumberFormat="1" applyFont="1" applyFill="1" applyBorder="1" applyAlignment="1" applyProtection="1">
      <alignment horizontal="right"/>
      <protection locked="0"/>
    </xf>
    <xf numFmtId="1" fontId="4" fillId="0" borderId="0" xfId="0" applyNumberFormat="1" applyFont="1" applyBorder="1"/>
    <xf numFmtId="1" fontId="15" fillId="0" borderId="944" xfId="0" applyNumberFormat="1" applyFont="1" applyBorder="1" applyAlignment="1">
      <alignment horizontal="center" vertical="center"/>
    </xf>
    <xf numFmtId="1" fontId="10" fillId="3" borderId="0" xfId="0" applyNumberFormat="1" applyFont="1" applyFill="1" applyProtection="1">
      <protection locked="0"/>
    </xf>
    <xf numFmtId="1" fontId="15" fillId="0" borderId="339" xfId="0" applyNumberFormat="1" applyFont="1" applyBorder="1" applyAlignment="1">
      <alignment horizontal="center" vertical="center" wrapText="1"/>
    </xf>
    <xf numFmtId="1" fontId="15" fillId="0" borderId="10" xfId="0" applyNumberFormat="1" applyFont="1" applyBorder="1" applyAlignment="1">
      <alignment horizontal="center" vertical="center" wrapText="1"/>
    </xf>
    <xf numFmtId="1" fontId="15" fillId="0" borderId="266" xfId="0" applyNumberFormat="1" applyFont="1" applyBorder="1" applyAlignment="1">
      <alignment horizontal="center" vertical="center" wrapText="1"/>
    </xf>
    <xf numFmtId="1" fontId="15" fillId="0" borderId="285" xfId="0" applyNumberFormat="1" applyFont="1" applyBorder="1" applyAlignment="1">
      <alignment horizontal="center" vertical="center" wrapText="1"/>
    </xf>
    <xf numFmtId="1" fontId="15" fillId="0" borderId="307" xfId="0" applyNumberFormat="1" applyFont="1" applyBorder="1" applyAlignment="1">
      <alignment horizontal="center" vertical="center" wrapText="1"/>
    </xf>
    <xf numFmtId="1" fontId="15" fillId="0" borderId="260" xfId="0" applyNumberFormat="1" applyFont="1" applyBorder="1" applyAlignment="1">
      <alignment horizontal="center" vertical="center" wrapText="1"/>
    </xf>
    <xf numFmtId="1" fontId="15" fillId="0" borderId="260" xfId="0" applyNumberFormat="1" applyFont="1" applyBorder="1" applyAlignment="1">
      <alignment horizontal="left" vertical="center" wrapText="1"/>
    </xf>
    <xf numFmtId="1" fontId="6" fillId="5" borderId="307" xfId="0" applyNumberFormat="1" applyFont="1" applyFill="1" applyBorder="1" applyProtection="1">
      <protection locked="0"/>
    </xf>
    <xf numFmtId="1" fontId="6" fillId="5" borderId="26" xfId="0" applyNumberFormat="1" applyFont="1" applyFill="1" applyBorder="1" applyProtection="1">
      <protection locked="0"/>
    </xf>
    <xf numFmtId="1" fontId="4" fillId="0" borderId="0" xfId="0" applyNumberFormat="1" applyFont="1" applyFill="1"/>
    <xf numFmtId="1" fontId="6" fillId="0" borderId="586" xfId="0" applyNumberFormat="1" applyFont="1" applyBorder="1" applyAlignment="1">
      <alignment horizontal="center" vertical="center" wrapText="1"/>
    </xf>
    <xf numFmtId="1" fontId="6" fillId="0" borderId="587" xfId="0" applyNumberFormat="1" applyFont="1" applyBorder="1" applyAlignment="1">
      <alignment horizontal="center" vertical="center" wrapText="1"/>
    </xf>
    <xf numFmtId="1" fontId="6" fillId="0" borderId="281" xfId="0" applyNumberFormat="1" applyFont="1" applyBorder="1" applyAlignment="1">
      <alignment vertical="center" wrapText="1"/>
    </xf>
    <xf numFmtId="1" fontId="6" fillId="0" borderId="260" xfId="0" applyNumberFormat="1" applyFont="1" applyBorder="1" applyAlignment="1">
      <alignment horizontal="center"/>
    </xf>
    <xf numFmtId="1" fontId="6" fillId="0" borderId="307" xfId="0" applyNumberFormat="1" applyFont="1" applyBorder="1" applyAlignment="1">
      <alignment horizontal="right"/>
    </xf>
    <xf numFmtId="1" fontId="6" fillId="0" borderId="307" xfId="0" applyNumberFormat="1" applyFont="1" applyBorder="1"/>
    <xf numFmtId="1" fontId="6" fillId="15" borderId="281" xfId="0" applyNumberFormat="1" applyFont="1" applyFill="1" applyBorder="1" applyAlignment="1">
      <alignment vertical="center" wrapText="1"/>
    </xf>
    <xf numFmtId="1" fontId="6" fillId="15" borderId="40" xfId="0" applyNumberFormat="1" applyFont="1" applyFill="1" applyBorder="1" applyAlignment="1">
      <alignment vertical="center" wrapText="1"/>
    </xf>
    <xf numFmtId="1" fontId="6" fillId="15" borderId="260" xfId="0" applyNumberFormat="1" applyFont="1" applyFill="1" applyBorder="1" applyAlignment="1">
      <alignment horizontal="center"/>
    </xf>
    <xf numFmtId="1" fontId="6" fillId="15" borderId="266" xfId="0" applyNumberFormat="1" applyFont="1" applyFill="1" applyBorder="1" applyAlignment="1">
      <alignment horizontal="right"/>
    </xf>
    <xf numFmtId="1" fontId="6" fillId="15" borderId="285" xfId="0" applyNumberFormat="1" applyFont="1" applyFill="1" applyBorder="1" applyAlignment="1">
      <alignment horizontal="right"/>
    </xf>
    <xf numFmtId="1" fontId="6" fillId="15" borderId="307" xfId="0" applyNumberFormat="1" applyFont="1" applyFill="1" applyBorder="1" applyAlignment="1">
      <alignment horizontal="right"/>
    </xf>
    <xf numFmtId="1" fontId="6" fillId="15" borderId="266" xfId="0" applyNumberFormat="1" applyFont="1" applyFill="1" applyBorder="1"/>
    <xf numFmtId="1" fontId="6" fillId="15" borderId="307" xfId="0" applyNumberFormat="1" applyFont="1" applyFill="1" applyBorder="1"/>
    <xf numFmtId="1" fontId="6" fillId="15" borderId="290" xfId="0" applyNumberFormat="1" applyFont="1" applyFill="1" applyBorder="1"/>
    <xf numFmtId="1" fontId="6" fillId="15" borderId="306" xfId="0" applyNumberFormat="1" applyFont="1" applyFill="1" applyBorder="1"/>
    <xf numFmtId="1" fontId="4" fillId="15" borderId="0" xfId="0" applyNumberFormat="1" applyFont="1" applyFill="1" applyBorder="1"/>
    <xf numFmtId="1" fontId="10" fillId="0" borderId="0" xfId="0" applyNumberFormat="1" applyFont="1" applyBorder="1"/>
    <xf numFmtId="1" fontId="10" fillId="3" borderId="0" xfId="0" applyNumberFormat="1" applyFont="1" applyFill="1" applyBorder="1"/>
    <xf numFmtId="1" fontId="6" fillId="0" borderId="259" xfId="0" applyNumberFormat="1" applyFont="1" applyBorder="1"/>
    <xf numFmtId="1" fontId="6" fillId="0" borderId="413" xfId="0" applyNumberFormat="1" applyFont="1" applyBorder="1" applyAlignment="1">
      <alignment horizontal="left" wrapText="1"/>
    </xf>
    <xf numFmtId="1" fontId="6" fillId="0" borderId="16" xfId="0" applyNumberFormat="1" applyFont="1" applyBorder="1" applyAlignment="1">
      <alignment horizontal="left" wrapText="1"/>
    </xf>
    <xf numFmtId="1" fontId="6" fillId="0" borderId="36" xfId="0" applyNumberFormat="1" applyFont="1" applyBorder="1" applyAlignment="1">
      <alignment horizontal="left"/>
    </xf>
    <xf numFmtId="1" fontId="6" fillId="0" borderId="10" xfId="0" applyNumberFormat="1" applyFont="1" applyBorder="1"/>
    <xf numFmtId="1" fontId="6" fillId="0" borderId="30" xfId="0" applyNumberFormat="1" applyFont="1" applyBorder="1" applyAlignment="1">
      <alignment horizontal="left" wrapText="1"/>
    </xf>
    <xf numFmtId="1" fontId="6" fillId="0" borderId="32" xfId="0" applyNumberFormat="1" applyFont="1" applyBorder="1" applyAlignment="1">
      <alignment horizontal="left"/>
    </xf>
    <xf numFmtId="1" fontId="6" fillId="5" borderId="961" xfId="1" applyNumberFormat="1" applyFont="1" applyFill="1" applyBorder="1" applyProtection="1">
      <protection locked="0"/>
    </xf>
    <xf numFmtId="1" fontId="6" fillId="5" borderId="960" xfId="1" applyNumberFormat="1" applyFont="1" applyFill="1" applyBorder="1" applyProtection="1">
      <protection locked="0"/>
    </xf>
    <xf numFmtId="1" fontId="6" fillId="13" borderId="38" xfId="1" applyNumberFormat="1" applyFont="1" applyFill="1" applyBorder="1" applyProtection="1">
      <protection locked="0"/>
    </xf>
    <xf numFmtId="1" fontId="6" fillId="13" borderId="51" xfId="1" applyNumberFormat="1" applyFont="1" applyFill="1" applyBorder="1" applyProtection="1">
      <protection locked="0"/>
    </xf>
    <xf numFmtId="1" fontId="6" fillId="13" borderId="924" xfId="1" applyNumberFormat="1" applyFont="1" applyFill="1" applyBorder="1" applyProtection="1">
      <protection locked="0"/>
    </xf>
    <xf numFmtId="1" fontId="6" fillId="13" borderId="893" xfId="1" applyNumberFormat="1" applyFont="1" applyFill="1" applyBorder="1" applyProtection="1">
      <protection locked="0"/>
    </xf>
    <xf numFmtId="1" fontId="6" fillId="15" borderId="631" xfId="0" applyNumberFormat="1" applyFont="1" applyFill="1" applyBorder="1" applyAlignment="1">
      <alignment horizontal="left" vertical="center" wrapText="1"/>
    </xf>
    <xf numFmtId="1" fontId="6" fillId="0" borderId="861" xfId="0" applyNumberFormat="1" applyFont="1" applyBorder="1" applyAlignment="1">
      <alignment horizontal="left" vertical="center" wrapText="1"/>
    </xf>
    <xf numFmtId="1" fontId="6" fillId="5" borderId="628" xfId="0" applyNumberFormat="1" applyFont="1" applyFill="1" applyBorder="1" applyProtection="1">
      <protection locked="0"/>
    </xf>
    <xf numFmtId="0" fontId="12" fillId="9" borderId="6" xfId="0" applyFont="1" applyFill="1" applyBorder="1" applyAlignment="1">
      <alignment horizontal="center" vertical="center" wrapText="1"/>
    </xf>
    <xf numFmtId="0" fontId="12" fillId="9" borderId="7" xfId="0" applyFont="1" applyFill="1" applyBorder="1" applyAlignment="1">
      <alignment horizontal="center" vertical="center" wrapText="1"/>
    </xf>
    <xf numFmtId="0" fontId="12" fillId="9" borderId="8" xfId="0" applyFont="1" applyFill="1" applyBorder="1" applyAlignment="1">
      <alignment horizontal="center" vertical="center" wrapText="1"/>
    </xf>
    <xf numFmtId="0" fontId="44" fillId="8" borderId="2" xfId="0" applyFont="1" applyFill="1" applyBorder="1" applyAlignment="1">
      <alignment horizontal="center" vertical="center" wrapText="1"/>
    </xf>
    <xf numFmtId="0" fontId="29" fillId="0" borderId="9" xfId="0" applyFont="1" applyBorder="1" applyAlignment="1">
      <alignment horizontal="center" vertical="center" wrapText="1"/>
    </xf>
    <xf numFmtId="0" fontId="29" fillId="0" borderId="10" xfId="0" applyFont="1" applyBorder="1" applyAlignment="1">
      <alignment horizontal="center" vertical="center" wrapText="1"/>
    </xf>
    <xf numFmtId="0" fontId="4" fillId="9" borderId="6" xfId="0" applyFont="1" applyFill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5" fillId="8" borderId="6" xfId="8" applyFont="1" applyFill="1" applyBorder="1" applyAlignment="1">
      <alignment horizontal="center" vertical="center"/>
    </xf>
    <xf numFmtId="0" fontId="45" fillId="8" borderId="8" xfId="8" applyFont="1" applyFill="1" applyBorder="1" applyAlignment="1">
      <alignment horizontal="center" vertical="center"/>
    </xf>
    <xf numFmtId="0" fontId="23" fillId="9" borderId="6" xfId="0" applyFont="1" applyFill="1" applyBorder="1" applyAlignment="1">
      <alignment horizontal="center" vertical="center"/>
    </xf>
    <xf numFmtId="0" fontId="23" fillId="9" borderId="8" xfId="0" applyFont="1" applyFill="1" applyBorder="1" applyAlignment="1">
      <alignment horizontal="center" vertical="center"/>
    </xf>
    <xf numFmtId="0" fontId="53" fillId="14" borderId="3" xfId="0" applyFont="1" applyFill="1" applyBorder="1" applyAlignment="1">
      <alignment horizontal="center" vertical="center" wrapText="1"/>
    </xf>
    <xf numFmtId="0" fontId="53" fillId="14" borderId="4" xfId="0" applyFont="1" applyFill="1" applyBorder="1" applyAlignment="1">
      <alignment horizontal="center" vertical="center" wrapText="1"/>
    </xf>
    <xf numFmtId="0" fontId="53" fillId="14" borderId="5" xfId="0" applyFont="1" applyFill="1" applyBorder="1" applyAlignment="1">
      <alignment horizontal="center" vertical="center" wrapText="1"/>
    </xf>
    <xf numFmtId="0" fontId="53" fillId="14" borderId="35" xfId="0" applyFont="1" applyFill="1" applyBorder="1" applyAlignment="1">
      <alignment horizontal="center" vertical="center" wrapText="1"/>
    </xf>
    <xf numFmtId="0" fontId="53" fillId="14" borderId="0" xfId="0" applyFont="1" applyFill="1" applyAlignment="1">
      <alignment horizontal="center" vertical="center" wrapText="1"/>
    </xf>
    <xf numFmtId="0" fontId="53" fillId="14" borderId="81" xfId="0" applyFont="1" applyFill="1" applyBorder="1" applyAlignment="1">
      <alignment horizontal="center" vertical="center" wrapText="1"/>
    </xf>
    <xf numFmtId="0" fontId="53" fillId="14" borderId="11" xfId="0" applyFont="1" applyFill="1" applyBorder="1" applyAlignment="1">
      <alignment horizontal="center" vertical="center" wrapText="1"/>
    </xf>
    <xf numFmtId="0" fontId="53" fillId="14" borderId="50" xfId="0" applyFont="1" applyFill="1" applyBorder="1" applyAlignment="1">
      <alignment horizontal="center" vertical="center" wrapText="1"/>
    </xf>
    <xf numFmtId="0" fontId="53" fillId="14" borderId="26" xfId="0" applyFont="1" applyFill="1" applyBorder="1" applyAlignment="1">
      <alignment horizontal="center" vertical="center" wrapText="1"/>
    </xf>
    <xf numFmtId="0" fontId="23" fillId="14" borderId="3" xfId="0" applyFont="1" applyFill="1" applyBorder="1" applyAlignment="1">
      <alignment horizontal="center" vertical="center" wrapText="1"/>
    </xf>
    <xf numFmtId="0" fontId="23" fillId="14" borderId="4" xfId="0" applyFont="1" applyFill="1" applyBorder="1" applyAlignment="1">
      <alignment horizontal="center" vertical="center" wrapText="1"/>
    </xf>
    <xf numFmtId="0" fontId="23" fillId="14" borderId="5" xfId="0" applyFont="1" applyFill="1" applyBorder="1" applyAlignment="1">
      <alignment horizontal="center" vertical="center" wrapText="1"/>
    </xf>
    <xf numFmtId="1" fontId="6" fillId="0" borderId="579" xfId="0" applyNumberFormat="1" applyFont="1" applyBorder="1" applyAlignment="1">
      <alignment horizontal="center" vertical="center" wrapText="1"/>
    </xf>
    <xf numFmtId="1" fontId="6" fillId="0" borderId="495" xfId="0" applyNumberFormat="1" applyFont="1" applyBorder="1" applyAlignment="1">
      <alignment horizontal="center" vertical="center" wrapText="1"/>
    </xf>
    <xf numFmtId="1" fontId="6" fillId="0" borderId="565" xfId="0" applyNumberFormat="1" applyFont="1" applyBorder="1" applyAlignment="1">
      <alignment horizontal="center" vertical="center" wrapText="1"/>
    </xf>
    <xf numFmtId="1" fontId="6" fillId="0" borderId="6" xfId="0" applyNumberFormat="1" applyFont="1" applyBorder="1" applyAlignment="1">
      <alignment horizontal="center" vertical="center"/>
    </xf>
    <xf numFmtId="1" fontId="6" fillId="0" borderId="8" xfId="0" applyNumberFormat="1" applyFont="1" applyBorder="1" applyAlignment="1">
      <alignment horizontal="center" vertical="center"/>
    </xf>
    <xf numFmtId="1" fontId="6" fillId="0" borderId="6" xfId="0" applyNumberFormat="1" applyFont="1" applyBorder="1" applyAlignment="1">
      <alignment horizontal="center" vertical="center" wrapText="1"/>
    </xf>
    <xf numFmtId="1" fontId="6" fillId="0" borderId="8" xfId="0" applyNumberFormat="1" applyFont="1" applyBorder="1" applyAlignment="1">
      <alignment horizontal="center" vertical="center" wrapText="1"/>
    </xf>
    <xf numFmtId="1" fontId="6" fillId="0" borderId="609" xfId="0" applyNumberFormat="1" applyFont="1" applyBorder="1" applyAlignment="1">
      <alignment horizontal="center" vertical="center" wrapText="1"/>
    </xf>
    <xf numFmtId="1" fontId="6" fillId="0" borderId="575" xfId="0" applyNumberFormat="1" applyFont="1" applyBorder="1" applyAlignment="1">
      <alignment horizontal="center" vertical="center" wrapText="1"/>
    </xf>
    <xf numFmtId="1" fontId="6" fillId="0" borderId="578" xfId="0" applyNumberFormat="1" applyFont="1" applyBorder="1" applyAlignment="1">
      <alignment horizontal="center" vertical="center" wrapText="1"/>
    </xf>
    <xf numFmtId="1" fontId="6" fillId="0" borderId="2" xfId="0" applyNumberFormat="1" applyFont="1" applyBorder="1" applyAlignment="1">
      <alignment horizontal="center" vertical="center" wrapText="1"/>
    </xf>
    <xf numFmtId="1" fontId="6" fillId="0" borderId="9" xfId="0" applyNumberFormat="1" applyFont="1" applyBorder="1" applyAlignment="1">
      <alignment horizontal="center" vertical="center" wrapText="1"/>
    </xf>
    <xf numFmtId="1" fontId="6" fillId="0" borderId="10" xfId="0" applyNumberFormat="1" applyFont="1" applyBorder="1" applyAlignment="1">
      <alignment horizontal="center" vertical="center" wrapText="1"/>
    </xf>
    <xf numFmtId="1" fontId="51" fillId="3" borderId="2" xfId="0" applyNumberFormat="1" applyFont="1" applyFill="1" applyBorder="1" applyAlignment="1">
      <alignment horizontal="center" vertical="center" wrapText="1"/>
    </xf>
    <xf numFmtId="1" fontId="51" fillId="3" borderId="10" xfId="0" applyNumberFormat="1" applyFont="1" applyFill="1" applyBorder="1" applyAlignment="1">
      <alignment horizontal="center" vertical="center" wrapText="1"/>
    </xf>
    <xf numFmtId="1" fontId="6" fillId="0" borderId="7" xfId="0" applyNumberFormat="1" applyFont="1" applyBorder="1" applyAlignment="1">
      <alignment horizontal="center" vertical="center" wrapText="1"/>
    </xf>
    <xf numFmtId="1" fontId="6" fillId="0" borderId="3" xfId="0" applyNumberFormat="1" applyFont="1" applyBorder="1" applyAlignment="1">
      <alignment horizontal="center" vertical="center" wrapText="1"/>
    </xf>
    <xf numFmtId="1" fontId="6" fillId="0" borderId="4" xfId="0" applyNumberFormat="1" applyFont="1" applyBorder="1" applyAlignment="1">
      <alignment horizontal="center" vertical="center" wrapText="1"/>
    </xf>
    <xf numFmtId="1" fontId="6" fillId="0" borderId="5" xfId="0" applyNumberFormat="1" applyFont="1" applyBorder="1" applyAlignment="1">
      <alignment horizontal="center" vertical="center" wrapText="1"/>
    </xf>
    <xf numFmtId="1" fontId="6" fillId="0" borderId="35" xfId="0" applyNumberFormat="1" applyFont="1" applyBorder="1" applyAlignment="1">
      <alignment horizontal="center" vertical="center" wrapText="1"/>
    </xf>
    <xf numFmtId="1" fontId="6" fillId="0" borderId="0" xfId="0" applyNumberFormat="1" applyFont="1" applyAlignment="1">
      <alignment horizontal="center" vertical="center" wrapText="1"/>
    </xf>
    <xf numFmtId="1" fontId="6" fillId="0" borderId="81" xfId="0" applyNumberFormat="1" applyFont="1" applyBorder="1" applyAlignment="1">
      <alignment horizontal="center" vertical="center" wrapText="1"/>
    </xf>
    <xf numFmtId="1" fontId="6" fillId="0" borderId="580" xfId="0" applyNumberFormat="1" applyFont="1" applyBorder="1" applyAlignment="1">
      <alignment horizontal="left" vertical="center" wrapText="1"/>
    </xf>
    <xf numFmtId="1" fontId="6" fillId="0" borderId="11" xfId="0" applyNumberFormat="1" applyFont="1" applyBorder="1" applyAlignment="1">
      <alignment horizontal="center" vertical="center" wrapText="1"/>
    </xf>
    <xf numFmtId="1" fontId="6" fillId="0" borderId="26" xfId="0" applyNumberFormat="1" applyFont="1" applyBorder="1" applyAlignment="1">
      <alignment horizontal="center" vertical="center" wrapText="1"/>
    </xf>
    <xf numFmtId="1" fontId="6" fillId="0" borderId="37" xfId="0" applyNumberFormat="1" applyFont="1" applyBorder="1" applyAlignment="1">
      <alignment horizontal="left" vertical="center" wrapText="1"/>
    </xf>
    <xf numFmtId="1" fontId="6" fillId="3" borderId="2" xfId="0" applyNumberFormat="1" applyFont="1" applyFill="1" applyBorder="1" applyAlignment="1">
      <alignment horizontal="center" vertical="center" wrapText="1"/>
    </xf>
    <xf numFmtId="1" fontId="6" fillId="3" borderId="10" xfId="0" applyNumberFormat="1" applyFont="1" applyFill="1" applyBorder="1" applyAlignment="1">
      <alignment horizontal="center" vertical="center" wrapText="1"/>
    </xf>
    <xf numFmtId="1" fontId="6" fillId="0" borderId="573" xfId="0" applyNumberFormat="1" applyFont="1" applyBorder="1" applyAlignment="1">
      <alignment horizontal="center" vertical="center" wrapText="1"/>
    </xf>
    <xf numFmtId="1" fontId="6" fillId="0" borderId="483" xfId="0" applyNumberFormat="1" applyFont="1" applyBorder="1" applyAlignment="1">
      <alignment horizontal="center" vertical="center" wrapText="1"/>
    </xf>
    <xf numFmtId="1" fontId="6" fillId="0" borderId="540" xfId="0" applyNumberFormat="1" applyFont="1" applyBorder="1" applyAlignment="1">
      <alignment horizontal="left" vertical="center" wrapText="1"/>
    </xf>
    <xf numFmtId="1" fontId="6" fillId="3" borderId="603" xfId="0" applyNumberFormat="1" applyFont="1" applyFill="1" applyBorder="1" applyAlignment="1">
      <alignment horizontal="left" vertical="center" wrapText="1"/>
    </xf>
    <xf numFmtId="1" fontId="6" fillId="0" borderId="2" xfId="0" applyNumberFormat="1" applyFont="1" applyBorder="1" applyAlignment="1">
      <alignment horizontal="center" vertical="center"/>
    </xf>
    <xf numFmtId="1" fontId="6" fillId="0" borderId="9" xfId="0" applyNumberFormat="1" applyFont="1" applyBorder="1" applyAlignment="1">
      <alignment horizontal="center" vertical="center"/>
    </xf>
    <xf numFmtId="1" fontId="6" fillId="0" borderId="10" xfId="0" applyNumberFormat="1" applyFont="1" applyBorder="1" applyAlignment="1">
      <alignment horizontal="center" vertical="center"/>
    </xf>
    <xf numFmtId="1" fontId="6" fillId="0" borderId="7" xfId="0" applyNumberFormat="1" applyFont="1" applyBorder="1" applyAlignment="1">
      <alignment horizontal="center" vertical="center"/>
    </xf>
    <xf numFmtId="1" fontId="6" fillId="3" borderId="6" xfId="0" applyNumberFormat="1" applyFont="1" applyFill="1" applyBorder="1" applyAlignment="1">
      <alignment horizontal="center" vertical="center" wrapText="1"/>
    </xf>
    <xf numFmtId="1" fontId="6" fillId="3" borderId="8" xfId="0" applyNumberFormat="1" applyFont="1" applyFill="1" applyBorder="1" applyAlignment="1">
      <alignment horizontal="center" vertical="center" wrapText="1"/>
    </xf>
    <xf numFmtId="1" fontId="6" fillId="0" borderId="955" xfId="0" applyNumberFormat="1" applyFont="1" applyBorder="1" applyAlignment="1">
      <alignment horizontal="center" vertical="center"/>
    </xf>
    <xf numFmtId="1" fontId="6" fillId="0" borderId="954" xfId="0" applyNumberFormat="1" applyFont="1" applyBorder="1" applyAlignment="1">
      <alignment horizontal="center" vertical="center"/>
    </xf>
    <xf numFmtId="1" fontId="6" fillId="0" borderId="882" xfId="0" applyNumberFormat="1" applyFont="1" applyBorder="1" applyAlignment="1">
      <alignment horizontal="center" vertical="center" wrapText="1"/>
    </xf>
    <xf numFmtId="1" fontId="6" fillId="0" borderId="534" xfId="0" applyNumberFormat="1" applyFont="1" applyBorder="1" applyAlignment="1">
      <alignment horizontal="center" vertical="center" wrapText="1"/>
    </xf>
    <xf numFmtId="1" fontId="6" fillId="0" borderId="944" xfId="0" applyNumberFormat="1" applyFont="1" applyBorder="1" applyAlignment="1">
      <alignment horizontal="center" vertical="center" wrapText="1"/>
    </xf>
    <xf numFmtId="1" fontId="6" fillId="0" borderId="882" xfId="0" applyNumberFormat="1" applyFont="1" applyBorder="1" applyAlignment="1">
      <alignment horizontal="center" vertical="center"/>
    </xf>
    <xf numFmtId="1" fontId="6" fillId="0" borderId="495" xfId="0" applyNumberFormat="1" applyFont="1" applyBorder="1" applyAlignment="1">
      <alignment horizontal="center" vertical="center"/>
    </xf>
    <xf numFmtId="1" fontId="6" fillId="0" borderId="648" xfId="0" applyNumberFormat="1" applyFont="1" applyBorder="1" applyAlignment="1">
      <alignment horizontal="center" vertical="center"/>
    </xf>
    <xf numFmtId="1" fontId="2" fillId="3" borderId="0" xfId="0" applyNumberFormat="1" applyFont="1" applyFill="1" applyAlignment="1">
      <alignment horizontal="center" vertical="center" wrapText="1"/>
    </xf>
    <xf numFmtId="1" fontId="6" fillId="0" borderId="565" xfId="0" applyNumberFormat="1" applyFont="1" applyBorder="1" applyAlignment="1">
      <alignment horizontal="center" vertical="center"/>
    </xf>
    <xf numFmtId="1" fontId="6" fillId="0" borderId="857" xfId="0" applyNumberFormat="1" applyFont="1" applyBorder="1" applyAlignment="1">
      <alignment horizontal="center" vertical="center" wrapText="1"/>
    </xf>
    <xf numFmtId="1" fontId="6" fillId="0" borderId="871" xfId="0" applyNumberFormat="1" applyFont="1" applyBorder="1" applyAlignment="1">
      <alignment horizontal="center" vertical="center" wrapText="1"/>
    </xf>
    <xf numFmtId="1" fontId="6" fillId="0" borderId="876" xfId="0" applyNumberFormat="1" applyFont="1" applyBorder="1" applyAlignment="1">
      <alignment horizontal="center" vertical="center" wrapText="1"/>
    </xf>
    <xf numFmtId="1" fontId="6" fillId="0" borderId="493" xfId="0" applyNumberFormat="1" applyFont="1" applyBorder="1" applyAlignment="1">
      <alignment horizontal="center" vertical="center" wrapText="1"/>
    </xf>
    <xf numFmtId="1" fontId="6" fillId="0" borderId="0" xfId="0" applyNumberFormat="1" applyFont="1" applyBorder="1" applyAlignment="1">
      <alignment horizontal="center" vertical="center" wrapText="1"/>
    </xf>
    <xf numFmtId="1" fontId="6" fillId="0" borderId="870" xfId="0" applyNumberFormat="1" applyFont="1" applyBorder="1" applyAlignment="1">
      <alignment horizontal="center" vertical="center" wrapText="1"/>
    </xf>
    <xf numFmtId="1" fontId="6" fillId="0" borderId="954" xfId="0" applyNumberFormat="1" applyFont="1" applyBorder="1" applyAlignment="1">
      <alignment horizontal="center" vertical="center" wrapText="1"/>
    </xf>
    <xf numFmtId="1" fontId="6" fillId="0" borderId="870" xfId="0" applyNumberFormat="1" applyFont="1" applyBorder="1" applyAlignment="1">
      <alignment horizontal="center" vertical="center"/>
    </xf>
    <xf numFmtId="1" fontId="6" fillId="0" borderId="296" xfId="0" applyNumberFormat="1" applyFont="1" applyBorder="1" applyAlignment="1">
      <alignment horizontal="center" vertical="center" wrapText="1"/>
    </xf>
    <xf numFmtId="1" fontId="6" fillId="0" borderId="422" xfId="0" applyNumberFormat="1" applyFont="1" applyBorder="1" applyAlignment="1">
      <alignment horizontal="center" vertical="center" wrapText="1"/>
    </xf>
    <xf numFmtId="1" fontId="6" fillId="0" borderId="404" xfId="0" applyNumberFormat="1" applyFont="1" applyBorder="1" applyAlignment="1">
      <alignment horizontal="center" vertical="center"/>
    </xf>
    <xf numFmtId="1" fontId="6" fillId="0" borderId="312" xfId="0" applyNumberFormat="1" applyFont="1" applyBorder="1" applyAlignment="1">
      <alignment horizontal="center" vertical="center"/>
    </xf>
    <xf numFmtId="1" fontId="6" fillId="0" borderId="407" xfId="0" applyNumberFormat="1" applyFont="1" applyBorder="1" applyAlignment="1">
      <alignment horizontal="center" vertical="center"/>
    </xf>
    <xf numFmtId="1" fontId="6" fillId="3" borderId="296" xfId="0" applyNumberFormat="1" applyFont="1" applyFill="1" applyBorder="1" applyAlignment="1">
      <alignment horizontal="center" vertical="center" wrapText="1"/>
    </xf>
    <xf numFmtId="1" fontId="6" fillId="3" borderId="422" xfId="0" applyNumberFormat="1" applyFont="1" applyFill="1" applyBorder="1" applyAlignment="1">
      <alignment horizontal="center" vertical="center" wrapText="1"/>
    </xf>
    <xf numFmtId="1" fontId="6" fillId="0" borderId="404" xfId="0" applyNumberFormat="1" applyFont="1" applyBorder="1" applyAlignment="1">
      <alignment horizontal="center" vertical="center" wrapText="1"/>
    </xf>
    <xf numFmtId="1" fontId="6" fillId="0" borderId="407" xfId="0" applyNumberFormat="1" applyFont="1" applyBorder="1"/>
    <xf numFmtId="1" fontId="6" fillId="0" borderId="407" xfId="0" applyNumberFormat="1" applyFont="1" applyBorder="1" applyAlignment="1">
      <alignment horizontal="center" vertical="center" wrapText="1"/>
    </xf>
    <xf numFmtId="1" fontId="88" fillId="32" borderId="534" xfId="0" applyNumberFormat="1" applyFont="1" applyFill="1" applyBorder="1" applyAlignment="1">
      <alignment horizontal="center" vertical="center" wrapText="1"/>
    </xf>
    <xf numFmtId="1" fontId="51" fillId="0" borderId="40" xfId="9" applyNumberFormat="1" applyFont="1" applyBorder="1" applyAlignment="1">
      <alignment horizontal="left" vertical="center" wrapText="1"/>
    </xf>
    <xf numFmtId="1" fontId="51" fillId="0" borderId="51" xfId="9" applyNumberFormat="1" applyFont="1" applyBorder="1" applyAlignment="1">
      <alignment horizontal="left" vertical="center" wrapText="1"/>
    </xf>
    <xf numFmtId="1" fontId="51" fillId="0" borderId="483" xfId="9" applyNumberFormat="1" applyFont="1" applyBorder="1" applyAlignment="1">
      <alignment horizontal="left" vertical="center" wrapText="1"/>
    </xf>
    <xf numFmtId="1" fontId="51" fillId="0" borderId="559" xfId="9" applyNumberFormat="1" applyFont="1" applyBorder="1" applyAlignment="1">
      <alignment horizontal="left" vertical="center" wrapText="1"/>
    </xf>
    <xf numFmtId="1" fontId="51" fillId="0" borderId="589" xfId="9" applyNumberFormat="1" applyFont="1" applyBorder="1" applyAlignment="1">
      <alignment horizontal="left" vertical="center" wrapText="1"/>
    </xf>
    <xf numFmtId="1" fontId="51" fillId="0" borderId="584" xfId="9" applyNumberFormat="1" applyFont="1" applyBorder="1" applyAlignment="1">
      <alignment horizontal="left" vertical="center" wrapText="1"/>
    </xf>
    <xf numFmtId="1" fontId="6" fillId="0" borderId="550" xfId="0" applyNumberFormat="1" applyFont="1" applyBorder="1" applyAlignment="1">
      <alignment horizontal="center" vertical="center" wrapText="1"/>
    </xf>
    <xf numFmtId="1" fontId="6" fillId="0" borderId="547" xfId="0" applyNumberFormat="1" applyFont="1" applyBorder="1" applyAlignment="1">
      <alignment horizontal="center" vertical="center" wrapText="1"/>
    </xf>
    <xf numFmtId="1" fontId="6" fillId="0" borderId="528" xfId="0" applyNumberFormat="1" applyFont="1" applyBorder="1" applyAlignment="1">
      <alignment horizontal="center" vertical="center" wrapText="1"/>
    </xf>
    <xf numFmtId="1" fontId="6" fillId="0" borderId="496" xfId="0" applyNumberFormat="1" applyFont="1" applyBorder="1" applyAlignment="1">
      <alignment horizontal="center" vertical="center" wrapText="1"/>
    </xf>
    <xf numFmtId="1" fontId="6" fillId="0" borderId="529" xfId="0" applyNumberFormat="1" applyFont="1" applyBorder="1" applyAlignment="1">
      <alignment vertical="center" wrapText="1"/>
    </xf>
    <xf numFmtId="1" fontId="6" fillId="0" borderId="530" xfId="0" applyNumberFormat="1" applyFont="1" applyBorder="1" applyAlignment="1">
      <alignment vertical="center" wrapText="1"/>
    </xf>
    <xf numFmtId="1" fontId="6" fillId="0" borderId="510" xfId="0" applyNumberFormat="1" applyFont="1" applyBorder="1" applyAlignment="1">
      <alignment vertical="center" wrapText="1"/>
    </xf>
    <xf numFmtId="1" fontId="6" fillId="0" borderId="483" xfId="0" applyNumberFormat="1" applyFont="1" applyBorder="1" applyAlignment="1">
      <alignment vertical="center" wrapText="1"/>
    </xf>
    <xf numFmtId="1" fontId="6" fillId="0" borderId="497" xfId="0" applyNumberFormat="1" applyFont="1" applyBorder="1" applyAlignment="1">
      <alignment vertical="center" wrapText="1"/>
    </xf>
    <xf numFmtId="1" fontId="6" fillId="0" borderId="484" xfId="0" applyNumberFormat="1" applyFont="1" applyBorder="1" applyAlignment="1">
      <alignment vertical="center" wrapText="1"/>
    </xf>
    <xf numFmtId="1" fontId="6" fillId="0" borderId="579" xfId="9" applyNumberFormat="1" applyFont="1" applyBorder="1" applyAlignment="1">
      <alignment horizontal="center" vertical="center" wrapText="1"/>
    </xf>
    <xf numFmtId="1" fontId="6" fillId="0" borderId="565" xfId="9" applyNumberFormat="1" applyFont="1" applyBorder="1" applyAlignment="1">
      <alignment horizontal="center" vertical="center" wrapText="1"/>
    </xf>
    <xf numFmtId="1" fontId="15" fillId="0" borderId="483" xfId="9" applyNumberFormat="1" applyFont="1" applyBorder="1" applyAlignment="1">
      <alignment horizontal="center"/>
    </xf>
    <xf numFmtId="1" fontId="15" fillId="0" borderId="484" xfId="9" applyNumberFormat="1" applyFont="1" applyBorder="1" applyAlignment="1">
      <alignment horizontal="center"/>
    </xf>
    <xf numFmtId="1" fontId="51" fillId="0" borderId="604" xfId="9" applyNumberFormat="1" applyFont="1" applyBorder="1" applyAlignment="1">
      <alignment horizontal="left" vertical="center" wrapText="1"/>
    </xf>
    <xf numFmtId="1" fontId="51" fillId="0" borderId="606" xfId="9" applyNumberFormat="1" applyFont="1" applyBorder="1" applyAlignment="1">
      <alignment horizontal="left" vertical="center" wrapText="1"/>
    </xf>
    <xf numFmtId="1" fontId="6" fillId="0" borderId="529" xfId="9" applyNumberFormat="1" applyFont="1" applyBorder="1" applyAlignment="1">
      <alignment horizontal="center" vertical="center" wrapText="1"/>
    </xf>
    <xf numFmtId="1" fontId="6" fillId="0" borderId="510" xfId="9" applyNumberFormat="1" applyFont="1" applyBorder="1" applyAlignment="1">
      <alignment horizontal="center" vertical="center" wrapText="1"/>
    </xf>
    <xf numFmtId="1" fontId="6" fillId="0" borderId="493" xfId="9" applyNumberFormat="1" applyFont="1" applyBorder="1" applyAlignment="1">
      <alignment horizontal="center" vertical="center" wrapText="1"/>
    </xf>
    <xf numFmtId="1" fontId="6" fillId="0" borderId="534" xfId="9" applyNumberFormat="1" applyFont="1" applyBorder="1" applyAlignment="1">
      <alignment horizontal="center" vertical="center" wrapText="1"/>
    </xf>
    <xf numFmtId="1" fontId="6" fillId="0" borderId="483" xfId="9" applyNumberFormat="1" applyFont="1" applyBorder="1" applyAlignment="1">
      <alignment horizontal="center" vertical="center" wrapText="1"/>
    </xf>
    <xf numFmtId="1" fontId="6" fillId="0" borderId="484" xfId="9" applyNumberFormat="1" applyFont="1" applyBorder="1" applyAlignment="1">
      <alignment horizontal="center" vertical="center" wrapText="1"/>
    </xf>
    <xf numFmtId="1" fontId="6" fillId="0" borderId="529" xfId="0" applyNumberFormat="1" applyFont="1" applyBorder="1" applyAlignment="1">
      <alignment horizontal="center" vertical="center" wrapText="1"/>
    </xf>
    <xf numFmtId="1" fontId="6" fillId="0" borderId="510" xfId="0" applyNumberFormat="1" applyFont="1" applyBorder="1" applyAlignment="1">
      <alignment horizontal="center" vertical="center" wrapText="1"/>
    </xf>
    <xf numFmtId="1" fontId="6" fillId="0" borderId="484" xfId="0" applyNumberFormat="1" applyFont="1" applyBorder="1" applyAlignment="1">
      <alignment horizontal="center" vertical="center" wrapText="1"/>
    </xf>
    <xf numFmtId="1" fontId="51" fillId="0" borderId="529" xfId="9" applyNumberFormat="1" applyFont="1" applyBorder="1" applyAlignment="1">
      <alignment horizontal="center" vertical="center" wrapText="1"/>
    </xf>
    <xf numFmtId="1" fontId="51" fillId="0" borderId="510" xfId="9" applyNumberFormat="1" applyFont="1" applyBorder="1" applyAlignment="1">
      <alignment horizontal="center" vertical="center" wrapText="1"/>
    </xf>
    <xf numFmtId="1" fontId="51" fillId="0" borderId="483" xfId="9" applyNumberFormat="1" applyFont="1" applyBorder="1" applyAlignment="1">
      <alignment horizontal="center" vertical="center" wrapText="1"/>
    </xf>
    <xf numFmtId="1" fontId="51" fillId="0" borderId="484" xfId="9" applyNumberFormat="1" applyFont="1" applyBorder="1" applyAlignment="1">
      <alignment horizontal="center" vertical="center" wrapText="1"/>
    </xf>
    <xf numFmtId="1" fontId="51" fillId="0" borderId="550" xfId="0" applyNumberFormat="1" applyFont="1" applyBorder="1" applyAlignment="1">
      <alignment vertical="center" wrapText="1"/>
    </xf>
    <xf numFmtId="1" fontId="51" fillId="0" borderId="547" xfId="0" applyNumberFormat="1" applyFont="1" applyBorder="1" applyAlignment="1">
      <alignment vertical="center" wrapText="1"/>
    </xf>
    <xf numFmtId="1" fontId="6" fillId="0" borderId="532" xfId="0" applyNumberFormat="1" applyFont="1" applyBorder="1" applyAlignment="1">
      <alignment horizontal="center" vertical="center" wrapText="1"/>
    </xf>
    <xf numFmtId="1" fontId="51" fillId="0" borderId="483" xfId="0" applyNumberFormat="1" applyFont="1" applyBorder="1" applyAlignment="1">
      <alignment horizontal="left" wrapText="1"/>
    </xf>
    <xf numFmtId="1" fontId="51" fillId="0" borderId="559" xfId="0" applyNumberFormat="1" applyFont="1" applyBorder="1" applyAlignment="1">
      <alignment horizontal="left" wrapText="1"/>
    </xf>
    <xf numFmtId="1" fontId="6" fillId="0" borderId="604" xfId="0" applyNumberFormat="1" applyFont="1" applyBorder="1" applyAlignment="1">
      <alignment horizontal="center" vertical="center" wrapText="1"/>
    </xf>
    <xf numFmtId="1" fontId="6" fillId="0" borderId="606" xfId="0" applyNumberFormat="1" applyFont="1" applyBorder="1" applyAlignment="1">
      <alignment horizontal="center" vertical="center" wrapText="1"/>
    </xf>
    <xf numFmtId="1" fontId="6" fillId="0" borderId="554" xfId="0" applyNumberFormat="1" applyFont="1" applyBorder="1" applyAlignment="1">
      <alignment horizontal="center" vertical="center" wrapText="1"/>
    </xf>
    <xf numFmtId="1" fontId="6" fillId="0" borderId="553" xfId="0" applyNumberFormat="1" applyFont="1" applyBorder="1" applyAlignment="1">
      <alignment horizontal="center" vertical="center" wrapText="1"/>
    </xf>
    <xf numFmtId="1" fontId="51" fillId="0" borderId="529" xfId="0" applyNumberFormat="1" applyFont="1" applyBorder="1" applyAlignment="1">
      <alignment horizontal="center" vertical="center" wrapText="1"/>
    </xf>
    <xf numFmtId="1" fontId="51" fillId="0" borderId="510" xfId="0" applyNumberFormat="1" applyFont="1" applyBorder="1" applyAlignment="1">
      <alignment horizontal="center" vertical="center" wrapText="1"/>
    </xf>
    <xf numFmtId="1" fontId="51" fillId="0" borderId="493" xfId="0" applyNumberFormat="1" applyFont="1" applyBorder="1" applyAlignment="1">
      <alignment horizontal="center" vertical="center" wrapText="1"/>
    </xf>
    <xf numFmtId="1" fontId="51" fillId="0" borderId="534" xfId="0" applyNumberFormat="1" applyFont="1" applyBorder="1" applyAlignment="1">
      <alignment horizontal="center" vertical="center" wrapText="1"/>
    </xf>
    <xf numFmtId="1" fontId="51" fillId="0" borderId="483" xfId="0" applyNumberFormat="1" applyFont="1" applyBorder="1" applyAlignment="1">
      <alignment horizontal="center" vertical="center" wrapText="1"/>
    </xf>
    <xf numFmtId="1" fontId="51" fillId="0" borderId="484" xfId="0" applyNumberFormat="1" applyFont="1" applyBorder="1" applyAlignment="1">
      <alignment horizontal="center" vertical="center" wrapText="1"/>
    </xf>
    <xf numFmtId="1" fontId="51" fillId="0" borderId="589" xfId="0" applyNumberFormat="1" applyFont="1" applyBorder="1" applyAlignment="1">
      <alignment horizontal="left" vertical="center"/>
    </xf>
    <xf numFmtId="1" fontId="51" fillId="0" borderId="584" xfId="0" applyNumberFormat="1" applyFont="1" applyBorder="1" applyAlignment="1">
      <alignment horizontal="left" vertical="center"/>
    </xf>
    <xf numFmtId="1" fontId="51" fillId="0" borderId="23" xfId="0" applyNumberFormat="1" applyFont="1" applyBorder="1" applyAlignment="1">
      <alignment horizontal="left" wrapText="1"/>
    </xf>
    <xf numFmtId="1" fontId="51" fillId="0" borderId="21" xfId="0" applyNumberFormat="1" applyFont="1" applyBorder="1" applyAlignment="1">
      <alignment horizontal="left" wrapText="1"/>
    </xf>
    <xf numFmtId="1" fontId="6" fillId="0" borderId="604" xfId="0" applyNumberFormat="1" applyFont="1" applyBorder="1" applyAlignment="1">
      <alignment horizontal="left" vertical="center" wrapText="1"/>
    </xf>
    <xf numFmtId="1" fontId="6" fillId="0" borderId="606" xfId="0" applyNumberFormat="1" applyFont="1" applyBorder="1" applyAlignment="1">
      <alignment horizontal="left" vertical="center" wrapText="1"/>
    </xf>
    <xf numFmtId="1" fontId="2" fillId="3" borderId="160" xfId="0" applyNumberFormat="1" applyFont="1" applyFill="1" applyBorder="1" applyAlignment="1">
      <alignment horizontal="center" vertical="center" wrapText="1"/>
    </xf>
    <xf numFmtId="1" fontId="55" fillId="3" borderId="530" xfId="0" applyNumberFormat="1" applyFont="1" applyFill="1" applyBorder="1" applyAlignment="1">
      <alignment wrapText="1"/>
    </xf>
    <xf numFmtId="1" fontId="51" fillId="0" borderId="620" xfId="0" applyNumberFormat="1" applyFont="1" applyBorder="1" applyAlignment="1">
      <alignment horizontal="center" vertical="center" wrapText="1"/>
    </xf>
    <xf numFmtId="1" fontId="51" fillId="0" borderId="588" xfId="0" applyNumberFormat="1" applyFont="1" applyBorder="1" applyAlignment="1">
      <alignment horizontal="center" vertical="center" wrapText="1"/>
    </xf>
    <xf numFmtId="1" fontId="51" fillId="0" borderId="559" xfId="0" applyNumberFormat="1" applyFont="1" applyBorder="1" applyAlignment="1">
      <alignment horizontal="center" vertical="center" wrapText="1"/>
    </xf>
    <xf numFmtId="1" fontId="51" fillId="0" borderId="529" xfId="0" applyNumberFormat="1" applyFont="1" applyBorder="1" applyAlignment="1">
      <alignment vertical="center" wrapText="1"/>
    </xf>
    <xf numFmtId="1" fontId="51" fillId="0" borderId="530" xfId="0" applyNumberFormat="1" applyFont="1" applyBorder="1" applyAlignment="1">
      <alignment vertical="center" wrapText="1"/>
    </xf>
    <xf numFmtId="1" fontId="51" fillId="0" borderId="510" xfId="0" applyNumberFormat="1" applyFont="1" applyBorder="1" applyAlignment="1">
      <alignment vertical="center" wrapText="1"/>
    </xf>
    <xf numFmtId="1" fontId="51" fillId="0" borderId="483" xfId="0" applyNumberFormat="1" applyFont="1" applyBorder="1" applyAlignment="1">
      <alignment vertical="center" wrapText="1"/>
    </xf>
    <xf numFmtId="1" fontId="51" fillId="0" borderId="497" xfId="0" applyNumberFormat="1" applyFont="1" applyBorder="1" applyAlignment="1">
      <alignment vertical="center" wrapText="1"/>
    </xf>
    <xf numFmtId="1" fontId="51" fillId="0" borderId="484" xfId="0" applyNumberFormat="1" applyFont="1" applyBorder="1" applyAlignment="1">
      <alignment vertical="center" wrapText="1"/>
    </xf>
    <xf numFmtId="1" fontId="51" fillId="0" borderId="550" xfId="0" applyNumberFormat="1" applyFont="1" applyBorder="1" applyAlignment="1">
      <alignment horizontal="center" vertical="center" wrapText="1"/>
    </xf>
    <xf numFmtId="1" fontId="51" fillId="0" borderId="547" xfId="0" applyNumberFormat="1" applyFont="1" applyBorder="1" applyAlignment="1">
      <alignment horizontal="center" vertical="center" wrapText="1"/>
    </xf>
    <xf numFmtId="1" fontId="51" fillId="0" borderId="532" xfId="0" applyNumberFormat="1" applyFont="1" applyBorder="1" applyAlignment="1">
      <alignment horizontal="center" vertical="center" wrapText="1"/>
    </xf>
    <xf numFmtId="1" fontId="51" fillId="0" borderId="552" xfId="0" applyNumberFormat="1" applyFont="1" applyBorder="1" applyAlignment="1">
      <alignment horizontal="center" vertical="center" wrapText="1"/>
    </xf>
    <xf numFmtId="1" fontId="51" fillId="0" borderId="553" xfId="0" applyNumberFormat="1" applyFont="1" applyBorder="1" applyAlignment="1">
      <alignment horizontal="center" vertical="center" wrapText="1"/>
    </xf>
    <xf numFmtId="1" fontId="51" fillId="15" borderId="550" xfId="0" applyNumberFormat="1" applyFont="1" applyFill="1" applyBorder="1" applyAlignment="1">
      <alignment horizontal="center" vertical="center" wrapText="1"/>
    </xf>
    <xf numFmtId="1" fontId="51" fillId="15" borderId="547" xfId="0" applyNumberFormat="1" applyFont="1" applyFill="1" applyBorder="1" applyAlignment="1">
      <alignment horizontal="center" vertical="center" wrapText="1"/>
    </xf>
    <xf numFmtId="1" fontId="51" fillId="15" borderId="532" xfId="0" applyNumberFormat="1" applyFont="1" applyFill="1" applyBorder="1" applyAlignment="1">
      <alignment horizontal="center" vertical="center" wrapText="1"/>
    </xf>
    <xf numFmtId="1" fontId="51" fillId="0" borderId="551" xfId="0" applyNumberFormat="1" applyFont="1" applyBorder="1" applyAlignment="1">
      <alignment horizontal="center" vertical="center" wrapText="1"/>
    </xf>
    <xf numFmtId="1" fontId="51" fillId="0" borderId="588" xfId="0" applyNumberFormat="1" applyFont="1" applyBorder="1" applyAlignment="1">
      <alignment horizontal="center" vertical="center"/>
    </xf>
    <xf numFmtId="1" fontId="51" fillId="0" borderId="534" xfId="0" applyNumberFormat="1" applyFont="1" applyBorder="1" applyAlignment="1">
      <alignment horizontal="center" vertical="center"/>
    </xf>
    <xf numFmtId="1" fontId="51" fillId="0" borderId="559" xfId="0" applyNumberFormat="1" applyFont="1" applyBorder="1" applyAlignment="1">
      <alignment horizontal="center" vertical="center"/>
    </xf>
    <xf numFmtId="1" fontId="6" fillId="0" borderId="197" xfId="0" applyNumberFormat="1" applyFont="1" applyBorder="1" applyAlignment="1">
      <alignment horizontal="center" vertical="center" wrapText="1"/>
    </xf>
    <xf numFmtId="1" fontId="6" fillId="0" borderId="620" xfId="0" applyNumberFormat="1" applyFont="1" applyBorder="1" applyAlignment="1">
      <alignment horizontal="center" vertical="center" wrapText="1"/>
    </xf>
    <xf numFmtId="1" fontId="6" fillId="0" borderId="580" xfId="0" applyNumberFormat="1" applyFont="1" applyBorder="1" applyAlignment="1">
      <alignment horizontal="center" vertical="center" wrapText="1"/>
    </xf>
    <xf numFmtId="1" fontId="6" fillId="0" borderId="626" xfId="0" applyNumberFormat="1" applyFont="1" applyBorder="1" applyAlignment="1">
      <alignment horizontal="center" vertical="center" wrapText="1"/>
    </xf>
    <xf numFmtId="1" fontId="6" fillId="0" borderId="37" xfId="0" applyNumberFormat="1" applyFont="1" applyBorder="1" applyAlignment="1">
      <alignment horizontal="center" vertical="center" wrapText="1"/>
    </xf>
    <xf numFmtId="1" fontId="6" fillId="0" borderId="24" xfId="0" applyNumberFormat="1" applyFont="1" applyBorder="1" applyAlignment="1">
      <alignment horizontal="center" vertical="center" wrapText="1"/>
    </xf>
    <xf numFmtId="1" fontId="4" fillId="3" borderId="497" xfId="0" applyNumberFormat="1" applyFont="1" applyFill="1" applyBorder="1" applyAlignment="1">
      <alignment horizontal="left" wrapText="1"/>
    </xf>
    <xf numFmtId="1" fontId="6" fillId="0" borderId="529" xfId="0" applyNumberFormat="1" applyFont="1" applyBorder="1" applyAlignment="1">
      <alignment horizontal="center" vertical="center"/>
    </xf>
    <xf numFmtId="1" fontId="6" fillId="0" borderId="510" xfId="0" applyNumberFormat="1" applyFont="1" applyBorder="1" applyAlignment="1">
      <alignment horizontal="center" vertical="center"/>
    </xf>
    <xf numFmtId="1" fontId="6" fillId="0" borderId="0" xfId="0" applyNumberFormat="1" applyFont="1" applyBorder="1" applyAlignment="1">
      <alignment horizontal="center" vertical="center"/>
    </xf>
    <xf numFmtId="1" fontId="6" fillId="0" borderId="534" xfId="0" applyNumberFormat="1" applyFont="1" applyBorder="1" applyAlignment="1">
      <alignment horizontal="center" vertical="center"/>
    </xf>
    <xf numFmtId="1" fontId="6" fillId="0" borderId="497" xfId="0" applyNumberFormat="1" applyFont="1" applyBorder="1" applyAlignment="1">
      <alignment horizontal="center" vertical="center"/>
    </xf>
    <xf numFmtId="1" fontId="6" fillId="0" borderId="484" xfId="0" applyNumberFormat="1" applyFont="1" applyBorder="1" applyAlignment="1">
      <alignment horizontal="center" vertical="center"/>
    </xf>
    <xf numFmtId="1" fontId="6" fillId="0" borderId="873" xfId="0" applyNumberFormat="1" applyFont="1" applyBorder="1" applyAlignment="1">
      <alignment horizontal="center" vertical="center"/>
    </xf>
    <xf numFmtId="1" fontId="6" fillId="0" borderId="874" xfId="0" applyNumberFormat="1" applyFont="1" applyBorder="1" applyAlignment="1">
      <alignment horizontal="center" vertical="center"/>
    </xf>
    <xf numFmtId="1" fontId="6" fillId="0" borderId="873" xfId="0" applyNumberFormat="1" applyFont="1" applyBorder="1" applyAlignment="1">
      <alignment horizontal="center" vertical="center" wrapText="1"/>
    </xf>
    <xf numFmtId="1" fontId="6" fillId="0" borderId="874" xfId="0" applyNumberFormat="1" applyFont="1" applyBorder="1" applyAlignment="1">
      <alignment horizontal="center" vertical="center" wrapText="1"/>
    </xf>
    <xf numFmtId="1" fontId="6" fillId="0" borderId="589" xfId="0" applyNumberFormat="1" applyFont="1" applyBorder="1" applyAlignment="1">
      <alignment horizontal="left" vertical="center"/>
    </xf>
    <xf numFmtId="1" fontId="6" fillId="0" borderId="584" xfId="0" applyNumberFormat="1" applyFont="1" applyBorder="1" applyAlignment="1">
      <alignment horizontal="left" vertical="center"/>
    </xf>
    <xf numFmtId="1" fontId="6" fillId="0" borderId="40" xfId="0" applyNumberFormat="1" applyFont="1" applyBorder="1" applyAlignment="1">
      <alignment horizontal="left" vertical="center"/>
    </xf>
    <xf numFmtId="1" fontId="6" fillId="0" borderId="51" xfId="0" applyNumberFormat="1" applyFont="1" applyBorder="1" applyAlignment="1">
      <alignment horizontal="left" vertical="center"/>
    </xf>
    <xf numFmtId="1" fontId="6" fillId="0" borderId="531" xfId="0" applyNumberFormat="1" applyFont="1" applyBorder="1" applyAlignment="1">
      <alignment horizontal="center" vertical="center" wrapText="1"/>
    </xf>
    <xf numFmtId="1" fontId="6" fillId="0" borderId="509" xfId="0" applyNumberFormat="1" applyFont="1" applyBorder="1" applyAlignment="1">
      <alignment horizontal="center" vertical="center" wrapText="1"/>
    </xf>
    <xf numFmtId="1" fontId="6" fillId="0" borderId="493" xfId="0" applyNumberFormat="1" applyFont="1" applyBorder="1" applyAlignment="1">
      <alignment vertical="center" wrapText="1"/>
    </xf>
    <xf numFmtId="1" fontId="6" fillId="0" borderId="0" xfId="0" applyNumberFormat="1" applyFont="1" applyAlignment="1">
      <alignment vertical="center" wrapText="1"/>
    </xf>
    <xf numFmtId="1" fontId="6" fillId="0" borderId="534" xfId="0" applyNumberFormat="1" applyFont="1" applyBorder="1" applyAlignment="1">
      <alignment vertical="center" wrapText="1"/>
    </xf>
    <xf numFmtId="1" fontId="6" fillId="0" borderId="0" xfId="0" applyNumberFormat="1" applyFont="1" applyAlignment="1">
      <alignment horizontal="center" vertical="center"/>
    </xf>
    <xf numFmtId="1" fontId="6" fillId="15" borderId="532" xfId="0" applyNumberFormat="1" applyFont="1" applyFill="1" applyBorder="1" applyAlignment="1">
      <alignment horizontal="center" vertical="center" wrapText="1"/>
    </xf>
    <xf numFmtId="1" fontId="6" fillId="15" borderId="509" xfId="0" applyNumberFormat="1" applyFont="1" applyFill="1" applyBorder="1" applyAlignment="1">
      <alignment horizontal="center" vertical="center" wrapText="1"/>
    </xf>
    <xf numFmtId="1" fontId="40" fillId="0" borderId="40" xfId="0" applyNumberFormat="1" applyFont="1" applyBorder="1" applyAlignment="1">
      <alignment horizontal="left" vertical="center"/>
    </xf>
    <xf numFmtId="1" fontId="40" fillId="0" borderId="51" xfId="0" applyNumberFormat="1" applyFont="1" applyBorder="1" applyAlignment="1">
      <alignment horizontal="left" vertical="center"/>
    </xf>
    <xf numFmtId="1" fontId="6" fillId="0" borderId="23" xfId="0" applyNumberFormat="1" applyFont="1" applyBorder="1" applyAlignment="1">
      <alignment horizontal="left" vertical="center"/>
    </xf>
    <xf numFmtId="1" fontId="6" fillId="0" borderId="21" xfId="0" applyNumberFormat="1" applyFont="1" applyBorder="1" applyAlignment="1">
      <alignment horizontal="left" vertical="center"/>
    </xf>
    <xf numFmtId="1" fontId="6" fillId="0" borderId="37" xfId="0" applyNumberFormat="1" applyFont="1" applyBorder="1" applyAlignment="1">
      <alignment horizontal="left"/>
    </xf>
    <xf numFmtId="1" fontId="6" fillId="0" borderId="24" xfId="0" applyNumberFormat="1" applyFont="1" applyBorder="1" applyAlignment="1">
      <alignment horizontal="left"/>
    </xf>
    <xf numFmtId="1" fontId="6" fillId="0" borderId="604" xfId="0" applyNumberFormat="1" applyFont="1" applyBorder="1" applyAlignment="1">
      <alignment vertical="center"/>
    </xf>
    <xf numFmtId="1" fontId="24" fillId="0" borderId="606" xfId="0" applyNumberFormat="1" applyFont="1" applyBorder="1"/>
    <xf numFmtId="1" fontId="6" fillId="0" borderId="86" xfId="0" applyNumberFormat="1" applyFont="1" applyBorder="1" applyAlignment="1">
      <alignment horizontal="left"/>
    </xf>
    <xf numFmtId="1" fontId="6" fillId="0" borderId="21" xfId="0" applyNumberFormat="1" applyFont="1" applyBorder="1" applyAlignment="1">
      <alignment horizontal="left"/>
    </xf>
    <xf numFmtId="1" fontId="4" fillId="3" borderId="0" xfId="0" applyNumberFormat="1" applyFont="1" applyFill="1" applyAlignment="1">
      <alignment wrapText="1"/>
    </xf>
    <xf numFmtId="1" fontId="6" fillId="0" borderId="588" xfId="0" applyNumberFormat="1" applyFont="1" applyBorder="1" applyAlignment="1">
      <alignment horizontal="center" vertical="center" wrapText="1"/>
    </xf>
    <xf numFmtId="1" fontId="6" fillId="0" borderId="198" xfId="0" applyNumberFormat="1" applyFont="1" applyBorder="1" applyAlignment="1">
      <alignment horizontal="center" vertical="center" wrapText="1"/>
    </xf>
    <xf numFmtId="1" fontId="6" fillId="0" borderId="604" xfId="0" applyNumberFormat="1" applyFont="1" applyBorder="1" applyAlignment="1">
      <alignment vertical="center" wrapText="1"/>
    </xf>
    <xf numFmtId="1" fontId="6" fillId="0" borderId="608" xfId="0" applyNumberFormat="1" applyFont="1" applyBorder="1" applyAlignment="1">
      <alignment vertical="center" wrapText="1"/>
    </xf>
    <xf numFmtId="1" fontId="6" fillId="0" borderId="606" xfId="0" applyNumberFormat="1" applyFont="1" applyBorder="1" applyAlignment="1">
      <alignment vertical="center" wrapText="1"/>
    </xf>
    <xf numFmtId="1" fontId="6" fillId="0" borderId="85" xfId="0" applyNumberFormat="1" applyFont="1" applyBorder="1" applyAlignment="1">
      <alignment horizontal="left"/>
    </xf>
    <xf numFmtId="1" fontId="6" fillId="0" borderId="51" xfId="0" applyNumberFormat="1" applyFont="1" applyBorder="1" applyAlignment="1">
      <alignment horizontal="left"/>
    </xf>
    <xf numFmtId="1" fontId="6" fillId="0" borderId="629" xfId="0" applyNumberFormat="1" applyFont="1" applyBorder="1" applyAlignment="1">
      <alignment horizontal="left"/>
    </xf>
    <xf numFmtId="1" fontId="6" fillId="0" borderId="584" xfId="0" applyNumberFormat="1" applyFont="1" applyBorder="1" applyAlignment="1">
      <alignment horizontal="left"/>
    </xf>
    <xf numFmtId="1" fontId="6" fillId="0" borderId="559" xfId="0" applyNumberFormat="1" applyFont="1" applyBorder="1" applyAlignment="1">
      <alignment horizontal="center" vertical="center" wrapText="1"/>
    </xf>
    <xf numFmtId="1" fontId="6" fillId="0" borderId="0" xfId="0" applyNumberFormat="1" applyFont="1" applyAlignment="1">
      <alignment horizontal="left"/>
    </xf>
    <xf numFmtId="1" fontId="6" fillId="0" borderId="534" xfId="0" applyNumberFormat="1" applyFont="1" applyBorder="1" applyAlignment="1">
      <alignment horizontal="left"/>
    </xf>
    <xf numFmtId="1" fontId="6" fillId="0" borderId="626" xfId="0" applyNumberFormat="1" applyFont="1" applyBorder="1" applyAlignment="1">
      <alignment horizontal="left" vertical="center" wrapText="1"/>
    </xf>
    <xf numFmtId="1" fontId="6" fillId="0" borderId="565" xfId="0" applyNumberFormat="1" applyFont="1" applyBorder="1" applyAlignment="1">
      <alignment horizontal="left" vertical="center" wrapText="1"/>
    </xf>
    <xf numFmtId="1" fontId="6" fillId="0" borderId="85" xfId="0" applyNumberFormat="1" applyFont="1" applyBorder="1" applyAlignment="1">
      <alignment horizontal="left" vertical="center" wrapText="1"/>
    </xf>
    <xf numFmtId="1" fontId="6" fillId="0" borderId="51" xfId="0" applyNumberFormat="1" applyFont="1" applyBorder="1" applyAlignment="1">
      <alignment horizontal="left" vertical="center" wrapText="1"/>
    </xf>
    <xf numFmtId="1" fontId="6" fillId="0" borderId="528" xfId="0" applyNumberFormat="1" applyFont="1" applyBorder="1" applyAlignment="1">
      <alignment vertical="center" wrapText="1"/>
    </xf>
    <xf numFmtId="1" fontId="6" fillId="0" borderId="496" xfId="0" applyNumberFormat="1" applyFont="1" applyBorder="1" applyAlignment="1">
      <alignment vertical="center" wrapText="1"/>
    </xf>
    <xf numFmtId="1" fontId="6" fillId="0" borderId="506" xfId="0" applyNumberFormat="1" applyFont="1" applyBorder="1" applyAlignment="1">
      <alignment horizontal="center"/>
    </xf>
    <xf numFmtId="1" fontId="6" fillId="0" borderId="626" xfId="0" applyNumberFormat="1" applyFont="1" applyBorder="1" applyAlignment="1">
      <alignment horizontal="left"/>
    </xf>
    <xf numFmtId="1" fontId="6" fillId="0" borderId="506" xfId="0" applyNumberFormat="1" applyFont="1" applyBorder="1" applyAlignment="1">
      <alignment horizontal="center" vertical="center" wrapText="1"/>
    </xf>
    <xf numFmtId="1" fontId="6" fillId="0" borderId="604" xfId="0" applyNumberFormat="1" applyFont="1" applyBorder="1" applyAlignment="1">
      <alignment horizontal="left" vertical="center"/>
    </xf>
    <xf numFmtId="1" fontId="6" fillId="0" borderId="606" xfId="0" applyNumberFormat="1" applyFont="1" applyBorder="1" applyAlignment="1">
      <alignment horizontal="left" vertical="center"/>
    </xf>
    <xf numFmtId="1" fontId="6" fillId="0" borderId="561" xfId="0" applyNumberFormat="1" applyFont="1" applyBorder="1" applyAlignment="1">
      <alignment horizontal="left" vertical="center"/>
    </xf>
    <xf numFmtId="1" fontId="6" fillId="0" borderId="538" xfId="0" applyNumberFormat="1" applyFont="1" applyBorder="1" applyAlignment="1">
      <alignment horizontal="left" vertical="center"/>
    </xf>
    <xf numFmtId="1" fontId="6" fillId="0" borderId="40" xfId="0" applyNumberFormat="1" applyFont="1" applyBorder="1" applyAlignment="1">
      <alignment horizontal="left" vertical="center" wrapText="1"/>
    </xf>
    <xf numFmtId="1" fontId="6" fillId="0" borderId="23" xfId="0" applyNumberFormat="1" applyFont="1" applyBorder="1" applyAlignment="1">
      <alignment horizontal="left" vertical="center" wrapText="1"/>
    </xf>
    <xf numFmtId="1" fontId="6" fillId="0" borderId="21" xfId="0" applyNumberFormat="1" applyFont="1" applyBorder="1" applyAlignment="1">
      <alignment horizontal="left" vertical="center" wrapText="1"/>
    </xf>
    <xf numFmtId="1" fontId="6" fillId="0" borderId="621" xfId="0" applyNumberFormat="1" applyFont="1" applyBorder="1" applyAlignment="1">
      <alignment horizontal="center" vertical="center" wrapText="1"/>
    </xf>
    <xf numFmtId="1" fontId="6" fillId="0" borderId="497" xfId="0" applyNumberFormat="1" applyFont="1" applyBorder="1" applyAlignment="1">
      <alignment horizontal="center" vertical="center" wrapText="1"/>
    </xf>
    <xf numFmtId="1" fontId="6" fillId="0" borderId="620" xfId="0" applyNumberFormat="1" applyFont="1" applyBorder="1" applyAlignment="1">
      <alignment vertical="center" wrapText="1"/>
    </xf>
    <xf numFmtId="1" fontId="6" fillId="0" borderId="621" xfId="0" applyNumberFormat="1" applyFont="1" applyBorder="1" applyAlignment="1">
      <alignment vertical="center" wrapText="1"/>
    </xf>
    <xf numFmtId="1" fontId="6" fillId="0" borderId="588" xfId="0" applyNumberFormat="1" applyFont="1" applyBorder="1" applyAlignment="1">
      <alignment vertical="center" wrapText="1"/>
    </xf>
    <xf numFmtId="1" fontId="6" fillId="0" borderId="559" xfId="0" applyNumberFormat="1" applyFont="1" applyBorder="1" applyAlignment="1">
      <alignment vertical="center" wrapText="1"/>
    </xf>
    <xf numFmtId="1" fontId="6" fillId="0" borderId="608" xfId="0" applyNumberFormat="1" applyFont="1" applyBorder="1" applyAlignment="1">
      <alignment horizontal="center" vertical="center" wrapText="1"/>
    </xf>
    <xf numFmtId="1" fontId="6" fillId="0" borderId="574" xfId="0" applyNumberFormat="1" applyFont="1" applyBorder="1" applyAlignment="1">
      <alignment horizontal="center" vertical="center" wrapText="1"/>
    </xf>
    <xf numFmtId="1" fontId="6" fillId="0" borderId="603" xfId="0" applyNumberFormat="1" applyFont="1" applyBorder="1" applyAlignment="1">
      <alignment horizontal="center" vertical="center" wrapText="1"/>
    </xf>
    <xf numFmtId="1" fontId="6" fillId="0" borderId="577" xfId="0" applyNumberFormat="1" applyFont="1" applyBorder="1" applyAlignment="1">
      <alignment horizontal="center" vertical="center" wrapText="1"/>
    </xf>
    <xf numFmtId="1" fontId="6" fillId="0" borderId="573" xfId="0" applyNumberFormat="1" applyFont="1" applyBorder="1" applyAlignment="1">
      <alignment vertical="center" wrapText="1"/>
    </xf>
    <xf numFmtId="1" fontId="6" fillId="0" borderId="612" xfId="0" applyNumberFormat="1" applyFont="1" applyBorder="1" applyAlignment="1">
      <alignment vertical="center" wrapText="1"/>
    </xf>
    <xf numFmtId="1" fontId="6" fillId="0" borderId="613" xfId="0" applyNumberFormat="1" applyFont="1" applyBorder="1" applyAlignment="1">
      <alignment vertical="center" wrapText="1"/>
    </xf>
    <xf numFmtId="1" fontId="6" fillId="0" borderId="531" xfId="0" applyNumberFormat="1" applyFont="1" applyBorder="1" applyAlignment="1">
      <alignment horizontal="center" vertical="center"/>
    </xf>
    <xf numFmtId="1" fontId="6" fillId="0" borderId="532" xfId="0" applyNumberFormat="1" applyFont="1" applyBorder="1" applyAlignment="1">
      <alignment horizontal="center" vertical="center"/>
    </xf>
    <xf numFmtId="1" fontId="6" fillId="0" borderId="509" xfId="0" applyNumberFormat="1" applyFont="1" applyBorder="1" applyAlignment="1">
      <alignment horizontal="center" vertical="center"/>
    </xf>
    <xf numFmtId="1" fontId="6" fillId="0" borderId="589" xfId="0" applyNumberFormat="1" applyFont="1" applyBorder="1" applyAlignment="1">
      <alignment vertical="center" wrapText="1"/>
    </xf>
    <xf numFmtId="1" fontId="6" fillId="0" borderId="584" xfId="0" applyNumberFormat="1" applyFont="1" applyBorder="1" applyAlignment="1">
      <alignment vertical="center" wrapText="1"/>
    </xf>
    <xf numFmtId="1" fontId="6" fillId="0" borderId="40" xfId="0" applyNumberFormat="1" applyFont="1" applyBorder="1" applyAlignment="1">
      <alignment vertical="center" wrapText="1"/>
    </xf>
    <xf numFmtId="1" fontId="6" fillId="0" borderId="51" xfId="0" applyNumberFormat="1" applyFont="1" applyBorder="1" applyAlignment="1">
      <alignment vertical="center" wrapText="1"/>
    </xf>
    <xf numFmtId="1" fontId="6" fillId="0" borderId="23" xfId="0" applyNumberFormat="1" applyFont="1" applyBorder="1" applyAlignment="1">
      <alignment vertical="center" wrapText="1"/>
    </xf>
    <xf numFmtId="1" fontId="6" fillId="0" borderId="21" xfId="0" applyNumberFormat="1" applyFont="1" applyBorder="1" applyAlignment="1">
      <alignment vertical="center" wrapText="1"/>
    </xf>
    <xf numFmtId="1" fontId="6" fillId="0" borderId="493" xfId="0" applyNumberFormat="1" applyFont="1" applyBorder="1" applyAlignment="1">
      <alignment horizontal="center" vertical="center"/>
    </xf>
    <xf numFmtId="1" fontId="6" fillId="0" borderId="483" xfId="0" applyNumberFormat="1" applyFont="1" applyBorder="1" applyAlignment="1">
      <alignment horizontal="center" vertical="center"/>
    </xf>
    <xf numFmtId="1" fontId="6" fillId="0" borderId="858" xfId="0" applyNumberFormat="1" applyFont="1" applyBorder="1" applyAlignment="1">
      <alignment horizontal="center" vertical="center" wrapText="1"/>
    </xf>
    <xf numFmtId="1" fontId="6" fillId="0" borderId="868" xfId="0" applyNumberFormat="1" applyFont="1" applyBorder="1" applyAlignment="1">
      <alignment horizontal="center" vertical="center" wrapText="1"/>
    </xf>
    <xf numFmtId="1" fontId="6" fillId="0" borderId="861" xfId="0" applyNumberFormat="1" applyFont="1" applyBorder="1" applyAlignment="1">
      <alignment horizontal="center" vertical="center" wrapText="1"/>
    </xf>
    <xf numFmtId="1" fontId="6" fillId="0" borderId="648" xfId="0" applyNumberFormat="1" applyFont="1" applyBorder="1" applyAlignment="1">
      <alignment horizontal="center" vertical="center" wrapText="1"/>
    </xf>
    <xf numFmtId="1" fontId="6" fillId="0" borderId="533" xfId="0" applyNumberFormat="1" applyFont="1" applyBorder="1" applyAlignment="1">
      <alignment horizontal="center" vertical="center"/>
    </xf>
    <xf numFmtId="1" fontId="6" fillId="0" borderId="533" xfId="0" applyNumberFormat="1" applyFont="1" applyBorder="1" applyAlignment="1">
      <alignment horizontal="center" vertical="center" wrapText="1"/>
    </xf>
    <xf numFmtId="1" fontId="51" fillId="0" borderId="556" xfId="0" applyNumberFormat="1" applyFont="1" applyBorder="1" applyAlignment="1">
      <alignment horizontal="center" vertical="center" wrapText="1"/>
    </xf>
    <xf numFmtId="1" fontId="6" fillId="0" borderId="549" xfId="0" applyNumberFormat="1" applyFont="1" applyBorder="1" applyAlignment="1">
      <alignment horizontal="center" vertical="center" wrapText="1"/>
    </xf>
    <xf numFmtId="1" fontId="6" fillId="0" borderId="548" xfId="0" applyNumberFormat="1" applyFont="1" applyBorder="1" applyAlignment="1">
      <alignment horizontal="center" vertical="center" wrapText="1"/>
    </xf>
    <xf numFmtId="1" fontId="6" fillId="0" borderId="486" xfId="0" applyNumberFormat="1" applyFont="1" applyBorder="1" applyAlignment="1">
      <alignment vertical="center" wrapText="1"/>
    </xf>
    <xf numFmtId="1" fontId="6" fillId="0" borderId="487" xfId="0" applyNumberFormat="1" applyFont="1" applyBorder="1" applyAlignment="1">
      <alignment vertical="center" wrapText="1"/>
    </xf>
    <xf numFmtId="1" fontId="6" fillId="0" borderId="489" xfId="0" applyNumberFormat="1" applyFont="1" applyBorder="1" applyAlignment="1">
      <alignment vertical="center" wrapText="1"/>
    </xf>
    <xf numFmtId="1" fontId="6" fillId="0" borderId="20" xfId="0" applyNumberFormat="1" applyFont="1" applyBorder="1" applyAlignment="1">
      <alignment vertical="center" wrapText="1"/>
    </xf>
    <xf numFmtId="1" fontId="6" fillId="0" borderId="46" xfId="0" applyNumberFormat="1" applyFont="1" applyBorder="1" applyAlignment="1">
      <alignment vertical="center" wrapText="1"/>
    </xf>
    <xf numFmtId="1" fontId="6" fillId="0" borderId="22" xfId="0" applyNumberFormat="1" applyFont="1" applyBorder="1" applyAlignment="1">
      <alignment vertical="center" wrapText="1"/>
    </xf>
    <xf numFmtId="1" fontId="6" fillId="0" borderId="551" xfId="0" applyNumberFormat="1" applyFont="1" applyBorder="1" applyAlignment="1">
      <alignment horizontal="center" vertical="center"/>
    </xf>
    <xf numFmtId="1" fontId="6" fillId="0" borderId="552" xfId="0" applyNumberFormat="1" applyFont="1" applyBorder="1" applyAlignment="1">
      <alignment horizontal="center" vertical="center"/>
    </xf>
    <xf numFmtId="1" fontId="6" fillId="0" borderId="553" xfId="0" applyNumberFormat="1" applyFont="1" applyBorder="1" applyAlignment="1">
      <alignment horizontal="center" vertical="center"/>
    </xf>
    <xf numFmtId="1" fontId="51" fillId="0" borderId="589" xfId="0" applyNumberFormat="1" applyFont="1" applyBorder="1" applyAlignment="1">
      <alignment horizontal="left" vertical="center" wrapText="1"/>
    </xf>
    <xf numFmtId="1" fontId="51" fillId="0" borderId="584" xfId="0" applyNumberFormat="1" applyFont="1" applyBorder="1" applyAlignment="1">
      <alignment horizontal="left" vertical="center" wrapText="1"/>
    </xf>
    <xf numFmtId="1" fontId="51" fillId="0" borderId="40" xfId="0" applyNumberFormat="1" applyFont="1" applyBorder="1" applyAlignment="1">
      <alignment horizontal="left"/>
    </xf>
    <xf numFmtId="1" fontId="51" fillId="0" borderId="51" xfId="0" applyNumberFormat="1" applyFont="1" applyBorder="1" applyAlignment="1">
      <alignment horizontal="left"/>
    </xf>
    <xf numFmtId="1" fontId="6" fillId="0" borderId="529" xfId="10" applyNumberFormat="1" applyFont="1" applyBorder="1" applyAlignment="1">
      <alignment vertical="center"/>
    </xf>
    <xf numFmtId="1" fontId="6" fillId="0" borderId="530" xfId="10" applyNumberFormat="1" applyFont="1" applyBorder="1" applyAlignment="1">
      <alignment vertical="center"/>
    </xf>
    <xf numFmtId="1" fontId="6" fillId="0" borderId="510" xfId="10" applyNumberFormat="1" applyFont="1" applyBorder="1" applyAlignment="1">
      <alignment vertical="center"/>
    </xf>
    <xf numFmtId="1" fontId="6" fillId="0" borderId="483" xfId="10" applyNumberFormat="1" applyFont="1" applyBorder="1" applyAlignment="1">
      <alignment vertical="center"/>
    </xf>
    <xf numFmtId="1" fontId="6" fillId="0" borderId="497" xfId="10" applyNumberFormat="1" applyFont="1" applyBorder="1" applyAlignment="1">
      <alignment vertical="center"/>
    </xf>
    <xf numFmtId="1" fontId="6" fillId="0" borderId="484" xfId="10" applyNumberFormat="1" applyFont="1" applyBorder="1" applyAlignment="1">
      <alignment vertical="center"/>
    </xf>
    <xf numFmtId="1" fontId="6" fillId="0" borderId="550" xfId="0" applyNumberFormat="1" applyFont="1" applyBorder="1" applyAlignment="1">
      <alignment horizontal="center" vertical="center"/>
    </xf>
    <xf numFmtId="1" fontId="6" fillId="0" borderId="547" xfId="0" applyNumberFormat="1" applyFont="1" applyBorder="1" applyAlignment="1">
      <alignment horizontal="center" vertical="center"/>
    </xf>
    <xf numFmtId="1" fontId="88" fillId="32" borderId="0" xfId="0" applyNumberFormat="1" applyFont="1" applyFill="1" applyBorder="1" applyAlignment="1">
      <alignment horizontal="center" vertical="center" wrapText="1"/>
    </xf>
    <xf numFmtId="1" fontId="6" fillId="0" borderId="550" xfId="9" quotePrefix="1" applyNumberFormat="1" applyFont="1" applyBorder="1" applyAlignment="1">
      <alignment horizontal="center" vertical="center" wrapText="1"/>
    </xf>
    <xf numFmtId="1" fontId="6" fillId="0" borderId="532" xfId="9" quotePrefix="1" applyNumberFormat="1" applyFont="1" applyBorder="1" applyAlignment="1">
      <alignment horizontal="center" vertical="center" wrapText="1"/>
    </xf>
    <xf numFmtId="1" fontId="6" fillId="0" borderId="547" xfId="9" quotePrefix="1" applyNumberFormat="1" applyFont="1" applyBorder="1" applyAlignment="1">
      <alignment horizontal="center" vertical="center" wrapText="1"/>
    </xf>
    <xf numFmtId="1" fontId="68" fillId="0" borderId="529" xfId="9" applyNumberFormat="1" applyFont="1" applyBorder="1" applyAlignment="1">
      <alignment horizontal="center" vertical="center" wrapText="1"/>
    </xf>
    <xf numFmtId="1" fontId="68" fillId="0" borderId="510" xfId="9" applyNumberFormat="1" applyFont="1" applyBorder="1" applyAlignment="1">
      <alignment horizontal="center" vertical="center" wrapText="1"/>
    </xf>
    <xf numFmtId="1" fontId="68" fillId="0" borderId="483" xfId="9" applyNumberFormat="1" applyFont="1" applyBorder="1" applyAlignment="1">
      <alignment horizontal="center" vertical="center" wrapText="1"/>
    </xf>
    <xf numFmtId="1" fontId="68" fillId="0" borderId="484" xfId="9" applyNumberFormat="1" applyFont="1" applyBorder="1" applyAlignment="1">
      <alignment horizontal="center" vertical="center" wrapText="1"/>
    </xf>
    <xf numFmtId="1" fontId="51" fillId="0" borderId="528" xfId="9" applyNumberFormat="1" applyFont="1" applyBorder="1" applyAlignment="1">
      <alignment horizontal="center" vertical="center" wrapText="1"/>
    </xf>
    <xf numFmtId="1" fontId="51" fillId="0" borderId="496" xfId="9" applyNumberFormat="1" applyFont="1" applyBorder="1" applyAlignment="1">
      <alignment horizontal="center" vertical="center" wrapText="1"/>
    </xf>
    <xf numFmtId="1" fontId="51" fillId="0" borderId="557" xfId="9" applyNumberFormat="1" applyFont="1" applyBorder="1" applyAlignment="1">
      <alignment horizontal="center" vertical="center" wrapText="1"/>
    </xf>
    <xf numFmtId="1" fontId="51" fillId="0" borderId="514" xfId="9" applyNumberFormat="1" applyFont="1" applyBorder="1" applyAlignment="1">
      <alignment horizontal="center" vertical="center" wrapText="1"/>
    </xf>
    <xf numFmtId="1" fontId="51" fillId="0" borderId="550" xfId="9" quotePrefix="1" applyNumberFormat="1" applyFont="1" applyBorder="1" applyAlignment="1">
      <alignment horizontal="center" vertical="center" wrapText="1"/>
    </xf>
    <xf numFmtId="1" fontId="51" fillId="0" borderId="532" xfId="9" quotePrefix="1" applyNumberFormat="1" applyFont="1" applyBorder="1" applyAlignment="1">
      <alignment horizontal="center" vertical="center" wrapText="1"/>
    </xf>
    <xf numFmtId="1" fontId="51" fillId="0" borderId="547" xfId="9" quotePrefix="1" applyNumberFormat="1" applyFont="1" applyBorder="1" applyAlignment="1">
      <alignment horizontal="center" vertical="center" wrapText="1"/>
    </xf>
    <xf numFmtId="1" fontId="51" fillId="0" borderId="530" xfId="9" applyNumberFormat="1" applyFont="1" applyBorder="1" applyAlignment="1">
      <alignment horizontal="center" vertical="center" wrapText="1"/>
    </xf>
    <xf numFmtId="1" fontId="51" fillId="0" borderId="497" xfId="9" applyNumberFormat="1" applyFont="1" applyBorder="1" applyAlignment="1">
      <alignment horizontal="center" vertical="center" wrapText="1"/>
    </xf>
    <xf numFmtId="1" fontId="51" fillId="0" borderId="493" xfId="9" applyNumberFormat="1" applyFont="1" applyBorder="1" applyAlignment="1">
      <alignment horizontal="center" vertical="center" wrapText="1"/>
    </xf>
    <xf numFmtId="1" fontId="51" fillId="0" borderId="534" xfId="9" applyNumberFormat="1" applyFont="1" applyBorder="1" applyAlignment="1">
      <alignment horizontal="center" vertical="center" wrapText="1"/>
    </xf>
    <xf numFmtId="1" fontId="51" fillId="0" borderId="529" xfId="10" applyNumberFormat="1" applyFont="1" applyBorder="1" applyAlignment="1">
      <alignment vertical="center"/>
    </xf>
    <xf numFmtId="1" fontId="51" fillId="0" borderId="530" xfId="10" applyNumberFormat="1" applyFont="1" applyBorder="1" applyAlignment="1">
      <alignment vertical="center"/>
    </xf>
    <xf numFmtId="1" fontId="51" fillId="0" borderId="510" xfId="10" applyNumberFormat="1" applyFont="1" applyBorder="1" applyAlignment="1">
      <alignment vertical="center"/>
    </xf>
    <xf numFmtId="1" fontId="51" fillId="0" borderId="483" xfId="10" applyNumberFormat="1" applyFont="1" applyBorder="1" applyAlignment="1">
      <alignment vertical="center"/>
    </xf>
    <xf numFmtId="1" fontId="51" fillId="0" borderId="497" xfId="10" applyNumberFormat="1" applyFont="1" applyBorder="1" applyAlignment="1">
      <alignment vertical="center"/>
    </xf>
    <xf numFmtId="1" fontId="51" fillId="0" borderId="484" xfId="10" applyNumberFormat="1" applyFont="1" applyBorder="1" applyAlignment="1">
      <alignment vertical="center"/>
    </xf>
    <xf numFmtId="1" fontId="60" fillId="3" borderId="0" xfId="0" applyNumberFormat="1" applyFont="1" applyFill="1" applyAlignment="1">
      <alignment horizontal="center" vertical="center" wrapText="1"/>
    </xf>
    <xf numFmtId="1" fontId="6" fillId="0" borderId="296" xfId="0" applyNumberFormat="1" applyFont="1" applyBorder="1" applyAlignment="1">
      <alignment horizontal="center" vertical="center"/>
    </xf>
    <xf numFmtId="1" fontId="6" fillId="0" borderId="339" xfId="0" applyNumberFormat="1" applyFont="1" applyBorder="1" applyAlignment="1">
      <alignment horizontal="center" vertical="center"/>
    </xf>
    <xf numFmtId="1" fontId="6" fillId="0" borderId="333" xfId="0" applyNumberFormat="1" applyFont="1" applyBorder="1" applyAlignment="1">
      <alignment horizontal="center" vertical="center" wrapText="1"/>
    </xf>
    <xf numFmtId="1" fontId="6" fillId="0" borderId="316" xfId="0" applyNumberFormat="1" applyFont="1" applyBorder="1" applyAlignment="1">
      <alignment horizontal="center" vertical="center" wrapText="1"/>
    </xf>
    <xf numFmtId="1" fontId="6" fillId="0" borderId="335" xfId="0" applyNumberFormat="1" applyFont="1" applyBorder="1" applyAlignment="1">
      <alignment horizontal="center" vertical="center" wrapText="1"/>
    </xf>
    <xf numFmtId="1" fontId="6" fillId="0" borderId="341" xfId="0" applyNumberFormat="1" applyFont="1" applyBorder="1" applyAlignment="1">
      <alignment horizontal="center" vertical="center" wrapText="1"/>
    </xf>
    <xf numFmtId="1" fontId="6" fillId="0" borderId="340" xfId="0" applyNumberFormat="1" applyFont="1" applyBorder="1" applyAlignment="1">
      <alignment horizontal="center" vertical="center" wrapText="1"/>
    </xf>
    <xf numFmtId="1" fontId="6" fillId="0" borderId="342" xfId="0" applyNumberFormat="1" applyFont="1" applyBorder="1" applyAlignment="1">
      <alignment horizontal="center" vertical="center" wrapText="1"/>
    </xf>
    <xf numFmtId="1" fontId="6" fillId="0" borderId="306" xfId="0" applyNumberFormat="1" applyFont="1" applyBorder="1" applyAlignment="1">
      <alignment horizontal="center" vertical="center"/>
    </xf>
    <xf numFmtId="1" fontId="6" fillId="0" borderId="324" xfId="0" applyNumberFormat="1" applyFont="1" applyBorder="1" applyAlignment="1">
      <alignment horizontal="center" vertical="center"/>
    </xf>
    <xf numFmtId="1" fontId="6" fillId="0" borderId="337" xfId="0" applyNumberFormat="1" applyFont="1" applyBorder="1" applyAlignment="1">
      <alignment horizontal="center" vertical="center"/>
    </xf>
    <xf numFmtId="1" fontId="6" fillId="0" borderId="355" xfId="0" applyNumberFormat="1" applyFont="1" applyBorder="1" applyAlignment="1">
      <alignment horizontal="center" vertical="center" wrapText="1"/>
    </xf>
    <xf numFmtId="1" fontId="6" fillId="0" borderId="224" xfId="0" applyNumberFormat="1" applyFont="1" applyBorder="1" applyAlignment="1">
      <alignment horizontal="center" vertical="center" wrapText="1"/>
    </xf>
    <xf numFmtId="1" fontId="6" fillId="0" borderId="115" xfId="0" applyNumberFormat="1" applyFont="1" applyBorder="1" applyAlignment="1">
      <alignment horizontal="center" vertical="center" wrapText="1"/>
    </xf>
    <xf numFmtId="1" fontId="6" fillId="0" borderId="356" xfId="0" applyNumberFormat="1" applyFont="1" applyBorder="1" applyAlignment="1">
      <alignment horizontal="center" vertical="center" wrapText="1"/>
    </xf>
    <xf numFmtId="1" fontId="6" fillId="0" borderId="203" xfId="0" applyNumberFormat="1" applyFont="1" applyBorder="1" applyAlignment="1">
      <alignment horizontal="center" vertical="center" wrapText="1"/>
    </xf>
    <xf numFmtId="1" fontId="6" fillId="0" borderId="204" xfId="0" applyNumberFormat="1" applyFont="1" applyBorder="1" applyAlignment="1">
      <alignment horizontal="center" vertical="center" wrapText="1"/>
    </xf>
    <xf numFmtId="1" fontId="6" fillId="0" borderId="306" xfId="0" applyNumberFormat="1" applyFont="1" applyBorder="1" applyAlignment="1">
      <alignment horizontal="center" vertical="center" wrapText="1"/>
    </xf>
    <xf numFmtId="1" fontId="6" fillId="0" borderId="337" xfId="0" applyNumberFormat="1" applyFont="1" applyBorder="1" applyAlignment="1">
      <alignment horizontal="center" vertical="center" wrapText="1"/>
    </xf>
    <xf numFmtId="1" fontId="51" fillId="0" borderId="335" xfId="0" applyNumberFormat="1" applyFont="1" applyBorder="1" applyAlignment="1">
      <alignment horizontal="center" vertical="center" wrapText="1"/>
    </xf>
    <xf numFmtId="1" fontId="51" fillId="0" borderId="81" xfId="0" applyNumberFormat="1" applyFont="1" applyBorder="1" applyAlignment="1">
      <alignment horizontal="center" vertical="center" wrapText="1"/>
    </xf>
    <xf numFmtId="1" fontId="51" fillId="0" borderId="342" xfId="0" applyNumberFormat="1" applyFont="1" applyBorder="1" applyAlignment="1">
      <alignment horizontal="center" vertical="center" wrapText="1"/>
    </xf>
    <xf numFmtId="1" fontId="51" fillId="0" borderId="356" xfId="0" applyNumberFormat="1" applyFont="1" applyBorder="1" applyAlignment="1">
      <alignment horizontal="center" vertical="center" wrapText="1"/>
    </xf>
    <xf numFmtId="1" fontId="51" fillId="0" borderId="203" xfId="0" applyNumberFormat="1" applyFont="1" applyBorder="1" applyAlignment="1">
      <alignment horizontal="center" vertical="center" wrapText="1"/>
    </xf>
    <xf numFmtId="1" fontId="51" fillId="0" borderId="204" xfId="0" applyNumberFormat="1" applyFont="1" applyBorder="1" applyAlignment="1">
      <alignment horizontal="center" vertical="center" wrapText="1"/>
    </xf>
    <xf numFmtId="1" fontId="6" fillId="0" borderId="304" xfId="0" applyNumberFormat="1" applyFont="1" applyBorder="1" applyAlignment="1">
      <alignment horizontal="center" vertical="center"/>
    </xf>
    <xf numFmtId="1" fontId="6" fillId="0" borderId="291" xfId="0" applyNumberFormat="1" applyFont="1" applyBorder="1" applyAlignment="1">
      <alignment horizontal="center" vertical="center"/>
    </xf>
    <xf numFmtId="1" fontId="6" fillId="0" borderId="365" xfId="0" applyNumberFormat="1" applyFont="1" applyBorder="1" applyAlignment="1">
      <alignment horizontal="center" vertical="center" wrapText="1"/>
    </xf>
    <xf numFmtId="1" fontId="6" fillId="0" borderId="339" xfId="0" applyNumberFormat="1" applyFont="1" applyBorder="1" applyAlignment="1">
      <alignment horizontal="center" vertical="center" wrapText="1"/>
    </xf>
    <xf numFmtId="1" fontId="6" fillId="0" borderId="367" xfId="0" applyNumberFormat="1" applyFont="1" applyBorder="1" applyAlignment="1">
      <alignment horizontal="center" vertical="center" wrapText="1"/>
    </xf>
    <xf numFmtId="1" fontId="6" fillId="0" borderId="324" xfId="0" applyNumberFormat="1" applyFont="1" applyBorder="1" applyAlignment="1">
      <alignment horizontal="center" vertical="center" wrapText="1"/>
    </xf>
    <xf numFmtId="1" fontId="28" fillId="3" borderId="0" xfId="0" applyNumberFormat="1" applyFont="1" applyFill="1" applyAlignment="1">
      <alignment horizontal="center" wrapText="1"/>
    </xf>
    <xf numFmtId="1" fontId="6" fillId="0" borderId="368" xfId="0" applyNumberFormat="1" applyFont="1" applyBorder="1" applyAlignment="1">
      <alignment horizontal="center" vertical="center" wrapText="1"/>
    </xf>
    <xf numFmtId="1" fontId="6" fillId="0" borderId="375" xfId="0" applyNumberFormat="1" applyFont="1" applyBorder="1" applyAlignment="1">
      <alignment horizontal="center" vertical="center"/>
    </xf>
    <xf numFmtId="1" fontId="6" fillId="0" borderId="375" xfId="0" applyNumberFormat="1" applyFont="1" applyBorder="1" applyAlignment="1">
      <alignment horizontal="center" vertical="center" wrapText="1"/>
    </xf>
    <xf numFmtId="1" fontId="6" fillId="0" borderId="387" xfId="0" applyNumberFormat="1" applyFont="1" applyBorder="1" applyAlignment="1">
      <alignment horizontal="center" vertical="center" wrapText="1"/>
    </xf>
    <xf numFmtId="1" fontId="6" fillId="0" borderId="27" xfId="0" applyNumberFormat="1" applyFont="1" applyBorder="1" applyAlignment="1">
      <alignment horizontal="center" vertical="center" wrapText="1"/>
    </xf>
    <xf numFmtId="1" fontId="6" fillId="0" borderId="388" xfId="0" applyNumberFormat="1" applyFont="1" applyBorder="1" applyAlignment="1">
      <alignment horizontal="center" vertical="center" wrapText="1"/>
    </xf>
    <xf numFmtId="1" fontId="6" fillId="0" borderId="28" xfId="0" applyNumberFormat="1" applyFont="1" applyBorder="1" applyAlignment="1">
      <alignment horizontal="center" vertical="center" wrapText="1"/>
    </xf>
    <xf numFmtId="1" fontId="6" fillId="0" borderId="365" xfId="0" applyNumberFormat="1" applyFont="1" applyBorder="1" applyAlignment="1">
      <alignment horizontal="center" vertical="center"/>
    </xf>
    <xf numFmtId="1" fontId="6" fillId="0" borderId="366" xfId="0" applyNumberFormat="1" applyFont="1" applyBorder="1" applyAlignment="1">
      <alignment horizontal="center" vertical="center" wrapText="1"/>
    </xf>
    <xf numFmtId="1" fontId="6" fillId="0" borderId="369" xfId="0" applyNumberFormat="1" applyFont="1" applyBorder="1" applyAlignment="1">
      <alignment horizontal="center" vertical="center"/>
    </xf>
    <xf numFmtId="1" fontId="6" fillId="0" borderId="370" xfId="0" applyNumberFormat="1" applyFont="1" applyBorder="1" applyAlignment="1">
      <alignment horizontal="center" vertical="center"/>
    </xf>
    <xf numFmtId="1" fontId="55" fillId="0" borderId="0" xfId="0" applyNumberFormat="1" applyFont="1" applyAlignment="1">
      <alignment horizontal="left"/>
    </xf>
    <xf numFmtId="1" fontId="15" fillId="0" borderId="376" xfId="0" applyNumberFormat="1" applyFont="1" applyBorder="1" applyAlignment="1">
      <alignment horizontal="center" vertical="center" wrapText="1"/>
    </xf>
    <xf numFmtId="1" fontId="15" fillId="0" borderId="377" xfId="0" applyNumberFormat="1" applyFont="1" applyBorder="1" applyAlignment="1">
      <alignment horizontal="center" vertical="center" wrapText="1"/>
    </xf>
    <xf numFmtId="1" fontId="15" fillId="0" borderId="378" xfId="0" applyNumberFormat="1" applyFont="1" applyBorder="1" applyAlignment="1">
      <alignment horizontal="center" vertical="center" wrapText="1"/>
    </xf>
    <xf numFmtId="1" fontId="15" fillId="0" borderId="375" xfId="0" applyNumberFormat="1" applyFont="1" applyBorder="1" applyAlignment="1">
      <alignment horizontal="center" vertical="center" wrapText="1"/>
    </xf>
    <xf numFmtId="1" fontId="51" fillId="3" borderId="375" xfId="0" applyNumberFormat="1" applyFont="1" applyFill="1" applyBorder="1" applyAlignment="1">
      <alignment horizontal="center" vertical="center"/>
    </xf>
    <xf numFmtId="1" fontId="51" fillId="3" borderId="9" xfId="0" applyNumberFormat="1" applyFont="1" applyFill="1" applyBorder="1" applyAlignment="1">
      <alignment horizontal="center" vertical="center"/>
    </xf>
    <xf numFmtId="1" fontId="51" fillId="3" borderId="339" xfId="0" applyNumberFormat="1" applyFont="1" applyFill="1" applyBorder="1" applyAlignment="1">
      <alignment horizontal="center" vertical="center"/>
    </xf>
    <xf numFmtId="1" fontId="51" fillId="0" borderId="391" xfId="0" applyNumberFormat="1" applyFont="1" applyBorder="1" applyAlignment="1">
      <alignment horizontal="center" vertical="center" wrapText="1"/>
    </xf>
    <xf numFmtId="1" fontId="51" fillId="0" borderId="35" xfId="0" applyNumberFormat="1" applyFont="1" applyBorder="1" applyAlignment="1">
      <alignment horizontal="center" vertical="center" wrapText="1"/>
    </xf>
    <xf numFmtId="1" fontId="51" fillId="0" borderId="341" xfId="0" applyNumberFormat="1" applyFont="1" applyBorder="1" applyAlignment="1">
      <alignment horizontal="center" vertical="center" wrapText="1"/>
    </xf>
    <xf numFmtId="1" fontId="51" fillId="0" borderId="384" xfId="0" applyNumberFormat="1" applyFont="1" applyBorder="1" applyAlignment="1">
      <alignment horizontal="center" vertical="center" wrapText="1"/>
    </xf>
    <xf numFmtId="1" fontId="51" fillId="0" borderId="392" xfId="0" applyNumberFormat="1" applyFont="1" applyBorder="1" applyAlignment="1">
      <alignment horizontal="center" vertical="center" wrapText="1"/>
    </xf>
    <xf numFmtId="1" fontId="51" fillId="0" borderId="340" xfId="0" applyNumberFormat="1" applyFont="1" applyBorder="1" applyAlignment="1">
      <alignment horizontal="center" vertical="center" wrapText="1"/>
    </xf>
    <xf numFmtId="1" fontId="51" fillId="0" borderId="376" xfId="0" applyNumberFormat="1" applyFont="1" applyBorder="1" applyAlignment="1">
      <alignment horizontal="center" vertical="center"/>
    </xf>
    <xf numFmtId="1" fontId="51" fillId="0" borderId="378" xfId="0" applyNumberFormat="1" applyFont="1" applyBorder="1" applyAlignment="1">
      <alignment horizontal="center" vertical="center"/>
    </xf>
    <xf numFmtId="1" fontId="51" fillId="0" borderId="393" xfId="0" applyNumberFormat="1" applyFont="1" applyBorder="1" applyAlignment="1">
      <alignment horizontal="center" vertical="center"/>
    </xf>
    <xf numFmtId="1" fontId="51" fillId="0" borderId="394" xfId="0" applyNumberFormat="1" applyFont="1" applyBorder="1" applyAlignment="1">
      <alignment horizontal="center" vertical="center" wrapText="1"/>
    </xf>
    <xf numFmtId="1" fontId="51" fillId="0" borderId="253" xfId="0" applyNumberFormat="1" applyFont="1" applyBorder="1" applyAlignment="1">
      <alignment horizontal="center" vertical="center" wrapText="1"/>
    </xf>
    <xf numFmtId="1" fontId="51" fillId="0" borderId="105" xfId="0" applyNumberFormat="1" applyFont="1" applyBorder="1" applyAlignment="1">
      <alignment horizontal="center" vertical="center" wrapText="1"/>
    </xf>
    <xf numFmtId="1" fontId="51" fillId="0" borderId="306" xfId="0" applyNumberFormat="1" applyFont="1" applyBorder="1" applyAlignment="1">
      <alignment horizontal="center" vertical="center"/>
    </xf>
    <xf numFmtId="1" fontId="51" fillId="0" borderId="370" xfId="0" applyNumberFormat="1" applyFont="1" applyBorder="1" applyAlignment="1">
      <alignment horizontal="center" vertical="center"/>
    </xf>
    <xf numFmtId="1" fontId="51" fillId="0" borderId="309" xfId="0" applyNumberFormat="1" applyFont="1" applyBorder="1" applyAlignment="1">
      <alignment horizontal="center" vertical="center"/>
    </xf>
    <xf numFmtId="1" fontId="52" fillId="0" borderId="396" xfId="0" applyNumberFormat="1" applyFont="1" applyBorder="1" applyAlignment="1">
      <alignment horizontal="left" vertical="center"/>
    </xf>
    <xf numFmtId="1" fontId="52" fillId="0" borderId="397" xfId="0" applyNumberFormat="1" applyFont="1" applyBorder="1" applyAlignment="1">
      <alignment horizontal="left" vertical="center"/>
    </xf>
    <xf numFmtId="1" fontId="52" fillId="0" borderId="398" xfId="0" applyNumberFormat="1" applyFont="1" applyBorder="1" applyAlignment="1">
      <alignment horizontal="left" vertical="center"/>
    </xf>
    <xf numFmtId="1" fontId="52" fillId="0" borderId="604" xfId="0" applyNumberFormat="1" applyFont="1" applyBorder="1" applyAlignment="1">
      <alignment horizontal="left" vertical="center"/>
    </xf>
    <xf numFmtId="1" fontId="52" fillId="0" borderId="575" xfId="0" applyNumberFormat="1" applyFont="1" applyBorder="1" applyAlignment="1">
      <alignment horizontal="left" vertical="center"/>
    </xf>
    <xf numFmtId="1" fontId="52" fillId="0" borderId="578" xfId="0" applyNumberFormat="1" applyFont="1" applyBorder="1" applyAlignment="1">
      <alignment horizontal="left" vertical="center"/>
    </xf>
    <xf numFmtId="1" fontId="4" fillId="15" borderId="340" xfId="23" quotePrefix="1" applyNumberFormat="1" applyFont="1" applyFill="1" applyBorder="1" applyAlignment="1">
      <alignment horizontal="left"/>
    </xf>
    <xf numFmtId="1" fontId="51" fillId="0" borderId="365" xfId="23" applyNumberFormat="1" applyFont="1" applyBorder="1" applyAlignment="1">
      <alignment horizontal="center" vertical="center" wrapText="1"/>
    </xf>
    <xf numFmtId="1" fontId="51" fillId="0" borderId="9" xfId="23" applyNumberFormat="1" applyFont="1" applyBorder="1" applyAlignment="1">
      <alignment horizontal="center" vertical="center" wrapText="1"/>
    </xf>
    <xf numFmtId="1" fontId="51" fillId="0" borderId="339" xfId="23" applyNumberFormat="1" applyFont="1" applyBorder="1" applyAlignment="1">
      <alignment horizontal="center" vertical="center" wrapText="1"/>
    </xf>
    <xf numFmtId="1" fontId="51" fillId="0" borderId="366" xfId="4" applyNumberFormat="1" applyFont="1" applyBorder="1" applyAlignment="1">
      <alignment horizontal="center" vertical="center"/>
    </xf>
    <xf numFmtId="1" fontId="51" fillId="0" borderId="368" xfId="4" applyNumberFormat="1" applyFont="1" applyBorder="1" applyAlignment="1">
      <alignment horizontal="center" vertical="center"/>
    </xf>
    <xf numFmtId="1" fontId="51" fillId="0" borderId="341" xfId="4" applyNumberFormat="1" applyFont="1" applyBorder="1" applyAlignment="1">
      <alignment horizontal="center" vertical="center"/>
    </xf>
    <xf numFmtId="1" fontId="51" fillId="0" borderId="342" xfId="4" applyNumberFormat="1" applyFont="1" applyBorder="1" applyAlignment="1">
      <alignment horizontal="center" vertical="center"/>
    </xf>
    <xf numFmtId="1" fontId="51" fillId="0" borderId="365" xfId="4" applyNumberFormat="1" applyFont="1" applyBorder="1" applyAlignment="1">
      <alignment horizontal="center" vertical="top" wrapText="1"/>
    </xf>
    <xf numFmtId="1" fontId="51" fillId="0" borderId="9" xfId="4" applyNumberFormat="1" applyFont="1" applyBorder="1" applyAlignment="1">
      <alignment horizontal="center" vertical="top" wrapText="1"/>
    </xf>
    <xf numFmtId="1" fontId="51" fillId="0" borderId="339" xfId="4" applyNumberFormat="1" applyFont="1" applyBorder="1" applyAlignment="1">
      <alignment horizontal="center" vertical="top" wrapText="1"/>
    </xf>
    <xf numFmtId="1" fontId="51" fillId="0" borderId="603" xfId="0" applyNumberFormat="1" applyFont="1" applyBorder="1" applyAlignment="1">
      <alignment horizontal="center" vertical="center"/>
    </xf>
    <xf numFmtId="1" fontId="51" fillId="0" borderId="385" xfId="0" applyNumberFormat="1" applyFont="1" applyBorder="1" applyAlignment="1">
      <alignment horizontal="center" vertical="center"/>
    </xf>
    <xf numFmtId="1" fontId="51" fillId="0" borderId="385" xfId="0" applyNumberFormat="1" applyFont="1" applyBorder="1" applyAlignment="1">
      <alignment horizontal="center" vertical="center" wrapText="1"/>
    </xf>
    <xf numFmtId="1" fontId="6" fillId="0" borderId="609" xfId="0" applyNumberFormat="1" applyFont="1" applyFill="1" applyBorder="1" applyAlignment="1">
      <alignment horizontal="center" vertical="center"/>
    </xf>
    <xf numFmtId="1" fontId="6" fillId="0" borderId="495" xfId="0" applyNumberFormat="1" applyFont="1" applyFill="1" applyBorder="1" applyAlignment="1">
      <alignment horizontal="center" vertical="center"/>
    </xf>
    <xf numFmtId="1" fontId="6" fillId="0" borderId="565" xfId="0" applyNumberFormat="1" applyFont="1" applyFill="1" applyBorder="1" applyAlignment="1">
      <alignment horizontal="center" vertical="center"/>
    </xf>
    <xf numFmtId="1" fontId="6" fillId="0" borderId="962" xfId="0" applyNumberFormat="1" applyFont="1" applyBorder="1" applyAlignment="1">
      <alignment horizontal="center" vertical="center" wrapText="1"/>
    </xf>
    <xf numFmtId="1" fontId="6" fillId="0" borderId="253" xfId="0" applyNumberFormat="1" applyFont="1" applyBorder="1" applyAlignment="1">
      <alignment horizontal="center" vertical="center" wrapText="1"/>
    </xf>
    <xf numFmtId="1" fontId="6" fillId="0" borderId="912" xfId="0" applyNumberFormat="1" applyFont="1" applyBorder="1" applyAlignment="1">
      <alignment horizontal="center" vertical="center" wrapText="1"/>
    </xf>
    <xf numFmtId="1" fontId="6" fillId="0" borderId="309" xfId="0" applyNumberFormat="1" applyFont="1" applyBorder="1" applyAlignment="1">
      <alignment horizontal="center" vertical="center"/>
    </xf>
    <xf numFmtId="1" fontId="20" fillId="0" borderId="609" xfId="0" applyNumberFormat="1" applyFont="1" applyBorder="1" applyAlignment="1">
      <alignment horizontal="center" vertical="center" wrapText="1"/>
    </xf>
    <xf numFmtId="1" fontId="20" fillId="0" borderId="493" xfId="0" applyNumberFormat="1" applyFont="1" applyBorder="1" applyAlignment="1">
      <alignment horizontal="center" vertical="center" wrapText="1"/>
    </xf>
    <xf numFmtId="1" fontId="20" fillId="0" borderId="195" xfId="0" applyNumberFormat="1" applyFont="1" applyBorder="1" applyAlignment="1">
      <alignment horizontal="center" vertical="center" wrapText="1"/>
    </xf>
    <xf numFmtId="1" fontId="20" fillId="0" borderId="198" xfId="0" applyNumberFormat="1" applyFont="1" applyBorder="1" applyAlignment="1">
      <alignment horizontal="center" vertical="center" wrapText="1"/>
    </xf>
    <xf numFmtId="1" fontId="20" fillId="0" borderId="495" xfId="0" applyNumberFormat="1" applyFont="1" applyBorder="1" applyAlignment="1">
      <alignment horizontal="center" vertical="center" wrapText="1"/>
    </xf>
    <xf numFmtId="1" fontId="20" fillId="0" borderId="648" xfId="0" applyNumberFormat="1" applyFont="1" applyBorder="1" applyAlignment="1">
      <alignment horizontal="center" vertical="center" wrapText="1"/>
    </xf>
    <xf numFmtId="1" fontId="40" fillId="0" borderId="366" xfId="4" applyNumberFormat="1" applyFont="1" applyBorder="1" applyAlignment="1">
      <alignment horizontal="center" vertical="center" wrapText="1"/>
    </xf>
    <xf numFmtId="1" fontId="40" fillId="0" borderId="368" xfId="4" applyNumberFormat="1" applyFont="1" applyBorder="1" applyAlignment="1">
      <alignment horizontal="center" vertical="center" wrapText="1"/>
    </xf>
    <xf numFmtId="1" fontId="40" fillId="0" borderId="341" xfId="4" applyNumberFormat="1" applyFont="1" applyBorder="1" applyAlignment="1">
      <alignment horizontal="center" vertical="center" wrapText="1"/>
    </xf>
    <xf numFmtId="1" fontId="40" fillId="0" borderId="342" xfId="4" applyNumberFormat="1" applyFont="1" applyBorder="1" applyAlignment="1">
      <alignment horizontal="center" vertical="center" wrapText="1"/>
    </xf>
    <xf numFmtId="1" fontId="20" fillId="0" borderId="366" xfId="0" applyNumberFormat="1" applyFont="1" applyBorder="1" applyAlignment="1">
      <alignment horizontal="center" vertical="center"/>
    </xf>
    <xf numFmtId="1" fontId="20" fillId="0" borderId="368" xfId="0" applyNumberFormat="1" applyFont="1" applyBorder="1" applyAlignment="1">
      <alignment horizontal="center" vertical="center"/>
    </xf>
    <xf numFmtId="1" fontId="20" fillId="0" borderId="35" xfId="0" applyNumberFormat="1" applyFont="1" applyBorder="1" applyAlignment="1">
      <alignment horizontal="center" vertical="center"/>
    </xf>
    <xf numFmtId="1" fontId="20" fillId="0" borderId="81" xfId="0" applyNumberFormat="1" applyFont="1" applyBorder="1" applyAlignment="1">
      <alignment horizontal="center" vertical="center"/>
    </xf>
    <xf numFmtId="1" fontId="20" fillId="0" borderId="341" xfId="0" applyNumberFormat="1" applyFont="1" applyBorder="1" applyAlignment="1">
      <alignment horizontal="center" vertical="center"/>
    </xf>
    <xf numFmtId="1" fontId="20" fillId="0" borderId="342" xfId="0" applyNumberFormat="1" applyFont="1" applyBorder="1" applyAlignment="1">
      <alignment horizontal="center" vertical="center"/>
    </xf>
    <xf numFmtId="1" fontId="20" fillId="0" borderId="367" xfId="0" applyNumberFormat="1" applyFont="1" applyBorder="1" applyAlignment="1">
      <alignment horizontal="center" vertical="center"/>
    </xf>
    <xf numFmtId="1" fontId="20" fillId="0" borderId="0" xfId="0" applyNumberFormat="1" applyFont="1" applyAlignment="1">
      <alignment horizontal="center" vertical="center"/>
    </xf>
    <xf numFmtId="1" fontId="20" fillId="0" borderId="340" xfId="0" applyNumberFormat="1" applyFont="1" applyBorder="1" applyAlignment="1">
      <alignment horizontal="center" vertical="center"/>
    </xf>
    <xf numFmtId="1" fontId="20" fillId="0" borderId="366" xfId="0" applyNumberFormat="1" applyFont="1" applyBorder="1" applyAlignment="1">
      <alignment horizontal="center"/>
    </xf>
    <xf numFmtId="1" fontId="20" fillId="0" borderId="368" xfId="0" applyNumberFormat="1" applyFont="1" applyBorder="1" applyAlignment="1">
      <alignment horizontal="center"/>
    </xf>
    <xf numFmtId="1" fontId="6" fillId="0" borderId="366" xfId="23" applyNumberFormat="1" applyFont="1" applyBorder="1" applyAlignment="1">
      <alignment horizontal="center" vertical="center" wrapText="1"/>
    </xf>
    <xf numFmtId="1" fontId="6" fillId="0" borderId="341" xfId="23" applyNumberFormat="1" applyFont="1" applyBorder="1" applyAlignment="1">
      <alignment horizontal="center" vertical="center" wrapText="1"/>
    </xf>
    <xf numFmtId="1" fontId="6" fillId="0" borderId="365" xfId="23" applyNumberFormat="1" applyFont="1" applyBorder="1" applyAlignment="1">
      <alignment horizontal="center" vertical="center" wrapText="1"/>
    </xf>
    <xf numFmtId="1" fontId="6" fillId="0" borderId="339" xfId="23" applyNumberFormat="1" applyFont="1" applyBorder="1" applyAlignment="1">
      <alignment horizontal="center" vertical="center" wrapText="1"/>
    </xf>
    <xf numFmtId="1" fontId="6" fillId="0" borderId="367" xfId="23" applyNumberFormat="1" applyFont="1" applyBorder="1" applyAlignment="1">
      <alignment horizontal="center" vertical="center" wrapText="1"/>
    </xf>
    <xf numFmtId="1" fontId="6" fillId="0" borderId="368" xfId="23" applyNumberFormat="1" applyFont="1" applyBorder="1" applyAlignment="1">
      <alignment horizontal="center" vertical="center" wrapText="1"/>
    </xf>
    <xf numFmtId="1" fontId="6" fillId="0" borderId="305" xfId="0" applyNumberFormat="1" applyFont="1" applyBorder="1" applyAlignment="1">
      <alignment horizontal="center" vertical="center" wrapText="1"/>
    </xf>
    <xf numFmtId="1" fontId="51" fillId="15" borderId="6" xfId="0" applyNumberFormat="1" applyFont="1" applyFill="1" applyBorder="1" applyAlignment="1">
      <alignment horizontal="center" vertical="center" wrapText="1"/>
    </xf>
    <xf numFmtId="1" fontId="51" fillId="15" borderId="8" xfId="0" applyNumberFormat="1" applyFont="1" applyFill="1" applyBorder="1" applyAlignment="1">
      <alignment horizontal="center" vertical="center" wrapText="1"/>
    </xf>
    <xf numFmtId="1" fontId="51" fillId="0" borderId="11" xfId="0" applyNumberFormat="1" applyFont="1" applyBorder="1" applyAlignment="1">
      <alignment horizontal="center" vertical="center" wrapText="1"/>
    </xf>
    <xf numFmtId="1" fontId="51" fillId="0" borderId="26" xfId="0" applyNumberFormat="1" applyFont="1" applyBorder="1" applyAlignment="1">
      <alignment horizontal="center" vertical="center" wrapText="1"/>
    </xf>
    <xf numFmtId="1" fontId="6" fillId="0" borderId="263" xfId="0" applyNumberFormat="1" applyFont="1" applyBorder="1" applyAlignment="1">
      <alignment horizontal="center" vertical="center" wrapText="1"/>
    </xf>
    <xf numFmtId="1" fontId="6" fillId="0" borderId="14" xfId="0" applyNumberFormat="1" applyFont="1" applyBorder="1" applyAlignment="1">
      <alignment horizontal="center" vertical="center" wrapText="1"/>
    </xf>
    <xf numFmtId="1" fontId="6" fillId="0" borderId="14" xfId="0" applyNumberFormat="1" applyFont="1" applyBorder="1" applyAlignment="1">
      <alignment horizontal="center" vertical="center"/>
    </xf>
    <xf numFmtId="1" fontId="6" fillId="0" borderId="6" xfId="0" applyNumberFormat="1" applyFont="1" applyBorder="1" applyAlignment="1" applyProtection="1">
      <alignment horizontal="center" vertical="center"/>
      <protection hidden="1"/>
    </xf>
    <xf numFmtId="1" fontId="6" fillId="0" borderId="8" xfId="0" applyNumberFormat="1" applyFont="1" applyBorder="1" applyAlignment="1" applyProtection="1">
      <alignment horizontal="center" vertical="center"/>
      <protection hidden="1"/>
    </xf>
    <xf numFmtId="1" fontId="6" fillId="15" borderId="172" xfId="0" applyNumberFormat="1" applyFont="1" applyFill="1" applyBorder="1" applyAlignment="1">
      <alignment horizontal="center" vertical="center" wrapText="1"/>
    </xf>
    <xf numFmtId="1" fontId="6" fillId="15" borderId="322" xfId="0" applyNumberFormat="1" applyFont="1" applyFill="1" applyBorder="1" applyAlignment="1">
      <alignment horizontal="center" vertical="center" wrapText="1"/>
    </xf>
    <xf numFmtId="1" fontId="6" fillId="15" borderId="121" xfId="0" applyNumberFormat="1" applyFont="1" applyFill="1" applyBorder="1" applyAlignment="1">
      <alignment horizontal="center" vertical="center" wrapText="1"/>
    </xf>
    <xf numFmtId="1" fontId="51" fillId="0" borderId="2" xfId="0" applyNumberFormat="1" applyFont="1" applyBorder="1" applyAlignment="1">
      <alignment horizontal="center" vertical="center" wrapText="1"/>
    </xf>
    <xf numFmtId="1" fontId="51" fillId="0" borderId="10" xfId="0" applyNumberFormat="1" applyFont="1" applyBorder="1" applyAlignment="1">
      <alignment horizontal="center" vertical="center" wrapText="1"/>
    </xf>
    <xf numFmtId="1" fontId="6" fillId="0" borderId="200" xfId="0" applyNumberFormat="1" applyFont="1" applyBorder="1" applyAlignment="1">
      <alignment horizontal="center"/>
    </xf>
    <xf numFmtId="1" fontId="6" fillId="0" borderId="257" xfId="0" applyNumberFormat="1" applyFont="1" applyBorder="1" applyAlignment="1">
      <alignment horizontal="center"/>
    </xf>
    <xf numFmtId="1" fontId="6" fillId="0" borderId="258" xfId="0" applyNumberFormat="1" applyFont="1" applyBorder="1" applyAlignment="1">
      <alignment horizontal="center"/>
    </xf>
    <xf numFmtId="1" fontId="6" fillId="0" borderId="113" xfId="0" applyNumberFormat="1" applyFont="1" applyBorder="1" applyAlignment="1">
      <alignment horizontal="center" vertical="center" wrapText="1"/>
    </xf>
    <xf numFmtId="1" fontId="6" fillId="0" borderId="187" xfId="0" applyNumberFormat="1" applyFont="1" applyBorder="1" applyAlignment="1">
      <alignment horizontal="center" vertical="center" wrapText="1"/>
    </xf>
    <xf numFmtId="1" fontId="6" fillId="0" borderId="8" xfId="0" applyNumberFormat="1" applyFont="1" applyBorder="1" applyAlignment="1">
      <alignment horizontal="center"/>
    </xf>
    <xf numFmtId="1" fontId="6" fillId="0" borderId="14" xfId="0" applyNumberFormat="1" applyFont="1" applyBorder="1" applyAlignment="1">
      <alignment horizontal="center"/>
    </xf>
    <xf numFmtId="1" fontId="6" fillId="0" borderId="23" xfId="0" applyNumberFormat="1" applyFont="1" applyBorder="1" applyAlignment="1">
      <alignment horizontal="left" wrapText="1"/>
    </xf>
    <xf numFmtId="1" fontId="6" fillId="0" borderId="21" xfId="0" applyNumberFormat="1" applyFont="1" applyBorder="1" applyAlignment="1">
      <alignment horizontal="left" wrapText="1"/>
    </xf>
    <xf numFmtId="1" fontId="6" fillId="0" borderId="312" xfId="0" applyNumberFormat="1" applyFont="1" applyBorder="1" applyAlignment="1">
      <alignment horizontal="center" vertical="center" wrapText="1"/>
    </xf>
    <xf numFmtId="1" fontId="6" fillId="0" borderId="307" xfId="0" applyNumberFormat="1" applyFont="1" applyBorder="1" applyAlignment="1">
      <alignment horizontal="center" vertical="center" wrapText="1"/>
    </xf>
    <xf numFmtId="1" fontId="13" fillId="0" borderId="613" xfId="0" applyNumberFormat="1" applyFont="1" applyBorder="1" applyAlignment="1">
      <alignment horizontal="center" vertical="center"/>
    </xf>
    <xf numFmtId="1" fontId="13" fillId="0" borderId="534" xfId="0" applyNumberFormat="1" applyFont="1" applyBorder="1" applyAlignment="1">
      <alignment horizontal="center" vertical="center"/>
    </xf>
    <xf numFmtId="1" fontId="13" fillId="0" borderId="652" xfId="0" applyNumberFormat="1" applyFont="1" applyBorder="1" applyAlignment="1">
      <alignment horizontal="center" vertical="center"/>
    </xf>
    <xf numFmtId="1" fontId="6" fillId="0" borderId="3" xfId="0" applyNumberFormat="1" applyFont="1" applyBorder="1" applyAlignment="1">
      <alignment horizontal="center" vertical="center"/>
    </xf>
    <xf numFmtId="1" fontId="6" fillId="0" borderId="5" xfId="0" applyNumberFormat="1" applyFont="1" applyBorder="1" applyAlignment="1">
      <alignment horizontal="center" vertical="center"/>
    </xf>
    <xf numFmtId="1" fontId="6" fillId="0" borderId="35" xfId="0" applyNumberFormat="1" applyFont="1" applyBorder="1" applyAlignment="1">
      <alignment horizontal="center" vertical="center"/>
    </xf>
    <xf numFmtId="1" fontId="6" fillId="0" borderId="81" xfId="0" applyNumberFormat="1" applyFont="1" applyBorder="1" applyAlignment="1">
      <alignment horizontal="center" vertical="center"/>
    </xf>
    <xf numFmtId="1" fontId="6" fillId="0" borderId="11" xfId="0" applyNumberFormat="1" applyFont="1" applyBorder="1" applyAlignment="1">
      <alignment horizontal="center" vertical="center"/>
    </xf>
    <xf numFmtId="1" fontId="6" fillId="0" borderId="26" xfId="0" applyNumberFormat="1" applyFont="1" applyBorder="1" applyAlignment="1">
      <alignment horizontal="center" vertical="center"/>
    </xf>
    <xf numFmtId="1" fontId="6" fillId="0" borderId="574" xfId="0" applyNumberFormat="1" applyFont="1" applyBorder="1" applyAlignment="1">
      <alignment horizontal="left" vertical="center"/>
    </xf>
    <xf numFmtId="1" fontId="6" fillId="0" borderId="578" xfId="0" applyNumberFormat="1" applyFont="1" applyBorder="1" applyAlignment="1">
      <alignment horizontal="left" vertical="center"/>
    </xf>
    <xf numFmtId="1" fontId="6" fillId="0" borderId="613" xfId="0" applyNumberFormat="1" applyFont="1" applyBorder="1" applyAlignment="1">
      <alignment horizontal="center" vertical="center" wrapText="1"/>
    </xf>
    <xf numFmtId="1" fontId="6" fillId="0" borderId="657" xfId="0" applyNumberFormat="1" applyFont="1" applyBorder="1" applyAlignment="1">
      <alignment horizontal="center" vertical="center" wrapText="1"/>
    </xf>
    <xf numFmtId="1" fontId="6" fillId="0" borderId="652" xfId="0" applyNumberFormat="1" applyFont="1" applyBorder="1" applyAlignment="1">
      <alignment horizontal="center" vertical="center" wrapText="1"/>
    </xf>
    <xf numFmtId="1" fontId="6" fillId="0" borderId="40" xfId="0" applyNumberFormat="1" applyFont="1" applyBorder="1" applyAlignment="1">
      <alignment horizontal="left" wrapText="1"/>
    </xf>
    <xf numFmtId="1" fontId="6" fillId="0" borderId="51" xfId="0" applyNumberFormat="1" applyFont="1" applyBorder="1" applyAlignment="1">
      <alignment horizontal="left" wrapText="1"/>
    </xf>
    <xf numFmtId="1" fontId="6" fillId="0" borderId="40" xfId="0" applyNumberFormat="1" applyFont="1" applyBorder="1" applyAlignment="1">
      <alignment wrapText="1"/>
    </xf>
    <xf numFmtId="1" fontId="6" fillId="0" borderId="51" xfId="0" applyNumberFormat="1" applyFont="1" applyBorder="1" applyAlignment="1">
      <alignment wrapText="1"/>
    </xf>
    <xf numFmtId="1" fontId="6" fillId="0" borderId="589" xfId="0" applyNumberFormat="1" applyFont="1" applyBorder="1" applyAlignment="1">
      <alignment horizontal="left"/>
    </xf>
    <xf numFmtId="1" fontId="6" fillId="0" borderId="23" xfId="0" applyNumberFormat="1" applyFont="1" applyBorder="1" applyAlignment="1">
      <alignment horizontal="left"/>
    </xf>
    <xf numFmtId="1" fontId="6" fillId="0" borderId="318" xfId="0" applyNumberFormat="1" applyFont="1" applyBorder="1" applyAlignment="1">
      <alignment horizontal="center" vertical="center" wrapText="1"/>
    </xf>
    <xf numFmtId="1" fontId="6" fillId="0" borderId="657" xfId="0" applyNumberFormat="1" applyFont="1" applyBorder="1" applyAlignment="1">
      <alignment horizontal="left"/>
    </xf>
    <xf numFmtId="1" fontId="6" fillId="0" borderId="652" xfId="0" applyNumberFormat="1" applyFont="1" applyBorder="1" applyAlignment="1">
      <alignment horizontal="left"/>
    </xf>
    <xf numFmtId="1" fontId="6" fillId="0" borderId="604" xfId="0" applyNumberFormat="1" applyFont="1" applyBorder="1" applyAlignment="1">
      <alignment horizontal="center" wrapText="1"/>
    </xf>
    <xf numFmtId="1" fontId="6" fillId="0" borderId="606" xfId="0" applyNumberFormat="1" applyFont="1" applyBorder="1" applyAlignment="1">
      <alignment horizontal="center" wrapText="1"/>
    </xf>
    <xf numFmtId="1" fontId="6" fillId="0" borderId="612" xfId="0" applyNumberFormat="1" applyFont="1" applyBorder="1" applyAlignment="1">
      <alignment horizontal="center" vertical="center" wrapText="1"/>
    </xf>
    <xf numFmtId="1" fontId="6" fillId="0" borderId="656" xfId="0" applyNumberFormat="1" applyFont="1" applyBorder="1" applyAlignment="1">
      <alignment horizontal="center" vertical="center" wrapText="1"/>
    </xf>
    <xf numFmtId="1" fontId="6" fillId="0" borderId="491" xfId="0" applyNumberFormat="1" applyFont="1" applyBorder="1" applyAlignment="1">
      <alignment wrapText="1"/>
    </xf>
    <xf numFmtId="1" fontId="6" fillId="0" borderId="39" xfId="0" applyNumberFormat="1" applyFont="1" applyBorder="1" applyAlignment="1">
      <alignment wrapText="1"/>
    </xf>
    <xf numFmtId="1" fontId="6" fillId="0" borderId="609" xfId="0" applyNumberFormat="1" applyFont="1" applyBorder="1" applyAlignment="1">
      <alignment horizontal="left" vertical="center"/>
    </xf>
    <xf numFmtId="1" fontId="6" fillId="0" borderId="648" xfId="0" applyNumberFormat="1" applyFont="1" applyBorder="1" applyAlignment="1">
      <alignment horizontal="left" vertical="center"/>
    </xf>
    <xf numFmtId="1" fontId="6" fillId="0" borderId="609" xfId="0" applyNumberFormat="1" applyFont="1" applyFill="1" applyBorder="1" applyAlignment="1" applyProtection="1">
      <alignment horizontal="center" vertical="center" wrapText="1"/>
      <protection hidden="1"/>
    </xf>
    <xf numFmtId="1" fontId="6" fillId="0" borderId="648" xfId="0" applyNumberFormat="1" applyFont="1" applyFill="1" applyBorder="1" applyAlignment="1" applyProtection="1">
      <alignment horizontal="center" vertical="center" wrapText="1"/>
      <protection hidden="1"/>
    </xf>
    <xf numFmtId="1" fontId="6" fillId="0" borderId="574" xfId="0" applyNumberFormat="1" applyFont="1" applyFill="1" applyBorder="1" applyAlignment="1" applyProtection="1">
      <alignment horizontal="left" vertical="center" wrapText="1"/>
      <protection hidden="1"/>
    </xf>
    <xf numFmtId="1" fontId="6" fillId="0" borderId="578" xfId="0" applyNumberFormat="1" applyFont="1" applyFill="1" applyBorder="1" applyAlignment="1" applyProtection="1">
      <alignment horizontal="left" vertical="center" wrapText="1"/>
      <protection hidden="1"/>
    </xf>
    <xf numFmtId="1" fontId="6" fillId="0" borderId="649" xfId="0" applyNumberFormat="1" applyFont="1" applyBorder="1" applyAlignment="1">
      <alignment horizontal="left" vertical="center"/>
    </xf>
    <xf numFmtId="1" fontId="6" fillId="0" borderId="133" xfId="0" applyNumberFormat="1" applyFont="1" applyBorder="1" applyAlignment="1">
      <alignment horizontal="left" vertical="center"/>
    </xf>
    <xf numFmtId="1" fontId="6" fillId="0" borderId="589" xfId="0" applyNumberFormat="1" applyFont="1" applyBorder="1" applyAlignment="1">
      <alignment wrapText="1"/>
    </xf>
    <xf numFmtId="1" fontId="6" fillId="0" borderId="584" xfId="0" applyNumberFormat="1" applyFont="1" applyBorder="1" applyAlignment="1">
      <alignment wrapText="1"/>
    </xf>
    <xf numFmtId="1" fontId="6" fillId="0" borderId="256" xfId="0" applyNumberFormat="1" applyFont="1" applyBorder="1" applyAlignment="1">
      <alignment horizontal="center" vertical="center"/>
    </xf>
    <xf numFmtId="1" fontId="6" fillId="0" borderId="257" xfId="0" applyNumberFormat="1" applyFont="1" applyBorder="1" applyAlignment="1">
      <alignment horizontal="center" vertical="center"/>
    </xf>
    <xf numFmtId="1" fontId="6" fillId="0" borderId="258" xfId="0" applyNumberFormat="1" applyFont="1" applyBorder="1" applyAlignment="1">
      <alignment horizontal="center" vertical="center"/>
    </xf>
    <xf numFmtId="1" fontId="51" fillId="0" borderId="306" xfId="0" applyNumberFormat="1" applyFont="1" applyBorder="1" applyAlignment="1">
      <alignment horizontal="center" vertical="center" wrapText="1"/>
    </xf>
    <xf numFmtId="1" fontId="51" fillId="0" borderId="309" xfId="0" applyNumberFormat="1" applyFont="1" applyBorder="1" applyAlignment="1">
      <alignment horizontal="center" vertical="center" wrapText="1"/>
    </xf>
    <xf numFmtId="1" fontId="40" fillId="0" borderId="873" xfId="0" applyNumberFormat="1" applyFont="1" applyBorder="1" applyAlignment="1">
      <alignment horizontal="center" vertical="center" wrapText="1"/>
    </xf>
    <xf numFmtId="1" fontId="40" fillId="0" borderId="881" xfId="0" applyNumberFormat="1" applyFont="1" applyBorder="1" applyAlignment="1">
      <alignment horizontal="center" vertical="center" wrapText="1"/>
    </xf>
    <xf numFmtId="1" fontId="6" fillId="0" borderId="19" xfId="0" applyNumberFormat="1" applyFont="1" applyBorder="1" applyAlignment="1">
      <alignment horizontal="left"/>
    </xf>
    <xf numFmtId="1" fontId="6" fillId="0" borderId="62" xfId="0" applyNumberFormat="1" applyFont="1" applyBorder="1" applyAlignment="1">
      <alignment horizontal="left" wrapText="1"/>
    </xf>
    <xf numFmtId="1" fontId="6" fillId="0" borderId="39" xfId="0" applyNumberFormat="1" applyFont="1" applyBorder="1" applyAlignment="1">
      <alignment horizontal="left" wrapText="1"/>
    </xf>
    <xf numFmtId="1" fontId="6" fillId="0" borderId="6" xfId="0" applyNumberFormat="1" applyFont="1" applyBorder="1" applyAlignment="1">
      <alignment horizontal="left" wrapText="1"/>
    </xf>
    <xf numFmtId="1" fontId="6" fillId="0" borderId="8" xfId="0" applyNumberFormat="1" applyFont="1" applyBorder="1" applyAlignment="1">
      <alignment horizontal="left" wrapText="1"/>
    </xf>
    <xf numFmtId="1" fontId="6" fillId="0" borderId="187" xfId="0" applyNumberFormat="1" applyFont="1" applyBorder="1" applyAlignment="1">
      <alignment horizontal="center" vertical="center"/>
    </xf>
    <xf numFmtId="1" fontId="6" fillId="0" borderId="200" xfId="0" applyNumberFormat="1" applyFont="1" applyBorder="1" applyAlignment="1">
      <alignment horizontal="center" vertical="center" wrapText="1"/>
    </xf>
    <xf numFmtId="1" fontId="6" fillId="15" borderId="306" xfId="0" applyNumberFormat="1" applyFont="1" applyFill="1" applyBorder="1" applyAlignment="1">
      <alignment horizontal="center" vertical="center" wrapText="1"/>
    </xf>
    <xf numFmtId="1" fontId="6" fillId="15" borderId="324" xfId="0" applyNumberFormat="1" applyFont="1" applyFill="1" applyBorder="1" applyAlignment="1">
      <alignment horizontal="center" vertical="center" wrapText="1"/>
    </xf>
    <xf numFmtId="1" fontId="6" fillId="15" borderId="307" xfId="0" applyNumberFormat="1" applyFont="1" applyFill="1" applyBorder="1" applyAlignment="1">
      <alignment horizontal="center" vertical="center" wrapText="1"/>
    </xf>
    <xf numFmtId="1" fontId="6" fillId="0" borderId="50" xfId="0" applyNumberFormat="1" applyFont="1" applyBorder="1" applyAlignment="1">
      <alignment horizontal="center" vertical="center" wrapText="1"/>
    </xf>
    <xf numFmtId="1" fontId="15" fillId="0" borderId="10" xfId="0" applyNumberFormat="1" applyFont="1" applyBorder="1" applyAlignment="1">
      <alignment horizontal="left"/>
    </xf>
    <xf numFmtId="1" fontId="15" fillId="0" borderId="603" xfId="0" applyNumberFormat="1" applyFont="1" applyBorder="1" applyAlignment="1">
      <alignment horizontal="left"/>
    </xf>
    <xf numFmtId="1" fontId="6" fillId="0" borderId="589" xfId="0" applyNumberFormat="1" applyFont="1" applyBorder="1" applyAlignment="1">
      <alignment horizontal="left" wrapText="1"/>
    </xf>
    <xf numFmtId="1" fontId="6" fillId="0" borderId="584" xfId="0" applyNumberFormat="1" applyFont="1" applyBorder="1" applyAlignment="1">
      <alignment horizontal="left" wrapText="1"/>
    </xf>
    <xf numFmtId="1" fontId="6" fillId="0" borderId="257" xfId="0" applyNumberFormat="1" applyFont="1" applyBorder="1" applyAlignment="1">
      <alignment horizontal="center" vertical="center" wrapText="1"/>
    </xf>
    <xf numFmtId="1" fontId="6" fillId="0" borderId="97" xfId="0" applyNumberFormat="1" applyFont="1" applyBorder="1" applyAlignment="1">
      <alignment horizontal="center" vertical="center" wrapText="1"/>
    </xf>
    <xf numFmtId="1" fontId="6" fillId="0" borderId="95" xfId="0" applyNumberFormat="1" applyFont="1" applyBorder="1" applyAlignment="1">
      <alignment horizontal="center" vertical="center" wrapText="1"/>
    </xf>
    <xf numFmtId="1" fontId="6" fillId="0" borderId="7" xfId="0" applyNumberFormat="1" applyFont="1" applyBorder="1" applyAlignment="1" applyProtection="1">
      <alignment horizontal="center" vertical="center"/>
      <protection hidden="1"/>
    </xf>
    <xf numFmtId="1" fontId="51" fillId="15" borderId="4" xfId="0" applyNumberFormat="1" applyFont="1" applyFill="1" applyBorder="1" applyAlignment="1">
      <alignment horizontal="center" vertical="center" wrapText="1"/>
    </xf>
    <xf numFmtId="1" fontId="51" fillId="15" borderId="5" xfId="0" applyNumberFormat="1" applyFont="1" applyFill="1" applyBorder="1" applyAlignment="1">
      <alignment horizontal="center" vertical="center" wrapText="1"/>
    </xf>
    <xf numFmtId="1" fontId="51" fillId="15" borderId="50" xfId="0" applyNumberFormat="1" applyFont="1" applyFill="1" applyBorder="1" applyAlignment="1">
      <alignment horizontal="center" vertical="center" wrapText="1"/>
    </xf>
    <xf numFmtId="1" fontId="51" fillId="15" borderId="26" xfId="0" applyNumberFormat="1" applyFont="1" applyFill="1" applyBorder="1" applyAlignment="1">
      <alignment horizontal="center" vertical="center" wrapText="1"/>
    </xf>
    <xf numFmtId="1" fontId="6" fillId="0" borderId="53" xfId="0" applyNumberFormat="1" applyFont="1" applyBorder="1" applyAlignment="1">
      <alignment horizontal="center" vertical="center" wrapText="1"/>
    </xf>
    <xf numFmtId="1" fontId="6" fillId="0" borderId="33" xfId="0" applyNumberFormat="1" applyFont="1" applyBorder="1" applyAlignment="1">
      <alignment horizontal="center" vertical="center" wrapText="1"/>
    </xf>
    <xf numFmtId="1" fontId="6" fillId="0" borderId="495" xfId="0" applyNumberFormat="1" applyFont="1" applyBorder="1" applyAlignment="1">
      <alignment horizontal="left"/>
    </xf>
    <xf numFmtId="1" fontId="6" fillId="0" borderId="493" xfId="0" applyNumberFormat="1" applyFont="1" applyBorder="1" applyAlignment="1">
      <alignment horizontal="left"/>
    </xf>
    <xf numFmtId="1" fontId="51" fillId="0" borderId="609" xfId="0" applyNumberFormat="1" applyFont="1" applyBorder="1" applyAlignment="1">
      <alignment horizontal="center" vertical="center"/>
    </xf>
    <xf numFmtId="1" fontId="51" fillId="0" borderId="648" xfId="0" applyNumberFormat="1" applyFont="1" applyBorder="1" applyAlignment="1">
      <alignment horizontal="center" vertical="center"/>
    </xf>
    <xf numFmtId="1" fontId="6" fillId="0" borderId="574" xfId="0" applyNumberFormat="1" applyFont="1" applyBorder="1" applyAlignment="1">
      <alignment vertical="center" wrapText="1"/>
    </xf>
    <xf numFmtId="1" fontId="6" fillId="0" borderId="578" xfId="0" applyNumberFormat="1" applyFont="1" applyBorder="1" applyAlignment="1">
      <alignment vertical="center" wrapText="1"/>
    </xf>
    <xf numFmtId="1" fontId="6" fillId="0" borderId="2" xfId="0" applyNumberFormat="1" applyFont="1" applyBorder="1" applyAlignment="1" applyProtection="1">
      <alignment horizontal="center" vertical="center"/>
      <protection hidden="1"/>
    </xf>
    <xf numFmtId="1" fontId="6" fillId="0" borderId="9" xfId="0" applyNumberFormat="1" applyFont="1" applyBorder="1" applyAlignment="1" applyProtection="1">
      <alignment horizontal="center" vertical="center"/>
      <protection hidden="1"/>
    </xf>
    <xf numFmtId="1" fontId="6" fillId="0" borderId="10" xfId="0" applyNumberFormat="1" applyFont="1" applyBorder="1" applyAlignment="1" applyProtection="1">
      <alignment horizontal="center" vertical="center"/>
      <protection hidden="1"/>
    </xf>
    <xf numFmtId="1" fontId="6" fillId="0" borderId="495" xfId="0" applyNumberFormat="1" applyFont="1" applyBorder="1" applyAlignment="1" applyProtection="1">
      <alignment horizontal="center" vertical="center" wrapText="1"/>
      <protection hidden="1"/>
    </xf>
    <xf numFmtId="1" fontId="6" fillId="0" borderId="648" xfId="0" applyNumberFormat="1" applyFont="1" applyBorder="1" applyAlignment="1" applyProtection="1">
      <alignment horizontal="center" vertical="center" wrapText="1"/>
      <protection hidden="1"/>
    </xf>
    <xf numFmtId="1" fontId="6" fillId="0" borderId="116" xfId="0" applyNumberFormat="1" applyFont="1" applyBorder="1" applyAlignment="1">
      <alignment horizontal="left"/>
    </xf>
    <xf numFmtId="1" fontId="6" fillId="0" borderId="648" xfId="0" applyNumberFormat="1" applyFont="1" applyBorder="1" applyAlignment="1">
      <alignment horizontal="left"/>
    </xf>
    <xf numFmtId="1" fontId="6" fillId="0" borderId="579" xfId="0" applyNumberFormat="1" applyFont="1" applyBorder="1" applyAlignment="1">
      <alignment horizontal="left"/>
    </xf>
    <xf numFmtId="1" fontId="20" fillId="0" borderId="613" xfId="0" applyNumberFormat="1" applyFont="1" applyBorder="1" applyAlignment="1">
      <alignment horizontal="center" vertical="center"/>
    </xf>
    <xf numFmtId="1" fontId="20" fillId="0" borderId="534" xfId="0" applyNumberFormat="1" applyFont="1" applyBorder="1" applyAlignment="1">
      <alignment horizontal="center" vertical="center"/>
    </xf>
    <xf numFmtId="1" fontId="20" fillId="0" borderId="652" xfId="0" applyNumberFormat="1" applyFont="1" applyBorder="1" applyAlignment="1">
      <alignment horizontal="center" vertical="center"/>
    </xf>
    <xf numFmtId="1" fontId="6" fillId="0" borderId="4" xfId="0" applyNumberFormat="1" applyFont="1" applyBorder="1" applyAlignment="1">
      <alignment horizontal="center" vertical="center"/>
    </xf>
    <xf numFmtId="1" fontId="6" fillId="0" borderId="50" xfId="0" applyNumberFormat="1" applyFont="1" applyBorder="1" applyAlignment="1">
      <alignment horizontal="center" vertical="center"/>
    </xf>
    <xf numFmtId="1" fontId="6" fillId="0" borderId="329" xfId="0" applyNumberFormat="1" applyFont="1" applyBorder="1" applyAlignment="1">
      <alignment horizontal="center" vertical="center" wrapText="1"/>
    </xf>
    <xf numFmtId="1" fontId="6" fillId="0" borderId="327" xfId="0" applyNumberFormat="1" applyFont="1" applyBorder="1" applyAlignment="1">
      <alignment horizontal="center" vertical="center" wrapText="1"/>
    </xf>
    <xf numFmtId="1" fontId="6" fillId="0" borderId="328" xfId="0" applyNumberFormat="1" applyFont="1" applyBorder="1" applyAlignment="1">
      <alignment horizontal="center" vertical="center" wrapText="1"/>
    </xf>
    <xf numFmtId="1" fontId="51" fillId="0" borderId="199" xfId="0" applyNumberFormat="1" applyFont="1" applyBorder="1" applyAlignment="1">
      <alignment horizontal="left" wrapText="1"/>
    </xf>
    <xf numFmtId="1" fontId="51" fillId="0" borderId="251" xfId="0" applyNumberFormat="1" applyFont="1" applyBorder="1" applyAlignment="1">
      <alignment horizontal="left" wrapText="1"/>
    </xf>
    <xf numFmtId="1" fontId="6" fillId="0" borderId="80" xfId="0" applyNumberFormat="1" applyFont="1" applyBorder="1" applyAlignment="1">
      <alignment horizontal="left"/>
    </xf>
    <xf numFmtId="1" fontId="6" fillId="0" borderId="90" xfId="0" applyNumberFormat="1" applyFont="1" applyBorder="1" applyAlignment="1">
      <alignment horizontal="left"/>
    </xf>
    <xf numFmtId="1" fontId="71" fillId="0" borderId="580" xfId="0" applyNumberFormat="1" applyFont="1" applyBorder="1" applyAlignment="1">
      <alignment horizontal="left" vertical="center" wrapText="1"/>
    </xf>
    <xf numFmtId="1" fontId="71" fillId="0" borderId="24" xfId="0" applyNumberFormat="1" applyFont="1" applyBorder="1" applyAlignment="1">
      <alignment horizontal="left" vertical="center" wrapText="1"/>
    </xf>
    <xf numFmtId="1" fontId="13" fillId="0" borderId="200" xfId="0" applyNumberFormat="1" applyFont="1" applyBorder="1" applyAlignment="1">
      <alignment horizontal="center" vertical="center" wrapText="1"/>
    </xf>
    <xf numFmtId="1" fontId="13" fillId="0" borderId="7" xfId="0" applyNumberFormat="1" applyFont="1" applyBorder="1" applyAlignment="1">
      <alignment horizontal="center" vertical="center" wrapText="1"/>
    </xf>
    <xf numFmtId="1" fontId="13" fillId="0" borderId="8" xfId="0" applyNumberFormat="1" applyFont="1" applyBorder="1" applyAlignment="1">
      <alignment horizontal="center" vertical="center" wrapText="1"/>
    </xf>
    <xf numFmtId="1" fontId="6" fillId="0" borderId="17" xfId="0" applyNumberFormat="1" applyFont="1" applyBorder="1" applyAlignment="1">
      <alignment horizontal="center" vertical="center" wrapText="1"/>
    </xf>
    <xf numFmtId="1" fontId="6" fillId="0" borderId="21" xfId="0" applyNumberFormat="1" applyFont="1" applyBorder="1" applyAlignment="1">
      <alignment horizontal="center" vertical="center" wrapText="1"/>
    </xf>
    <xf numFmtId="1" fontId="51" fillId="0" borderId="609" xfId="0" applyNumberFormat="1" applyFont="1" applyBorder="1" applyAlignment="1">
      <alignment horizontal="center" vertical="center" wrapText="1"/>
    </xf>
    <xf numFmtId="1" fontId="51" fillId="0" borderId="495" xfId="0" applyNumberFormat="1" applyFont="1" applyBorder="1" applyAlignment="1">
      <alignment horizontal="center" vertical="center" wrapText="1"/>
    </xf>
    <xf numFmtId="1" fontId="51" fillId="0" borderId="648" xfId="0" applyNumberFormat="1" applyFont="1" applyBorder="1" applyAlignment="1">
      <alignment horizontal="center" vertical="center" wrapText="1"/>
    </xf>
    <xf numFmtId="1" fontId="6" fillId="0" borderId="19" xfId="0" applyNumberFormat="1" applyFont="1" applyBorder="1" applyAlignment="1">
      <alignment horizontal="center" vertical="center" wrapText="1"/>
    </xf>
    <xf numFmtId="1" fontId="6" fillId="0" borderId="101" xfId="0" applyNumberFormat="1" applyFont="1" applyBorder="1" applyAlignment="1">
      <alignment horizontal="center" vertical="center" wrapText="1"/>
    </xf>
    <xf numFmtId="1" fontId="6" fillId="0" borderId="109" xfId="0" applyNumberFormat="1" applyFont="1" applyBorder="1" applyAlignment="1">
      <alignment horizontal="center" vertical="center" wrapText="1"/>
    </xf>
    <xf numFmtId="1" fontId="51" fillId="0" borderId="5" xfId="0" applyNumberFormat="1" applyFont="1" applyBorder="1" applyAlignment="1">
      <alignment horizontal="center" vertical="center" wrapText="1"/>
    </xf>
    <xf numFmtId="1" fontId="51" fillId="0" borderId="265" xfId="0" applyNumberFormat="1" applyFont="1" applyBorder="1" applyAlignment="1">
      <alignment horizontal="center" vertical="center" wrapText="1"/>
    </xf>
    <xf numFmtId="1" fontId="51" fillId="0" borderId="257" xfId="0" applyNumberFormat="1" applyFont="1" applyBorder="1" applyAlignment="1">
      <alignment horizontal="center" vertical="center" wrapText="1"/>
    </xf>
    <xf numFmtId="1" fontId="51" fillId="0" borderId="8" xfId="0" applyNumberFormat="1" applyFont="1" applyBorder="1" applyAlignment="1">
      <alignment horizontal="center" vertical="center" wrapText="1"/>
    </xf>
    <xf numFmtId="1" fontId="51" fillId="0" borderId="6" xfId="0" applyNumberFormat="1" applyFont="1" applyBorder="1" applyAlignment="1">
      <alignment horizontal="center" vertical="center" wrapText="1"/>
    </xf>
    <xf numFmtId="1" fontId="51" fillId="0" borderId="589" xfId="0" applyNumberFormat="1" applyFont="1" applyBorder="1" applyAlignment="1">
      <alignment vertical="center" wrapText="1"/>
    </xf>
    <xf numFmtId="1" fontId="51" fillId="0" borderId="584" xfId="0" applyNumberFormat="1" applyFont="1" applyBorder="1" applyAlignment="1">
      <alignment vertical="center" wrapText="1"/>
    </xf>
    <xf numFmtId="1" fontId="51" fillId="0" borderId="40" xfId="0" applyNumberFormat="1" applyFont="1" applyBorder="1" applyAlignment="1">
      <alignment vertical="center" wrapText="1"/>
    </xf>
    <xf numFmtId="1" fontId="51" fillId="0" borderId="51" xfId="0" applyNumberFormat="1" applyFont="1" applyBorder="1" applyAlignment="1">
      <alignment vertical="center" wrapText="1"/>
    </xf>
    <xf numFmtId="1" fontId="51" fillId="0" borderId="23" xfId="0" applyNumberFormat="1" applyFont="1" applyBorder="1" applyAlignment="1">
      <alignment vertical="center" wrapText="1"/>
    </xf>
    <xf numFmtId="1" fontId="51" fillId="0" borderId="21" xfId="0" applyNumberFormat="1" applyFont="1" applyBorder="1" applyAlignment="1">
      <alignment vertical="center" wrapText="1"/>
    </xf>
    <xf numFmtId="1" fontId="71" fillId="0" borderId="609" xfId="0" applyNumberFormat="1" applyFont="1" applyBorder="1" applyAlignment="1">
      <alignment horizontal="center" vertical="center" wrapText="1"/>
    </xf>
    <xf numFmtId="1" fontId="71" fillId="0" borderId="495" xfId="0" applyNumberFormat="1" applyFont="1" applyBorder="1" applyAlignment="1">
      <alignment horizontal="center" vertical="center" wrapText="1"/>
    </xf>
    <xf numFmtId="1" fontId="71" fillId="0" borderId="648" xfId="0" applyNumberFormat="1" applyFont="1" applyBorder="1" applyAlignment="1">
      <alignment horizontal="center" vertical="center" wrapText="1"/>
    </xf>
    <xf numFmtId="1" fontId="6" fillId="0" borderId="24" xfId="0" applyNumberFormat="1" applyFont="1" applyBorder="1" applyAlignment="1">
      <alignment horizontal="left" vertical="center" wrapText="1"/>
    </xf>
    <xf numFmtId="1" fontId="6" fillId="0" borderId="609" xfId="0" applyNumberFormat="1" applyFont="1" applyBorder="1" applyAlignment="1" applyProtection="1">
      <alignment horizontal="center" vertical="center" wrapText="1"/>
      <protection hidden="1"/>
    </xf>
    <xf numFmtId="1" fontId="51" fillId="15" borderId="3" xfId="0" applyNumberFormat="1" applyFont="1" applyFill="1" applyBorder="1" applyAlignment="1">
      <alignment horizontal="center" vertical="center" wrapText="1"/>
    </xf>
    <xf numFmtId="1" fontId="51" fillId="15" borderId="11" xfId="0" applyNumberFormat="1" applyFont="1" applyFill="1" applyBorder="1" applyAlignment="1">
      <alignment horizontal="center" vertical="center" wrapText="1"/>
    </xf>
    <xf numFmtId="1" fontId="51" fillId="3" borderId="271" xfId="0" applyNumberFormat="1" applyFont="1" applyFill="1" applyBorder="1" applyAlignment="1">
      <alignment horizontal="center" vertical="center" wrapText="1"/>
    </xf>
    <xf numFmtId="1" fontId="51" fillId="3" borderId="257" xfId="0" applyNumberFormat="1" applyFont="1" applyFill="1" applyBorder="1" applyAlignment="1">
      <alignment horizontal="center" vertical="center" wrapText="1"/>
    </xf>
    <xf numFmtId="1" fontId="51" fillId="3" borderId="258" xfId="0" applyNumberFormat="1" applyFont="1" applyFill="1" applyBorder="1" applyAlignment="1">
      <alignment horizontal="center" vertical="center" wrapText="1"/>
    </xf>
    <xf numFmtId="1" fontId="51" fillId="0" borderId="3" xfId="0" applyNumberFormat="1" applyFont="1" applyBorder="1" applyAlignment="1">
      <alignment horizontal="center" vertical="center" wrapText="1"/>
    </xf>
    <xf numFmtId="1" fontId="51" fillId="0" borderId="4" xfId="0" applyNumberFormat="1" applyFont="1" applyBorder="1" applyAlignment="1">
      <alignment horizontal="center" vertical="center" wrapText="1"/>
    </xf>
    <xf numFmtId="1" fontId="51" fillId="0" borderId="50" xfId="0" applyNumberFormat="1" applyFont="1" applyBorder="1" applyAlignment="1">
      <alignment horizontal="center" vertical="center" wrapText="1"/>
    </xf>
    <xf numFmtId="1" fontId="51" fillId="15" borderId="256" xfId="0" applyNumberFormat="1" applyFont="1" applyFill="1" applyBorder="1" applyAlignment="1">
      <alignment horizontal="center" vertical="center" wrapText="1"/>
    </xf>
    <xf numFmtId="1" fontId="51" fillId="15" borderId="257" xfId="0" applyNumberFormat="1" applyFont="1" applyFill="1" applyBorder="1" applyAlignment="1">
      <alignment horizontal="center" vertical="center" wrapText="1"/>
    </xf>
    <xf numFmtId="1" fontId="51" fillId="15" borderId="261" xfId="0" applyNumberFormat="1" applyFont="1" applyFill="1" applyBorder="1" applyAlignment="1">
      <alignment horizontal="center" vertical="center" wrapText="1"/>
    </xf>
    <xf numFmtId="1" fontId="51" fillId="0" borderId="256" xfId="0" applyNumberFormat="1" applyFont="1" applyBorder="1" applyAlignment="1">
      <alignment horizontal="center" vertical="center" wrapText="1"/>
    </xf>
    <xf numFmtId="1" fontId="51" fillId="0" borderId="258" xfId="0" applyNumberFormat="1" applyFont="1" applyBorder="1" applyAlignment="1">
      <alignment horizontal="center" vertical="center" wrapText="1"/>
    </xf>
    <xf numFmtId="1" fontId="51" fillId="0" borderId="261" xfId="0" applyNumberFormat="1" applyFont="1" applyBorder="1" applyAlignment="1">
      <alignment horizontal="center" vertical="center" wrapText="1"/>
    </xf>
    <xf numFmtId="1" fontId="6" fillId="0" borderId="613" xfId="0" applyNumberFormat="1" applyFont="1" applyBorder="1" applyAlignment="1">
      <alignment horizontal="center" vertical="center"/>
    </xf>
    <xf numFmtId="1" fontId="6" fillId="0" borderId="151" xfId="0" applyNumberFormat="1" applyFont="1" applyBorder="1" applyAlignment="1">
      <alignment horizontal="center" vertical="center"/>
    </xf>
    <xf numFmtId="1" fontId="6" fillId="0" borderId="589" xfId="0" applyNumberFormat="1" applyFont="1" applyBorder="1" applyAlignment="1">
      <alignment horizontal="left" vertical="center" wrapText="1"/>
    </xf>
    <xf numFmtId="1" fontId="6" fillId="0" borderId="140" xfId="0" applyNumberFormat="1" applyFont="1" applyBorder="1" applyAlignment="1">
      <alignment horizontal="center" vertical="center"/>
    </xf>
    <xf numFmtId="1" fontId="6" fillId="0" borderId="652" xfId="0" applyNumberFormat="1" applyFont="1" applyBorder="1" applyAlignment="1">
      <alignment horizontal="center" vertical="center"/>
    </xf>
    <xf numFmtId="1" fontId="15" fillId="0" borderId="14" xfId="0" applyNumberFormat="1" applyFont="1" applyBorder="1" applyAlignment="1">
      <alignment horizontal="left"/>
    </xf>
    <xf numFmtId="1" fontId="6" fillId="0" borderId="882" xfId="0" applyNumberFormat="1" applyFont="1" applyBorder="1" applyAlignment="1">
      <alignment horizontal="left" vertical="center" wrapText="1"/>
    </xf>
    <xf numFmtId="1" fontId="6" fillId="0" borderId="834" xfId="0" applyNumberFormat="1" applyFont="1" applyBorder="1" applyAlignment="1">
      <alignment horizontal="left" vertical="center" wrapText="1"/>
    </xf>
    <xf numFmtId="1" fontId="6" fillId="0" borderId="873" xfId="0" applyNumberFormat="1" applyFont="1" applyBorder="1" applyAlignment="1">
      <alignment horizontal="left" vertical="center" wrapText="1"/>
    </xf>
    <xf numFmtId="1" fontId="6" fillId="0" borderId="874" xfId="0" applyNumberFormat="1" applyFont="1" applyBorder="1" applyAlignment="1">
      <alignment horizontal="left" vertical="center" wrapText="1"/>
    </xf>
    <xf numFmtId="1" fontId="6" fillId="0" borderId="259" xfId="0" applyNumberFormat="1" applyFont="1" applyFill="1" applyBorder="1" applyAlignment="1" applyProtection="1">
      <alignment horizontal="center" vertical="center" wrapText="1"/>
      <protection hidden="1"/>
    </xf>
    <xf numFmtId="1" fontId="6" fillId="0" borderId="82" xfId="0" applyNumberFormat="1" applyFont="1" applyBorder="1" applyAlignment="1" applyProtection="1">
      <alignment horizontal="center" vertical="center" wrapText="1"/>
      <protection hidden="1"/>
    </xf>
    <xf numFmtId="1" fontId="6" fillId="0" borderId="315" xfId="0" applyNumberFormat="1" applyFont="1" applyBorder="1" applyAlignment="1">
      <alignment horizontal="center" vertical="center"/>
    </xf>
    <xf numFmtId="1" fontId="6" fillId="0" borderId="313" xfId="0" applyNumberFormat="1" applyFont="1" applyBorder="1" applyAlignment="1">
      <alignment horizontal="center" vertical="center"/>
    </xf>
    <xf numFmtId="1" fontId="51" fillId="0" borderId="40" xfId="0" applyNumberFormat="1" applyFont="1" applyBorder="1" applyAlignment="1">
      <alignment horizontal="left" vertical="center" wrapText="1"/>
    </xf>
    <xf numFmtId="1" fontId="51" fillId="0" borderId="51" xfId="0" applyNumberFormat="1" applyFont="1" applyBorder="1" applyAlignment="1">
      <alignment horizontal="left" vertical="center" wrapText="1"/>
    </xf>
    <xf numFmtId="1" fontId="6" fillId="0" borderId="584" xfId="0" applyNumberFormat="1" applyFont="1" applyBorder="1" applyAlignment="1">
      <alignment horizontal="left" vertical="center" wrapText="1"/>
    </xf>
    <xf numFmtId="1" fontId="15" fillId="0" borderId="574" xfId="0" applyNumberFormat="1" applyFont="1" applyBorder="1" applyAlignment="1">
      <alignment horizontal="left" vertical="center" wrapText="1"/>
    </xf>
    <xf numFmtId="1" fontId="15" fillId="0" borderId="578" xfId="0" applyNumberFormat="1" applyFont="1" applyBorder="1" applyAlignment="1">
      <alignment horizontal="left" vertical="center" wrapText="1"/>
    </xf>
    <xf numFmtId="1" fontId="15" fillId="0" borderId="574" xfId="0" applyNumberFormat="1" applyFont="1" applyBorder="1" applyAlignment="1">
      <alignment horizontal="left" vertical="center"/>
    </xf>
    <xf numFmtId="1" fontId="15" fillId="0" borderId="578" xfId="0" applyNumberFormat="1" applyFont="1" applyBorder="1" applyAlignment="1">
      <alignment horizontal="left" vertical="center"/>
    </xf>
    <xf numFmtId="1" fontId="6" fillId="0" borderId="574" xfId="0" applyNumberFormat="1" applyFont="1" applyBorder="1" applyAlignment="1">
      <alignment horizontal="left" vertical="center" wrapText="1"/>
    </xf>
    <xf numFmtId="1" fontId="6" fillId="0" borderId="578" xfId="0" applyNumberFormat="1" applyFont="1" applyBorder="1" applyAlignment="1">
      <alignment horizontal="left" vertical="center" wrapText="1"/>
    </xf>
    <xf numFmtId="1" fontId="15" fillId="0" borderId="575" xfId="0" applyNumberFormat="1" applyFont="1" applyBorder="1" applyAlignment="1">
      <alignment horizontal="left" vertical="center"/>
    </xf>
    <xf numFmtId="1" fontId="6" fillId="0" borderId="5" xfId="0" applyNumberFormat="1" applyFont="1" applyBorder="1" applyAlignment="1" applyProtection="1">
      <alignment horizontal="center" vertical="center" wrapText="1"/>
      <protection hidden="1"/>
    </xf>
    <xf numFmtId="1" fontId="6" fillId="0" borderId="81" xfId="0" applyNumberFormat="1" applyFont="1" applyBorder="1" applyAlignment="1" applyProtection="1">
      <alignment horizontal="center" vertical="center" wrapText="1"/>
      <protection hidden="1"/>
    </xf>
    <xf numFmtId="1" fontId="6" fillId="0" borderId="26" xfId="0" applyNumberFormat="1" applyFont="1" applyBorder="1" applyAlignment="1" applyProtection="1">
      <alignment horizontal="center" vertical="center" wrapText="1"/>
      <protection hidden="1"/>
    </xf>
    <xf numFmtId="1" fontId="6" fillId="0" borderId="331" xfId="0" applyNumberFormat="1" applyFont="1" applyBorder="1" applyAlignment="1">
      <alignment horizontal="center" vertical="center" wrapText="1"/>
    </xf>
    <xf numFmtId="1" fontId="6" fillId="0" borderId="260" xfId="0" applyNumberFormat="1" applyFont="1" applyBorder="1" applyAlignment="1">
      <alignment horizontal="center" vertical="center"/>
    </xf>
    <xf numFmtId="1" fontId="6" fillId="0" borderId="260" xfId="0" applyNumberFormat="1" applyFont="1" applyBorder="1" applyAlignment="1">
      <alignment horizontal="center" vertical="center" wrapText="1"/>
    </xf>
    <xf numFmtId="1" fontId="6" fillId="0" borderId="331" xfId="0" applyNumberFormat="1" applyFont="1" applyBorder="1" applyAlignment="1">
      <alignment horizontal="left" vertical="center" wrapText="1"/>
    </xf>
    <xf numFmtId="1" fontId="6" fillId="0" borderId="9" xfId="0" applyNumberFormat="1" applyFont="1" applyBorder="1" applyAlignment="1">
      <alignment horizontal="left" vertical="center" wrapText="1"/>
    </xf>
    <xf numFmtId="1" fontId="6" fillId="0" borderId="10" xfId="0" applyNumberFormat="1" applyFont="1" applyBorder="1" applyAlignment="1">
      <alignment horizontal="left" vertical="center" wrapText="1"/>
    </xf>
    <xf numFmtId="1" fontId="6" fillId="15" borderId="331" xfId="0" applyNumberFormat="1" applyFont="1" applyFill="1" applyBorder="1" applyAlignment="1">
      <alignment horizontal="left" vertical="center" wrapText="1"/>
    </xf>
    <xf numFmtId="1" fontId="6" fillId="15" borderId="9" xfId="0" applyNumberFormat="1" applyFont="1" applyFill="1" applyBorder="1" applyAlignment="1">
      <alignment horizontal="left" vertical="center" wrapText="1"/>
    </xf>
    <xf numFmtId="1" fontId="6" fillId="15" borderId="10" xfId="0" applyNumberFormat="1" applyFont="1" applyFill="1" applyBorder="1" applyAlignment="1">
      <alignment horizontal="left" vertical="center" wrapText="1"/>
    </xf>
    <xf numFmtId="1" fontId="6" fillId="0" borderId="313" xfId="0" applyNumberFormat="1" applyFont="1" applyBorder="1" applyAlignment="1">
      <alignment horizontal="center" vertical="center" wrapText="1"/>
    </xf>
    <xf numFmtId="1" fontId="51" fillId="0" borderId="244" xfId="0" applyNumberFormat="1" applyFont="1" applyBorder="1" applyAlignment="1">
      <alignment horizontal="center" vertical="center" wrapText="1"/>
    </xf>
    <xf numFmtId="1" fontId="51" fillId="0" borderId="245" xfId="0" applyNumberFormat="1" applyFont="1" applyBorder="1" applyAlignment="1">
      <alignment horizontal="center" vertical="center"/>
    </xf>
    <xf numFmtId="1" fontId="51" fillId="0" borderId="246" xfId="0" applyNumberFormat="1" applyFont="1" applyBorder="1" applyAlignment="1">
      <alignment horizontal="center" vertical="center"/>
    </xf>
    <xf numFmtId="1" fontId="51" fillId="0" borderId="241" xfId="0" applyNumberFormat="1" applyFont="1" applyBorder="1" applyAlignment="1">
      <alignment horizontal="center" vertical="center"/>
    </xf>
    <xf numFmtId="1" fontId="51" fillId="0" borderId="252" xfId="0" applyNumberFormat="1" applyFont="1" applyBorder="1" applyAlignment="1">
      <alignment horizontal="center" vertical="center" wrapText="1"/>
    </xf>
    <xf numFmtId="1" fontId="51" fillId="0" borderId="244" xfId="0" applyNumberFormat="1" applyFont="1" applyBorder="1" applyAlignment="1">
      <alignment horizontal="center" vertical="center"/>
    </xf>
    <xf numFmtId="1" fontId="51" fillId="0" borderId="9" xfId="0" applyNumberFormat="1" applyFont="1" applyBorder="1" applyAlignment="1">
      <alignment horizontal="center" vertical="center"/>
    </xf>
    <xf numFmtId="1" fontId="51" fillId="0" borderId="10" xfId="0" applyNumberFormat="1" applyFont="1" applyBorder="1" applyAlignment="1">
      <alignment horizontal="center" vertical="center"/>
    </xf>
    <xf numFmtId="1" fontId="51" fillId="0" borderId="255" xfId="0" applyNumberFormat="1" applyFont="1" applyBorder="1" applyAlignment="1">
      <alignment horizontal="center" vertical="center" wrapText="1"/>
    </xf>
    <xf numFmtId="1" fontId="51" fillId="0" borderId="238" xfId="0" applyNumberFormat="1" applyFont="1" applyBorder="1" applyAlignment="1">
      <alignment horizontal="center" vertical="center" wrapText="1"/>
    </xf>
    <xf numFmtId="1" fontId="51" fillId="0" borderId="239" xfId="0" applyNumberFormat="1" applyFont="1" applyBorder="1" applyAlignment="1">
      <alignment horizontal="center" vertical="center" wrapText="1"/>
    </xf>
    <xf numFmtId="1" fontId="51" fillId="0" borderId="312" xfId="0" applyNumberFormat="1" applyFont="1" applyBorder="1" applyAlignment="1">
      <alignment horizontal="center" vertical="center" wrapText="1"/>
    </xf>
    <xf numFmtId="1" fontId="51" fillId="0" borderId="307" xfId="0" applyNumberFormat="1" applyFont="1" applyBorder="1" applyAlignment="1">
      <alignment horizontal="center" vertical="center" wrapText="1"/>
    </xf>
    <xf numFmtId="1" fontId="51" fillId="0" borderId="307" xfId="0" applyNumberFormat="1" applyFont="1" applyBorder="1" applyAlignment="1">
      <alignment horizontal="center" vertical="center"/>
    </xf>
    <xf numFmtId="1" fontId="40" fillId="0" borderId="5" xfId="0" applyNumberFormat="1" applyFont="1" applyBorder="1" applyAlignment="1">
      <alignment horizontal="center" vertical="center" wrapText="1"/>
    </xf>
    <xf numFmtId="1" fontId="40" fillId="0" borderId="81" xfId="0" applyNumberFormat="1" applyFont="1" applyBorder="1" applyAlignment="1">
      <alignment horizontal="center" vertical="center" wrapText="1"/>
    </xf>
    <xf numFmtId="1" fontId="40" fillId="0" borderId="26" xfId="0" applyNumberFormat="1" applyFont="1" applyBorder="1" applyAlignment="1">
      <alignment horizontal="center" vertical="center" wrapText="1"/>
    </xf>
    <xf numFmtId="1" fontId="6" fillId="0" borderId="332" xfId="0" applyNumberFormat="1" applyFont="1" applyBorder="1" applyAlignment="1">
      <alignment horizontal="center" vertical="center"/>
    </xf>
    <xf numFmtId="1" fontId="6" fillId="0" borderId="334" xfId="0" applyNumberFormat="1" applyFont="1" applyBorder="1" applyAlignment="1">
      <alignment horizontal="center" vertical="center" wrapText="1"/>
    </xf>
    <xf numFmtId="1" fontId="6" fillId="0" borderId="307" xfId="0" applyNumberFormat="1" applyFont="1" applyBorder="1" applyAlignment="1">
      <alignment horizontal="center" vertical="center"/>
    </xf>
    <xf numFmtId="1" fontId="51" fillId="0" borderId="604" xfId="0" applyNumberFormat="1" applyFont="1" applyBorder="1" applyAlignment="1">
      <alignment horizontal="left" vertical="center" wrapText="1"/>
    </xf>
    <xf numFmtId="1" fontId="51" fillId="0" borderId="606" xfId="0" applyNumberFormat="1" applyFont="1" applyBorder="1" applyAlignment="1">
      <alignment horizontal="left" vertical="center" wrapText="1"/>
    </xf>
    <xf numFmtId="1" fontId="15" fillId="0" borderId="332" xfId="0" applyNumberFormat="1" applyFont="1" applyBorder="1" applyAlignment="1">
      <alignment horizontal="center" vertical="center" wrapText="1"/>
    </xf>
    <xf numFmtId="1" fontId="15" fillId="0" borderId="10" xfId="0" applyNumberFormat="1" applyFont="1" applyBorder="1" applyAlignment="1">
      <alignment horizontal="center" vertical="center" wrapText="1"/>
    </xf>
    <xf numFmtId="1" fontId="15" fillId="0" borderId="306" xfId="0" applyNumberFormat="1" applyFont="1" applyBorder="1" applyAlignment="1">
      <alignment horizontal="center" vertical="center" wrapText="1"/>
    </xf>
    <xf numFmtId="1" fontId="15" fillId="0" borderId="324" xfId="0" applyNumberFormat="1" applyFont="1" applyBorder="1" applyAlignment="1">
      <alignment horizontal="center" vertical="center" wrapText="1"/>
    </xf>
    <xf numFmtId="1" fontId="15" fillId="0" borderId="307" xfId="0" applyNumberFormat="1" applyFont="1" applyBorder="1" applyAlignment="1">
      <alignment horizontal="center" vertical="center" wrapText="1"/>
    </xf>
    <xf numFmtId="1" fontId="6" fillId="0" borderId="3" xfId="0" applyNumberFormat="1" applyFont="1" applyBorder="1" applyAlignment="1" applyProtection="1">
      <alignment horizontal="center" vertical="center"/>
      <protection hidden="1"/>
    </xf>
    <xf numFmtId="1" fontId="6" fillId="0" borderId="5" xfId="0" applyNumberFormat="1" applyFont="1" applyBorder="1" applyAlignment="1" applyProtection="1">
      <alignment horizontal="center" vertical="center"/>
      <protection hidden="1"/>
    </xf>
    <xf numFmtId="1" fontId="6" fillId="0" borderId="35" xfId="0" applyNumberFormat="1" applyFont="1" applyBorder="1" applyAlignment="1" applyProtection="1">
      <alignment horizontal="center" vertical="center"/>
      <protection hidden="1"/>
    </xf>
    <xf numFmtId="1" fontId="6" fillId="0" borderId="81" xfId="0" applyNumberFormat="1" applyFont="1" applyBorder="1" applyAlignment="1" applyProtection="1">
      <alignment horizontal="center" vertical="center"/>
      <protection hidden="1"/>
    </xf>
    <xf numFmtId="1" fontId="6" fillId="0" borderId="11" xfId="0" applyNumberFormat="1" applyFont="1" applyBorder="1" applyAlignment="1" applyProtection="1">
      <alignment horizontal="center" vertical="center"/>
      <protection hidden="1"/>
    </xf>
    <xf numFmtId="1" fontId="6" fillId="0" borderId="26" xfId="0" applyNumberFormat="1" applyFont="1" applyBorder="1" applyAlignment="1" applyProtection="1">
      <alignment horizontal="center" vertical="center"/>
      <protection hidden="1"/>
    </xf>
    <xf numFmtId="1" fontId="6" fillId="0" borderId="3" xfId="0" applyNumberFormat="1" applyFont="1" applyBorder="1" applyAlignment="1" applyProtection="1">
      <alignment horizontal="center" vertical="center" wrapText="1"/>
      <protection hidden="1"/>
    </xf>
    <xf numFmtId="1" fontId="6" fillId="0" borderId="4" xfId="0" applyNumberFormat="1" applyFont="1" applyBorder="1" applyAlignment="1" applyProtection="1">
      <alignment horizontal="center" vertical="center" wrapText="1"/>
      <protection hidden="1"/>
    </xf>
    <xf numFmtId="1" fontId="6" fillId="0" borderId="11" xfId="0" applyNumberFormat="1" applyFont="1" applyBorder="1" applyAlignment="1" applyProtection="1">
      <alignment horizontal="center" vertical="center" wrapText="1"/>
      <protection hidden="1"/>
    </xf>
    <xf numFmtId="1" fontId="6" fillId="0" borderId="50" xfId="0" applyNumberFormat="1" applyFont="1" applyBorder="1" applyAlignment="1" applyProtection="1">
      <alignment horizontal="center" vertical="center" wrapText="1"/>
      <protection hidden="1"/>
    </xf>
    <xf numFmtId="1" fontId="6" fillId="0" borderId="580" xfId="0" applyNumberFormat="1" applyFont="1" applyBorder="1" applyAlignment="1" applyProtection="1">
      <alignment horizontal="left" vertical="center" wrapText="1"/>
      <protection hidden="1"/>
    </xf>
    <xf numFmtId="1" fontId="6" fillId="0" borderId="579" xfId="0" applyNumberFormat="1" applyFont="1" applyBorder="1" applyAlignment="1" applyProtection="1">
      <alignment horizontal="center" vertical="center" wrapText="1"/>
      <protection hidden="1"/>
    </xf>
    <xf numFmtId="1" fontId="6" fillId="0" borderId="6" xfId="0" applyNumberFormat="1" applyFont="1" applyBorder="1" applyAlignment="1" applyProtection="1">
      <alignment horizontal="center" vertical="center" wrapText="1"/>
      <protection hidden="1"/>
    </xf>
    <xf numFmtId="1" fontId="6" fillId="0" borderId="7" xfId="0" applyNumberFormat="1" applyFont="1" applyBorder="1" applyAlignment="1" applyProtection="1">
      <alignment horizontal="center" vertical="center" wrapText="1"/>
      <protection hidden="1"/>
    </xf>
    <xf numFmtId="1" fontId="6" fillId="0" borderId="8" xfId="0" applyNumberFormat="1" applyFont="1" applyBorder="1" applyAlignment="1" applyProtection="1">
      <alignment horizontal="center" vertical="center" wrapText="1"/>
      <protection hidden="1"/>
    </xf>
    <xf numFmtId="1" fontId="6" fillId="0" borderId="14" xfId="0" applyNumberFormat="1" applyFont="1" applyBorder="1" applyAlignment="1" applyProtection="1">
      <alignment horizontal="center" vertical="center" wrapText="1"/>
      <protection hidden="1"/>
    </xf>
    <xf numFmtId="1" fontId="4" fillId="3" borderId="7" xfId="0" applyNumberFormat="1" applyFont="1" applyFill="1" applyBorder="1" applyAlignment="1" applyProtection="1">
      <alignment horizontal="left" wrapText="1"/>
      <protection hidden="1"/>
    </xf>
    <xf numFmtId="1" fontId="6" fillId="0" borderId="2" xfId="0" applyNumberFormat="1" applyFont="1" applyBorder="1" applyAlignment="1" applyProtection="1">
      <alignment horizontal="center" vertical="center" wrapText="1"/>
      <protection hidden="1"/>
    </xf>
    <xf numFmtId="1" fontId="6" fillId="0" borderId="10" xfId="0" applyNumberFormat="1" applyFont="1" applyBorder="1" applyAlignment="1" applyProtection="1">
      <alignment horizontal="center" vertical="center" wrapText="1"/>
      <protection hidden="1"/>
    </xf>
    <xf numFmtId="1" fontId="6" fillId="0" borderId="53" xfId="0" applyNumberFormat="1" applyFont="1" applyBorder="1" applyAlignment="1" applyProtection="1">
      <alignment horizontal="center" vertical="center" wrapText="1"/>
      <protection hidden="1"/>
    </xf>
    <xf numFmtId="1" fontId="6" fillId="0" borderId="27" xfId="0" applyNumberFormat="1" applyFont="1" applyBorder="1" applyAlignment="1" applyProtection="1">
      <alignment horizontal="center" vertical="center" wrapText="1"/>
      <protection hidden="1"/>
    </xf>
    <xf numFmtId="1" fontId="6" fillId="0" borderId="37" xfId="0" applyNumberFormat="1" applyFont="1" applyBorder="1" applyAlignment="1" applyProtection="1">
      <alignment horizontal="left" vertical="center" wrapText="1"/>
      <protection hidden="1"/>
    </xf>
    <xf numFmtId="1" fontId="6" fillId="0" borderId="24" xfId="0" applyNumberFormat="1" applyFont="1" applyBorder="1" applyAlignment="1" applyProtection="1">
      <alignment horizontal="left" vertical="center" wrapText="1"/>
      <protection hidden="1"/>
    </xf>
    <xf numFmtId="1" fontId="6" fillId="0" borderId="113" xfId="0" applyNumberFormat="1" applyFont="1" applyBorder="1" applyAlignment="1" applyProtection="1">
      <alignment horizontal="center" vertical="center" wrapText="1"/>
      <protection hidden="1"/>
    </xf>
    <xf numFmtId="1" fontId="6" fillId="0" borderId="263" xfId="0" applyNumberFormat="1" applyFont="1" applyBorder="1" applyAlignment="1">
      <alignment horizontal="center" vertical="center"/>
    </xf>
    <xf numFmtId="1" fontId="6" fillId="0" borderId="273" xfId="0" applyNumberFormat="1" applyFont="1" applyBorder="1" applyAlignment="1">
      <alignment horizontal="center" vertical="center" wrapText="1"/>
    </xf>
    <xf numFmtId="1" fontId="6" fillId="0" borderId="275" xfId="0" applyNumberFormat="1" applyFont="1" applyBorder="1" applyAlignment="1">
      <alignment horizontal="center" vertical="center" wrapText="1"/>
    </xf>
    <xf numFmtId="1" fontId="6" fillId="0" borderId="276" xfId="0" applyNumberFormat="1" applyFont="1" applyBorder="1" applyAlignment="1">
      <alignment horizontal="center" vertical="center" wrapText="1"/>
    </xf>
    <xf numFmtId="1" fontId="6" fillId="0" borderId="245" xfId="0" applyNumberFormat="1" applyFont="1" applyBorder="1" applyAlignment="1">
      <alignment horizontal="center" vertical="center" wrapText="1"/>
    </xf>
    <xf numFmtId="1" fontId="6" fillId="0" borderId="246" xfId="0" applyNumberFormat="1" applyFont="1" applyBorder="1" applyAlignment="1">
      <alignment horizontal="center" vertical="center" wrapText="1"/>
    </xf>
    <xf numFmtId="1" fontId="6" fillId="0" borderId="243" xfId="0" applyNumberFormat="1" applyFont="1" applyBorder="1" applyAlignment="1">
      <alignment horizontal="center" vertical="center" wrapText="1"/>
    </xf>
    <xf numFmtId="1" fontId="51" fillId="0" borderId="250" xfId="0" applyNumberFormat="1" applyFont="1" applyBorder="1" applyAlignment="1">
      <alignment horizontal="center" vertical="center"/>
    </xf>
    <xf numFmtId="1" fontId="51" fillId="0" borderId="579" xfId="0" applyNumberFormat="1" applyFont="1" applyBorder="1" applyAlignment="1">
      <alignment horizontal="center" vertical="center" wrapText="1"/>
    </xf>
    <xf numFmtId="1" fontId="6" fillId="0" borderId="332" xfId="0" applyNumberFormat="1" applyFont="1" applyBorder="1" applyAlignment="1">
      <alignment horizontal="center" vertical="center" wrapText="1"/>
    </xf>
    <xf numFmtId="1" fontId="6" fillId="0" borderId="306" xfId="0" applyNumberFormat="1" applyFont="1" applyBorder="1" applyAlignment="1">
      <alignment horizontal="left" vertical="center" wrapText="1"/>
    </xf>
    <xf numFmtId="1" fontId="6" fillId="0" borderId="307" xfId="0" applyNumberFormat="1" applyFont="1" applyBorder="1" applyAlignment="1">
      <alignment horizontal="left" vertical="center" wrapText="1"/>
    </xf>
    <xf numFmtId="1" fontId="15" fillId="0" borderId="370" xfId="0" applyNumberFormat="1" applyFont="1" applyBorder="1" applyAlignment="1">
      <alignment horizontal="center" vertical="center" wrapText="1"/>
    </xf>
    <xf numFmtId="0" fontId="6" fillId="15" borderId="332" xfId="0" applyNumberFormat="1" applyFont="1" applyFill="1" applyBorder="1" applyAlignment="1">
      <alignment horizontal="center" vertical="center" wrapText="1"/>
    </xf>
    <xf numFmtId="0" fontId="6" fillId="15" borderId="9" xfId="0" applyNumberFormat="1" applyFont="1" applyFill="1" applyBorder="1" applyAlignment="1">
      <alignment horizontal="center" vertical="center" wrapText="1"/>
    </xf>
    <xf numFmtId="0" fontId="6" fillId="15" borderId="10" xfId="0" applyNumberFormat="1" applyFont="1" applyFill="1" applyBorder="1" applyAlignment="1">
      <alignment horizontal="center" vertical="center" wrapText="1"/>
    </xf>
    <xf numFmtId="1" fontId="40" fillId="0" borderId="418" xfId="0" applyNumberFormat="1" applyFont="1" applyFill="1" applyBorder="1" applyAlignment="1">
      <alignment horizontal="center" vertical="center" wrapText="1"/>
    </xf>
    <xf numFmtId="1" fontId="6" fillId="0" borderId="403" xfId="0" applyNumberFormat="1" applyFont="1" applyBorder="1" applyAlignment="1">
      <alignment horizontal="center" vertical="center" wrapText="1"/>
    </xf>
    <xf numFmtId="1" fontId="15" fillId="0" borderId="404" xfId="0" applyNumberFormat="1" applyFont="1" applyBorder="1" applyAlignment="1">
      <alignment horizontal="center" vertical="center"/>
    </xf>
    <xf numFmtId="1" fontId="15" fillId="0" borderId="405" xfId="0" applyNumberFormat="1" applyFont="1" applyBorder="1" applyAlignment="1">
      <alignment horizontal="center" vertical="center"/>
    </xf>
    <xf numFmtId="1" fontId="15" fillId="0" borderId="407" xfId="0" applyNumberFormat="1" applyFont="1" applyBorder="1" applyAlignment="1">
      <alignment horizontal="center" vertical="center"/>
    </xf>
    <xf numFmtId="1" fontId="20" fillId="0" borderId="270" xfId="0" applyNumberFormat="1" applyFont="1" applyBorder="1" applyAlignment="1">
      <alignment horizontal="center" vertical="center" wrapText="1"/>
    </xf>
    <xf numFmtId="1" fontId="20" fillId="0" borderId="65" xfId="0" applyNumberFormat="1" applyFont="1" applyBorder="1" applyAlignment="1">
      <alignment horizontal="center" vertical="center" wrapText="1"/>
    </xf>
    <xf numFmtId="1" fontId="20" fillId="0" borderId="279" xfId="0" applyNumberFormat="1" applyFont="1" applyBorder="1" applyAlignment="1">
      <alignment horizontal="center" vertical="center" wrapText="1"/>
    </xf>
    <xf numFmtId="1" fontId="20" fillId="0" borderId="5" xfId="0" applyNumberFormat="1" applyFont="1" applyBorder="1" applyAlignment="1">
      <alignment horizontal="center" vertical="center" wrapText="1"/>
    </xf>
    <xf numFmtId="1" fontId="20" fillId="0" borderId="81" xfId="0" applyNumberFormat="1" applyFont="1" applyBorder="1" applyAlignment="1">
      <alignment horizontal="center" vertical="center" wrapText="1"/>
    </xf>
    <xf numFmtId="1" fontId="20" fillId="0" borderId="26" xfId="0" applyNumberFormat="1" applyFont="1" applyBorder="1" applyAlignment="1">
      <alignment horizontal="center" vertical="center" wrapText="1"/>
    </xf>
    <xf numFmtId="1" fontId="6" fillId="0" borderId="429" xfId="0" applyNumberFormat="1" applyFont="1" applyBorder="1" applyAlignment="1">
      <alignment horizontal="center" vertical="center" wrapText="1"/>
    </xf>
    <xf numFmtId="1" fontId="6" fillId="0" borderId="409" xfId="0" applyNumberFormat="1" applyFont="1" applyBorder="1" applyAlignment="1">
      <alignment horizontal="center" vertical="center" wrapText="1"/>
    </xf>
    <xf numFmtId="1" fontId="6" fillId="0" borderId="426" xfId="0" applyNumberFormat="1" applyFont="1" applyBorder="1" applyAlignment="1">
      <alignment horizontal="center" vertical="center" wrapText="1"/>
    </xf>
    <xf numFmtId="1" fontId="6" fillId="0" borderId="265" xfId="0" applyNumberFormat="1" applyFont="1" applyBorder="1" applyAlignment="1">
      <alignment horizontal="center" vertical="center" wrapText="1"/>
    </xf>
    <xf numFmtId="1" fontId="20" fillId="0" borderId="284" xfId="0" applyNumberFormat="1" applyFont="1" applyBorder="1" applyAlignment="1">
      <alignment horizontal="center" vertical="center" wrapText="1"/>
    </xf>
    <xf numFmtId="1" fontId="20" fillId="0" borderId="288" xfId="0" applyNumberFormat="1" applyFont="1" applyBorder="1" applyAlignment="1">
      <alignment horizontal="center" vertical="center" wrapText="1"/>
    </xf>
    <xf numFmtId="1" fontId="20" fillId="0" borderId="236" xfId="0" applyNumberFormat="1" applyFont="1" applyBorder="1" applyAlignment="1">
      <alignment horizontal="center" vertical="center" wrapText="1"/>
    </xf>
    <xf numFmtId="1" fontId="20" fillId="0" borderId="201" xfId="0" applyNumberFormat="1" applyFont="1" applyBorder="1" applyAlignment="1">
      <alignment horizontal="center" vertical="center" wrapText="1"/>
    </xf>
    <xf numFmtId="1" fontId="20" fillId="0" borderId="97" xfId="0" applyNumberFormat="1" applyFont="1" applyBorder="1" applyAlignment="1">
      <alignment horizontal="center" vertical="center" wrapText="1"/>
    </xf>
    <xf numFmtId="1" fontId="20" fillId="0" borderId="95" xfId="0" applyNumberFormat="1" applyFont="1" applyBorder="1" applyAlignment="1">
      <alignment horizontal="center" vertical="center" wrapText="1"/>
    </xf>
    <xf numFmtId="1" fontId="7" fillId="0" borderId="111" xfId="0" applyNumberFormat="1" applyFont="1" applyBorder="1" applyAlignment="1">
      <alignment horizontal="center" vertical="center" wrapText="1"/>
    </xf>
    <xf numFmtId="1" fontId="7" fillId="0" borderId="224" xfId="0" applyNumberFormat="1" applyFont="1" applyBorder="1" applyAlignment="1">
      <alignment horizontal="center" vertical="center" wrapText="1"/>
    </xf>
    <xf numFmtId="1" fontId="7" fillId="0" borderId="115" xfId="0" applyNumberFormat="1" applyFont="1" applyBorder="1" applyAlignment="1">
      <alignment horizontal="center" vertical="center" wrapText="1"/>
    </xf>
    <xf numFmtId="1" fontId="51" fillId="0" borderId="9" xfId="0" applyNumberFormat="1" applyFont="1" applyBorder="1" applyAlignment="1">
      <alignment horizontal="center" vertical="center" wrapText="1"/>
    </xf>
    <xf numFmtId="1" fontId="2" fillId="3" borderId="0" xfId="0" applyNumberFormat="1" applyFont="1" applyFill="1" applyAlignment="1">
      <alignment horizontal="center" vertical="center"/>
    </xf>
    <xf numFmtId="1" fontId="37" fillId="0" borderId="155" xfId="0" applyNumberFormat="1" applyFont="1" applyBorder="1" applyAlignment="1">
      <alignment horizontal="center" vertical="center"/>
    </xf>
    <xf numFmtId="1" fontId="37" fillId="0" borderId="50" xfId="0" applyNumberFormat="1" applyFont="1" applyBorder="1" applyAlignment="1">
      <alignment horizontal="center" vertical="center"/>
    </xf>
    <xf numFmtId="1" fontId="37" fillId="0" borderId="99" xfId="0" applyNumberFormat="1" applyFont="1" applyBorder="1" applyAlignment="1">
      <alignment horizontal="center" wrapText="1"/>
    </xf>
    <xf numFmtId="1" fontId="37" fillId="0" borderId="156" xfId="0" applyNumberFormat="1" applyFont="1" applyBorder="1" applyAlignment="1">
      <alignment horizontal="center" wrapText="1"/>
    </xf>
    <xf numFmtId="1" fontId="39" fillId="0" borderId="0" xfId="0" applyNumberFormat="1" applyFont="1" applyAlignment="1">
      <alignment horizontal="left" vertical="center" wrapText="1"/>
    </xf>
    <xf numFmtId="1" fontId="39" fillId="0" borderId="50" xfId="0" applyNumberFormat="1" applyFont="1" applyBorder="1" applyAlignment="1">
      <alignment horizontal="left" vertical="center" wrapText="1"/>
    </xf>
    <xf numFmtId="1" fontId="6" fillId="0" borderId="418" xfId="0" applyNumberFormat="1" applyFont="1" applyBorder="1" applyAlignment="1">
      <alignment horizontal="center" vertical="center" wrapText="1"/>
    </xf>
    <xf numFmtId="1" fontId="6" fillId="17" borderId="429" xfId="0" applyNumberFormat="1" applyFont="1" applyFill="1" applyBorder="1" applyAlignment="1">
      <alignment horizontal="center" vertical="center" wrapText="1"/>
    </xf>
    <xf numFmtId="1" fontId="6" fillId="17" borderId="409" xfId="0" applyNumberFormat="1" applyFont="1" applyFill="1" applyBorder="1" applyAlignment="1">
      <alignment horizontal="center" vertical="center" wrapText="1"/>
    </xf>
    <xf numFmtId="1" fontId="6" fillId="17" borderId="426" xfId="0" applyNumberFormat="1" applyFont="1" applyFill="1" applyBorder="1" applyAlignment="1">
      <alignment horizontal="center" vertical="center" wrapText="1"/>
    </xf>
    <xf numFmtId="1" fontId="6" fillId="17" borderId="265" xfId="0" applyNumberFormat="1" applyFont="1" applyFill="1" applyBorder="1" applyAlignment="1">
      <alignment horizontal="center" vertical="center" wrapText="1"/>
    </xf>
    <xf numFmtId="1" fontId="6" fillId="3" borderId="429" xfId="0" applyNumberFormat="1" applyFont="1" applyFill="1" applyBorder="1" applyAlignment="1">
      <alignment horizontal="center" vertical="center" wrapText="1"/>
    </xf>
    <xf numFmtId="1" fontId="6" fillId="3" borderId="409" xfId="0" applyNumberFormat="1" applyFont="1" applyFill="1" applyBorder="1" applyAlignment="1">
      <alignment horizontal="center" vertical="center" wrapText="1"/>
    </xf>
    <xf numFmtId="1" fontId="6" fillId="3" borderId="426" xfId="0" applyNumberFormat="1" applyFont="1" applyFill="1" applyBorder="1" applyAlignment="1">
      <alignment horizontal="center" vertical="center" wrapText="1"/>
    </xf>
    <xf numFmtId="1" fontId="6" fillId="3" borderId="265" xfId="0" applyNumberFormat="1" applyFont="1" applyFill="1" applyBorder="1" applyAlignment="1">
      <alignment horizontal="center" vertical="center" wrapText="1"/>
    </xf>
    <xf numFmtId="1" fontId="6" fillId="0" borderId="111" xfId="0" applyNumberFormat="1" applyFont="1" applyBorder="1" applyAlignment="1">
      <alignment horizontal="center" vertical="center" wrapText="1"/>
    </xf>
    <xf numFmtId="1" fontId="6" fillId="0" borderId="692" xfId="0" applyNumberFormat="1" applyFont="1" applyBorder="1" applyAlignment="1">
      <alignment horizontal="center" vertical="center"/>
    </xf>
    <xf numFmtId="1" fontId="6" fillId="0" borderId="697" xfId="0" applyNumberFormat="1" applyFont="1" applyBorder="1" applyAlignment="1">
      <alignment horizontal="center" vertical="center" wrapText="1"/>
    </xf>
    <xf numFmtId="1" fontId="6" fillId="0" borderId="687" xfId="0" applyNumberFormat="1" applyFont="1" applyBorder="1" applyAlignment="1">
      <alignment horizontal="center" vertical="center"/>
    </xf>
    <xf numFmtId="1" fontId="6" fillId="0" borderId="37" xfId="0" applyNumberFormat="1" applyFont="1" applyBorder="1" applyAlignment="1">
      <alignment horizontal="center" vertical="center"/>
    </xf>
    <xf numFmtId="1" fontId="6" fillId="0" borderId="24" xfId="0" applyNumberFormat="1" applyFont="1" applyBorder="1" applyAlignment="1">
      <alignment horizontal="center" vertical="center"/>
    </xf>
    <xf numFmtId="1" fontId="6" fillId="0" borderId="697" xfId="0" applyNumberFormat="1" applyFont="1" applyBorder="1" applyAlignment="1">
      <alignment horizontal="center" vertical="center"/>
    </xf>
    <xf numFmtId="1" fontId="15" fillId="0" borderId="705" xfId="0" applyNumberFormat="1" applyFont="1" applyBorder="1" applyAlignment="1">
      <alignment horizontal="center" vertical="center" wrapText="1"/>
    </xf>
    <xf numFmtId="1" fontId="15" fillId="0" borderId="706" xfId="0" applyNumberFormat="1" applyFont="1" applyBorder="1" applyAlignment="1">
      <alignment horizontal="center" vertical="center" wrapText="1"/>
    </xf>
    <xf numFmtId="1" fontId="6" fillId="0" borderId="691" xfId="0" applyNumberFormat="1" applyFont="1" applyBorder="1" applyAlignment="1">
      <alignment horizontal="left" vertical="center"/>
    </xf>
    <xf numFmtId="1" fontId="6" fillId="0" borderId="692" xfId="0" applyNumberFormat="1" applyFont="1" applyBorder="1" applyAlignment="1">
      <alignment horizontal="left" vertical="center"/>
    </xf>
    <xf numFmtId="1" fontId="6" fillId="0" borderId="631" xfId="0" applyNumberFormat="1" applyFont="1" applyBorder="1" applyAlignment="1">
      <alignment horizontal="left" vertical="center"/>
    </xf>
    <xf numFmtId="1" fontId="6" fillId="0" borderId="703" xfId="0" applyNumberFormat="1" applyFont="1" applyBorder="1" applyAlignment="1">
      <alignment horizontal="left" vertical="center"/>
    </xf>
    <xf numFmtId="1" fontId="6" fillId="0" borderId="40" xfId="0" applyNumberFormat="1" applyFont="1" applyBorder="1" applyAlignment="1">
      <alignment horizontal="left" vertical="center" shrinkToFit="1"/>
    </xf>
    <xf numFmtId="1" fontId="6" fillId="0" borderId="51" xfId="0" applyNumberFormat="1" applyFont="1" applyBorder="1" applyAlignment="1">
      <alignment horizontal="left" vertical="center" shrinkToFit="1"/>
    </xf>
    <xf numFmtId="1" fontId="6" fillId="0" borderId="687" xfId="0" applyNumberFormat="1" applyFont="1" applyBorder="1" applyAlignment="1">
      <alignment horizontal="center" vertical="center" wrapText="1"/>
    </xf>
    <xf numFmtId="1" fontId="6" fillId="0" borderId="834" xfId="0" applyNumberFormat="1" applyFont="1" applyBorder="1" applyAlignment="1">
      <alignment horizontal="center" vertical="center"/>
    </xf>
    <xf numFmtId="1" fontId="6" fillId="0" borderId="751" xfId="0" applyNumberFormat="1" applyFont="1" applyBorder="1" applyAlignment="1">
      <alignment horizontal="center" vertical="center" wrapText="1"/>
    </xf>
    <xf numFmtId="1" fontId="6" fillId="0" borderId="834" xfId="0" applyNumberFormat="1" applyFont="1" applyBorder="1" applyAlignment="1">
      <alignment horizontal="center" vertical="center" wrapText="1"/>
    </xf>
    <xf numFmtId="1" fontId="51" fillId="0" borderId="882" xfId="0" applyNumberFormat="1" applyFont="1" applyBorder="1" applyAlignment="1">
      <alignment horizontal="center" vertical="center" wrapText="1"/>
    </xf>
    <xf numFmtId="1" fontId="51" fillId="0" borderId="834" xfId="0" applyNumberFormat="1" applyFont="1" applyBorder="1" applyAlignment="1">
      <alignment horizontal="center" vertical="center" wrapText="1"/>
    </xf>
    <xf numFmtId="1" fontId="6" fillId="0" borderId="895" xfId="0" applyNumberFormat="1" applyFont="1" applyBorder="1" applyAlignment="1">
      <alignment horizontal="center" vertical="center" wrapText="1"/>
    </xf>
    <xf numFmtId="1" fontId="6" fillId="0" borderId="827" xfId="0" applyNumberFormat="1" applyFont="1" applyBorder="1" applyAlignment="1">
      <alignment horizontal="center" vertical="center" wrapText="1"/>
    </xf>
    <xf numFmtId="1" fontId="6" fillId="0" borderId="915" xfId="0" applyNumberFormat="1" applyFont="1" applyBorder="1" applyAlignment="1">
      <alignment horizontal="center" vertical="center" wrapText="1"/>
    </xf>
    <xf numFmtId="1" fontId="6" fillId="0" borderId="916" xfId="0" applyNumberFormat="1" applyFont="1" applyBorder="1" applyAlignment="1">
      <alignment horizontal="center" vertical="center" wrapText="1"/>
    </xf>
    <xf numFmtId="1" fontId="55" fillId="0" borderId="0" xfId="0" applyNumberFormat="1" applyFont="1"/>
    <xf numFmtId="1" fontId="6" fillId="0" borderId="825" xfId="0" applyNumberFormat="1" applyFont="1" applyBorder="1" applyAlignment="1">
      <alignment horizontal="center" vertical="center" wrapText="1"/>
    </xf>
    <xf numFmtId="1" fontId="6" fillId="0" borderId="910" xfId="0" applyNumberFormat="1" applyFont="1" applyBorder="1" applyAlignment="1">
      <alignment horizontal="center" vertical="center" wrapText="1"/>
    </xf>
    <xf numFmtId="1" fontId="6" fillId="0" borderId="857" xfId="0" applyNumberFormat="1" applyFont="1" applyBorder="1" applyAlignment="1">
      <alignment horizontal="center" vertical="center"/>
    </xf>
    <xf numFmtId="1" fontId="6" fillId="0" borderId="751" xfId="0" applyNumberFormat="1" applyFont="1" applyBorder="1" applyAlignment="1">
      <alignment horizontal="center" vertical="center"/>
    </xf>
    <xf numFmtId="1" fontId="51" fillId="3" borderId="871" xfId="0" applyNumberFormat="1" applyFont="1" applyFill="1" applyBorder="1" applyAlignment="1">
      <alignment horizontal="center" vertical="center" wrapText="1"/>
    </xf>
    <xf numFmtId="1" fontId="51" fillId="3" borderId="876" xfId="0" applyNumberFormat="1" applyFont="1" applyFill="1" applyBorder="1" applyAlignment="1">
      <alignment horizontal="center" vertical="center" wrapText="1"/>
    </xf>
    <xf numFmtId="1" fontId="51" fillId="3" borderId="497" xfId="0" applyNumberFormat="1" applyFont="1" applyFill="1" applyBorder="1" applyAlignment="1">
      <alignment horizontal="center" vertical="center" wrapText="1"/>
    </xf>
    <xf numFmtId="1" fontId="51" fillId="3" borderId="559" xfId="0" applyNumberFormat="1" applyFont="1" applyFill="1" applyBorder="1" applyAlignment="1">
      <alignment horizontal="center" vertical="center" wrapText="1"/>
    </xf>
    <xf numFmtId="1" fontId="6" fillId="0" borderId="921" xfId="0" applyNumberFormat="1" applyFont="1" applyBorder="1" applyAlignment="1">
      <alignment horizontal="center" vertical="center" wrapText="1"/>
    </xf>
    <xf numFmtId="1" fontId="6" fillId="3" borderId="857" xfId="0" applyNumberFormat="1" applyFont="1" applyFill="1" applyBorder="1" applyAlignment="1">
      <alignment horizontal="center" vertical="center"/>
    </xf>
    <xf numFmtId="1" fontId="6" fillId="3" borderId="871" xfId="0" applyNumberFormat="1" applyFont="1" applyFill="1" applyBorder="1" applyAlignment="1">
      <alignment horizontal="center" vertical="center"/>
    </xf>
    <xf numFmtId="1" fontId="6" fillId="3" borderId="876" xfId="0" applyNumberFormat="1" applyFont="1" applyFill="1" applyBorder="1" applyAlignment="1">
      <alignment horizontal="center" vertical="center"/>
    </xf>
    <xf numFmtId="1" fontId="6" fillId="3" borderId="751" xfId="0" applyNumberFormat="1" applyFont="1" applyFill="1" applyBorder="1" applyAlignment="1">
      <alignment horizontal="center" vertical="center"/>
    </xf>
    <xf numFmtId="1" fontId="6" fillId="3" borderId="497" xfId="0" applyNumberFormat="1" applyFont="1" applyFill="1" applyBorder="1" applyAlignment="1">
      <alignment horizontal="center" vertical="center"/>
    </xf>
    <xf numFmtId="1" fontId="6" fillId="3" borderId="559" xfId="0" applyNumberFormat="1" applyFont="1" applyFill="1" applyBorder="1" applyAlignment="1">
      <alignment horizontal="center" vertical="center"/>
    </xf>
    <xf numFmtId="1" fontId="15" fillId="3" borderId="873" xfId="0" applyNumberFormat="1" applyFont="1" applyFill="1" applyBorder="1" applyAlignment="1">
      <alignment horizontal="center" vertical="center"/>
    </xf>
    <xf numFmtId="1" fontId="15" fillId="3" borderId="870" xfId="0" applyNumberFormat="1" applyFont="1" applyFill="1" applyBorder="1" applyAlignment="1">
      <alignment horizontal="center" vertical="center"/>
    </xf>
    <xf numFmtId="1" fontId="15" fillId="3" borderId="874" xfId="0" applyNumberFormat="1" applyFont="1" applyFill="1" applyBorder="1" applyAlignment="1">
      <alignment horizontal="center" vertical="center"/>
    </xf>
    <xf numFmtId="1" fontId="40" fillId="0" borderId="882" xfId="0" applyNumberFormat="1" applyFont="1" applyBorder="1" applyAlignment="1">
      <alignment horizontal="center" vertical="center" wrapText="1"/>
    </xf>
    <xf numFmtId="1" fontId="40" fillId="0" borderId="495" xfId="0" applyNumberFormat="1" applyFont="1" applyBorder="1" applyAlignment="1">
      <alignment horizontal="center" vertical="center" wrapText="1"/>
    </xf>
    <xf numFmtId="1" fontId="40" fillId="0" borderId="834" xfId="0" applyNumberFormat="1" applyFont="1" applyBorder="1" applyAlignment="1">
      <alignment horizontal="center" vertical="center" wrapText="1"/>
    </xf>
    <xf numFmtId="1" fontId="6" fillId="0" borderId="151" xfId="0" applyNumberFormat="1" applyFont="1" applyBorder="1" applyAlignment="1">
      <alignment horizontal="center" wrapText="1"/>
    </xf>
    <xf numFmtId="1" fontId="6" fillId="0" borderId="80" xfId="0" applyNumberFormat="1" applyFont="1" applyBorder="1" applyAlignment="1">
      <alignment horizontal="left" vertical="center"/>
    </xf>
    <xf numFmtId="1" fontId="6" fillId="0" borderId="77" xfId="0" applyNumberFormat="1" applyFont="1" applyBorder="1" applyAlignment="1">
      <alignment horizontal="left" vertical="center"/>
    </xf>
    <xf numFmtId="1" fontId="6" fillId="0" borderId="876" xfId="0" applyNumberFormat="1" applyFont="1" applyBorder="1" applyAlignment="1">
      <alignment horizontal="center" vertical="center"/>
    </xf>
    <xf numFmtId="1" fontId="6" fillId="0" borderId="559" xfId="0" applyNumberFormat="1" applyFont="1" applyBorder="1" applyAlignment="1">
      <alignment horizontal="center" vertical="center"/>
    </xf>
    <xf numFmtId="1" fontId="6" fillId="0" borderId="871" xfId="0" applyNumberFormat="1" applyFont="1" applyBorder="1" applyAlignment="1">
      <alignment horizontal="center" vertical="center"/>
    </xf>
    <xf numFmtId="1" fontId="6" fillId="0" borderId="873" xfId="0" quotePrefix="1" applyNumberFormat="1" applyFont="1" applyBorder="1" applyAlignment="1">
      <alignment horizontal="center" vertical="center" wrapText="1"/>
    </xf>
    <xf numFmtId="1" fontId="6" fillId="0" borderId="879" xfId="0" applyNumberFormat="1" applyFont="1" applyBorder="1" applyAlignment="1">
      <alignment horizontal="left" vertical="center" wrapText="1"/>
    </xf>
    <xf numFmtId="1" fontId="6" fillId="0" borderId="880" xfId="0" applyNumberFormat="1" applyFont="1" applyBorder="1" applyAlignment="1">
      <alignment horizontal="left" vertical="center" wrapText="1"/>
    </xf>
    <xf numFmtId="1" fontId="6" fillId="0" borderId="922" xfId="0" applyNumberFormat="1" applyFont="1" applyBorder="1" applyAlignment="1">
      <alignment horizontal="center" vertical="center" wrapText="1"/>
    </xf>
    <xf numFmtId="1" fontId="6" fillId="0" borderId="881" xfId="0" applyNumberFormat="1" applyFont="1" applyBorder="1" applyAlignment="1">
      <alignment horizontal="center" vertical="center" wrapText="1"/>
    </xf>
    <xf numFmtId="1" fontId="6" fillId="0" borderId="862" xfId="0" applyNumberFormat="1" applyFont="1" applyBorder="1" applyAlignment="1">
      <alignment horizontal="center" vertical="center" wrapText="1"/>
    </xf>
    <xf numFmtId="1" fontId="6" fillId="0" borderId="923" xfId="0" applyNumberFormat="1" applyFont="1" applyBorder="1" applyAlignment="1">
      <alignment horizontal="center" vertical="center" wrapText="1"/>
    </xf>
    <xf numFmtId="1" fontId="6" fillId="0" borderId="922" xfId="0" applyNumberFormat="1" applyFont="1" applyBorder="1" applyAlignment="1">
      <alignment horizontal="center" vertical="center"/>
    </xf>
    <xf numFmtId="1" fontId="6" fillId="3" borderId="873" xfId="0" applyNumberFormat="1" applyFont="1" applyFill="1" applyBorder="1" applyAlignment="1">
      <alignment horizontal="center"/>
    </xf>
    <xf numFmtId="1" fontId="6" fillId="3" borderId="881" xfId="0" applyNumberFormat="1" applyFont="1" applyFill="1" applyBorder="1" applyAlignment="1">
      <alignment horizontal="center"/>
    </xf>
    <xf numFmtId="1" fontId="6" fillId="0" borderId="870" xfId="0" applyNumberFormat="1" applyFont="1" applyBorder="1" applyAlignment="1">
      <alignment horizontal="left" vertical="center" wrapText="1"/>
    </xf>
    <xf numFmtId="1" fontId="6" fillId="0" borderId="751" xfId="0" applyNumberFormat="1" applyFont="1" applyBorder="1" applyAlignment="1">
      <alignment horizontal="left" vertical="center"/>
    </xf>
    <xf numFmtId="1" fontId="6" fillId="0" borderId="559" xfId="0" applyNumberFormat="1" applyFont="1" applyBorder="1" applyAlignment="1">
      <alignment horizontal="left" vertical="center"/>
    </xf>
    <xf numFmtId="1" fontId="6" fillId="0" borderId="921" xfId="0" applyNumberFormat="1" applyFont="1" applyBorder="1" applyAlignment="1">
      <alignment horizontal="center" vertical="center"/>
    </xf>
    <xf numFmtId="1" fontId="6" fillId="0" borderId="881" xfId="0" applyNumberFormat="1" applyFont="1" applyBorder="1" applyAlignment="1">
      <alignment horizontal="center" vertical="center"/>
    </xf>
    <xf numFmtId="1" fontId="6" fillId="0" borderId="748" xfId="0" applyNumberFormat="1" applyFont="1" applyBorder="1" applyAlignment="1">
      <alignment horizontal="center" vertical="center" wrapText="1"/>
    </xf>
    <xf numFmtId="1" fontId="6" fillId="0" borderId="818" xfId="0" applyNumberFormat="1" applyFont="1" applyBorder="1" applyAlignment="1">
      <alignment horizontal="center" vertical="center" wrapText="1"/>
    </xf>
    <xf numFmtId="1" fontId="20" fillId="0" borderId="879" xfId="0" applyNumberFormat="1" applyFont="1" applyBorder="1" applyAlignment="1">
      <alignment horizontal="left"/>
    </xf>
    <xf numFmtId="1" fontId="20" fillId="0" borderId="880" xfId="0" applyNumberFormat="1" applyFont="1" applyBorder="1" applyAlignment="1">
      <alignment horizontal="left"/>
    </xf>
    <xf numFmtId="1" fontId="6" fillId="0" borderId="901" xfId="0" applyNumberFormat="1" applyFont="1" applyBorder="1" applyAlignment="1">
      <alignment horizontal="center" vertical="center" wrapText="1"/>
    </xf>
    <xf numFmtId="1" fontId="6" fillId="0" borderId="879" xfId="0" applyNumberFormat="1" applyFont="1" applyBorder="1" applyAlignment="1">
      <alignment horizontal="left" vertical="center"/>
    </xf>
    <xf numFmtId="1" fontId="6" fillId="0" borderId="880" xfId="0" applyNumberFormat="1" applyFont="1" applyBorder="1" applyAlignment="1">
      <alignment horizontal="left" vertical="center"/>
    </xf>
    <xf numFmtId="1" fontId="6" fillId="0" borderId="867" xfId="0" applyNumberFormat="1" applyFont="1" applyBorder="1" applyAlignment="1">
      <alignment horizontal="center" vertical="center"/>
    </xf>
    <xf numFmtId="1" fontId="6" fillId="3" borderId="879" xfId="0" applyNumberFormat="1" applyFont="1" applyFill="1" applyBorder="1" applyAlignment="1">
      <alignment horizontal="left" vertical="center" wrapText="1"/>
    </xf>
    <xf numFmtId="1" fontId="6" fillId="3" borderId="880" xfId="0" applyNumberFormat="1" applyFont="1" applyFill="1" applyBorder="1" applyAlignment="1">
      <alignment horizontal="left" vertical="center" wrapText="1"/>
    </xf>
    <xf numFmtId="1" fontId="6" fillId="3" borderId="35" xfId="0" applyNumberFormat="1" applyFont="1" applyFill="1" applyBorder="1" applyAlignment="1">
      <alignment horizontal="left" vertical="center" wrapText="1"/>
    </xf>
    <xf numFmtId="1" fontId="6" fillId="3" borderId="534" xfId="0" applyNumberFormat="1" applyFont="1" applyFill="1" applyBorder="1" applyAlignment="1">
      <alignment horizontal="left" vertical="center" wrapText="1"/>
    </xf>
    <xf numFmtId="1" fontId="6" fillId="3" borderId="867" xfId="0" applyNumberFormat="1" applyFont="1" applyFill="1" applyBorder="1" applyAlignment="1">
      <alignment horizontal="center" vertical="center" wrapText="1"/>
    </xf>
    <xf numFmtId="1" fontId="6" fillId="3" borderId="857" xfId="0" applyNumberFormat="1" applyFont="1" applyFill="1" applyBorder="1" applyAlignment="1" applyProtection="1">
      <alignment horizontal="center" vertical="center"/>
      <protection locked="0"/>
    </xf>
    <xf numFmtId="1" fontId="6" fillId="3" borderId="871" xfId="0" applyNumberFormat="1" applyFont="1" applyFill="1" applyBorder="1" applyAlignment="1" applyProtection="1">
      <alignment horizontal="center" vertical="center"/>
      <protection locked="0"/>
    </xf>
    <xf numFmtId="1" fontId="6" fillId="3" borderId="876" xfId="0" applyNumberFormat="1" applyFont="1" applyFill="1" applyBorder="1" applyAlignment="1" applyProtection="1">
      <alignment horizontal="center" vertical="center"/>
      <protection locked="0"/>
    </xf>
    <xf numFmtId="1" fontId="6" fillId="3" borderId="751" xfId="0" applyNumberFormat="1" applyFont="1" applyFill="1" applyBorder="1" applyAlignment="1" applyProtection="1">
      <alignment horizontal="center" vertical="center"/>
      <protection locked="0"/>
    </xf>
    <xf numFmtId="1" fontId="6" fillId="3" borderId="497" xfId="0" applyNumberFormat="1" applyFont="1" applyFill="1" applyBorder="1" applyAlignment="1" applyProtection="1">
      <alignment horizontal="center" vertical="center"/>
      <protection locked="0"/>
    </xf>
    <xf numFmtId="1" fontId="6" fillId="3" borderId="559" xfId="0" applyNumberFormat="1" applyFont="1" applyFill="1" applyBorder="1" applyAlignment="1" applyProtection="1">
      <alignment horizontal="center" vertical="center"/>
      <protection locked="0"/>
    </xf>
    <xf numFmtId="1" fontId="6" fillId="3" borderId="870" xfId="0" applyNumberFormat="1" applyFont="1" applyFill="1" applyBorder="1" applyAlignment="1">
      <alignment horizontal="center"/>
    </xf>
    <xf numFmtId="1" fontId="6" fillId="3" borderId="874" xfId="0" applyNumberFormat="1" applyFont="1" applyFill="1" applyBorder="1" applyAlignment="1">
      <alignment horizontal="center"/>
    </xf>
    <xf numFmtId="1" fontId="6" fillId="0" borderId="867" xfId="0" applyNumberFormat="1" applyFont="1" applyBorder="1" applyAlignment="1">
      <alignment horizontal="center" vertical="center" wrapText="1"/>
    </xf>
    <xf numFmtId="1" fontId="6" fillId="3" borderId="491" xfId="0" applyNumberFormat="1" applyFont="1" applyFill="1" applyBorder="1" applyAlignment="1">
      <alignment horizontal="left" vertical="center" wrapText="1"/>
    </xf>
    <xf numFmtId="1" fontId="6" fillId="3" borderId="39" xfId="0" applyNumberFormat="1" applyFont="1" applyFill="1" applyBorder="1" applyAlignment="1">
      <alignment horizontal="left" vertical="center" wrapText="1"/>
    </xf>
    <xf numFmtId="1" fontId="6" fillId="3" borderId="23" xfId="0" applyNumberFormat="1" applyFont="1" applyFill="1" applyBorder="1" applyAlignment="1">
      <alignment horizontal="left" vertical="center" wrapText="1"/>
    </xf>
    <xf numFmtId="1" fontId="6" fillId="3" borderId="21" xfId="0" applyNumberFormat="1" applyFont="1" applyFill="1" applyBorder="1" applyAlignment="1">
      <alignment horizontal="left" vertical="center" wrapText="1"/>
    </xf>
    <xf numFmtId="1" fontId="6" fillId="3" borderId="883" xfId="0" applyNumberFormat="1" applyFont="1" applyFill="1" applyBorder="1" applyAlignment="1">
      <alignment horizontal="center" vertical="center"/>
    </xf>
    <xf numFmtId="1" fontId="6" fillId="0" borderId="883" xfId="0" applyNumberFormat="1" applyFont="1" applyBorder="1" applyAlignment="1">
      <alignment horizontal="center" vertical="center" wrapText="1"/>
    </xf>
    <xf numFmtId="1" fontId="6" fillId="0" borderId="883" xfId="0" applyNumberFormat="1" applyFont="1" applyBorder="1" applyAlignment="1">
      <alignment horizontal="center" vertical="center"/>
    </xf>
    <xf numFmtId="1" fontId="6" fillId="0" borderId="904" xfId="0" applyNumberFormat="1" applyFont="1" applyBorder="1" applyAlignment="1">
      <alignment horizontal="center" vertical="center" wrapText="1"/>
    </xf>
    <xf numFmtId="1" fontId="6" fillId="0" borderId="957" xfId="0" applyNumberFormat="1" applyFont="1" applyBorder="1" applyAlignment="1">
      <alignment horizontal="center" vertical="center" wrapText="1"/>
    </xf>
    <xf numFmtId="1" fontId="51" fillId="0" borderId="873" xfId="0" applyNumberFormat="1" applyFont="1" applyBorder="1" applyAlignment="1">
      <alignment horizontal="center" vertical="center" wrapText="1"/>
    </xf>
    <xf numFmtId="1" fontId="51" fillId="0" borderId="874" xfId="0" applyNumberFormat="1" applyFont="1" applyBorder="1" applyAlignment="1">
      <alignment horizontal="center" vertical="center" wrapText="1"/>
    </xf>
    <xf numFmtId="1" fontId="51" fillId="0" borderId="875" xfId="0" applyNumberFormat="1" applyFont="1" applyBorder="1" applyAlignment="1">
      <alignment horizontal="center" vertical="center" wrapText="1"/>
    </xf>
    <xf numFmtId="1" fontId="51" fillId="0" borderId="942" xfId="0" applyNumberFormat="1" applyFont="1" applyBorder="1" applyAlignment="1">
      <alignment horizontal="center" vertical="center" wrapText="1"/>
    </xf>
    <xf numFmtId="1" fontId="51" fillId="0" borderId="881" xfId="0" applyNumberFormat="1" applyFont="1" applyBorder="1" applyAlignment="1">
      <alignment horizontal="center" vertical="center" wrapText="1"/>
    </xf>
    <xf numFmtId="1" fontId="51" fillId="0" borderId="882" xfId="0" applyNumberFormat="1" applyFont="1" applyBorder="1" applyAlignment="1">
      <alignment horizontal="center" vertical="center"/>
    </xf>
    <xf numFmtId="1" fontId="51" fillId="0" borderId="921" xfId="0" applyNumberFormat="1" applyFont="1" applyBorder="1" applyAlignment="1">
      <alignment horizontal="center" vertical="center"/>
    </xf>
    <xf numFmtId="1" fontId="51" fillId="0" borderId="857" xfId="0" applyNumberFormat="1" applyFont="1" applyBorder="1" applyAlignment="1">
      <alignment horizontal="center" vertical="center" wrapText="1"/>
    </xf>
    <xf numFmtId="1" fontId="51" fillId="0" borderId="871" xfId="0" applyNumberFormat="1" applyFont="1" applyBorder="1" applyAlignment="1">
      <alignment horizontal="center" vertical="center" wrapText="1"/>
    </xf>
    <xf numFmtId="1" fontId="51" fillId="0" borderId="876" xfId="0" applyNumberFormat="1" applyFont="1" applyBorder="1" applyAlignment="1">
      <alignment horizontal="center" vertical="center" wrapText="1"/>
    </xf>
    <xf numFmtId="1" fontId="51" fillId="0" borderId="751" xfId="0" applyNumberFormat="1" applyFont="1" applyBorder="1" applyAlignment="1">
      <alignment horizontal="center" vertical="center" wrapText="1"/>
    </xf>
    <xf numFmtId="1" fontId="51" fillId="0" borderId="497" xfId="0" applyNumberFormat="1" applyFont="1" applyBorder="1" applyAlignment="1">
      <alignment horizontal="center" vertical="center" wrapText="1"/>
    </xf>
    <xf numFmtId="1" fontId="51" fillId="3" borderId="873" xfId="0" applyNumberFormat="1" applyFont="1" applyFill="1" applyBorder="1" applyAlignment="1">
      <alignment horizontal="center" vertical="center"/>
    </xf>
    <xf numFmtId="1" fontId="51" fillId="3" borderId="870" xfId="0" applyNumberFormat="1" applyFont="1" applyFill="1" applyBorder="1" applyAlignment="1">
      <alignment horizontal="center" vertical="center"/>
    </xf>
    <xf numFmtId="1" fontId="51" fillId="3" borderId="881" xfId="0" applyNumberFormat="1" applyFont="1" applyFill="1" applyBorder="1" applyAlignment="1">
      <alignment horizontal="center" vertical="center"/>
    </xf>
    <xf numFmtId="1" fontId="51" fillId="0" borderId="791" xfId="0" applyNumberFormat="1" applyFont="1" applyBorder="1" applyAlignment="1">
      <alignment horizontal="center" vertical="center" wrapText="1"/>
    </xf>
    <xf numFmtId="1" fontId="51" fillId="0" borderId="563" xfId="0" applyNumberFormat="1" applyFont="1" applyBorder="1" applyAlignment="1">
      <alignment horizontal="center" vertical="center" wrapText="1"/>
    </xf>
    <xf numFmtId="1" fontId="6" fillId="0" borderId="873" xfId="0" applyNumberFormat="1" applyFont="1" applyBorder="1" applyAlignment="1">
      <alignment horizontal="center" wrapText="1"/>
    </xf>
    <xf numFmtId="1" fontId="6" fillId="0" borderId="870" xfId="0" applyNumberFormat="1" applyFont="1" applyBorder="1" applyAlignment="1">
      <alignment horizontal="center" wrapText="1"/>
    </xf>
    <xf numFmtId="1" fontId="6" fillId="0" borderId="874" xfId="0" applyNumberFormat="1" applyFont="1" applyBorder="1" applyAlignment="1">
      <alignment horizontal="center" wrapText="1"/>
    </xf>
    <xf numFmtId="1" fontId="6" fillId="0" borderId="883" xfId="0" quotePrefix="1" applyNumberFormat="1" applyFont="1" applyBorder="1" applyAlignment="1">
      <alignment horizontal="center" vertical="center" wrapText="1"/>
    </xf>
    <xf numFmtId="1" fontId="6" fillId="0" borderId="40" xfId="0" applyNumberFormat="1" applyFont="1" applyBorder="1" applyAlignment="1" applyProtection="1">
      <alignment horizontal="left" vertical="center" wrapText="1"/>
      <protection hidden="1"/>
    </xf>
    <xf numFmtId="1" fontId="6" fillId="0" borderId="51" xfId="0" applyNumberFormat="1" applyFont="1" applyBorder="1" applyAlignment="1" applyProtection="1">
      <alignment horizontal="left" vertical="center" wrapText="1"/>
      <protection hidden="1"/>
    </xf>
    <xf numFmtId="1" fontId="6" fillId="0" borderId="493" xfId="0" applyNumberFormat="1" applyFont="1" applyBorder="1" applyAlignment="1" applyProtection="1">
      <alignment horizontal="left" vertical="center" wrapText="1"/>
      <protection hidden="1"/>
    </xf>
    <xf numFmtId="1" fontId="6" fillId="0" borderId="534" xfId="0" applyNumberFormat="1" applyFont="1" applyBorder="1" applyAlignment="1" applyProtection="1">
      <alignment horizontal="left" vertical="center" wrapText="1"/>
      <protection hidden="1"/>
    </xf>
    <xf numFmtId="1" fontId="40" fillId="15" borderId="40" xfId="0" applyNumberFormat="1" applyFont="1" applyFill="1" applyBorder="1" applyAlignment="1" applyProtection="1">
      <alignment horizontal="left" vertical="center" wrapText="1"/>
      <protection hidden="1"/>
    </xf>
    <xf numFmtId="1" fontId="40" fillId="15" borderId="51" xfId="0" applyNumberFormat="1" applyFont="1" applyFill="1" applyBorder="1" applyAlignment="1" applyProtection="1">
      <alignment horizontal="left" vertical="center" wrapText="1"/>
      <protection hidden="1"/>
    </xf>
    <xf numFmtId="1" fontId="40" fillId="15" borderId="23" xfId="0" applyNumberFormat="1" applyFont="1" applyFill="1" applyBorder="1" applyAlignment="1" applyProtection="1">
      <alignment horizontal="left" vertical="center" wrapText="1"/>
      <protection hidden="1"/>
    </xf>
    <xf numFmtId="1" fontId="40" fillId="15" borderId="21" xfId="0" applyNumberFormat="1" applyFont="1" applyFill="1" applyBorder="1" applyAlignment="1" applyProtection="1">
      <alignment horizontal="left" vertical="center" wrapText="1"/>
      <protection hidden="1"/>
    </xf>
    <xf numFmtId="1" fontId="6" fillId="0" borderId="868" xfId="0" applyNumberFormat="1" applyFont="1" applyBorder="1" applyAlignment="1" applyProtection="1">
      <alignment horizontal="center" vertical="center" wrapText="1"/>
      <protection hidden="1"/>
    </xf>
    <xf numFmtId="1" fontId="6" fillId="0" borderId="863" xfId="0" applyNumberFormat="1" applyFont="1" applyBorder="1" applyAlignment="1" applyProtection="1">
      <alignment horizontal="left" vertical="center" wrapText="1"/>
      <protection hidden="1"/>
    </xf>
    <xf numFmtId="1" fontId="6" fillId="0" borderId="865" xfId="0" applyNumberFormat="1" applyFont="1" applyBorder="1" applyAlignment="1" applyProtection="1">
      <alignment horizontal="left" vertical="center" wrapText="1"/>
      <protection hidden="1"/>
    </xf>
    <xf numFmtId="1" fontId="6" fillId="0" borderId="40" xfId="0" applyNumberFormat="1" applyFont="1" applyBorder="1" applyAlignment="1">
      <alignment horizontal="left"/>
    </xf>
    <xf numFmtId="1" fontId="6" fillId="3" borderId="38" xfId="0" applyNumberFormat="1" applyFont="1" applyFill="1" applyBorder="1" applyAlignment="1">
      <alignment horizontal="left" vertical="center" wrapText="1"/>
    </xf>
    <xf numFmtId="1" fontId="6" fillId="3" borderId="63" xfId="0" applyNumberFormat="1" applyFont="1" applyFill="1" applyBorder="1" applyAlignment="1">
      <alignment horizontal="left" vertical="center" wrapText="1"/>
    </xf>
    <xf numFmtId="1" fontId="6" fillId="3" borderId="36" xfId="0" applyNumberFormat="1" applyFont="1" applyFill="1" applyBorder="1" applyAlignment="1">
      <alignment horizontal="left" vertical="center" wrapText="1"/>
    </xf>
    <xf numFmtId="1" fontId="6" fillId="0" borderId="715" xfId="0" applyNumberFormat="1" applyFont="1" applyBorder="1" applyAlignment="1">
      <alignment horizontal="center" vertical="center" wrapText="1"/>
    </xf>
    <xf numFmtId="1" fontId="6" fillId="0" borderId="863" xfId="0" applyNumberFormat="1" applyFont="1" applyBorder="1" applyAlignment="1">
      <alignment horizontal="left" vertical="center" wrapText="1"/>
    </xf>
    <xf numFmtId="1" fontId="6" fillId="0" borderId="864" xfId="0" applyNumberFormat="1" applyFont="1" applyBorder="1" applyAlignment="1">
      <alignment horizontal="left" vertical="center" wrapText="1"/>
    </xf>
    <xf numFmtId="1" fontId="6" fillId="0" borderId="865" xfId="0" applyNumberFormat="1" applyFont="1" applyBorder="1" applyAlignment="1">
      <alignment horizontal="left" vertical="center" wrapText="1"/>
    </xf>
    <xf numFmtId="1" fontId="6" fillId="0" borderId="716" xfId="0" applyNumberFormat="1" applyFont="1" applyBorder="1" applyAlignment="1">
      <alignment horizontal="center" vertical="center"/>
    </xf>
    <xf numFmtId="1" fontId="6" fillId="0" borderId="717" xfId="0" applyNumberFormat="1" applyFont="1" applyBorder="1" applyAlignment="1">
      <alignment horizontal="center" vertical="center"/>
    </xf>
    <xf numFmtId="1" fontId="6" fillId="15" borderId="857" xfId="0" applyNumberFormat="1" applyFont="1" applyFill="1" applyBorder="1" applyAlignment="1">
      <alignment horizontal="center" vertical="center" wrapText="1"/>
    </xf>
    <xf numFmtId="1" fontId="6" fillId="15" borderId="716" xfId="0" applyNumberFormat="1" applyFont="1" applyFill="1" applyBorder="1" applyAlignment="1">
      <alignment horizontal="center" vertical="center" wrapText="1"/>
    </xf>
    <xf numFmtId="1" fontId="6" fillId="15" borderId="717" xfId="0" applyNumberFormat="1" applyFont="1" applyFill="1" applyBorder="1" applyAlignment="1">
      <alignment horizontal="center" vertical="center" wrapText="1"/>
    </xf>
    <xf numFmtId="1" fontId="6" fillId="15" borderId="751" xfId="0" applyNumberFormat="1" applyFont="1" applyFill="1" applyBorder="1" applyAlignment="1">
      <alignment horizontal="center" vertical="center" wrapText="1"/>
    </xf>
    <xf numFmtId="1" fontId="6" fillId="15" borderId="497" xfId="0" applyNumberFormat="1" applyFont="1" applyFill="1" applyBorder="1" applyAlignment="1">
      <alignment horizontal="center" vertical="center" wrapText="1"/>
    </xf>
    <xf numFmtId="1" fontId="6" fillId="15" borderId="559" xfId="0" applyNumberFormat="1" applyFont="1" applyFill="1" applyBorder="1" applyAlignment="1">
      <alignment horizontal="center" vertical="center" wrapText="1"/>
    </xf>
    <xf numFmtId="1" fontId="6" fillId="0" borderId="859" xfId="0" applyNumberFormat="1" applyFont="1" applyBorder="1" applyAlignment="1">
      <alignment horizontal="center" vertical="center" wrapText="1"/>
    </xf>
    <xf numFmtId="1" fontId="6" fillId="0" borderId="860" xfId="0" applyNumberFormat="1" applyFont="1" applyBorder="1" applyAlignment="1">
      <alignment horizontal="center" vertical="center" wrapText="1"/>
    </xf>
    <xf numFmtId="1" fontId="6" fillId="0" borderId="717" xfId="0" applyNumberFormat="1" applyFont="1" applyBorder="1" applyAlignment="1">
      <alignment horizontal="center" vertical="center" wrapText="1"/>
    </xf>
    <xf numFmtId="1" fontId="15" fillId="3" borderId="198" xfId="0" applyNumberFormat="1" applyFont="1" applyFill="1" applyBorder="1" applyAlignment="1">
      <alignment horizontal="center" vertical="center" wrapText="1"/>
    </xf>
    <xf numFmtId="1" fontId="15" fillId="3" borderId="495" xfId="0" applyNumberFormat="1" applyFont="1" applyFill="1" applyBorder="1" applyAlignment="1">
      <alignment horizontal="center" vertical="center" wrapText="1"/>
    </xf>
    <xf numFmtId="1" fontId="15" fillId="3" borderId="648" xfId="0" applyNumberFormat="1" applyFont="1" applyFill="1" applyBorder="1" applyAlignment="1">
      <alignment horizontal="center" vertical="center" wrapText="1"/>
    </xf>
    <xf numFmtId="1" fontId="40" fillId="3" borderId="626" xfId="0" applyNumberFormat="1" applyFont="1" applyFill="1" applyBorder="1" applyAlignment="1">
      <alignment horizontal="left" vertical="center" wrapText="1"/>
    </xf>
    <xf numFmtId="1" fontId="6" fillId="3" borderId="626" xfId="0" applyNumberFormat="1" applyFont="1" applyFill="1" applyBorder="1" applyAlignment="1">
      <alignment horizontal="left" vertical="center" wrapText="1"/>
    </xf>
    <xf numFmtId="1" fontId="40" fillId="3" borderId="37" xfId="0" applyNumberFormat="1" applyFont="1" applyFill="1" applyBorder="1" applyAlignment="1">
      <alignment horizontal="left" vertical="center" wrapText="1"/>
    </xf>
    <xf numFmtId="1" fontId="6" fillId="3" borderId="37" xfId="0" applyNumberFormat="1" applyFont="1" applyFill="1" applyBorder="1" applyAlignment="1">
      <alignment horizontal="left" vertical="center" wrapText="1"/>
    </xf>
    <xf numFmtId="1" fontId="20" fillId="0" borderId="0" xfId="0" applyNumberFormat="1" applyFont="1" applyAlignment="1">
      <alignment wrapText="1"/>
    </xf>
    <xf numFmtId="1" fontId="20" fillId="0" borderId="534" xfId="0" applyNumberFormat="1" applyFont="1" applyBorder="1" applyAlignment="1">
      <alignment wrapText="1"/>
    </xf>
    <xf numFmtId="1" fontId="40" fillId="15" borderId="24" xfId="0" applyNumberFormat="1" applyFont="1" applyFill="1" applyBorder="1" applyAlignment="1">
      <alignment horizontal="left" vertical="center" wrapText="1"/>
    </xf>
    <xf numFmtId="1" fontId="20" fillId="0" borderId="812" xfId="0" applyNumberFormat="1" applyFont="1" applyBorder="1" applyAlignment="1">
      <alignment horizontal="center" vertical="center" wrapText="1"/>
    </xf>
    <xf numFmtId="1" fontId="40" fillId="15" borderId="82" xfId="0" applyNumberFormat="1" applyFont="1" applyFill="1" applyBorder="1" applyAlignment="1">
      <alignment horizontal="left" vertical="center" wrapText="1"/>
    </xf>
    <xf numFmtId="1" fontId="6" fillId="0" borderId="812" xfId="0" applyNumberFormat="1" applyFont="1" applyBorder="1" applyAlignment="1">
      <alignment horizontal="center" vertical="center" wrapText="1"/>
    </xf>
    <xf numFmtId="1" fontId="40" fillId="3" borderId="813" xfId="0" applyNumberFormat="1" applyFont="1" applyFill="1" applyBorder="1" applyAlignment="1">
      <alignment horizontal="left" vertical="center" wrapText="1"/>
    </xf>
    <xf numFmtId="1" fontId="40" fillId="3" borderId="814" xfId="0" applyNumberFormat="1" applyFont="1" applyFill="1" applyBorder="1" applyAlignment="1">
      <alignment horizontal="left" vertical="center" wrapText="1"/>
    </xf>
    <xf numFmtId="1" fontId="40" fillId="15" borderId="921" xfId="0" applyNumberFormat="1" applyFont="1" applyFill="1" applyBorder="1" applyAlignment="1">
      <alignment horizontal="left" vertical="center" wrapText="1"/>
    </xf>
    <xf numFmtId="1" fontId="40" fillId="15" borderId="812" xfId="0" applyNumberFormat="1" applyFont="1" applyFill="1" applyBorder="1" applyAlignment="1">
      <alignment horizontal="center" vertical="center" wrapText="1"/>
    </xf>
    <xf numFmtId="1" fontId="40" fillId="15" borderId="495" xfId="0" applyNumberFormat="1" applyFont="1" applyFill="1" applyBorder="1" applyAlignment="1">
      <alignment horizontal="center" vertical="center" wrapText="1"/>
    </xf>
    <xf numFmtId="1" fontId="40" fillId="15" borderId="648" xfId="0" applyNumberFormat="1" applyFont="1" applyFill="1" applyBorder="1" applyAlignment="1">
      <alignment horizontal="center" vertical="center" wrapText="1"/>
    </xf>
    <xf numFmtId="1" fontId="6" fillId="3" borderId="24" xfId="0" applyNumberFormat="1" applyFont="1" applyFill="1" applyBorder="1" applyAlignment="1">
      <alignment horizontal="left" vertical="center" wrapText="1"/>
    </xf>
    <xf numFmtId="1" fontId="6" fillId="3" borderId="540" xfId="0" applyNumberFormat="1" applyFont="1" applyFill="1" applyBorder="1" applyAlignment="1">
      <alignment horizontal="left" vertical="center" wrapText="1"/>
    </xf>
    <xf numFmtId="1" fontId="6" fillId="3" borderId="40" xfId="0" applyNumberFormat="1" applyFont="1" applyFill="1" applyBorder="1" applyAlignment="1">
      <alignment horizontal="left" vertical="center" wrapText="1"/>
    </xf>
    <xf numFmtId="1" fontId="6" fillId="3" borderId="51" xfId="0" applyNumberFormat="1" applyFont="1" applyFill="1" applyBorder="1" applyAlignment="1">
      <alignment horizontal="left" vertical="center" wrapText="1"/>
    </xf>
    <xf numFmtId="1" fontId="20" fillId="0" borderId="797" xfId="0" applyNumberFormat="1" applyFont="1" applyBorder="1" applyAlignment="1">
      <alignment horizontal="center" vertical="center" wrapText="1"/>
    </xf>
    <xf numFmtId="1" fontId="20" fillId="0" borderId="24" xfId="0" applyNumberFormat="1" applyFont="1" applyBorder="1" applyAlignment="1">
      <alignment horizontal="center" vertical="center" wrapText="1"/>
    </xf>
    <xf numFmtId="1" fontId="20" fillId="0" borderId="813" xfId="0" applyNumberFormat="1" applyFont="1" applyBorder="1" applyAlignment="1">
      <alignment horizontal="left" wrapText="1"/>
    </xf>
    <xf numFmtId="1" fontId="20" fillId="0" borderId="814" xfId="0" applyNumberFormat="1" applyFont="1" applyBorder="1" applyAlignment="1">
      <alignment horizontal="left" wrapText="1"/>
    </xf>
    <xf numFmtId="1" fontId="20" fillId="0" borderId="23" xfId="0" applyNumberFormat="1" applyFont="1" applyBorder="1" applyAlignment="1">
      <alignment horizontal="left" wrapText="1"/>
    </xf>
    <xf numFmtId="1" fontId="20" fillId="0" borderId="21" xfId="0" applyNumberFormat="1" applyFont="1" applyBorder="1" applyAlignment="1">
      <alignment horizontal="left" wrapText="1"/>
    </xf>
    <xf numFmtId="1" fontId="40" fillId="26" borderId="805" xfId="0" applyNumberFormat="1" applyFont="1" applyFill="1" applyBorder="1" applyAlignment="1">
      <alignment horizontal="center" vertical="center" wrapText="1"/>
    </xf>
    <xf numFmtId="1" fontId="20" fillId="0" borderId="802" xfId="0" applyNumberFormat="1" applyFont="1" applyBorder="1" applyAlignment="1">
      <alignment horizontal="center" vertical="center" wrapText="1"/>
    </xf>
    <xf numFmtId="1" fontId="20" fillId="0" borderId="804" xfId="0" applyNumberFormat="1" applyFont="1" applyBorder="1" applyAlignment="1">
      <alignment horizontal="center" vertical="center" wrapText="1"/>
    </xf>
    <xf numFmtId="1" fontId="20" fillId="0" borderId="803" xfId="0" applyNumberFormat="1" applyFont="1" applyBorder="1" applyAlignment="1">
      <alignment horizontal="center" vertical="center" wrapText="1"/>
    </xf>
    <xf numFmtId="1" fontId="20" fillId="0" borderId="803" xfId="0" applyNumberFormat="1" applyFont="1" applyBorder="1" applyAlignment="1">
      <alignment horizontal="center" vertical="center"/>
    </xf>
    <xf numFmtId="1" fontId="20" fillId="0" borderId="804" xfId="0" applyNumberFormat="1" applyFont="1" applyBorder="1" applyAlignment="1">
      <alignment horizontal="center" vertical="center"/>
    </xf>
    <xf numFmtId="1" fontId="20" fillId="0" borderId="811" xfId="0" applyNumberFormat="1" applyFont="1" applyBorder="1" applyAlignment="1">
      <alignment horizontal="center" vertical="center" wrapText="1"/>
    </xf>
    <xf numFmtId="1" fontId="6" fillId="0" borderId="822" xfId="0" applyNumberFormat="1" applyFont="1" applyBorder="1" applyAlignment="1">
      <alignment horizontal="center" vertical="center" wrapText="1"/>
    </xf>
    <xf numFmtId="1" fontId="6" fillId="0" borderId="150" xfId="0" applyNumberFormat="1" applyFont="1" applyBorder="1" applyAlignment="1">
      <alignment horizontal="center" vertical="center" wrapText="1"/>
    </xf>
    <xf numFmtId="1" fontId="6" fillId="0" borderId="663" xfId="0" applyNumberFormat="1" applyFont="1" applyBorder="1" applyAlignment="1">
      <alignment horizontal="center" vertical="center" wrapText="1"/>
    </xf>
    <xf numFmtId="1" fontId="6" fillId="0" borderId="823" xfId="0" applyNumberFormat="1" applyFont="1" applyBorder="1" applyAlignment="1">
      <alignment horizontal="center" vertical="center" wrapText="1"/>
    </xf>
    <xf numFmtId="1" fontId="6" fillId="0" borderId="494" xfId="0" applyNumberFormat="1" applyFont="1" applyBorder="1" applyAlignment="1">
      <alignment horizontal="center" vertical="center" wrapText="1"/>
    </xf>
    <xf numFmtId="1" fontId="40" fillId="26" borderId="824" xfId="0" applyNumberFormat="1" applyFont="1" applyFill="1" applyBorder="1" applyAlignment="1">
      <alignment horizontal="center" vertical="center" wrapText="1"/>
    </xf>
    <xf numFmtId="1" fontId="6" fillId="26" borderId="744" xfId="0" applyNumberFormat="1" applyFont="1" applyFill="1" applyBorder="1" applyAlignment="1">
      <alignment horizontal="center" vertical="center" wrapText="1"/>
    </xf>
    <xf numFmtId="1" fontId="6" fillId="0" borderId="726" xfId="0" applyNumberFormat="1" applyFont="1" applyBorder="1" applyAlignment="1">
      <alignment horizontal="center" vertical="center" wrapText="1"/>
    </xf>
    <xf numFmtId="1" fontId="40" fillId="26" borderId="812" xfId="0" applyNumberFormat="1" applyFont="1" applyFill="1" applyBorder="1" applyAlignment="1">
      <alignment horizontal="center" vertical="center" wrapText="1"/>
    </xf>
    <xf numFmtId="1" fontId="40" fillId="26" borderId="495" xfId="0" applyNumberFormat="1" applyFont="1" applyFill="1" applyBorder="1" applyAlignment="1">
      <alignment horizontal="center" vertical="center" wrapText="1"/>
    </xf>
    <xf numFmtId="1" fontId="40" fillId="26" borderId="648" xfId="0" applyNumberFormat="1" applyFont="1" applyFill="1" applyBorder="1" applyAlignment="1">
      <alignment horizontal="center" vertical="center" wrapText="1"/>
    </xf>
    <xf numFmtId="1" fontId="20" fillId="0" borderId="811" xfId="0" applyNumberFormat="1" applyFont="1" applyBorder="1" applyAlignment="1">
      <alignment horizontal="center" vertical="center"/>
    </xf>
    <xf numFmtId="1" fontId="40" fillId="26" borderId="823" xfId="0" applyNumberFormat="1" applyFont="1" applyFill="1" applyBorder="1" applyAlignment="1">
      <alignment horizontal="center" vertical="center" wrapText="1"/>
    </xf>
    <xf numFmtId="1" fontId="40" fillId="26" borderId="827" xfId="0" applyNumberFormat="1" applyFont="1" applyFill="1" applyBorder="1" applyAlignment="1">
      <alignment horizontal="center" vertical="center" wrapText="1"/>
    </xf>
    <xf numFmtId="1" fontId="6" fillId="0" borderId="772" xfId="0" applyNumberFormat="1" applyFont="1" applyBorder="1" applyAlignment="1">
      <alignment horizontal="left" vertical="center" wrapText="1"/>
    </xf>
    <xf numFmtId="1" fontId="6" fillId="0" borderId="780" xfId="0" applyNumberFormat="1" applyFont="1" applyBorder="1" applyAlignment="1">
      <alignment horizontal="left" vertical="center" wrapText="1"/>
    </xf>
    <xf numFmtId="1" fontId="6" fillId="0" borderId="783" xfId="0" applyNumberFormat="1" applyFont="1" applyBorder="1" applyAlignment="1">
      <alignment horizontal="left" vertical="center" wrapText="1"/>
    </xf>
    <xf numFmtId="1" fontId="51" fillId="0" borderId="85" xfId="0" applyNumberFormat="1" applyFont="1" applyBorder="1" applyAlignment="1">
      <alignment horizontal="left" vertical="center" wrapText="1"/>
    </xf>
    <xf numFmtId="1" fontId="6" fillId="0" borderId="38" xfId="0" applyNumberFormat="1" applyFont="1" applyBorder="1" applyAlignment="1">
      <alignment horizontal="left" vertical="center" wrapText="1"/>
    </xf>
    <xf numFmtId="1" fontId="6" fillId="0" borderId="63" xfId="0" applyNumberFormat="1" applyFont="1" applyBorder="1" applyAlignment="1">
      <alignment horizontal="left" vertical="center" wrapText="1"/>
    </xf>
    <xf numFmtId="1" fontId="6" fillId="0" borderId="36" xfId="0" applyNumberFormat="1" applyFont="1" applyBorder="1" applyAlignment="1">
      <alignment horizontal="left" vertical="center" wrapText="1"/>
    </xf>
    <xf numFmtId="1" fontId="20" fillId="0" borderId="23" xfId="0" applyNumberFormat="1" applyFont="1" applyBorder="1" applyAlignment="1">
      <alignment horizontal="left"/>
    </xf>
    <xf numFmtId="1" fontId="20" fillId="0" borderId="86" xfId="0" applyNumberFormat="1" applyFont="1" applyBorder="1" applyAlignment="1">
      <alignment horizontal="left"/>
    </xf>
    <xf numFmtId="1" fontId="20" fillId="0" borderId="21" xfId="0" applyNumberFormat="1" applyFont="1" applyBorder="1" applyAlignment="1">
      <alignment horizontal="left"/>
    </xf>
    <xf numFmtId="1" fontId="6" fillId="3" borderId="773" xfId="0" applyNumberFormat="1" applyFont="1" applyFill="1" applyBorder="1" applyAlignment="1">
      <alignment horizontal="center" vertical="center" wrapText="1"/>
    </xf>
    <xf numFmtId="1" fontId="6" fillId="3" borderId="744" xfId="0" applyNumberFormat="1" applyFont="1" applyFill="1" applyBorder="1" applyAlignment="1">
      <alignment horizontal="center" vertical="center" wrapText="1"/>
    </xf>
    <xf numFmtId="1" fontId="6" fillId="3" borderId="726" xfId="0" applyNumberFormat="1" applyFont="1" applyFill="1" applyBorder="1" applyAlignment="1">
      <alignment horizontal="center" vertical="center" wrapText="1"/>
    </xf>
    <xf numFmtId="1" fontId="6" fillId="3" borderId="493" xfId="0" applyNumberFormat="1" applyFont="1" applyFill="1" applyBorder="1" applyAlignment="1">
      <alignment horizontal="center" vertical="center" wrapText="1"/>
    </xf>
    <xf numFmtId="1" fontId="6" fillId="3" borderId="0" xfId="0" applyNumberFormat="1" applyFont="1" applyFill="1" applyAlignment="1">
      <alignment horizontal="center" vertical="center" wrapText="1"/>
    </xf>
    <xf numFmtId="1" fontId="6" fillId="3" borderId="534" xfId="0" applyNumberFormat="1" applyFont="1" applyFill="1" applyBorder="1" applyAlignment="1">
      <alignment horizontal="center" vertical="center" wrapText="1"/>
    </xf>
    <xf numFmtId="1" fontId="6" fillId="3" borderId="751" xfId="0" applyNumberFormat="1" applyFont="1" applyFill="1" applyBorder="1" applyAlignment="1">
      <alignment horizontal="center" vertical="center" wrapText="1"/>
    </xf>
    <xf numFmtId="1" fontId="6" fillId="3" borderId="497" xfId="0" applyNumberFormat="1" applyFont="1" applyFill="1" applyBorder="1" applyAlignment="1">
      <alignment horizontal="center" vertical="center" wrapText="1"/>
    </xf>
    <xf numFmtId="1" fontId="6" fillId="3" borderId="559" xfId="0" applyNumberFormat="1" applyFont="1" applyFill="1" applyBorder="1" applyAlignment="1">
      <alignment horizontal="center" vertical="center" wrapText="1"/>
    </xf>
    <xf numFmtId="1" fontId="6" fillId="0" borderId="773" xfId="0" applyNumberFormat="1" applyFont="1" applyBorder="1" applyAlignment="1">
      <alignment horizontal="center" vertical="center" wrapText="1"/>
    </xf>
    <xf numFmtId="1" fontId="6" fillId="0" borderId="744" xfId="0" applyNumberFormat="1" applyFont="1" applyBorder="1" applyAlignment="1">
      <alignment horizontal="center" vertical="center" wrapText="1"/>
    </xf>
    <xf numFmtId="1" fontId="6" fillId="0" borderId="802" xfId="0" applyNumberFormat="1" applyFont="1" applyBorder="1" applyAlignment="1">
      <alignment horizontal="center" vertical="center" wrapText="1"/>
    </xf>
    <xf numFmtId="1" fontId="6" fillId="0" borderId="803" xfId="0" applyNumberFormat="1" applyFont="1" applyBorder="1" applyAlignment="1">
      <alignment horizontal="center" vertical="center" wrapText="1"/>
    </xf>
    <xf numFmtId="1" fontId="6" fillId="0" borderId="804" xfId="0" applyNumberFormat="1" applyFont="1" applyBorder="1" applyAlignment="1">
      <alignment horizontal="center" vertical="center" wrapText="1"/>
    </xf>
    <xf numFmtId="1" fontId="6" fillId="3" borderId="813" xfId="0" applyNumberFormat="1" applyFont="1" applyFill="1" applyBorder="1" applyAlignment="1">
      <alignment horizontal="left" vertical="center" wrapText="1"/>
    </xf>
    <xf numFmtId="1" fontId="6" fillId="3" borderId="819" xfId="0" applyNumberFormat="1" applyFont="1" applyFill="1" applyBorder="1" applyAlignment="1">
      <alignment horizontal="left" vertical="center" wrapText="1"/>
    </xf>
    <xf numFmtId="1" fontId="6" fillId="3" borderId="814" xfId="0" applyNumberFormat="1" applyFont="1" applyFill="1" applyBorder="1" applyAlignment="1">
      <alignment horizontal="left" vertical="center" wrapText="1"/>
    </xf>
    <xf numFmtId="1" fontId="6" fillId="3" borderId="85" xfId="0" applyNumberFormat="1" applyFont="1" applyFill="1" applyBorder="1" applyAlignment="1">
      <alignment horizontal="left" vertical="center" wrapText="1"/>
    </xf>
    <xf numFmtId="1" fontId="51" fillId="3" borderId="493" xfId="0" applyNumberFormat="1" applyFont="1" applyFill="1" applyBorder="1" applyAlignment="1">
      <alignment horizontal="left" vertical="center" wrapText="1"/>
    </xf>
    <xf numFmtId="1" fontId="51" fillId="3" borderId="0" xfId="0" applyNumberFormat="1" applyFont="1" applyFill="1" applyAlignment="1">
      <alignment horizontal="left" vertical="center" wrapText="1"/>
    </xf>
    <xf numFmtId="1" fontId="51" fillId="3" borderId="534" xfId="0" applyNumberFormat="1" applyFont="1" applyFill="1" applyBorder="1" applyAlignment="1">
      <alignment horizontal="left" vertical="center" wrapText="1"/>
    </xf>
    <xf numFmtId="1" fontId="51" fillId="3" borderId="40" xfId="0" applyNumberFormat="1" applyFont="1" applyFill="1" applyBorder="1" applyAlignment="1">
      <alignment horizontal="left" vertical="center" wrapText="1"/>
    </xf>
    <xf numFmtId="1" fontId="51" fillId="3" borderId="85" xfId="0" applyNumberFormat="1" applyFont="1" applyFill="1" applyBorder="1" applyAlignment="1">
      <alignment horizontal="left" vertical="center" wrapText="1"/>
    </xf>
    <xf numFmtId="1" fontId="51" fillId="3" borderId="51" xfId="0" applyNumberFormat="1" applyFont="1" applyFill="1" applyBorder="1" applyAlignment="1">
      <alignment horizontal="left" vertical="center" wrapText="1"/>
    </xf>
    <xf numFmtId="1" fontId="51" fillId="3" borderId="23" xfId="0" applyNumberFormat="1" applyFont="1" applyFill="1" applyBorder="1" applyAlignment="1">
      <alignment horizontal="left" vertical="center" wrapText="1"/>
    </xf>
    <xf numFmtId="1" fontId="51" fillId="3" borderId="86" xfId="0" applyNumberFormat="1" applyFont="1" applyFill="1" applyBorder="1" applyAlignment="1">
      <alignment horizontal="left" vertical="center" wrapText="1"/>
    </xf>
    <xf numFmtId="1" fontId="51" fillId="3" borderId="21" xfId="0" applyNumberFormat="1" applyFont="1" applyFill="1" applyBorder="1" applyAlignment="1">
      <alignment horizontal="left" vertical="center" wrapText="1"/>
    </xf>
    <xf numFmtId="1" fontId="6" fillId="0" borderId="773" xfId="0" applyNumberFormat="1" applyFont="1" applyBorder="1" applyAlignment="1">
      <alignment horizontal="center" vertical="center"/>
    </xf>
    <xf numFmtId="1" fontId="6" fillId="0" borderId="744" xfId="0" applyNumberFormat="1" applyFont="1" applyBorder="1" applyAlignment="1">
      <alignment horizontal="center" vertical="center"/>
    </xf>
    <xf numFmtId="1" fontId="6" fillId="0" borderId="726" xfId="0" applyNumberFormat="1" applyFont="1" applyBorder="1" applyAlignment="1">
      <alignment horizontal="center" vertical="center"/>
    </xf>
    <xf numFmtId="1" fontId="51" fillId="3" borderId="726" xfId="0" applyNumberFormat="1" applyFont="1" applyFill="1" applyBorder="1" applyAlignment="1">
      <alignment horizontal="center" vertical="center" wrapText="1"/>
    </xf>
    <xf numFmtId="1" fontId="51" fillId="3" borderId="534" xfId="0" applyNumberFormat="1" applyFont="1" applyFill="1" applyBorder="1" applyAlignment="1">
      <alignment horizontal="center" vertical="center" wrapText="1"/>
    </xf>
    <xf numFmtId="1" fontId="20" fillId="3" borderId="802" xfId="0" applyNumberFormat="1" applyFont="1" applyFill="1" applyBorder="1" applyAlignment="1">
      <alignment horizontal="center"/>
    </xf>
    <xf numFmtId="1" fontId="20" fillId="3" borderId="804" xfId="0" applyNumberFormat="1" applyFont="1" applyFill="1" applyBorder="1" applyAlignment="1">
      <alignment horizontal="center"/>
    </xf>
    <xf numFmtId="1" fontId="40" fillId="0" borderId="802" xfId="0" applyNumberFormat="1" applyFont="1" applyBorder="1" applyAlignment="1">
      <alignment horizontal="center" vertical="center" wrapText="1"/>
    </xf>
    <xf numFmtId="1" fontId="40" fillId="0" borderId="804" xfId="0" applyNumberFormat="1" applyFont="1" applyBorder="1" applyAlignment="1">
      <alignment horizontal="center" vertical="center" wrapText="1"/>
    </xf>
    <xf numFmtId="1" fontId="6" fillId="32" borderId="495" xfId="0" applyNumberFormat="1" applyFont="1" applyFill="1" applyBorder="1" applyAlignment="1">
      <alignment horizontal="center" vertical="center" wrapText="1"/>
    </xf>
    <xf numFmtId="1" fontId="6" fillId="32" borderId="648" xfId="0" applyNumberFormat="1" applyFont="1" applyFill="1" applyBorder="1" applyAlignment="1">
      <alignment horizontal="center" vertical="center" wrapText="1"/>
    </xf>
    <xf numFmtId="1" fontId="6" fillId="0" borderId="811" xfId="0" applyNumberFormat="1" applyFont="1" applyBorder="1" applyAlignment="1">
      <alignment horizontal="center" vertical="center" wrapText="1"/>
    </xf>
    <xf numFmtId="1" fontId="6" fillId="0" borderId="802" xfId="0" applyNumberFormat="1" applyFont="1" applyBorder="1" applyAlignment="1">
      <alignment horizontal="center" vertical="center"/>
    </xf>
    <xf numFmtId="1" fontId="6" fillId="0" borderId="804" xfId="0" applyNumberFormat="1" applyFont="1" applyBorder="1" applyAlignment="1">
      <alignment horizontal="center" vertical="center"/>
    </xf>
    <xf numFmtId="1" fontId="6" fillId="0" borderId="811" xfId="0" applyNumberFormat="1" applyFont="1" applyBorder="1" applyAlignment="1">
      <alignment horizontal="center" vertical="center"/>
    </xf>
    <xf numFmtId="1" fontId="71" fillId="0" borderId="812" xfId="0" applyNumberFormat="1" applyFont="1" applyBorder="1" applyAlignment="1">
      <alignment horizontal="center" vertical="center" wrapText="1"/>
    </xf>
    <xf numFmtId="1" fontId="6" fillId="32" borderId="812" xfId="0" applyNumberFormat="1" applyFont="1" applyFill="1" applyBorder="1" applyAlignment="1">
      <alignment horizontal="center" vertical="center" wrapText="1"/>
    </xf>
    <xf numFmtId="1" fontId="40" fillId="32" borderId="812" xfId="0" applyNumberFormat="1" applyFont="1" applyFill="1" applyBorder="1" applyAlignment="1">
      <alignment horizontal="center" vertical="center" wrapText="1"/>
    </xf>
    <xf numFmtId="1" fontId="40" fillId="32" borderId="495" xfId="0" applyNumberFormat="1" applyFont="1" applyFill="1" applyBorder="1" applyAlignment="1">
      <alignment horizontal="center" vertical="center" wrapText="1"/>
    </xf>
    <xf numFmtId="1" fontId="40" fillId="32" borderId="648" xfId="0" applyNumberFormat="1" applyFont="1" applyFill="1" applyBorder="1" applyAlignment="1">
      <alignment horizontal="center" vertical="center" wrapText="1"/>
    </xf>
    <xf numFmtId="1" fontId="71" fillId="32" borderId="812" xfId="0" applyNumberFormat="1" applyFont="1" applyFill="1" applyBorder="1" applyAlignment="1">
      <alignment horizontal="center" vertical="center" wrapText="1"/>
    </xf>
    <xf numFmtId="1" fontId="71" fillId="32" borderId="495" xfId="0" applyNumberFormat="1" applyFont="1" applyFill="1" applyBorder="1" applyAlignment="1">
      <alignment horizontal="center" vertical="center" wrapText="1"/>
    </xf>
    <xf numFmtId="1" fontId="71" fillId="32" borderId="648" xfId="0" applyNumberFormat="1" applyFont="1" applyFill="1" applyBorder="1" applyAlignment="1">
      <alignment horizontal="center" vertical="center" wrapText="1"/>
    </xf>
    <xf numFmtId="1" fontId="6" fillId="3" borderId="813" xfId="0" applyNumberFormat="1" applyFont="1" applyFill="1" applyBorder="1" applyAlignment="1">
      <alignment horizontal="left" vertical="center"/>
    </xf>
    <xf numFmtId="1" fontId="6" fillId="3" borderId="814" xfId="0" applyNumberFormat="1" applyFont="1" applyFill="1" applyBorder="1" applyAlignment="1">
      <alignment horizontal="left" vertical="center"/>
    </xf>
    <xf numFmtId="1" fontId="40" fillId="0" borderId="812" xfId="0" applyNumberFormat="1" applyFont="1" applyBorder="1" applyAlignment="1">
      <alignment horizontal="center" vertical="center" wrapText="1"/>
    </xf>
    <xf numFmtId="1" fontId="40" fillId="0" borderId="648" xfId="0" applyNumberFormat="1" applyFont="1" applyBorder="1" applyAlignment="1">
      <alignment horizontal="center" vertical="center" wrapText="1"/>
    </xf>
    <xf numFmtId="1" fontId="6" fillId="0" borderId="810" xfId="0" applyNumberFormat="1" applyFont="1" applyBorder="1" applyAlignment="1">
      <alignment horizontal="center" vertical="center" wrapText="1"/>
    </xf>
    <xf numFmtId="1" fontId="6" fillId="3" borderId="810" xfId="0" applyNumberFormat="1" applyFont="1" applyFill="1" applyBorder="1" applyAlignment="1">
      <alignment horizontal="center" vertical="center" wrapText="1"/>
    </xf>
    <xf numFmtId="1" fontId="40" fillId="15" borderId="805" xfId="0" applyNumberFormat="1" applyFont="1" applyFill="1" applyBorder="1" applyAlignment="1">
      <alignment horizontal="center" vertical="center" wrapText="1"/>
    </xf>
    <xf numFmtId="1" fontId="40" fillId="0" borderId="561" xfId="0" applyNumberFormat="1" applyFont="1" applyBorder="1" applyAlignment="1">
      <alignment horizontal="left" vertical="center" wrapText="1"/>
    </xf>
    <xf numFmtId="1" fontId="40" fillId="0" borderId="719" xfId="0" applyNumberFormat="1" applyFont="1" applyBorder="1" applyAlignment="1">
      <alignment horizontal="left" vertical="center" wrapText="1"/>
    </xf>
    <xf numFmtId="1" fontId="40" fillId="0" borderId="893" xfId="0" applyNumberFormat="1" applyFont="1" applyBorder="1" applyAlignment="1">
      <alignment horizontal="left" vertical="center" wrapText="1"/>
    </xf>
    <xf numFmtId="1" fontId="6" fillId="0" borderId="808" xfId="0" applyNumberFormat="1" applyFont="1" applyBorder="1" applyAlignment="1">
      <alignment horizontal="center" vertical="center"/>
    </xf>
    <xf numFmtId="1" fontId="6" fillId="0" borderId="809" xfId="0" applyNumberFormat="1" applyFont="1" applyBorder="1" applyAlignment="1">
      <alignment horizontal="center" vertical="center"/>
    </xf>
    <xf numFmtId="1" fontId="6" fillId="0" borderId="810" xfId="0" applyNumberFormat="1" applyFont="1" applyBorder="1" applyAlignment="1">
      <alignment horizontal="center" vertical="center"/>
    </xf>
    <xf numFmtId="1" fontId="6" fillId="0" borderId="808" xfId="0" applyNumberFormat="1" applyFont="1" applyBorder="1" applyAlignment="1">
      <alignment horizontal="center" vertical="center" wrapText="1"/>
    </xf>
    <xf numFmtId="1" fontId="6" fillId="0" borderId="809" xfId="0" applyNumberFormat="1" applyFont="1" applyBorder="1" applyAlignment="1">
      <alignment horizontal="center" vertical="center" wrapText="1"/>
    </xf>
    <xf numFmtId="1" fontId="6" fillId="0" borderId="798" xfId="0" applyNumberFormat="1" applyFont="1" applyBorder="1" applyAlignment="1">
      <alignment horizontal="left" vertical="center" wrapText="1"/>
    </xf>
    <xf numFmtId="1" fontId="6" fillId="0" borderId="799" xfId="0" applyNumberFormat="1" applyFont="1" applyBorder="1" applyAlignment="1">
      <alignment horizontal="left" vertical="center" wrapText="1"/>
    </xf>
    <xf numFmtId="1" fontId="6" fillId="0" borderId="796" xfId="0" applyNumberFormat="1" applyFont="1" applyBorder="1" applyAlignment="1">
      <alignment horizontal="left" vertical="center" wrapText="1"/>
    </xf>
    <xf numFmtId="1" fontId="40" fillId="26" borderId="786" xfId="0" applyNumberFormat="1" applyFont="1" applyFill="1" applyBorder="1" applyAlignment="1">
      <alignment horizontal="center" vertical="center" wrapText="1"/>
    </xf>
    <xf numFmtId="1" fontId="6" fillId="0" borderId="782" xfId="0" applyNumberFormat="1" applyFont="1" applyBorder="1" applyAlignment="1">
      <alignment horizontal="center" vertical="center" wrapText="1"/>
    </xf>
    <xf numFmtId="1" fontId="6" fillId="15" borderId="40" xfId="0" applyNumberFormat="1" applyFont="1" applyFill="1" applyBorder="1" applyAlignment="1">
      <alignment horizontal="left" vertical="center" wrapText="1"/>
    </xf>
    <xf numFmtId="1" fontId="6" fillId="15" borderId="85" xfId="0" applyNumberFormat="1" applyFont="1" applyFill="1" applyBorder="1" applyAlignment="1">
      <alignment horizontal="left" vertical="center" wrapText="1"/>
    </xf>
    <xf numFmtId="1" fontId="6" fillId="15" borderId="51" xfId="0" applyNumberFormat="1" applyFont="1" applyFill="1" applyBorder="1" applyAlignment="1">
      <alignment horizontal="left" vertical="center" wrapText="1"/>
    </xf>
    <xf numFmtId="1" fontId="40" fillId="15" borderId="40" xfId="0" applyNumberFormat="1" applyFont="1" applyFill="1" applyBorder="1" applyAlignment="1">
      <alignment horizontal="left" vertical="center" wrapText="1"/>
    </xf>
    <xf numFmtId="1" fontId="40" fillId="15" borderId="85" xfId="0" applyNumberFormat="1" applyFont="1" applyFill="1" applyBorder="1" applyAlignment="1">
      <alignment horizontal="left" vertical="center" wrapText="1"/>
    </xf>
    <xf numFmtId="1" fontId="40" fillId="15" borderId="51" xfId="0" applyNumberFormat="1" applyFont="1" applyFill="1" applyBorder="1" applyAlignment="1">
      <alignment horizontal="left" vertical="center" wrapText="1"/>
    </xf>
    <xf numFmtId="1" fontId="6" fillId="0" borderId="774" xfId="0" applyNumberFormat="1" applyFont="1" applyBorder="1" applyAlignment="1">
      <alignment horizontal="center" vertical="center" wrapText="1"/>
    </xf>
    <xf numFmtId="1" fontId="6" fillId="0" borderId="769" xfId="0" applyNumberFormat="1" applyFont="1" applyBorder="1" applyAlignment="1">
      <alignment horizontal="center" vertical="center" wrapText="1"/>
    </xf>
    <xf numFmtId="1" fontId="6" fillId="0" borderId="775" xfId="0" applyNumberFormat="1" applyFont="1" applyBorder="1" applyAlignment="1">
      <alignment horizontal="center" vertical="center" wrapText="1"/>
    </xf>
    <xf numFmtId="1" fontId="6" fillId="3" borderId="857" xfId="0" applyNumberFormat="1" applyFont="1" applyFill="1" applyBorder="1" applyAlignment="1">
      <alignment horizontal="center" vertical="center" wrapText="1"/>
    </xf>
    <xf numFmtId="1" fontId="6" fillId="3" borderId="871" xfId="0" applyNumberFormat="1" applyFont="1" applyFill="1" applyBorder="1" applyAlignment="1">
      <alignment horizontal="center" vertical="center" wrapText="1"/>
    </xf>
    <xf numFmtId="1" fontId="6" fillId="3" borderId="876" xfId="0" applyNumberFormat="1" applyFont="1" applyFill="1" applyBorder="1" applyAlignment="1">
      <alignment horizontal="center" vertical="center" wrapText="1"/>
    </xf>
    <xf numFmtId="1" fontId="6" fillId="3" borderId="943" xfId="0" applyNumberFormat="1" applyFont="1" applyFill="1" applyBorder="1" applyAlignment="1">
      <alignment horizontal="center" vertical="center" wrapText="1"/>
    </xf>
    <xf numFmtId="1" fontId="6" fillId="3" borderId="944" xfId="0" applyNumberFormat="1" applyFont="1" applyFill="1" applyBorder="1" applyAlignment="1">
      <alignment horizontal="center" vertical="center" wrapText="1"/>
    </xf>
    <xf numFmtId="1" fontId="6" fillId="0" borderId="786" xfId="0" applyNumberFormat="1" applyFont="1" applyBorder="1" applyAlignment="1">
      <alignment horizontal="center" vertical="center" wrapText="1"/>
    </xf>
    <xf numFmtId="1" fontId="6" fillId="0" borderId="790" xfId="0" applyNumberFormat="1" applyFont="1" applyBorder="1" applyAlignment="1">
      <alignment horizontal="center" vertical="center" wrapText="1"/>
    </xf>
    <xf numFmtId="1" fontId="6" fillId="3" borderId="87" xfId="0" applyNumberFormat="1" applyFont="1" applyFill="1" applyBorder="1" applyAlignment="1">
      <alignment horizontal="left" vertical="center" wrapText="1"/>
    </xf>
    <xf numFmtId="1" fontId="40" fillId="15" borderId="37" xfId="0" applyNumberFormat="1" applyFont="1" applyFill="1" applyBorder="1" applyAlignment="1">
      <alignment horizontal="left" vertical="center" wrapText="1"/>
    </xf>
    <xf numFmtId="1" fontId="6" fillId="15" borderId="37" xfId="0" applyNumberFormat="1" applyFont="1" applyFill="1" applyBorder="1" applyAlignment="1">
      <alignment horizontal="left" vertical="center" wrapText="1"/>
    </xf>
    <xf numFmtId="1" fontId="40" fillId="0" borderId="37" xfId="0" applyNumberFormat="1" applyFont="1" applyBorder="1" applyAlignment="1">
      <alignment horizontal="left" vertical="center" wrapText="1"/>
    </xf>
    <xf numFmtId="1" fontId="6" fillId="15" borderId="491" xfId="0" applyNumberFormat="1" applyFont="1" applyFill="1" applyBorder="1" applyAlignment="1">
      <alignment horizontal="left" vertical="center" wrapText="1"/>
    </xf>
    <xf numFmtId="1" fontId="6" fillId="15" borderId="87" xfId="0" applyNumberFormat="1" applyFont="1" applyFill="1" applyBorder="1" applyAlignment="1">
      <alignment horizontal="left" vertical="center" wrapText="1"/>
    </xf>
    <xf numFmtId="1" fontId="6" fillId="15" borderId="39" xfId="0" applyNumberFormat="1" applyFont="1" applyFill="1" applyBorder="1" applyAlignment="1">
      <alignment horizontal="left" vertical="center" wrapText="1"/>
    </xf>
    <xf numFmtId="1" fontId="6" fillId="3" borderId="782" xfId="0" applyNumberFormat="1" applyFont="1" applyFill="1" applyBorder="1" applyAlignment="1">
      <alignment horizontal="center" vertical="center" wrapText="1"/>
    </xf>
    <xf numFmtId="1" fontId="6" fillId="3" borderId="648" xfId="0" applyNumberFormat="1" applyFont="1" applyFill="1" applyBorder="1" applyAlignment="1">
      <alignment horizontal="center" vertical="center" wrapText="1"/>
    </xf>
    <xf numFmtId="1" fontId="40" fillId="26" borderId="782" xfId="0" applyNumberFormat="1" applyFont="1" applyFill="1" applyBorder="1" applyAlignment="1">
      <alignment horizontal="center" vertical="center" wrapText="1"/>
    </xf>
    <xf numFmtId="1" fontId="6" fillId="0" borderId="771" xfId="0" applyNumberFormat="1" applyFont="1" applyBorder="1" applyAlignment="1">
      <alignment horizontal="left" vertical="center" wrapText="1"/>
    </xf>
    <xf numFmtId="1" fontId="6" fillId="0" borderId="774" xfId="0" applyNumberFormat="1" applyFont="1" applyBorder="1" applyAlignment="1">
      <alignment horizontal="center" vertical="center"/>
    </xf>
    <xf numFmtId="1" fontId="6" fillId="0" borderId="769" xfId="0" applyNumberFormat="1" applyFont="1" applyBorder="1" applyAlignment="1">
      <alignment horizontal="center" vertical="center"/>
    </xf>
    <xf numFmtId="1" fontId="6" fillId="0" borderId="775" xfId="0" applyNumberFormat="1" applyFont="1" applyBorder="1" applyAlignment="1">
      <alignment horizontal="center" vertical="center"/>
    </xf>
    <xf numFmtId="1" fontId="6" fillId="0" borderId="86" xfId="0" applyNumberFormat="1" applyFont="1" applyBorder="1" applyAlignment="1">
      <alignment horizontal="left" vertical="center" wrapText="1"/>
    </xf>
    <xf numFmtId="1" fontId="6" fillId="0" borderId="782" xfId="0" applyNumberFormat="1" applyFont="1" applyBorder="1" applyAlignment="1">
      <alignment horizontal="left" vertical="center" wrapText="1"/>
    </xf>
    <xf numFmtId="1" fontId="6" fillId="0" borderId="648" xfId="0" applyNumberFormat="1" applyFont="1" applyBorder="1" applyAlignment="1">
      <alignment horizontal="left" vertical="center" wrapText="1"/>
    </xf>
    <xf numFmtId="1" fontId="6" fillId="0" borderId="776" xfId="0" applyNumberFormat="1" applyFont="1" applyBorder="1" applyAlignment="1">
      <alignment horizontal="left"/>
    </xf>
    <xf numFmtId="1" fontId="6" fillId="0" borderId="777" xfId="0" applyNumberFormat="1" applyFont="1" applyBorder="1" applyAlignment="1">
      <alignment horizontal="left"/>
    </xf>
    <xf numFmtId="1" fontId="6" fillId="0" borderId="631" xfId="0" applyNumberFormat="1" applyFont="1" applyBorder="1" applyAlignment="1">
      <alignment horizontal="left" vertical="center" wrapText="1"/>
    </xf>
    <xf numFmtId="1" fontId="6" fillId="0" borderId="719" xfId="0" applyNumberFormat="1" applyFont="1" applyBorder="1" applyAlignment="1">
      <alignment horizontal="left" vertical="center" wrapText="1"/>
    </xf>
    <xf numFmtId="1" fontId="6" fillId="0" borderId="703" xfId="0" applyNumberFormat="1" applyFont="1" applyBorder="1" applyAlignment="1">
      <alignment horizontal="left" vertical="center" wrapText="1"/>
    </xf>
    <xf numFmtId="1" fontId="6" fillId="0" borderId="491" xfId="0" applyNumberFormat="1" applyFont="1" applyBorder="1" applyAlignment="1">
      <alignment horizontal="left" vertical="center" wrapText="1"/>
    </xf>
    <xf numFmtId="1" fontId="6" fillId="0" borderId="87" xfId="0" applyNumberFormat="1" applyFont="1" applyBorder="1" applyAlignment="1">
      <alignment horizontal="left" vertical="center" wrapText="1"/>
    </xf>
    <xf numFmtId="1" fontId="6" fillId="0" borderId="39" xfId="0" applyNumberFormat="1" applyFont="1" applyBorder="1" applyAlignment="1">
      <alignment horizontal="left" vertical="center" wrapText="1"/>
    </xf>
    <xf numFmtId="1" fontId="6" fillId="0" borderId="774" xfId="0" applyNumberFormat="1" applyFont="1" applyBorder="1" applyAlignment="1">
      <alignment horizontal="left" vertical="center" wrapText="1"/>
    </xf>
    <xf numFmtId="1" fontId="6" fillId="0" borderId="769" xfId="0" applyNumberFormat="1" applyFont="1" applyBorder="1" applyAlignment="1">
      <alignment horizontal="left" vertical="center" wrapText="1"/>
    </xf>
    <xf numFmtId="1" fontId="6" fillId="0" borderId="775" xfId="0" applyNumberFormat="1" applyFont="1" applyBorder="1" applyAlignment="1">
      <alignment horizontal="left" vertical="center" wrapText="1"/>
    </xf>
    <xf numFmtId="1" fontId="51" fillId="0" borderId="773" xfId="0" applyNumberFormat="1" applyFont="1" applyBorder="1" applyAlignment="1">
      <alignment horizontal="center" vertical="center" wrapText="1"/>
    </xf>
    <xf numFmtId="1" fontId="51" fillId="0" borderId="726" xfId="0" applyNumberFormat="1" applyFont="1" applyBorder="1" applyAlignment="1">
      <alignment horizontal="center" vertical="center" wrapText="1"/>
    </xf>
    <xf numFmtId="1" fontId="6" fillId="3" borderId="776" xfId="0" applyNumberFormat="1" applyFont="1" applyFill="1" applyBorder="1" applyAlignment="1">
      <alignment horizontal="left" vertical="center" wrapText="1"/>
    </xf>
    <xf numFmtId="1" fontId="6" fillId="3" borderId="765" xfId="0" applyNumberFormat="1" applyFont="1" applyFill="1" applyBorder="1" applyAlignment="1">
      <alignment horizontal="left" vertical="center" wrapText="1"/>
    </xf>
    <xf numFmtId="1" fontId="6" fillId="3" borderId="777" xfId="0" applyNumberFormat="1" applyFont="1" applyFill="1" applyBorder="1" applyAlignment="1">
      <alignment horizontal="left" vertical="center" wrapText="1"/>
    </xf>
    <xf numFmtId="1" fontId="51" fillId="0" borderId="782" xfId="0" applyNumberFormat="1" applyFont="1" applyBorder="1" applyAlignment="1">
      <alignment horizontal="center" vertical="center" wrapText="1"/>
    </xf>
    <xf numFmtId="1" fontId="20" fillId="3" borderId="774" xfId="0" applyNumberFormat="1" applyFont="1" applyFill="1" applyBorder="1" applyAlignment="1">
      <alignment horizontal="center" vertical="center"/>
    </xf>
    <xf numFmtId="1" fontId="20" fillId="3" borderId="775" xfId="0" applyNumberFormat="1" applyFont="1" applyFill="1" applyBorder="1" applyAlignment="1">
      <alignment horizontal="center" vertical="center"/>
    </xf>
    <xf numFmtId="1" fontId="20" fillId="0" borderId="769" xfId="0" applyNumberFormat="1" applyFont="1" applyBorder="1" applyAlignment="1">
      <alignment horizontal="center" vertical="center" wrapText="1"/>
    </xf>
    <xf numFmtId="1" fontId="20" fillId="0" borderId="774" xfId="0" applyNumberFormat="1" applyFont="1" applyBorder="1" applyAlignment="1">
      <alignment horizontal="center" vertical="center" wrapText="1"/>
    </xf>
    <xf numFmtId="1" fontId="20" fillId="0" borderId="775" xfId="0" applyNumberFormat="1" applyFont="1" applyBorder="1" applyAlignment="1">
      <alignment horizontal="center" vertical="center" wrapText="1"/>
    </xf>
    <xf numFmtId="1" fontId="20" fillId="0" borderId="773" xfId="0" applyNumberFormat="1" applyFont="1" applyBorder="1" applyAlignment="1">
      <alignment horizontal="center" vertical="center" wrapText="1"/>
    </xf>
    <xf numFmtId="1" fontId="20" fillId="0" borderId="744" xfId="0" applyNumberFormat="1" applyFont="1" applyBorder="1" applyAlignment="1">
      <alignment horizontal="center" vertical="center" wrapText="1"/>
    </xf>
    <xf numFmtId="1" fontId="20" fillId="0" borderId="726" xfId="0" applyNumberFormat="1" applyFont="1" applyBorder="1" applyAlignment="1">
      <alignment horizontal="center" vertical="center" wrapText="1"/>
    </xf>
    <xf numFmtId="1" fontId="20" fillId="0" borderId="0" xfId="0" applyNumberFormat="1" applyFont="1" applyAlignment="1">
      <alignment horizontal="center" vertical="center" wrapText="1"/>
    </xf>
    <xf numFmtId="1" fontId="54" fillId="0" borderId="534" xfId="0" applyNumberFormat="1" applyFont="1" applyBorder="1"/>
    <xf numFmtId="1" fontId="54" fillId="0" borderId="751" xfId="0" applyNumberFormat="1" applyFont="1" applyBorder="1"/>
    <xf numFmtId="1" fontId="54" fillId="0" borderId="497" xfId="0" applyNumberFormat="1" applyFont="1" applyBorder="1"/>
    <xf numFmtId="1" fontId="20" fillId="0" borderId="559" xfId="0" applyNumberFormat="1" applyFont="1" applyBorder="1" applyAlignment="1">
      <alignment horizontal="center" vertical="center" wrapText="1"/>
    </xf>
    <xf numFmtId="1" fontId="51" fillId="0" borderId="493" xfId="0" applyNumberFormat="1" applyFont="1" applyBorder="1"/>
    <xf numFmtId="1" fontId="51" fillId="0" borderId="0" xfId="0" applyNumberFormat="1" applyFont="1"/>
    <xf numFmtId="1" fontId="20" fillId="0" borderId="790" xfId="0" applyNumberFormat="1" applyFont="1" applyBorder="1" applyAlignment="1">
      <alignment horizontal="center" vertical="center" wrapText="1"/>
    </xf>
    <xf numFmtId="1" fontId="6" fillId="0" borderId="792" xfId="0" applyNumberFormat="1" applyFont="1" applyBorder="1" applyAlignment="1">
      <alignment horizontal="center" vertical="center" wrapText="1"/>
    </xf>
    <xf numFmtId="1" fontId="6" fillId="0" borderId="662" xfId="0" applyNumberFormat="1" applyFont="1" applyBorder="1" applyAlignment="1">
      <alignment horizontal="center" vertical="center" wrapText="1"/>
    </xf>
    <xf numFmtId="1" fontId="51" fillId="0" borderId="497" xfId="0" applyNumberFormat="1" applyFont="1" applyBorder="1" applyAlignment="1">
      <alignment horizontal="center"/>
    </xf>
    <xf numFmtId="1" fontId="51" fillId="0" borderId="774" xfId="0" applyNumberFormat="1" applyFont="1" applyBorder="1" applyAlignment="1">
      <alignment horizontal="center"/>
    </xf>
    <xf numFmtId="1" fontId="51" fillId="0" borderId="775" xfId="0" applyNumberFormat="1" applyFont="1" applyBorder="1" applyAlignment="1">
      <alignment horizontal="center"/>
    </xf>
    <xf numFmtId="1" fontId="51" fillId="0" borderId="563" xfId="0" applyNumberFormat="1" applyFont="1" applyBorder="1" applyAlignment="1">
      <alignment horizontal="center"/>
    </xf>
    <xf numFmtId="1" fontId="15" fillId="0" borderId="786" xfId="0" applyNumberFormat="1" applyFont="1" applyBorder="1" applyAlignment="1">
      <alignment horizontal="center" vertical="center" wrapText="1"/>
    </xf>
    <xf numFmtId="1" fontId="6" fillId="0" borderId="776" xfId="0" applyNumberFormat="1" applyFont="1" applyBorder="1" applyAlignment="1">
      <alignment horizontal="left" vertical="center" wrapText="1"/>
    </xf>
    <xf numFmtId="1" fontId="6" fillId="0" borderId="765" xfId="0" applyNumberFormat="1" applyFont="1" applyBorder="1" applyAlignment="1">
      <alignment horizontal="left" vertical="center" wrapText="1"/>
    </xf>
    <xf numFmtId="1" fontId="6" fillId="0" borderId="777" xfId="0" applyNumberFormat="1" applyFont="1" applyBorder="1" applyAlignment="1">
      <alignment horizontal="left" vertical="center" wrapText="1"/>
    </xf>
    <xf numFmtId="1" fontId="6" fillId="0" borderId="60" xfId="0" applyNumberFormat="1" applyFont="1" applyBorder="1" applyAlignment="1">
      <alignment horizontal="left" vertical="center" wrapText="1"/>
    </xf>
    <xf numFmtId="1" fontId="20" fillId="0" borderId="782" xfId="0" applyNumberFormat="1" applyFont="1" applyBorder="1" applyAlignment="1">
      <alignment horizontal="center" vertical="center" wrapText="1"/>
    </xf>
    <xf numFmtId="1" fontId="51" fillId="3" borderId="782" xfId="0" applyNumberFormat="1" applyFont="1" applyFill="1" applyBorder="1" applyAlignment="1">
      <alignment horizontal="center" vertical="center" wrapText="1"/>
    </xf>
    <xf numFmtId="1" fontId="51" fillId="3" borderId="648" xfId="0" applyNumberFormat="1" applyFont="1" applyFill="1" applyBorder="1" applyAlignment="1">
      <alignment horizontal="center" vertical="center" wrapText="1"/>
    </xf>
    <xf numFmtId="1" fontId="6" fillId="0" borderId="790" xfId="0" applyNumberFormat="1" applyFont="1" applyBorder="1" applyAlignment="1">
      <alignment horizontal="center" vertical="center"/>
    </xf>
    <xf numFmtId="1" fontId="6" fillId="0" borderId="703" xfId="0" applyNumberFormat="1" applyFont="1" applyBorder="1" applyAlignment="1">
      <alignment horizontal="center" vertical="center" wrapText="1"/>
    </xf>
    <xf numFmtId="1" fontId="20" fillId="0" borderId="493" xfId="0" applyNumberFormat="1" applyFont="1" applyBorder="1"/>
    <xf numFmtId="1" fontId="20" fillId="0" borderId="0" xfId="0" applyNumberFormat="1" applyFont="1"/>
    <xf numFmtId="1" fontId="20" fillId="0" borderId="751" xfId="0" applyNumberFormat="1" applyFont="1" applyBorder="1"/>
    <xf numFmtId="1" fontId="20" fillId="0" borderId="497" xfId="0" applyNumberFormat="1" applyFont="1" applyBorder="1"/>
    <xf numFmtId="1" fontId="20" fillId="3" borderId="493" xfId="0" applyNumberFormat="1" applyFont="1" applyFill="1" applyBorder="1" applyAlignment="1">
      <alignment horizontal="center"/>
    </xf>
    <xf numFmtId="1" fontId="20" fillId="3" borderId="0" xfId="0" applyNumberFormat="1" applyFont="1" applyFill="1" applyAlignment="1">
      <alignment horizontal="center"/>
    </xf>
    <xf numFmtId="1" fontId="2" fillId="0" borderId="0" xfId="0" applyNumberFormat="1" applyFont="1" applyAlignment="1">
      <alignment horizontal="center" vertical="center" wrapText="1"/>
    </xf>
    <xf numFmtId="0" fontId="0" fillId="0" borderId="558" xfId="0" applyBorder="1"/>
    <xf numFmtId="0" fontId="0" fillId="0" borderId="0" xfId="0"/>
    <xf numFmtId="1" fontId="88" fillId="32" borderId="0" xfId="0" applyNumberFormat="1" applyFont="1" applyFill="1" applyAlignment="1">
      <alignment horizontal="center" vertical="center" wrapText="1"/>
    </xf>
    <xf numFmtId="1" fontId="20" fillId="0" borderId="773" xfId="0" applyNumberFormat="1" applyFont="1" applyBorder="1" applyAlignment="1">
      <alignment horizontal="center" vertical="center"/>
    </xf>
    <xf numFmtId="1" fontId="20" fillId="0" borderId="744" xfId="0" applyNumberFormat="1" applyFont="1" applyBorder="1" applyAlignment="1">
      <alignment horizontal="center" vertical="center"/>
    </xf>
    <xf numFmtId="1" fontId="20" fillId="0" borderId="726" xfId="0" applyNumberFormat="1" applyFont="1" applyBorder="1" applyAlignment="1">
      <alignment horizontal="center" vertical="center"/>
    </xf>
    <xf numFmtId="1" fontId="20" fillId="0" borderId="493" xfId="0" applyNumberFormat="1" applyFont="1" applyBorder="1" applyAlignment="1">
      <alignment horizontal="center" vertical="center"/>
    </xf>
    <xf numFmtId="1" fontId="20" fillId="0" borderId="751" xfId="0" applyNumberFormat="1" applyFont="1" applyBorder="1" applyAlignment="1">
      <alignment horizontal="center" vertical="center"/>
    </xf>
    <xf numFmtId="1" fontId="20" fillId="0" borderId="497" xfId="0" applyNumberFormat="1" applyFont="1" applyBorder="1" applyAlignment="1">
      <alignment horizontal="center" vertical="center"/>
    </xf>
    <xf numFmtId="1" fontId="20" fillId="0" borderId="559" xfId="0" applyNumberFormat="1" applyFont="1" applyBorder="1" applyAlignment="1">
      <alignment horizontal="center" vertical="center"/>
    </xf>
    <xf numFmtId="1" fontId="20" fillId="3" borderId="774" xfId="0" applyNumberFormat="1" applyFont="1" applyFill="1" applyBorder="1" applyAlignment="1">
      <alignment horizontal="center"/>
    </xf>
    <xf numFmtId="1" fontId="20" fillId="3" borderId="775" xfId="0" applyNumberFormat="1" applyFont="1" applyFill="1" applyBorder="1" applyAlignment="1">
      <alignment horizontal="center"/>
    </xf>
    <xf numFmtId="1" fontId="6" fillId="0" borderId="334" xfId="0" applyNumberFormat="1" applyFont="1" applyBorder="1" applyAlignment="1">
      <alignment horizontal="center" vertical="center"/>
    </xf>
    <xf numFmtId="1" fontId="6" fillId="0" borderId="428" xfId="0" applyNumberFormat="1" applyFont="1" applyBorder="1" applyAlignment="1">
      <alignment horizontal="center" vertical="center"/>
    </xf>
    <xf numFmtId="1" fontId="6" fillId="0" borderId="444" xfId="0" applyNumberFormat="1" applyFont="1" applyBorder="1" applyAlignment="1">
      <alignment horizontal="center" vertical="center"/>
    </xf>
    <xf numFmtId="1" fontId="6" fillId="0" borderId="342" xfId="0" applyNumberFormat="1" applyFont="1" applyBorder="1" applyAlignment="1">
      <alignment horizontal="center" vertical="center"/>
    </xf>
    <xf numFmtId="1" fontId="6" fillId="0" borderId="406" xfId="0" applyNumberFormat="1" applyFont="1" applyBorder="1" applyAlignment="1">
      <alignment horizontal="center" vertical="center"/>
    </xf>
    <xf numFmtId="1" fontId="6" fillId="0" borderId="406" xfId="0" applyNumberFormat="1" applyFont="1" applyBorder="1" applyAlignment="1">
      <alignment horizontal="center" vertical="center" wrapText="1"/>
    </xf>
    <xf numFmtId="1" fontId="6" fillId="15" borderId="334" xfId="0" applyNumberFormat="1" applyFont="1" applyFill="1" applyBorder="1" applyAlignment="1">
      <alignment horizontal="center" vertical="center" wrapText="1"/>
    </xf>
    <xf numFmtId="1" fontId="6" fillId="15" borderId="428" xfId="0" applyNumberFormat="1" applyFont="1" applyFill="1" applyBorder="1" applyAlignment="1">
      <alignment horizontal="center" vertical="center" wrapText="1"/>
    </xf>
    <xf numFmtId="1" fontId="6" fillId="15" borderId="444" xfId="0" applyNumberFormat="1" applyFont="1" applyFill="1" applyBorder="1" applyAlignment="1">
      <alignment horizontal="center" vertical="center" wrapText="1"/>
    </xf>
    <xf numFmtId="1" fontId="6" fillId="15" borderId="342" xfId="0" applyNumberFormat="1" applyFont="1" applyFill="1" applyBorder="1" applyAlignment="1">
      <alignment horizontal="center" vertical="center" wrapText="1"/>
    </xf>
    <xf numFmtId="1" fontId="6" fillId="0" borderId="302" xfId="0" applyNumberFormat="1" applyFont="1" applyBorder="1" applyAlignment="1">
      <alignment horizontal="center" vertical="center" wrapText="1"/>
    </xf>
    <xf numFmtId="1" fontId="6" fillId="0" borderId="428" xfId="0" applyNumberFormat="1" applyFont="1" applyBorder="1" applyAlignment="1">
      <alignment horizontal="center" vertical="center" wrapText="1"/>
    </xf>
    <xf numFmtId="1" fontId="6" fillId="0" borderId="308" xfId="0" applyNumberFormat="1" applyFont="1" applyBorder="1" applyAlignment="1">
      <alignment horizontal="center" vertical="center" wrapText="1"/>
    </xf>
    <xf numFmtId="1" fontId="6" fillId="0" borderId="442" xfId="0" applyNumberFormat="1" applyFont="1" applyBorder="1" applyAlignment="1">
      <alignment horizontal="center" vertical="center" wrapText="1"/>
    </xf>
    <xf numFmtId="1" fontId="6" fillId="0" borderId="254" xfId="0" applyNumberFormat="1" applyFont="1" applyBorder="1" applyAlignment="1">
      <alignment horizontal="center" vertical="center" wrapText="1"/>
    </xf>
    <xf numFmtId="1" fontId="6" fillId="0" borderId="130" xfId="0" applyNumberFormat="1" applyFont="1" applyBorder="1" applyAlignment="1">
      <alignment horizontal="center" vertical="center" wrapText="1"/>
    </xf>
    <xf numFmtId="1" fontId="4" fillId="3" borderId="444" xfId="0" applyNumberFormat="1" applyFont="1" applyFill="1" applyBorder="1" applyAlignment="1">
      <alignment horizontal="left" wrapText="1"/>
    </xf>
    <xf numFmtId="1" fontId="4" fillId="3" borderId="0" xfId="0" applyNumberFormat="1" applyFont="1" applyFill="1" applyAlignment="1">
      <alignment horizontal="left" wrapText="1"/>
    </xf>
    <xf numFmtId="1" fontId="6" fillId="0" borderId="418" xfId="0" applyNumberFormat="1" applyFont="1" applyBorder="1" applyAlignment="1">
      <alignment horizontal="center" vertical="center"/>
    </xf>
    <xf numFmtId="1" fontId="6" fillId="0" borderId="311" xfId="0" applyNumberFormat="1" applyFont="1" applyBorder="1"/>
    <xf numFmtId="1" fontId="6" fillId="0" borderId="452" xfId="0" applyNumberFormat="1" applyFont="1" applyBorder="1"/>
    <xf numFmtId="1" fontId="6" fillId="0" borderId="413" xfId="0" applyNumberFormat="1" applyFont="1" applyBorder="1" applyAlignment="1">
      <alignment horizontal="center" vertical="center" wrapText="1"/>
    </xf>
    <xf numFmtId="1" fontId="6" fillId="0" borderId="27" xfId="0" applyNumberFormat="1" applyFont="1" applyBorder="1"/>
    <xf numFmtId="1" fontId="6" fillId="0" borderId="28" xfId="0" applyNumberFormat="1" applyFont="1" applyBorder="1"/>
    <xf numFmtId="1" fontId="6" fillId="0" borderId="727" xfId="0" applyNumberFormat="1" applyFont="1" applyBorder="1" applyAlignment="1">
      <alignment horizontal="center" vertical="center" wrapText="1"/>
    </xf>
    <xf numFmtId="1" fontId="6" fillId="0" borderId="564" xfId="0" applyNumberFormat="1" applyFont="1" applyBorder="1" applyAlignment="1">
      <alignment horizontal="center" vertical="center" wrapText="1"/>
    </xf>
    <xf numFmtId="1" fontId="51" fillId="0" borderId="404" xfId="0" applyNumberFormat="1" applyFont="1" applyBorder="1" applyAlignment="1">
      <alignment horizontal="center" vertical="center"/>
    </xf>
    <xf numFmtId="1" fontId="51" fillId="0" borderId="312" xfId="0" applyNumberFormat="1" applyFont="1" applyBorder="1" applyAlignment="1">
      <alignment horizontal="center" vertical="center"/>
    </xf>
    <xf numFmtId="1" fontId="51" fillId="0" borderId="406" xfId="0" applyNumberFormat="1" applyFont="1" applyBorder="1" applyAlignment="1">
      <alignment horizontal="center" vertical="center"/>
    </xf>
    <xf numFmtId="1" fontId="51" fillId="0" borderId="407" xfId="0" applyNumberFormat="1" applyFont="1" applyBorder="1" applyAlignment="1">
      <alignment horizontal="center" vertical="center"/>
    </xf>
    <xf numFmtId="1" fontId="51" fillId="15" borderId="312" xfId="0" applyNumberFormat="1" applyFont="1" applyFill="1" applyBorder="1" applyAlignment="1">
      <alignment horizontal="center" vertical="center" wrapText="1"/>
    </xf>
    <xf numFmtId="1" fontId="51" fillId="15" borderId="406" xfId="0" applyNumberFormat="1" applyFont="1" applyFill="1" applyBorder="1" applyAlignment="1">
      <alignment horizontal="center" vertical="center" wrapText="1"/>
    </xf>
    <xf numFmtId="1" fontId="51" fillId="15" borderId="454" xfId="0" applyNumberFormat="1" applyFont="1" applyFill="1" applyBorder="1" applyAlignment="1">
      <alignment horizontal="center" vertical="center" wrapText="1"/>
    </xf>
    <xf numFmtId="1" fontId="51" fillId="15" borderId="284" xfId="0" applyNumberFormat="1" applyFont="1" applyFill="1" applyBorder="1" applyAlignment="1">
      <alignment horizontal="center" vertical="center" wrapText="1"/>
    </xf>
    <xf numFmtId="1" fontId="51" fillId="15" borderId="288" xfId="0" applyNumberFormat="1" applyFont="1" applyFill="1" applyBorder="1" applyAlignment="1">
      <alignment horizontal="center" vertical="center" wrapText="1"/>
    </xf>
    <xf numFmtId="1" fontId="51" fillId="15" borderId="440" xfId="0" applyNumberFormat="1" applyFont="1" applyFill="1" applyBorder="1" applyAlignment="1">
      <alignment horizontal="center" vertical="center" wrapText="1"/>
    </xf>
    <xf numFmtId="1" fontId="51" fillId="15" borderId="441" xfId="0" applyNumberFormat="1" applyFont="1" applyFill="1" applyBorder="1" applyAlignment="1">
      <alignment horizontal="center" vertical="center" wrapText="1"/>
    </xf>
    <xf numFmtId="1" fontId="51" fillId="15" borderId="428" xfId="0" applyNumberFormat="1" applyFont="1" applyFill="1" applyBorder="1" applyAlignment="1">
      <alignment horizontal="center" vertical="center" wrapText="1"/>
    </xf>
    <xf numFmtId="1" fontId="51" fillId="15" borderId="236" xfId="0" applyNumberFormat="1" applyFont="1" applyFill="1" applyBorder="1" applyAlignment="1">
      <alignment horizontal="center" vertical="center" wrapText="1"/>
    </xf>
    <xf numFmtId="1" fontId="51" fillId="15" borderId="81" xfId="0" applyNumberFormat="1" applyFont="1" applyFill="1" applyBorder="1" applyAlignment="1">
      <alignment horizontal="center" vertical="center" wrapText="1"/>
    </xf>
    <xf numFmtId="1" fontId="51" fillId="0" borderId="302" xfId="0" applyNumberFormat="1" applyFont="1" applyBorder="1" applyAlignment="1">
      <alignment horizontal="center" vertical="center" wrapText="1"/>
    </xf>
    <xf numFmtId="1" fontId="51" fillId="0" borderId="428" xfId="0" applyNumberFormat="1" applyFont="1" applyBorder="1" applyAlignment="1">
      <alignment horizontal="center" vertical="center" wrapText="1"/>
    </xf>
    <xf numFmtId="1" fontId="51" fillId="0" borderId="426" xfId="0" applyNumberFormat="1" applyFont="1" applyBorder="1" applyAlignment="1">
      <alignment horizontal="center" vertical="center" wrapText="1"/>
    </xf>
    <xf numFmtId="1" fontId="51" fillId="0" borderId="404" xfId="0" applyNumberFormat="1" applyFont="1" applyBorder="1" applyAlignment="1">
      <alignment horizontal="center" vertical="center" wrapText="1"/>
    </xf>
    <xf numFmtId="0" fontId="51" fillId="0" borderId="454" xfId="0" applyFont="1" applyBorder="1" applyAlignment="1">
      <alignment horizontal="center" vertical="center" wrapText="1"/>
    </xf>
    <xf numFmtId="0" fontId="51" fillId="0" borderId="407" xfId="0" applyFont="1" applyBorder="1" applyAlignment="1">
      <alignment horizontal="center" vertical="center" wrapText="1"/>
    </xf>
    <xf numFmtId="0" fontId="51" fillId="0" borderId="312" xfId="0" applyFont="1" applyBorder="1" applyAlignment="1">
      <alignment horizontal="center" vertical="center" wrapText="1"/>
    </xf>
    <xf numFmtId="0" fontId="51" fillId="0" borderId="406" xfId="0" applyFont="1" applyBorder="1" applyAlignment="1">
      <alignment horizontal="center" vertical="center" wrapText="1"/>
    </xf>
    <xf numFmtId="1" fontId="6" fillId="0" borderId="561" xfId="0" applyNumberFormat="1" applyFont="1" applyBorder="1" applyAlignment="1">
      <alignment horizontal="left"/>
    </xf>
    <xf numFmtId="1" fontId="6" fillId="0" borderId="703" xfId="0" applyNumberFormat="1" applyFont="1" applyBorder="1" applyAlignment="1">
      <alignment horizontal="left"/>
    </xf>
    <xf numFmtId="1" fontId="6" fillId="0" borderId="62" xfId="0" applyNumberFormat="1" applyFont="1" applyBorder="1" applyAlignment="1">
      <alignment horizontal="left"/>
    </xf>
    <xf numFmtId="1" fontId="6" fillId="0" borderId="39" xfId="0" applyNumberFormat="1" applyFont="1" applyBorder="1" applyAlignment="1">
      <alignment horizontal="left"/>
    </xf>
    <xf numFmtId="1" fontId="6" fillId="0" borderId="413" xfId="0" applyNumberFormat="1" applyFont="1" applyBorder="1" applyAlignment="1">
      <alignment horizontal="center" vertical="center"/>
    </xf>
    <xf numFmtId="1" fontId="6" fillId="0" borderId="52" xfId="0" applyNumberFormat="1" applyFont="1" applyBorder="1" applyAlignment="1">
      <alignment horizontal="left"/>
    </xf>
    <xf numFmtId="1" fontId="6" fillId="0" borderId="31" xfId="0" applyNumberFormat="1" applyFont="1" applyBorder="1" applyAlignment="1">
      <alignment horizontal="left"/>
    </xf>
    <xf numFmtId="1" fontId="51" fillId="0" borderId="334" xfId="0" applyNumberFormat="1" applyFont="1" applyBorder="1" applyAlignment="1">
      <alignment horizontal="center" vertical="center"/>
    </xf>
    <xf numFmtId="1" fontId="51" fillId="0" borderId="428" xfId="0" applyNumberFormat="1" applyFont="1" applyBorder="1" applyAlignment="1">
      <alignment horizontal="center" vertical="center"/>
    </xf>
    <xf numFmtId="1" fontId="51" fillId="0" borderId="444" xfId="0" applyNumberFormat="1" applyFont="1" applyBorder="1" applyAlignment="1">
      <alignment horizontal="center" vertical="center"/>
    </xf>
    <xf numFmtId="1" fontId="51" fillId="0" borderId="342" xfId="0" applyNumberFormat="1" applyFont="1" applyBorder="1" applyAlignment="1">
      <alignment horizontal="center" vertical="center"/>
    </xf>
    <xf numFmtId="1" fontId="51" fillId="0" borderId="334" xfId="0" applyNumberFormat="1" applyFont="1" applyBorder="1" applyAlignment="1">
      <alignment horizontal="center" vertical="center" wrapText="1"/>
    </xf>
    <xf numFmtId="1" fontId="51" fillId="0" borderId="444" xfId="0" applyNumberFormat="1" applyFont="1" applyBorder="1" applyAlignment="1">
      <alignment horizontal="center" vertical="center" wrapText="1"/>
    </xf>
    <xf numFmtId="0" fontId="6" fillId="0" borderId="407" xfId="0" applyFont="1" applyBorder="1" applyAlignment="1">
      <alignment horizontal="center" vertical="center" wrapText="1"/>
    </xf>
    <xf numFmtId="0" fontId="6" fillId="0" borderId="456" xfId="0" applyFont="1" applyBorder="1" applyAlignment="1">
      <alignment horizontal="center" vertical="center" wrapText="1"/>
    </xf>
    <xf numFmtId="0" fontId="6" fillId="0" borderId="418" xfId="0" applyFont="1" applyBorder="1" applyAlignment="1">
      <alignment horizontal="center" vertical="center" wrapText="1"/>
    </xf>
    <xf numFmtId="0" fontId="6" fillId="0" borderId="418" xfId="0" applyFont="1" applyBorder="1" applyAlignment="1">
      <alignment horizontal="center" vertical="center"/>
    </xf>
    <xf numFmtId="0" fontId="6" fillId="0" borderId="412" xfId="0" applyFont="1" applyBorder="1" applyAlignment="1">
      <alignment horizontal="center" vertical="center" wrapText="1"/>
    </xf>
    <xf numFmtId="0" fontId="6" fillId="0" borderId="406" xfId="0" applyFont="1" applyBorder="1" applyAlignment="1">
      <alignment horizontal="center" vertical="center" wrapText="1"/>
    </xf>
    <xf numFmtId="0" fontId="6" fillId="0" borderId="456" xfId="0" applyFont="1" applyBorder="1" applyAlignment="1">
      <alignment horizontal="center" vertical="center"/>
    </xf>
    <xf numFmtId="0" fontId="6" fillId="0" borderId="106" xfId="0" applyFont="1" applyBorder="1" applyAlignment="1">
      <alignment horizontal="center" vertical="center" wrapText="1"/>
    </xf>
    <xf numFmtId="0" fontId="6" fillId="0" borderId="120" xfId="0" applyFont="1" applyBorder="1" applyAlignment="1">
      <alignment horizontal="center" vertical="center" wrapText="1"/>
    </xf>
    <xf numFmtId="0" fontId="6" fillId="0" borderId="428" xfId="0" applyFont="1" applyBorder="1" applyAlignment="1">
      <alignment horizontal="center" vertical="center" wrapText="1"/>
    </xf>
    <xf numFmtId="0" fontId="6" fillId="0" borderId="457" xfId="0" applyFont="1" applyBorder="1" applyAlignment="1">
      <alignment horizontal="center" vertical="center" wrapText="1"/>
    </xf>
    <xf numFmtId="0" fontId="51" fillId="0" borderId="404" xfId="0" applyFont="1" applyBorder="1" applyAlignment="1">
      <alignment horizontal="center" vertical="center"/>
    </xf>
    <xf numFmtId="0" fontId="51" fillId="0" borderId="312" xfId="0" applyFont="1" applyBorder="1" applyAlignment="1">
      <alignment horizontal="center" vertical="center"/>
    </xf>
    <xf numFmtId="0" fontId="51" fillId="0" borderId="406" xfId="0" applyFont="1" applyBorder="1" applyAlignment="1">
      <alignment horizontal="center" vertical="center"/>
    </xf>
    <xf numFmtId="0" fontId="41" fillId="0" borderId="302" xfId="0" applyFont="1" applyBorder="1" applyAlignment="1">
      <alignment horizontal="center" vertical="center"/>
    </xf>
    <xf numFmtId="0" fontId="41" fillId="0" borderId="428" xfId="0" applyFont="1" applyBorder="1" applyAlignment="1">
      <alignment horizontal="center" vertical="center"/>
    </xf>
    <xf numFmtId="0" fontId="41" fillId="0" borderId="35" xfId="0" applyFont="1" applyBorder="1" applyAlignment="1">
      <alignment horizontal="center" vertical="center"/>
    </xf>
    <xf numFmtId="0" fontId="41" fillId="0" borderId="81" xfId="0" applyFont="1" applyBorder="1" applyAlignment="1">
      <alignment horizontal="center" vertical="center"/>
    </xf>
    <xf numFmtId="0" fontId="41" fillId="0" borderId="426" xfId="0" applyFont="1" applyBorder="1" applyAlignment="1">
      <alignment horizontal="center" vertical="center"/>
    </xf>
    <xf numFmtId="0" fontId="41" fillId="0" borderId="342" xfId="0" applyFont="1" applyBorder="1" applyAlignment="1">
      <alignment horizontal="center" vertical="center"/>
    </xf>
    <xf numFmtId="0" fontId="51" fillId="0" borderId="334" xfId="0" applyFont="1" applyBorder="1" applyAlignment="1">
      <alignment horizontal="center" vertical="center"/>
    </xf>
    <xf numFmtId="0" fontId="51" fillId="0" borderId="428" xfId="0" applyFont="1" applyBorder="1" applyAlignment="1">
      <alignment horizontal="center" vertical="center"/>
    </xf>
    <xf numFmtId="0" fontId="51" fillId="0" borderId="444" xfId="0" applyFont="1" applyBorder="1" applyAlignment="1">
      <alignment horizontal="center" vertical="center"/>
    </xf>
    <xf numFmtId="0" fontId="51" fillId="0" borderId="342" xfId="0" applyFont="1" applyBorder="1" applyAlignment="1">
      <alignment horizontal="center" vertical="center"/>
    </xf>
    <xf numFmtId="0" fontId="6" fillId="0" borderId="414" xfId="0" applyFont="1" applyBorder="1" applyAlignment="1">
      <alignment horizontal="center" vertical="center" wrapText="1"/>
    </xf>
    <xf numFmtId="0" fontId="6" fillId="0" borderId="58" xfId="0" applyFont="1" applyBorder="1" applyAlignment="1">
      <alignment horizontal="center" vertical="center" wrapText="1"/>
    </xf>
    <xf numFmtId="0" fontId="59" fillId="0" borderId="296" xfId="0" applyFont="1" applyBorder="1" applyAlignment="1">
      <alignment horizontal="center" vertical="center"/>
    </xf>
    <xf numFmtId="0" fontId="59" fillId="0" borderId="9" xfId="0" applyFont="1" applyBorder="1" applyAlignment="1">
      <alignment horizontal="center" vertical="center"/>
    </xf>
    <xf numFmtId="0" fontId="59" fillId="0" borderId="422" xfId="0" applyFont="1" applyBorder="1" applyAlignment="1">
      <alignment horizontal="center" vertical="center"/>
    </xf>
    <xf numFmtId="1" fontId="2" fillId="3" borderId="0" xfId="0" applyNumberFormat="1" applyFont="1" applyFill="1" applyAlignment="1">
      <alignment horizontal="left" vertical="center" wrapText="1"/>
    </xf>
    <xf numFmtId="1" fontId="51" fillId="0" borderId="296" xfId="0" applyNumberFormat="1" applyFont="1" applyBorder="1" applyAlignment="1">
      <alignment horizontal="center" vertical="center" wrapText="1"/>
    </xf>
    <xf numFmtId="1" fontId="51" fillId="0" borderId="422" xfId="0" applyNumberFormat="1" applyFont="1" applyBorder="1" applyAlignment="1">
      <alignment horizontal="center" vertical="center" wrapText="1"/>
    </xf>
    <xf numFmtId="1" fontId="51" fillId="0" borderId="403" xfId="0" applyNumberFormat="1" applyFont="1" applyBorder="1" applyAlignment="1">
      <alignment horizontal="center" vertical="center" wrapText="1"/>
    </xf>
    <xf numFmtId="1" fontId="2" fillId="3" borderId="0" xfId="0" applyNumberFormat="1" applyFont="1" applyFill="1" applyAlignment="1">
      <alignment wrapText="1"/>
    </xf>
    <xf numFmtId="1" fontId="20" fillId="0" borderId="729" xfId="0" applyNumberFormat="1" applyFont="1" applyBorder="1" applyAlignment="1">
      <alignment horizontal="center" vertical="center"/>
    </xf>
    <xf numFmtId="1" fontId="20" fillId="0" borderId="495" xfId="0" applyNumberFormat="1" applyFont="1" applyBorder="1" applyAlignment="1">
      <alignment horizontal="center" vertical="center"/>
    </xf>
    <xf numFmtId="1" fontId="20" fillId="0" borderId="565" xfId="0" applyNumberFormat="1" applyFont="1" applyBorder="1" applyAlignment="1">
      <alignment horizontal="center" vertical="center"/>
    </xf>
    <xf numFmtId="1" fontId="6" fillId="0" borderId="403" xfId="0" applyNumberFormat="1" applyFont="1" applyBorder="1" applyAlignment="1">
      <alignment horizontal="center" vertical="center"/>
    </xf>
    <xf numFmtId="1" fontId="6" fillId="0" borderId="422" xfId="0" applyNumberFormat="1" applyFont="1" applyBorder="1" applyAlignment="1">
      <alignment horizontal="center" vertical="center"/>
    </xf>
    <xf numFmtId="1" fontId="6" fillId="0" borderId="391" xfId="0" applyNumberFormat="1" applyFont="1" applyBorder="1" applyAlignment="1">
      <alignment horizontal="center" vertical="center" wrapText="1"/>
    </xf>
    <xf numFmtId="1" fontId="6" fillId="0" borderId="427" xfId="0" applyNumberFormat="1" applyFont="1" applyBorder="1" applyAlignment="1">
      <alignment horizontal="center" vertical="center" wrapText="1"/>
    </xf>
    <xf numFmtId="1" fontId="6" fillId="0" borderId="429" xfId="0" applyNumberFormat="1" applyFont="1" applyBorder="1" applyAlignment="1">
      <alignment horizontal="center" vertical="center"/>
    </xf>
    <xf numFmtId="1" fontId="6" fillId="0" borderId="427" xfId="0" applyNumberFormat="1" applyFont="1" applyBorder="1" applyAlignment="1">
      <alignment horizontal="center" vertical="center"/>
    </xf>
    <xf numFmtId="1" fontId="6" fillId="0" borderId="430" xfId="0" applyNumberFormat="1" applyFont="1" applyBorder="1" applyAlignment="1">
      <alignment horizontal="center" vertical="center"/>
    </xf>
    <xf numFmtId="1" fontId="6" fillId="0" borderId="426" xfId="0" applyNumberFormat="1" applyFont="1" applyBorder="1" applyAlignment="1">
      <alignment horizontal="center" vertical="center"/>
    </xf>
    <xf numFmtId="1" fontId="6" fillId="0" borderId="275" xfId="0" applyNumberFormat="1" applyFont="1" applyBorder="1" applyAlignment="1">
      <alignment horizontal="center" vertical="center"/>
    </xf>
    <xf numFmtId="1" fontId="6" fillId="0" borderId="289" xfId="0" applyNumberFormat="1" applyFont="1" applyBorder="1" applyAlignment="1">
      <alignment horizontal="center" vertical="center"/>
    </xf>
    <xf numFmtId="1" fontId="20" fillId="0" borderId="430" xfId="0" applyNumberFormat="1" applyFont="1" applyBorder="1" applyAlignment="1">
      <alignment horizontal="center" vertical="center" wrapText="1"/>
    </xf>
    <xf numFmtId="1" fontId="20" fillId="0" borderId="289" xfId="0" applyNumberFormat="1" applyFont="1" applyBorder="1" applyAlignment="1">
      <alignment horizontal="center" vertical="center" wrapText="1"/>
    </xf>
    <xf numFmtId="1" fontId="6" fillId="0" borderId="146" xfId="0" applyNumberFormat="1" applyFont="1" applyBorder="1" applyAlignment="1">
      <alignment horizontal="center" vertical="center" wrapText="1"/>
    </xf>
    <xf numFmtId="1" fontId="6" fillId="0" borderId="236" xfId="0" applyNumberFormat="1" applyFont="1" applyBorder="1" applyAlignment="1">
      <alignment horizontal="center" vertical="center" wrapText="1"/>
    </xf>
    <xf numFmtId="1" fontId="6" fillId="0" borderId="202" xfId="0" applyNumberFormat="1" applyFont="1" applyBorder="1" applyAlignment="1">
      <alignment horizontal="center" vertical="center" wrapText="1"/>
    </xf>
    <xf numFmtId="1" fontId="6" fillId="0" borderId="405" xfId="0" applyNumberFormat="1" applyFont="1" applyBorder="1" applyAlignment="1">
      <alignment horizontal="center" vertical="center"/>
    </xf>
    <xf numFmtId="1" fontId="6" fillId="0" borderId="729" xfId="0" applyNumberFormat="1" applyFont="1" applyBorder="1" applyAlignment="1">
      <alignment horizontal="center" vertical="center" wrapText="1"/>
    </xf>
    <xf numFmtId="1" fontId="51" fillId="0" borderId="427" xfId="0" applyNumberFormat="1" applyFont="1" applyBorder="1" applyAlignment="1">
      <alignment horizontal="center" vertical="center" wrapText="1"/>
    </xf>
    <xf numFmtId="1" fontId="51" fillId="0" borderId="275" xfId="0" applyNumberFormat="1" applyFont="1" applyBorder="1" applyAlignment="1">
      <alignment horizontal="center" vertical="center" wrapText="1"/>
    </xf>
    <xf numFmtId="1" fontId="51" fillId="0" borderId="276" xfId="0" applyNumberFormat="1" applyFont="1" applyBorder="1" applyAlignment="1">
      <alignment horizontal="center" vertical="center" wrapText="1"/>
    </xf>
    <xf numFmtId="1" fontId="51" fillId="15" borderId="404" xfId="0" applyNumberFormat="1" applyFont="1" applyFill="1" applyBorder="1" applyAlignment="1">
      <alignment horizontal="center" vertical="center" wrapText="1"/>
    </xf>
    <xf numFmtId="1" fontId="51" fillId="15" borderId="405" xfId="0" applyNumberFormat="1" applyFont="1" applyFill="1" applyBorder="1" applyAlignment="1">
      <alignment horizontal="center" vertical="center" wrapText="1"/>
    </xf>
    <xf numFmtId="1" fontId="51" fillId="15" borderId="407" xfId="0" applyNumberFormat="1" applyFont="1" applyFill="1" applyBorder="1" applyAlignment="1">
      <alignment horizontal="center" vertical="center" wrapText="1"/>
    </xf>
    <xf numFmtId="1" fontId="51" fillId="0" borderId="407" xfId="0" applyNumberFormat="1" applyFont="1" applyBorder="1" applyAlignment="1">
      <alignment horizontal="center" vertical="center" wrapText="1"/>
    </xf>
    <xf numFmtId="1" fontId="51" fillId="0" borderId="729" xfId="0" applyNumberFormat="1" applyFont="1" applyBorder="1" applyAlignment="1">
      <alignment horizontal="center" vertical="center" wrapText="1"/>
    </xf>
    <xf numFmtId="1" fontId="51" fillId="0" borderId="565" xfId="0" applyNumberFormat="1" applyFont="1" applyBorder="1" applyAlignment="1">
      <alignment horizontal="center" vertical="center" wrapText="1"/>
    </xf>
    <xf numFmtId="1" fontId="6" fillId="0" borderId="405" xfId="0" applyNumberFormat="1" applyFont="1" applyBorder="1" applyAlignment="1">
      <alignment horizontal="center" vertical="center" wrapText="1"/>
    </xf>
    <xf numFmtId="1" fontId="6" fillId="0" borderId="412" xfId="0" applyNumberFormat="1" applyFont="1" applyBorder="1" applyAlignment="1">
      <alignment horizontal="center" vertical="center" wrapText="1"/>
    </xf>
    <xf numFmtId="1" fontId="6" fillId="0" borderId="420" xfId="0" applyNumberFormat="1" applyFont="1" applyBorder="1" applyAlignment="1">
      <alignment horizontal="left" wrapText="1"/>
    </xf>
    <xf numFmtId="1" fontId="6" fillId="0" borderId="416" xfId="0" applyNumberFormat="1" applyFont="1" applyBorder="1" applyAlignment="1">
      <alignment horizontal="left" wrapText="1"/>
    </xf>
    <xf numFmtId="1" fontId="6" fillId="0" borderId="420" xfId="0" applyNumberFormat="1" applyFont="1" applyBorder="1" applyAlignment="1">
      <alignment horizontal="left" vertical="center"/>
    </xf>
    <xf numFmtId="1" fontId="6" fillId="0" borderId="416" xfId="0" applyNumberFormat="1" applyFont="1" applyBorder="1" applyAlignment="1">
      <alignment horizontal="left" vertical="center"/>
    </xf>
    <xf numFmtId="1" fontId="15" fillId="0" borderId="404" xfId="0" applyNumberFormat="1" applyFont="1" applyBorder="1" applyAlignment="1">
      <alignment horizontal="center" wrapText="1"/>
    </xf>
    <xf numFmtId="1" fontId="15" fillId="0" borderId="407" xfId="0" applyNumberFormat="1" applyFont="1" applyBorder="1" applyAlignment="1">
      <alignment horizontal="center" wrapText="1"/>
    </xf>
    <xf numFmtId="1" fontId="6" fillId="0" borderId="404" xfId="0" applyNumberFormat="1" applyFont="1" applyBorder="1" applyAlignment="1">
      <alignment horizontal="left" wrapText="1"/>
    </xf>
    <xf numFmtId="1" fontId="6" fillId="0" borderId="407" xfId="0" applyNumberFormat="1" applyFont="1" applyBorder="1" applyAlignment="1">
      <alignment horizontal="left" wrapText="1"/>
    </xf>
    <xf numFmtId="1" fontId="6" fillId="0" borderId="752" xfId="13" applyNumberFormat="1" applyFont="1" applyBorder="1" applyAlignment="1">
      <alignment vertical="center"/>
    </xf>
    <xf numFmtId="1" fontId="6" fillId="0" borderId="753" xfId="13" applyNumberFormat="1" applyFont="1" applyBorder="1" applyAlignment="1">
      <alignment vertical="center"/>
    </xf>
    <xf numFmtId="1" fontId="6" fillId="0" borderId="40" xfId="13" applyNumberFormat="1" applyFont="1" applyBorder="1" applyAlignment="1">
      <alignment horizontal="left" vertical="center"/>
    </xf>
    <xf numFmtId="1" fontId="6" fillId="0" borderId="51" xfId="13" applyNumberFormat="1" applyFont="1" applyBorder="1" applyAlignment="1">
      <alignment horizontal="left" vertical="center"/>
    </xf>
    <xf numFmtId="1" fontId="68" fillId="3" borderId="302" xfId="0" applyNumberFormat="1" applyFont="1" applyFill="1" applyBorder="1" applyAlignment="1">
      <alignment horizontal="center" vertical="center" wrapText="1"/>
    </xf>
    <xf numFmtId="1" fontId="68" fillId="3" borderId="238" xfId="0" applyNumberFormat="1" applyFont="1" applyFill="1" applyBorder="1" applyAlignment="1">
      <alignment horizontal="center" vertical="center" wrapText="1"/>
    </xf>
    <xf numFmtId="1" fontId="68" fillId="3" borderId="239" xfId="0" applyNumberFormat="1" applyFont="1" applyFill="1" applyBorder="1" applyAlignment="1">
      <alignment horizontal="center" vertical="center" wrapText="1"/>
    </xf>
    <xf numFmtId="1" fontId="68" fillId="3" borderId="341" xfId="0" applyNumberFormat="1" applyFont="1" applyFill="1" applyBorder="1" applyAlignment="1">
      <alignment horizontal="center" vertical="center" wrapText="1"/>
    </xf>
    <xf numFmtId="1" fontId="68" fillId="3" borderId="340" xfId="0" applyNumberFormat="1" applyFont="1" applyFill="1" applyBorder="1" applyAlignment="1">
      <alignment horizontal="center" vertical="center" wrapText="1"/>
    </xf>
    <xf numFmtId="1" fontId="68" fillId="3" borderId="342" xfId="0" applyNumberFormat="1" applyFont="1" applyFill="1" applyBorder="1" applyAlignment="1">
      <alignment horizontal="center" vertical="center" wrapText="1"/>
    </xf>
    <xf numFmtId="1" fontId="6" fillId="3" borderId="43" xfId="0" applyNumberFormat="1" applyFont="1" applyFill="1" applyBorder="1" applyAlignment="1">
      <alignment horizontal="center" vertical="center" wrapText="1"/>
    </xf>
    <xf numFmtId="1" fontId="6" fillId="3" borderId="66" xfId="0" applyNumberFormat="1" applyFont="1" applyFill="1" applyBorder="1" applyAlignment="1">
      <alignment horizontal="center" vertical="center" wrapText="1"/>
    </xf>
    <xf numFmtId="1" fontId="6" fillId="3" borderId="49" xfId="0" applyNumberFormat="1" applyFont="1" applyFill="1" applyBorder="1" applyAlignment="1">
      <alignment horizontal="center" vertical="center" wrapText="1"/>
    </xf>
    <xf numFmtId="1" fontId="6" fillId="0" borderId="6" xfId="13" applyNumberFormat="1" applyFont="1" applyBorder="1" applyAlignment="1">
      <alignment horizontal="center" vertical="center" wrapText="1"/>
    </xf>
    <xf numFmtId="1" fontId="6" fillId="0" borderId="7" xfId="13" applyNumberFormat="1" applyFont="1" applyBorder="1" applyAlignment="1">
      <alignment horizontal="center" vertical="center" wrapText="1"/>
    </xf>
    <xf numFmtId="1" fontId="6" fillId="0" borderId="8" xfId="13" applyNumberFormat="1" applyFont="1" applyBorder="1" applyAlignment="1">
      <alignment horizontal="center" vertical="center" wrapText="1"/>
    </xf>
    <xf numFmtId="1" fontId="4" fillId="0" borderId="4" xfId="13" applyNumberFormat="1" applyFont="1" applyBorder="1" applyAlignment="1">
      <alignment horizontal="left" vertical="center" wrapText="1"/>
    </xf>
    <xf numFmtId="1" fontId="6" fillId="0" borderId="2" xfId="13" applyNumberFormat="1" applyFont="1" applyBorder="1" applyAlignment="1">
      <alignment horizontal="center" vertical="center" wrapText="1"/>
    </xf>
    <xf numFmtId="1" fontId="6" fillId="0" borderId="10" xfId="13" applyNumberFormat="1" applyFont="1" applyBorder="1" applyAlignment="1">
      <alignment horizontal="center" vertical="center" wrapText="1"/>
    </xf>
    <xf numFmtId="1" fontId="6" fillId="0" borderId="271" xfId="13" applyNumberFormat="1" applyFont="1" applyBorder="1" applyAlignment="1">
      <alignment horizontal="center" vertical="center"/>
    </xf>
    <xf numFmtId="1" fontId="6" fillId="0" borderId="324" xfId="13" applyNumberFormat="1" applyFont="1" applyBorder="1" applyAlignment="1">
      <alignment horizontal="center" vertical="center"/>
    </xf>
    <xf numFmtId="1" fontId="6" fillId="0" borderId="307" xfId="13" applyNumberFormat="1" applyFont="1" applyBorder="1" applyAlignment="1">
      <alignment horizontal="center" vertical="center"/>
    </xf>
    <xf numFmtId="1" fontId="51" fillId="3" borderId="3" xfId="0" applyNumberFormat="1" applyFont="1" applyFill="1" applyBorder="1" applyAlignment="1">
      <alignment horizontal="center" vertical="center" wrapText="1"/>
    </xf>
    <xf numFmtId="1" fontId="51" fillId="3" borderId="4" xfId="0" applyNumberFormat="1" applyFont="1" applyFill="1" applyBorder="1" applyAlignment="1">
      <alignment horizontal="center" vertical="center" wrapText="1"/>
    </xf>
    <xf numFmtId="1" fontId="51" fillId="3" borderId="5" xfId="0" applyNumberFormat="1" applyFont="1" applyFill="1" applyBorder="1" applyAlignment="1">
      <alignment horizontal="center" vertical="center" wrapText="1"/>
    </xf>
    <xf numFmtId="1" fontId="51" fillId="3" borderId="11" xfId="0" applyNumberFormat="1" applyFont="1" applyFill="1" applyBorder="1" applyAlignment="1">
      <alignment horizontal="center" vertical="center" wrapText="1"/>
    </xf>
    <xf numFmtId="1" fontId="51" fillId="3" borderId="50" xfId="0" applyNumberFormat="1" applyFont="1" applyFill="1" applyBorder="1" applyAlignment="1">
      <alignment horizontal="center" vertical="center" wrapText="1"/>
    </xf>
    <xf numFmtId="1" fontId="51" fillId="3" borderId="26" xfId="0" applyNumberFormat="1" applyFont="1" applyFill="1" applyBorder="1" applyAlignment="1">
      <alignment horizontal="center" vertical="center" wrapText="1"/>
    </xf>
    <xf numFmtId="1" fontId="4" fillId="0" borderId="7" xfId="13" applyNumberFormat="1" applyFont="1" applyBorder="1" applyAlignment="1">
      <alignment horizontal="left" vertical="center" wrapText="1"/>
    </xf>
    <xf numFmtId="1" fontId="6" fillId="0" borderId="756" xfId="13" applyNumberFormat="1" applyFont="1" applyBorder="1" applyAlignment="1">
      <alignment horizontal="center" vertical="center" wrapText="1"/>
    </xf>
    <xf numFmtId="1" fontId="6" fillId="0" borderId="495" xfId="13" applyNumberFormat="1" applyFont="1" applyBorder="1" applyAlignment="1">
      <alignment horizontal="center" vertical="center" wrapText="1"/>
    </xf>
    <xf numFmtId="1" fontId="6" fillId="0" borderId="648" xfId="13" applyNumberFormat="1" applyFont="1" applyBorder="1" applyAlignment="1">
      <alignment horizontal="center" vertical="center" wrapText="1"/>
    </xf>
    <xf numFmtId="1" fontId="6" fillId="0" borderId="3" xfId="13" applyNumberFormat="1" applyFont="1" applyBorder="1" applyAlignment="1">
      <alignment horizontal="center" vertical="center" wrapText="1"/>
    </xf>
    <xf numFmtId="1" fontId="6" fillId="0" borderId="5" xfId="13" applyNumberFormat="1" applyFont="1" applyBorder="1" applyAlignment="1">
      <alignment horizontal="center" vertical="center" wrapText="1"/>
    </xf>
    <xf numFmtId="1" fontId="6" fillId="0" borderId="11" xfId="13" applyNumberFormat="1" applyFont="1" applyBorder="1" applyAlignment="1">
      <alignment horizontal="center" vertical="center" wrapText="1"/>
    </xf>
    <xf numFmtId="1" fontId="6" fillId="0" borderId="26" xfId="13" applyNumberFormat="1" applyFont="1" applyBorder="1" applyAlignment="1">
      <alignment horizontal="center" vertical="center" wrapText="1"/>
    </xf>
    <xf numFmtId="1" fontId="6" fillId="0" borderId="6" xfId="13" applyNumberFormat="1" applyFont="1" applyBorder="1" applyAlignment="1">
      <alignment horizontal="left" vertical="center" wrapText="1"/>
    </xf>
    <xf numFmtId="1" fontId="6" fillId="0" borderId="8" xfId="13" applyNumberFormat="1" applyFont="1" applyBorder="1" applyAlignment="1">
      <alignment horizontal="left" vertical="center" wrapText="1"/>
    </xf>
    <xf numFmtId="1" fontId="6" fillId="0" borderId="9" xfId="13" applyNumberFormat="1" applyFont="1" applyBorder="1" applyAlignment="1">
      <alignment horizontal="left" vertical="center" wrapText="1"/>
    </xf>
    <xf numFmtId="1" fontId="6" fillId="0" borderId="2" xfId="13" applyNumberFormat="1" applyFont="1" applyBorder="1" applyAlignment="1">
      <alignment horizontal="left" vertical="center" wrapText="1"/>
    </xf>
    <xf numFmtId="1" fontId="6" fillId="0" borderId="10" xfId="13" applyNumberFormat="1" applyFont="1" applyBorder="1" applyAlignment="1">
      <alignment horizontal="left" vertical="center" wrapText="1"/>
    </xf>
    <xf numFmtId="1" fontId="6" fillId="3" borderId="14" xfId="0" applyNumberFormat="1" applyFont="1" applyFill="1" applyBorder="1" applyAlignment="1">
      <alignment horizontal="center" vertical="center"/>
    </xf>
    <xf numFmtId="1" fontId="6" fillId="3" borderId="47" xfId="0" applyNumberFormat="1" applyFont="1" applyFill="1" applyBorder="1" applyAlignment="1">
      <alignment horizontal="center" vertical="center" wrapText="1"/>
    </xf>
    <xf numFmtId="1" fontId="6" fillId="3" borderId="48" xfId="0" applyNumberFormat="1" applyFont="1" applyFill="1" applyBorder="1" applyAlignment="1">
      <alignment horizontal="center" vertical="center" wrapText="1"/>
    </xf>
    <xf numFmtId="1" fontId="21" fillId="15" borderId="180" xfId="0" applyNumberFormat="1" applyFont="1" applyFill="1" applyBorder="1" applyAlignment="1">
      <alignment vertical="center"/>
    </xf>
    <xf numFmtId="1" fontId="21" fillId="15" borderId="70" xfId="0" applyNumberFormat="1" applyFont="1" applyFill="1" applyBorder="1" applyAlignment="1">
      <alignment vertical="center"/>
    </xf>
    <xf numFmtId="1" fontId="51" fillId="3" borderId="8" xfId="0" applyNumberFormat="1" applyFont="1" applyFill="1" applyBorder="1" applyAlignment="1">
      <alignment horizontal="center" vertical="center" wrapText="1"/>
    </xf>
    <xf numFmtId="1" fontId="6" fillId="0" borderId="750" xfId="13" applyNumberFormat="1" applyFont="1" applyBorder="1" applyAlignment="1">
      <alignment horizontal="center" vertical="center" wrapText="1"/>
    </xf>
    <xf numFmtId="1" fontId="6" fillId="0" borderId="717" xfId="13" applyNumberFormat="1" applyFont="1" applyBorder="1" applyAlignment="1">
      <alignment horizontal="center" vertical="center" wrapText="1"/>
    </xf>
    <xf numFmtId="1" fontId="6" fillId="0" borderId="751" xfId="13" applyNumberFormat="1" applyFont="1" applyBorder="1" applyAlignment="1">
      <alignment horizontal="center" vertical="center" wrapText="1"/>
    </xf>
    <xf numFmtId="1" fontId="6" fillId="0" borderId="559" xfId="13" applyNumberFormat="1" applyFont="1" applyBorder="1" applyAlignment="1">
      <alignment horizontal="center" vertical="center" wrapText="1"/>
    </xf>
    <xf numFmtId="1" fontId="40" fillId="0" borderId="29" xfId="13" applyNumberFormat="1" applyFont="1" applyBorder="1" applyAlignment="1">
      <alignment horizontal="left" vertical="center"/>
    </xf>
    <xf numFmtId="1" fontId="40" fillId="0" borderId="25" xfId="13" applyNumberFormat="1" applyFont="1" applyBorder="1" applyAlignment="1">
      <alignment horizontal="left" vertical="center"/>
    </xf>
    <xf numFmtId="1" fontId="6" fillId="0" borderId="404" xfId="13" applyNumberFormat="1" applyFont="1" applyBorder="1" applyAlignment="1">
      <alignment horizontal="center" vertical="center" wrapText="1"/>
    </xf>
    <xf numFmtId="1" fontId="6" fillId="0" borderId="406" xfId="13" applyNumberFormat="1" applyFont="1" applyBorder="1" applyAlignment="1">
      <alignment horizontal="center" vertical="center" wrapText="1"/>
    </xf>
    <xf numFmtId="1" fontId="6" fillId="0" borderId="403" xfId="13" applyNumberFormat="1" applyFont="1" applyBorder="1" applyAlignment="1">
      <alignment horizontal="center" vertical="center" wrapText="1"/>
    </xf>
    <xf numFmtId="1" fontId="6" fillId="0" borderId="422" xfId="13" applyNumberFormat="1" applyFont="1" applyBorder="1" applyAlignment="1">
      <alignment horizontal="center" vertical="center" wrapText="1"/>
    </xf>
    <xf numFmtId="1" fontId="6" fillId="0" borderId="23" xfId="13" applyNumberFormat="1" applyFont="1" applyBorder="1" applyAlignment="1">
      <alignment horizontal="left" vertical="center"/>
    </xf>
    <xf numFmtId="1" fontId="6" fillId="0" borderId="21" xfId="13" applyNumberFormat="1" applyFont="1" applyBorder="1" applyAlignment="1">
      <alignment horizontal="left" vertical="center"/>
    </xf>
    <xf numFmtId="1" fontId="6" fillId="0" borderId="750" xfId="0" applyNumberFormat="1" applyFont="1" applyBorder="1" applyAlignment="1">
      <alignment horizontal="center" vertical="center"/>
    </xf>
    <xf numFmtId="1" fontId="6" fillId="3" borderId="302" xfId="0" applyNumberFormat="1" applyFont="1" applyFill="1" applyBorder="1" applyAlignment="1">
      <alignment horizontal="center" vertical="center"/>
    </xf>
    <xf numFmtId="1" fontId="6" fillId="3" borderId="334" xfId="0" applyNumberFormat="1" applyFont="1" applyFill="1" applyBorder="1" applyAlignment="1">
      <alignment horizontal="center" vertical="center"/>
    </xf>
    <xf numFmtId="1" fontId="6" fillId="3" borderId="428" xfId="0" applyNumberFormat="1" applyFont="1" applyFill="1" applyBorder="1" applyAlignment="1">
      <alignment horizontal="center" vertical="center"/>
    </xf>
    <xf numFmtId="1" fontId="6" fillId="3" borderId="35" xfId="0" applyNumberFormat="1" applyFont="1" applyFill="1" applyBorder="1" applyAlignment="1">
      <alignment horizontal="center" vertical="center"/>
    </xf>
    <xf numFmtId="1" fontId="6" fillId="3" borderId="0" xfId="0" applyNumberFormat="1" applyFont="1" applyFill="1" applyAlignment="1">
      <alignment horizontal="center" vertical="center"/>
    </xf>
    <xf numFmtId="1" fontId="6" fillId="3" borderId="81" xfId="0" applyNumberFormat="1" applyFont="1" applyFill="1" applyBorder="1" applyAlignment="1">
      <alignment horizontal="center" vertical="center"/>
    </xf>
    <xf numFmtId="1" fontId="6" fillId="3" borderId="426" xfId="0" applyNumberFormat="1" applyFont="1" applyFill="1" applyBorder="1" applyAlignment="1">
      <alignment horizontal="center" vertical="center"/>
    </xf>
    <xf numFmtId="1" fontId="6" fillId="3" borderId="444" xfId="0" applyNumberFormat="1" applyFont="1" applyFill="1" applyBorder="1" applyAlignment="1">
      <alignment horizontal="center" vertical="center"/>
    </xf>
    <xf numFmtId="1" fontId="6" fillId="3" borderId="342" xfId="0" applyNumberFormat="1" applyFont="1" applyFill="1" applyBorder="1" applyAlignment="1">
      <alignment horizontal="center" vertical="center"/>
    </xf>
    <xf numFmtId="1" fontId="6" fillId="3" borderId="312" xfId="0" applyNumberFormat="1" applyFont="1" applyFill="1" applyBorder="1" applyAlignment="1">
      <alignment horizontal="center"/>
    </xf>
    <xf numFmtId="1" fontId="6" fillId="3" borderId="406" xfId="0" applyNumberFormat="1" applyFont="1" applyFill="1" applyBorder="1" applyAlignment="1">
      <alignment horizontal="center"/>
    </xf>
    <xf numFmtId="1" fontId="6" fillId="0" borderId="302" xfId="0" applyNumberFormat="1" applyFont="1" applyBorder="1" applyAlignment="1">
      <alignment horizontal="center" vertical="center"/>
    </xf>
    <xf numFmtId="1" fontId="6" fillId="0" borderId="288" xfId="0" applyNumberFormat="1" applyFont="1" applyBorder="1" applyAlignment="1">
      <alignment horizontal="center" vertical="center"/>
    </xf>
    <xf numFmtId="1" fontId="6" fillId="0" borderId="441" xfId="0" applyNumberFormat="1" applyFont="1" applyBorder="1" applyAlignment="1">
      <alignment horizontal="center" vertical="center"/>
    </xf>
    <xf numFmtId="1" fontId="6" fillId="0" borderId="16" xfId="0" applyNumberFormat="1" applyFont="1" applyBorder="1" applyAlignment="1">
      <alignment horizontal="left" vertical="center"/>
    </xf>
    <xf numFmtId="1" fontId="6" fillId="0" borderId="59" xfId="0" applyNumberFormat="1" applyFont="1" applyBorder="1" applyAlignment="1">
      <alignment horizontal="left" vertical="center"/>
    </xf>
    <xf numFmtId="1" fontId="6" fillId="0" borderId="85" xfId="0" applyNumberFormat="1" applyFont="1" applyBorder="1" applyAlignment="1">
      <alignment horizontal="left" vertical="center"/>
    </xf>
    <xf numFmtId="1" fontId="6" fillId="0" borderId="38" xfId="0" applyNumberFormat="1" applyFont="1" applyBorder="1" applyAlignment="1">
      <alignment horizontal="left" vertical="center"/>
    </xf>
    <xf numFmtId="1" fontId="6" fillId="0" borderId="60" xfId="0" applyNumberFormat="1" applyFont="1" applyBorder="1" applyAlignment="1">
      <alignment horizontal="left" vertical="center"/>
    </xf>
    <xf numFmtId="1" fontId="6" fillId="0" borderId="38" xfId="0" applyNumberFormat="1" applyFont="1" applyBorder="1" applyAlignment="1">
      <alignment vertical="center" wrapText="1"/>
    </xf>
    <xf numFmtId="1" fontId="6" fillId="0" borderId="60" xfId="0" applyNumberFormat="1" applyFont="1" applyBorder="1" applyAlignment="1">
      <alignment vertical="center" wrapText="1"/>
    </xf>
    <xf numFmtId="1" fontId="6" fillId="0" borderId="20" xfId="0" applyNumberFormat="1" applyFont="1" applyBorder="1" applyAlignment="1">
      <alignment horizontal="left" vertical="center" wrapText="1"/>
    </xf>
    <xf numFmtId="1" fontId="6" fillId="0" borderId="69" xfId="0" applyNumberFormat="1" applyFont="1" applyBorder="1" applyAlignment="1">
      <alignment horizontal="left" vertical="center" wrapText="1"/>
    </xf>
    <xf numFmtId="1" fontId="6" fillId="0" borderId="302" xfId="0" applyNumberFormat="1" applyFont="1" applyBorder="1" applyAlignment="1">
      <alignment horizontal="left" vertical="center" wrapText="1"/>
    </xf>
    <xf numFmtId="1" fontId="6" fillId="0" borderId="426" xfId="0" applyNumberFormat="1" applyFont="1" applyBorder="1" applyAlignment="1">
      <alignment horizontal="left" vertical="center" wrapText="1"/>
    </xf>
    <xf numFmtId="1" fontId="6" fillId="0" borderId="52" xfId="0" applyNumberFormat="1" applyFont="1" applyBorder="1" applyAlignment="1">
      <alignment horizontal="left" vertical="center"/>
    </xf>
    <xf numFmtId="1" fontId="6" fillId="0" borderId="31" xfId="0" applyNumberFormat="1" applyFont="1" applyBorder="1" applyAlignment="1">
      <alignment horizontal="left" vertical="center"/>
    </xf>
    <xf numFmtId="1" fontId="20" fillId="0" borderId="40" xfId="0" applyNumberFormat="1" applyFont="1" applyBorder="1" applyAlignment="1">
      <alignment horizontal="left" vertical="center"/>
    </xf>
    <xf numFmtId="1" fontId="20" fillId="0" borderId="51" xfId="0" applyNumberFormat="1" applyFont="1" applyBorder="1" applyAlignment="1">
      <alignment horizontal="left" vertical="center"/>
    </xf>
    <xf numFmtId="1" fontId="6" fillId="0" borderId="30" xfId="0" applyNumberFormat="1" applyFont="1" applyBorder="1" applyAlignment="1">
      <alignment horizontal="left" vertical="center"/>
    </xf>
    <xf numFmtId="1" fontId="6" fillId="0" borderId="61" xfId="0" applyNumberFormat="1" applyFont="1" applyBorder="1" applyAlignment="1">
      <alignment horizontal="left" vertical="center"/>
    </xf>
    <xf numFmtId="1" fontId="6" fillId="0" borderId="296" xfId="0" applyNumberFormat="1" applyFont="1" applyBorder="1" applyAlignment="1">
      <alignment horizontal="left" vertical="center" wrapText="1"/>
    </xf>
    <xf numFmtId="1" fontId="6" fillId="0" borderId="296" xfId="0" applyNumberFormat="1" applyFont="1" applyBorder="1" applyAlignment="1">
      <alignment horizontal="left" vertical="center"/>
    </xf>
    <xf numFmtId="1" fontId="6" fillId="0" borderId="9" xfId="0" applyNumberFormat="1" applyFont="1" applyBorder="1" applyAlignment="1">
      <alignment horizontal="left" vertical="center"/>
    </xf>
    <xf numFmtId="1" fontId="6" fillId="0" borderId="422" xfId="0" applyNumberFormat="1" applyFont="1" applyBorder="1" applyAlignment="1">
      <alignment horizontal="left" vertical="center"/>
    </xf>
    <xf numFmtId="1" fontId="6" fillId="3" borderId="404" xfId="0" applyNumberFormat="1" applyFont="1" applyFill="1" applyBorder="1" applyAlignment="1">
      <alignment horizontal="center" vertical="center"/>
    </xf>
    <xf numFmtId="1" fontId="6" fillId="3" borderId="312" xfId="0" applyNumberFormat="1" applyFont="1" applyFill="1" applyBorder="1" applyAlignment="1">
      <alignment horizontal="center" vertical="center"/>
    </xf>
    <xf numFmtId="1" fontId="6" fillId="3" borderId="406" xfId="0" applyNumberFormat="1" applyFont="1" applyFill="1" applyBorder="1" applyAlignment="1">
      <alignment horizontal="center" vertical="center"/>
    </xf>
    <xf numFmtId="1" fontId="15" fillId="0" borderId="750" xfId="10" applyNumberFormat="1" applyFont="1" applyBorder="1" applyAlignment="1">
      <alignment horizontal="center" vertical="center" wrapText="1"/>
    </xf>
    <xf numFmtId="1" fontId="15" fillId="0" borderId="717" xfId="10" applyNumberFormat="1" applyFont="1" applyBorder="1" applyAlignment="1">
      <alignment horizontal="center" vertical="center" wrapText="1"/>
    </xf>
    <xf numFmtId="1" fontId="15" fillId="0" borderId="35" xfId="10" applyNumberFormat="1" applyFont="1" applyBorder="1" applyAlignment="1">
      <alignment horizontal="center" vertical="center" wrapText="1"/>
    </xf>
    <xf numFmtId="1" fontId="15" fillId="0" borderId="534" xfId="10" applyNumberFormat="1" applyFont="1" applyBorder="1" applyAlignment="1">
      <alignment horizontal="center" vertical="center" wrapText="1"/>
    </xf>
    <xf numFmtId="1" fontId="15" fillId="0" borderId="751" xfId="10" applyNumberFormat="1" applyFont="1" applyBorder="1" applyAlignment="1">
      <alignment horizontal="center" vertical="center" wrapText="1"/>
    </xf>
    <xf numFmtId="1" fontId="15" fillId="0" borderId="559" xfId="10" applyNumberFormat="1" applyFont="1" applyBorder="1" applyAlignment="1">
      <alignment horizontal="center" vertical="center" wrapText="1"/>
    </xf>
    <xf numFmtId="1" fontId="6" fillId="0" borderId="302" xfId="10" applyNumberFormat="1" applyFont="1" applyBorder="1" applyAlignment="1">
      <alignment horizontal="center" vertical="center" wrapText="1"/>
    </xf>
    <xf numFmtId="1" fontId="6" fillId="0" borderId="334" xfId="10" applyNumberFormat="1" applyFont="1" applyBorder="1" applyAlignment="1">
      <alignment horizontal="center" vertical="center" wrapText="1"/>
    </xf>
    <xf numFmtId="1" fontId="6" fillId="0" borderId="35" xfId="10" applyNumberFormat="1" applyFont="1" applyBorder="1" applyAlignment="1">
      <alignment horizontal="center" vertical="center" wrapText="1"/>
    </xf>
    <xf numFmtId="1" fontId="6" fillId="0" borderId="0" xfId="10" applyNumberFormat="1" applyFont="1" applyAlignment="1">
      <alignment horizontal="center" vertical="center" wrapText="1"/>
    </xf>
    <xf numFmtId="1" fontId="6" fillId="0" borderId="426" xfId="10" applyNumberFormat="1" applyFont="1" applyBorder="1" applyAlignment="1">
      <alignment horizontal="center" vertical="center" wrapText="1"/>
    </xf>
    <xf numFmtId="1" fontId="6" fillId="0" borderId="444" xfId="10" applyNumberFormat="1" applyFont="1" applyBorder="1" applyAlignment="1">
      <alignment horizontal="center" vertical="center" wrapText="1"/>
    </xf>
    <xf numFmtId="1" fontId="6" fillId="0" borderId="404" xfId="0" applyNumberFormat="1" applyFont="1" applyBorder="1" applyAlignment="1">
      <alignment horizontal="center"/>
    </xf>
    <xf numFmtId="1" fontId="6" fillId="0" borderId="312" xfId="0" applyNumberFormat="1" applyFont="1" applyBorder="1" applyAlignment="1">
      <alignment horizontal="center"/>
    </xf>
    <xf numFmtId="1" fontId="6" fillId="0" borderId="406" xfId="0" applyNumberFormat="1" applyFont="1" applyBorder="1" applyAlignment="1">
      <alignment horizontal="center"/>
    </xf>
    <xf numFmtId="1" fontId="6" fillId="0" borderId="284" xfId="10" quotePrefix="1" applyNumberFormat="1" applyFont="1" applyBorder="1" applyAlignment="1" applyProtection="1">
      <alignment horizontal="center" vertical="center"/>
      <protection hidden="1"/>
    </xf>
    <xf numFmtId="1" fontId="6" fillId="0" borderId="428" xfId="10" quotePrefix="1" applyNumberFormat="1" applyFont="1" applyBorder="1" applyAlignment="1" applyProtection="1">
      <alignment horizontal="center" vertical="center"/>
      <protection hidden="1"/>
    </xf>
    <xf numFmtId="1" fontId="6" fillId="0" borderId="440" xfId="10" quotePrefix="1" applyNumberFormat="1" applyFont="1" applyBorder="1" applyAlignment="1" applyProtection="1">
      <alignment horizontal="center" vertical="center"/>
      <protection hidden="1"/>
    </xf>
    <xf numFmtId="1" fontId="6" fillId="0" borderId="342" xfId="10" quotePrefix="1" applyNumberFormat="1" applyFont="1" applyBorder="1" applyAlignment="1" applyProtection="1">
      <alignment horizontal="center" vertical="center"/>
      <protection hidden="1"/>
    </xf>
    <xf numFmtId="1" fontId="6" fillId="0" borderId="452" xfId="10" applyNumberFormat="1" applyFont="1" applyBorder="1" applyAlignment="1" applyProtection="1">
      <alignment horizontal="center" vertical="center"/>
      <protection hidden="1"/>
    </xf>
    <xf numFmtId="1" fontId="6" fillId="0" borderId="28" xfId="10" applyNumberFormat="1" applyFont="1" applyBorder="1" applyAlignment="1" applyProtection="1">
      <alignment horizontal="center" vertical="center"/>
      <protection hidden="1"/>
    </xf>
    <xf numFmtId="1" fontId="6" fillId="0" borderId="308" xfId="10" applyNumberFormat="1" applyFont="1" applyBorder="1" applyAlignment="1" applyProtection="1">
      <alignment horizontal="center" vertical="center"/>
      <protection hidden="1"/>
    </xf>
    <xf numFmtId="1" fontId="6" fillId="0" borderId="442" xfId="10" applyNumberFormat="1" applyFont="1" applyBorder="1" applyAlignment="1" applyProtection="1">
      <alignment horizontal="center" vertical="center"/>
      <protection hidden="1"/>
    </xf>
    <xf numFmtId="1" fontId="6" fillId="0" borderId="736" xfId="9" applyNumberFormat="1" applyFont="1" applyBorder="1" applyAlignment="1">
      <alignment horizontal="left" wrapText="1"/>
    </xf>
    <xf numFmtId="1" fontId="6" fillId="0" borderId="732" xfId="9" applyNumberFormat="1" applyFont="1" applyBorder="1" applyAlignment="1">
      <alignment horizontal="left" wrapText="1"/>
    </xf>
    <xf numFmtId="1" fontId="6" fillId="0" borderId="40" xfId="11" applyNumberFormat="1" applyFont="1" applyBorder="1" applyAlignment="1">
      <alignment horizontal="left" vertical="center" wrapText="1"/>
    </xf>
    <xf numFmtId="1" fontId="6" fillId="0" borderId="51" xfId="11" applyNumberFormat="1" applyFont="1" applyBorder="1" applyAlignment="1">
      <alignment horizontal="left" vertical="center" wrapText="1"/>
    </xf>
    <xf numFmtId="1" fontId="6" fillId="0" borderId="40" xfId="9" applyNumberFormat="1" applyFont="1" applyBorder="1" applyAlignment="1">
      <alignment vertical="center" wrapText="1"/>
    </xf>
    <xf numFmtId="1" fontId="6" fillId="0" borderId="51" xfId="9" applyNumberFormat="1" applyFont="1" applyBorder="1" applyAlignment="1">
      <alignment vertical="center" wrapText="1"/>
    </xf>
    <xf numFmtId="1" fontId="6" fillId="0" borderId="37" xfId="9" applyNumberFormat="1" applyFont="1" applyBorder="1" applyAlignment="1">
      <alignment horizontal="left" vertical="center" wrapText="1"/>
    </xf>
    <xf numFmtId="1" fontId="6" fillId="0" borderId="24" xfId="9" applyNumberFormat="1" applyFont="1" applyBorder="1" applyAlignment="1">
      <alignment horizontal="left" vertical="center" wrapText="1"/>
    </xf>
    <xf numFmtId="1" fontId="6" fillId="3" borderId="407" xfId="0" applyNumberFormat="1" applyFont="1" applyFill="1" applyBorder="1" applyAlignment="1">
      <alignment horizontal="center" vertical="center"/>
    </xf>
    <xf numFmtId="1" fontId="6" fillId="0" borderId="418" xfId="0" applyNumberFormat="1" applyFont="1" applyBorder="1" applyAlignment="1">
      <alignment horizontal="left"/>
    </xf>
    <xf numFmtId="1" fontId="6" fillId="0" borderId="296" xfId="0" applyNumberFormat="1" applyFont="1" applyBorder="1" applyAlignment="1">
      <alignment horizontal="left"/>
    </xf>
    <xf numFmtId="1" fontId="6" fillId="0" borderId="9" xfId="0" applyNumberFormat="1" applyFont="1" applyBorder="1" applyAlignment="1">
      <alignment horizontal="left"/>
    </xf>
    <xf numFmtId="1" fontId="6" fillId="0" borderId="418" xfId="0" applyNumberFormat="1" applyFont="1" applyBorder="1" applyAlignment="1">
      <alignment horizontal="center"/>
    </xf>
    <xf numFmtId="1" fontId="6" fillId="0" borderId="420" xfId="0" applyNumberFormat="1" applyFont="1" applyBorder="1" applyAlignment="1">
      <alignment horizontal="left"/>
    </xf>
    <xf numFmtId="1" fontId="6" fillId="0" borderId="416" xfId="0" applyNumberFormat="1" applyFont="1" applyBorder="1" applyAlignment="1">
      <alignment horizontal="left"/>
    </xf>
    <xf numFmtId="1" fontId="6" fillId="0" borderId="62" xfId="0" applyNumberFormat="1" applyFont="1" applyBorder="1" applyAlignment="1">
      <alignment horizontal="left" vertical="center"/>
    </xf>
    <xf numFmtId="1" fontId="6" fillId="0" borderId="39" xfId="0" applyNumberFormat="1" applyFont="1" applyBorder="1" applyAlignment="1">
      <alignment horizontal="left" vertical="center"/>
    </xf>
    <xf numFmtId="1" fontId="6" fillId="0" borderId="407" xfId="0" applyNumberFormat="1" applyFont="1" applyBorder="1" applyAlignment="1">
      <alignment horizontal="center"/>
    </xf>
    <xf numFmtId="1" fontId="6" fillId="3" borderId="404" xfId="0" applyNumberFormat="1" applyFont="1" applyFill="1" applyBorder="1" applyAlignment="1">
      <alignment horizontal="center"/>
    </xf>
    <xf numFmtId="1" fontId="6" fillId="3" borderId="407" xfId="0" applyNumberFormat="1" applyFont="1" applyFill="1" applyBorder="1" applyAlignment="1">
      <alignment horizontal="center"/>
    </xf>
    <xf numFmtId="1" fontId="6" fillId="0" borderId="311" xfId="0" applyNumberFormat="1" applyFont="1" applyBorder="1" applyAlignment="1">
      <alignment horizontal="center" vertical="center" wrapText="1"/>
    </xf>
    <xf numFmtId="1" fontId="6" fillId="3" borderId="296" xfId="0" applyNumberFormat="1" applyFont="1" applyFill="1" applyBorder="1" applyAlignment="1">
      <alignment horizontal="center" vertical="center"/>
    </xf>
    <xf numFmtId="1" fontId="6" fillId="3" borderId="9" xfId="0" applyNumberFormat="1" applyFont="1" applyFill="1" applyBorder="1" applyAlignment="1">
      <alignment horizontal="center" vertical="center"/>
    </xf>
    <xf numFmtId="1" fontId="6" fillId="3" borderId="422" xfId="0" applyNumberFormat="1" applyFont="1" applyFill="1" applyBorder="1" applyAlignment="1">
      <alignment horizontal="center" vertical="center"/>
    </xf>
    <xf numFmtId="1" fontId="6" fillId="0" borderId="420" xfId="0" applyNumberFormat="1" applyFont="1" applyBorder="1" applyAlignment="1">
      <alignment horizontal="left" vertical="center" wrapText="1"/>
    </xf>
    <xf numFmtId="1" fontId="6" fillId="0" borderId="416" xfId="0" applyNumberFormat="1" applyFont="1" applyBorder="1" applyAlignment="1">
      <alignment horizontal="left" vertical="center" wrapText="1"/>
    </xf>
    <xf numFmtId="1" fontId="6" fillId="3" borderId="40" xfId="0" applyNumberFormat="1" applyFont="1" applyFill="1" applyBorder="1" applyAlignment="1">
      <alignment horizontal="left"/>
    </xf>
    <xf numFmtId="1" fontId="6" fillId="3" borderId="51" xfId="0" applyNumberFormat="1" applyFont="1" applyFill="1" applyBorder="1" applyAlignment="1">
      <alignment horizontal="left"/>
    </xf>
    <xf numFmtId="1" fontId="6" fillId="0" borderId="16" xfId="0" applyNumberFormat="1" applyFont="1" applyBorder="1"/>
    <xf numFmtId="1" fontId="6" fillId="0" borderId="45" xfId="0" applyNumberFormat="1" applyFont="1" applyBorder="1"/>
    <xf numFmtId="1" fontId="6" fillId="0" borderId="18" xfId="0" applyNumberFormat="1" applyFont="1" applyBorder="1"/>
    <xf numFmtId="1" fontId="6" fillId="0" borderId="38" xfId="0" applyNumberFormat="1" applyFont="1" applyBorder="1"/>
    <xf numFmtId="1" fontId="6" fillId="0" borderId="63" xfId="0" applyNumberFormat="1" applyFont="1" applyBorder="1"/>
    <xf numFmtId="1" fontId="6" fillId="0" borderId="36" xfId="0" applyNumberFormat="1" applyFont="1" applyBorder="1"/>
    <xf numFmtId="1" fontId="6" fillId="0" borderId="62" xfId="0" applyNumberFormat="1" applyFont="1" applyBorder="1" applyAlignment="1">
      <alignment horizontal="left" vertical="center" wrapText="1"/>
    </xf>
    <xf numFmtId="1" fontId="6" fillId="0" borderId="20" xfId="0" applyNumberFormat="1" applyFont="1" applyBorder="1"/>
    <xf numFmtId="1" fontId="6" fillId="0" borderId="46" xfId="0" applyNumberFormat="1" applyFont="1" applyBorder="1"/>
    <xf numFmtId="1" fontId="6" fillId="0" borderId="22" xfId="0" applyNumberFormat="1" applyFont="1" applyBorder="1"/>
    <xf numFmtId="1" fontId="6" fillId="3" borderId="404" xfId="0" applyNumberFormat="1" applyFont="1" applyFill="1" applyBorder="1" applyAlignment="1">
      <alignment horizontal="center" vertical="center" wrapText="1"/>
    </xf>
    <xf numFmtId="1" fontId="26" fillId="0" borderId="312" xfId="0" applyNumberFormat="1" applyFont="1" applyBorder="1"/>
    <xf numFmtId="1" fontId="6" fillId="3" borderId="407" xfId="0" applyNumberFormat="1" applyFont="1" applyFill="1" applyBorder="1" applyAlignment="1">
      <alignment horizontal="center" vertical="center" wrapText="1"/>
    </xf>
    <xf numFmtId="1" fontId="6" fillId="3" borderId="412" xfId="0" applyNumberFormat="1" applyFont="1" applyFill="1" applyBorder="1" applyAlignment="1">
      <alignment horizontal="left" vertical="center" wrapText="1"/>
    </xf>
    <xf numFmtId="1" fontId="6" fillId="3" borderId="451" xfId="0" applyNumberFormat="1" applyFont="1" applyFill="1" applyBorder="1" applyAlignment="1">
      <alignment horizontal="left" vertical="center" wrapText="1"/>
    </xf>
    <xf numFmtId="1" fontId="6" fillId="3" borderId="413" xfId="0" applyNumberFormat="1" applyFont="1" applyFill="1" applyBorder="1" applyAlignment="1">
      <alignment horizontal="left" vertical="center" wrapText="1"/>
    </xf>
    <xf numFmtId="1" fontId="6" fillId="3" borderId="414" xfId="0" applyNumberFormat="1" applyFont="1" applyFill="1" applyBorder="1" applyAlignment="1">
      <alignment horizontal="left" vertical="center" wrapText="1"/>
    </xf>
    <xf numFmtId="1" fontId="6" fillId="3" borderId="18" xfId="0" applyNumberFormat="1" applyFont="1" applyFill="1" applyBorder="1" applyAlignment="1">
      <alignment horizontal="left" vertical="center" wrapText="1"/>
    </xf>
    <xf numFmtId="1" fontId="6" fillId="3" borderId="55" xfId="0" applyNumberFormat="1" applyFont="1" applyFill="1" applyBorder="1" applyAlignment="1">
      <alignment horizontal="left" vertical="center" wrapText="1"/>
    </xf>
    <xf numFmtId="1" fontId="6" fillId="3" borderId="58" xfId="0" applyNumberFormat="1" applyFont="1" applyFill="1" applyBorder="1" applyAlignment="1">
      <alignment horizontal="left" vertical="center" wrapText="1"/>
    </xf>
    <xf numFmtId="1" fontId="6" fillId="3" borderId="22" xfId="0" applyNumberFormat="1" applyFont="1" applyFill="1" applyBorder="1" applyAlignment="1">
      <alignment horizontal="left" vertical="center" wrapText="1"/>
    </xf>
    <xf numFmtId="1" fontId="6" fillId="0" borderId="410" xfId="0" applyNumberFormat="1" applyFont="1" applyBorder="1"/>
    <xf numFmtId="1" fontId="6" fillId="0" borderId="411" xfId="0" applyNumberFormat="1" applyFont="1" applyBorder="1"/>
    <xf numFmtId="1" fontId="6" fillId="0" borderId="451" xfId="0" applyNumberFormat="1" applyFont="1" applyBorder="1"/>
    <xf numFmtId="1" fontId="6" fillId="3" borderId="418" xfId="0" applyNumberFormat="1" applyFont="1" applyFill="1" applyBorder="1" applyAlignment="1">
      <alignment horizontal="center" vertical="center" wrapText="1"/>
    </xf>
    <xf numFmtId="1" fontId="6" fillId="3" borderId="27" xfId="0" applyNumberFormat="1" applyFont="1" applyFill="1" applyBorder="1" applyAlignment="1">
      <alignment horizontal="center"/>
    </xf>
    <xf numFmtId="1" fontId="6" fillId="3" borderId="49" xfId="0" applyNumberFormat="1" applyFont="1" applyFill="1" applyBorder="1" applyAlignment="1">
      <alignment horizontal="center"/>
    </xf>
    <xf numFmtId="1" fontId="6" fillId="3" borderId="28" xfId="0" applyNumberFormat="1" applyFont="1" applyFill="1" applyBorder="1" applyAlignment="1">
      <alignment horizontal="center"/>
    </xf>
    <xf numFmtId="1" fontId="51" fillId="3" borderId="750" xfId="0" applyNumberFormat="1" applyFont="1" applyFill="1" applyBorder="1" applyAlignment="1">
      <alignment horizontal="center" vertical="center" wrapText="1"/>
    </xf>
    <xf numFmtId="1" fontId="51" fillId="3" borderId="717" xfId="0" applyNumberFormat="1" applyFont="1" applyFill="1" applyBorder="1" applyAlignment="1">
      <alignment horizontal="center" vertical="center" wrapText="1"/>
    </xf>
    <xf numFmtId="1" fontId="51" fillId="3" borderId="751" xfId="0" applyNumberFormat="1" applyFont="1" applyFill="1" applyBorder="1" applyAlignment="1">
      <alignment horizontal="center" vertical="center" wrapText="1"/>
    </xf>
    <xf numFmtId="1" fontId="51" fillId="3" borderId="334" xfId="0" applyNumberFormat="1" applyFont="1" applyFill="1" applyBorder="1" applyAlignment="1">
      <alignment horizontal="center" vertical="center"/>
    </xf>
    <xf numFmtId="1" fontId="51" fillId="3" borderId="428" xfId="0" applyNumberFormat="1" applyFont="1" applyFill="1" applyBorder="1" applyAlignment="1">
      <alignment horizontal="center" vertical="center"/>
    </xf>
    <xf numFmtId="1" fontId="51" fillId="3" borderId="444" xfId="0" applyNumberFormat="1" applyFont="1" applyFill="1" applyBorder="1" applyAlignment="1">
      <alignment horizontal="center" vertical="center"/>
    </xf>
    <xf numFmtId="1" fontId="51" fillId="3" borderId="342" xfId="0" applyNumberFormat="1" applyFont="1" applyFill="1" applyBorder="1" applyAlignment="1">
      <alignment horizontal="center" vertical="center"/>
    </xf>
    <xf numFmtId="1" fontId="51" fillId="3" borderId="404" xfId="0" applyNumberFormat="1" applyFont="1" applyFill="1" applyBorder="1" applyAlignment="1">
      <alignment horizontal="center" vertical="center"/>
    </xf>
    <xf numFmtId="1" fontId="51" fillId="3" borderId="312" xfId="0" applyNumberFormat="1" applyFont="1" applyFill="1" applyBorder="1" applyAlignment="1">
      <alignment horizontal="center" vertical="center"/>
    </xf>
    <xf numFmtId="1" fontId="51" fillId="3" borderId="407" xfId="0" applyNumberFormat="1" applyFont="1" applyFill="1" applyBorder="1" applyAlignment="1">
      <alignment horizontal="center" vertical="center"/>
    </xf>
    <xf numFmtId="1" fontId="51" fillId="0" borderId="302" xfId="0" applyNumberFormat="1" applyFont="1" applyBorder="1" applyAlignment="1">
      <alignment horizontal="center" vertical="center"/>
    </xf>
    <xf numFmtId="1" fontId="51" fillId="3" borderId="413" xfId="0" applyNumberFormat="1" applyFont="1" applyFill="1" applyBorder="1" applyAlignment="1">
      <alignment horizontal="left" vertical="center" wrapText="1"/>
    </xf>
    <xf numFmtId="1" fontId="51" fillId="0" borderId="52" xfId="0" applyNumberFormat="1" applyFont="1" applyBorder="1" applyAlignment="1">
      <alignment horizontal="left" vertical="center" wrapText="1"/>
    </xf>
    <xf numFmtId="1" fontId="51" fillId="0" borderId="88" xfId="0" applyNumberFormat="1" applyFont="1" applyBorder="1" applyAlignment="1">
      <alignment horizontal="left" vertical="center" wrapText="1"/>
    </xf>
    <xf numFmtId="1" fontId="3" fillId="3" borderId="418" xfId="0" applyNumberFormat="1" applyFont="1" applyFill="1" applyBorder="1" applyAlignment="1">
      <alignment horizontal="center" wrapText="1"/>
    </xf>
    <xf numFmtId="1" fontId="6" fillId="0" borderId="413" xfId="0" applyNumberFormat="1" applyFont="1" applyBorder="1" applyAlignment="1">
      <alignment horizontal="left" vertical="center" wrapText="1"/>
    </xf>
    <xf numFmtId="1" fontId="6" fillId="0" borderId="422" xfId="0" applyNumberFormat="1" applyFont="1" applyBorder="1" applyAlignment="1">
      <alignment horizontal="left" vertical="center" wrapText="1"/>
    </xf>
    <xf numFmtId="1" fontId="51" fillId="0" borderId="23" xfId="0" applyNumberFormat="1" applyFont="1" applyBorder="1" applyAlignment="1">
      <alignment horizontal="left" vertical="center" wrapText="1"/>
    </xf>
    <xf numFmtId="1" fontId="51" fillId="0" borderId="86" xfId="0" applyNumberFormat="1" applyFont="1" applyBorder="1" applyAlignment="1">
      <alignment horizontal="left" vertical="center" wrapText="1"/>
    </xf>
    <xf numFmtId="1" fontId="6" fillId="3" borderId="404" xfId="0" applyNumberFormat="1" applyFont="1" applyFill="1" applyBorder="1" applyAlignment="1">
      <alignment horizontal="left" vertical="center" wrapText="1"/>
    </xf>
    <xf numFmtId="1" fontId="6" fillId="3" borderId="312" xfId="0" applyNumberFormat="1" applyFont="1" applyFill="1" applyBorder="1" applyAlignment="1">
      <alignment horizontal="left" vertical="center" wrapText="1"/>
    </xf>
    <xf numFmtId="1" fontId="6" fillId="3" borderId="407" xfId="0" applyNumberFormat="1" applyFont="1" applyFill="1" applyBorder="1" applyAlignment="1">
      <alignment horizontal="left" vertical="center" wrapText="1"/>
    </xf>
    <xf numFmtId="1" fontId="6" fillId="0" borderId="249" xfId="0" applyNumberFormat="1" applyFont="1" applyBorder="1" applyAlignment="1">
      <alignment horizontal="center" vertical="center"/>
    </xf>
    <xf numFmtId="1" fontId="6" fillId="0" borderId="303" xfId="0" applyNumberFormat="1" applyFont="1" applyBorder="1" applyAlignment="1">
      <alignment horizontal="center" vertical="center" wrapText="1"/>
    </xf>
    <xf numFmtId="1" fontId="6" fillId="0" borderId="309" xfId="0" applyNumberFormat="1" applyFont="1" applyBorder="1" applyAlignment="1">
      <alignment horizontal="center" vertical="center" wrapText="1"/>
    </xf>
    <xf numFmtId="1" fontId="20" fillId="0" borderId="302" xfId="0" applyNumberFormat="1" applyFont="1" applyBorder="1" applyAlignment="1">
      <alignment horizontal="center"/>
    </xf>
    <xf numFmtId="1" fontId="20" fillId="0" borderId="239" xfId="0" applyNumberFormat="1" applyFont="1" applyBorder="1" applyAlignment="1">
      <alignment horizontal="center"/>
    </xf>
    <xf numFmtId="1" fontId="20" fillId="0" borderId="288" xfId="0" applyNumberFormat="1" applyFont="1" applyBorder="1" applyAlignment="1">
      <alignment horizontal="center"/>
    </xf>
    <xf numFmtId="1" fontId="51" fillId="0" borderId="6" xfId="0" applyNumberFormat="1" applyFont="1" applyBorder="1" applyAlignment="1">
      <alignment horizontal="center" vertical="center"/>
    </xf>
    <xf numFmtId="1" fontId="51" fillId="0" borderId="7" xfId="0" applyNumberFormat="1" applyFont="1" applyBorder="1" applyAlignment="1">
      <alignment horizontal="center" vertical="center"/>
    </xf>
    <xf numFmtId="1" fontId="51" fillId="0" borderId="8" xfId="0" applyNumberFormat="1" applyFont="1" applyBorder="1" applyAlignment="1">
      <alignment horizontal="center" vertical="center"/>
    </xf>
    <xf numFmtId="1" fontId="6" fillId="0" borderId="244" xfId="0" applyNumberFormat="1" applyFont="1" applyBorder="1" applyAlignment="1">
      <alignment horizontal="center" vertical="center" wrapText="1"/>
    </xf>
    <xf numFmtId="1" fontId="4" fillId="3" borderId="131" xfId="0" applyNumberFormat="1" applyFont="1" applyFill="1" applyBorder="1" applyAlignment="1">
      <alignment horizontal="left" wrapText="1"/>
    </xf>
    <xf numFmtId="1" fontId="55" fillId="3" borderId="155" xfId="0" applyNumberFormat="1" applyFont="1" applyFill="1" applyBorder="1" applyAlignment="1">
      <alignment horizontal="left" wrapText="1"/>
    </xf>
    <xf numFmtId="1" fontId="55" fillId="3" borderId="50" xfId="0" applyNumberFormat="1" applyFont="1" applyFill="1" applyBorder="1" applyAlignment="1">
      <alignment horizontal="left" wrapText="1"/>
    </xf>
    <xf numFmtId="1" fontId="15" fillId="0" borderId="6" xfId="0" applyNumberFormat="1" applyFont="1" applyBorder="1" applyAlignment="1">
      <alignment horizontal="center" vertical="center"/>
    </xf>
    <xf numFmtId="1" fontId="6" fillId="0" borderId="8" xfId="0" applyNumberFormat="1" applyFont="1" applyBorder="1"/>
    <xf numFmtId="1" fontId="15" fillId="0" borderId="7" xfId="0" applyNumberFormat="1" applyFont="1" applyBorder="1" applyAlignment="1">
      <alignment horizontal="center" vertical="center"/>
    </xf>
    <xf numFmtId="1" fontId="15" fillId="0" borderId="8" xfId="0" applyNumberFormat="1" applyFont="1" applyBorder="1" applyAlignment="1">
      <alignment horizontal="center" vertical="center"/>
    </xf>
    <xf numFmtId="1" fontId="52" fillId="0" borderId="245" xfId="0" applyNumberFormat="1" applyFont="1" applyBorder="1" applyAlignment="1">
      <alignment horizontal="center" vertical="center"/>
    </xf>
    <xf numFmtId="1" fontId="52" fillId="0" borderId="246" xfId="0" applyNumberFormat="1" applyFont="1" applyBorder="1" applyAlignment="1">
      <alignment horizontal="center" vertical="center"/>
    </xf>
    <xf numFmtId="1" fontId="52" fillId="0" borderId="243" xfId="0" applyNumberFormat="1" applyFont="1" applyBorder="1" applyAlignment="1">
      <alignment horizontal="center" vertical="center"/>
    </xf>
    <xf numFmtId="1" fontId="51" fillId="0" borderId="308" xfId="0" applyNumberFormat="1" applyFont="1" applyBorder="1" applyAlignment="1">
      <alignment horizontal="center" vertical="center" wrapText="1"/>
    </xf>
    <xf numFmtId="1" fontId="51" fillId="0" borderId="65" xfId="0" applyNumberFormat="1" applyFont="1" applyBorder="1" applyAlignment="1">
      <alignment horizontal="center" vertical="center" wrapText="1"/>
    </xf>
    <xf numFmtId="1" fontId="51" fillId="0" borderId="279" xfId="0" applyNumberFormat="1" applyFont="1" applyBorder="1" applyAlignment="1">
      <alignment horizontal="center" vertical="center" wrapText="1"/>
    </xf>
    <xf numFmtId="1" fontId="52" fillId="0" borderId="256" xfId="0" applyNumberFormat="1" applyFont="1" applyBorder="1" applyAlignment="1">
      <alignment horizontal="center" vertical="center" wrapText="1"/>
    </xf>
    <xf numFmtId="1" fontId="52" fillId="0" borderId="297" xfId="0" applyNumberFormat="1" applyFont="1" applyBorder="1" applyAlignment="1">
      <alignment horizontal="center" vertical="center" wrapText="1"/>
    </xf>
    <xf numFmtId="1" fontId="52" fillId="0" borderId="258" xfId="0" applyNumberFormat="1" applyFont="1" applyBorder="1" applyAlignment="1">
      <alignment horizontal="center" vertical="center" wrapText="1"/>
    </xf>
    <xf numFmtId="1" fontId="6" fillId="3" borderId="35" xfId="0" applyNumberFormat="1" applyFont="1" applyFill="1" applyBorder="1" applyAlignment="1">
      <alignment horizontal="center" vertical="center" wrapText="1"/>
    </xf>
    <xf numFmtId="1" fontId="6" fillId="0" borderId="444" xfId="0" applyNumberFormat="1" applyFont="1" applyBorder="1" applyAlignment="1">
      <alignment horizontal="center" vertical="center" wrapText="1"/>
    </xf>
    <xf numFmtId="1" fontId="20" fillId="0" borderId="404" xfId="0" applyNumberFormat="1" applyFont="1" applyBorder="1" applyAlignment="1">
      <alignment horizontal="center" vertical="center" wrapText="1"/>
    </xf>
    <xf numFmtId="1" fontId="20" fillId="0" borderId="312" xfId="0" applyNumberFormat="1" applyFont="1" applyBorder="1" applyAlignment="1">
      <alignment horizontal="center" vertical="center" wrapText="1"/>
    </xf>
    <xf numFmtId="1" fontId="20" fillId="0" borderId="407" xfId="0" applyNumberFormat="1" applyFont="1" applyBorder="1" applyAlignment="1">
      <alignment horizontal="center" vertical="center" wrapText="1"/>
    </xf>
    <xf numFmtId="1" fontId="6" fillId="0" borderId="35" xfId="0" applyNumberFormat="1" applyFont="1" applyBorder="1" applyAlignment="1">
      <alignment horizontal="center"/>
    </xf>
    <xf numFmtId="1" fontId="6" fillId="0" borderId="0" xfId="0" applyNumberFormat="1" applyFont="1" applyAlignment="1">
      <alignment horizontal="center"/>
    </xf>
    <xf numFmtId="1" fontId="6" fillId="0" borderId="81" xfId="0" applyNumberFormat="1" applyFont="1" applyBorder="1" applyAlignment="1">
      <alignment horizontal="center"/>
    </xf>
    <xf numFmtId="1" fontId="6" fillId="0" borderId="476" xfId="0" applyNumberFormat="1" applyFont="1" applyBorder="1" applyAlignment="1">
      <alignment horizontal="center"/>
    </xf>
    <xf numFmtId="1" fontId="6" fillId="0" borderId="477" xfId="0" applyNumberFormat="1" applyFont="1" applyBorder="1" applyAlignment="1">
      <alignment horizontal="center"/>
    </xf>
    <xf numFmtId="1" fontId="6" fillId="0" borderId="478" xfId="0" applyNumberFormat="1" applyFont="1" applyBorder="1" applyAlignment="1">
      <alignment horizontal="center"/>
    </xf>
    <xf numFmtId="1" fontId="6" fillId="0" borderId="426" xfId="0" applyNumberFormat="1" applyFont="1" applyBorder="1" applyAlignment="1">
      <alignment horizontal="center"/>
    </xf>
    <xf numFmtId="1" fontId="6" fillId="0" borderId="444" xfId="0" applyNumberFormat="1" applyFont="1" applyBorder="1" applyAlignment="1">
      <alignment horizontal="center"/>
    </xf>
    <xf numFmtId="1" fontId="6" fillId="0" borderId="342" xfId="0" applyNumberFormat="1" applyFont="1" applyBorder="1" applyAlignment="1">
      <alignment horizontal="center"/>
    </xf>
    <xf numFmtId="1" fontId="4" fillId="3" borderId="0" xfId="10" applyNumberFormat="1" applyFont="1" applyFill="1" applyAlignment="1">
      <alignment horizontal="left" wrapText="1"/>
    </xf>
    <xf numFmtId="1" fontId="6" fillId="3" borderId="418" xfId="7" applyNumberFormat="1" applyFont="1" applyFill="1" applyBorder="1" applyAlignment="1">
      <alignment horizontal="center" vertical="center" wrapText="1"/>
    </xf>
    <xf numFmtId="1" fontId="6" fillId="3" borderId="420" xfId="10" applyNumberFormat="1" applyFont="1" applyFill="1" applyBorder="1" applyAlignment="1">
      <alignment horizontal="left" vertical="center" wrapText="1"/>
    </xf>
    <xf numFmtId="1" fontId="6" fillId="3" borderId="416" xfId="10" applyNumberFormat="1" applyFont="1" applyFill="1" applyBorder="1" applyAlignment="1">
      <alignment horizontal="left" vertical="center" wrapText="1"/>
    </xf>
    <xf numFmtId="1" fontId="6" fillId="3" borderId="40" xfId="10" applyNumberFormat="1" applyFont="1" applyFill="1" applyBorder="1" applyAlignment="1">
      <alignment horizontal="left" vertical="center" wrapText="1"/>
    </xf>
    <xf numFmtId="1" fontId="6" fillId="3" borderId="51" xfId="10" applyNumberFormat="1" applyFont="1" applyFill="1" applyBorder="1" applyAlignment="1">
      <alignment horizontal="left" vertical="center" wrapText="1"/>
    </xf>
    <xf numFmtId="1" fontId="6" fillId="3" borderId="296" xfId="7" applyNumberFormat="1" applyFont="1" applyFill="1" applyBorder="1" applyAlignment="1">
      <alignment horizontal="center" wrapText="1"/>
    </xf>
    <xf numFmtId="1" fontId="6" fillId="3" borderId="422" xfId="7" applyNumberFormat="1" applyFont="1" applyFill="1" applyBorder="1" applyAlignment="1">
      <alignment horizontal="center" wrapText="1"/>
    </xf>
    <xf numFmtId="1" fontId="6" fillId="3" borderId="23" xfId="10" applyNumberFormat="1" applyFont="1" applyFill="1" applyBorder="1" applyAlignment="1">
      <alignment horizontal="left" vertical="center" wrapText="1"/>
    </xf>
    <xf numFmtId="1" fontId="6" fillId="3" borderId="21" xfId="10" applyNumberFormat="1" applyFont="1" applyFill="1" applyBorder="1" applyAlignment="1">
      <alignment horizontal="left" vertical="center" wrapText="1"/>
    </xf>
    <xf numFmtId="1" fontId="6" fillId="0" borderId="426" xfId="0" applyNumberFormat="1" applyFont="1" applyBorder="1" applyAlignment="1">
      <alignment horizontal="left"/>
    </xf>
    <xf numFmtId="1" fontId="6" fillId="0" borderId="342" xfId="0" applyNumberFormat="1" applyFont="1" applyBorder="1" applyAlignment="1">
      <alignment horizontal="left"/>
    </xf>
    <xf numFmtId="1" fontId="6" fillId="3" borderId="418" xfId="10" applyNumberFormat="1" applyFont="1" applyFill="1" applyBorder="1" applyAlignment="1">
      <alignment horizontal="center" vertical="center" wrapText="1"/>
    </xf>
    <xf numFmtId="1" fontId="6" fillId="3" borderId="407" xfId="10" applyNumberFormat="1" applyFont="1" applyFill="1" applyBorder="1" applyAlignment="1">
      <alignment horizontal="center" vertical="center" wrapText="1"/>
    </xf>
    <xf numFmtId="1" fontId="6" fillId="0" borderId="418" xfId="10" applyNumberFormat="1" applyFont="1" applyFill="1" applyBorder="1" applyAlignment="1">
      <alignment horizontal="center" vertical="center" wrapText="1"/>
    </xf>
    <xf numFmtId="1" fontId="6" fillId="0" borderId="407" xfId="10" applyNumberFormat="1" applyFont="1" applyFill="1" applyBorder="1" applyAlignment="1">
      <alignment horizontal="center" vertical="center" wrapText="1"/>
    </xf>
    <xf numFmtId="1" fontId="6" fillId="0" borderId="29" xfId="0" applyNumberFormat="1" applyFont="1" applyBorder="1" applyAlignment="1">
      <alignment horizontal="left"/>
    </xf>
    <xf numFmtId="1" fontId="4" fillId="0" borderId="0" xfId="10" applyNumberFormat="1" applyFont="1" applyFill="1" applyAlignment="1">
      <alignment horizontal="left" wrapText="1"/>
    </xf>
    <xf numFmtId="1" fontId="6" fillId="3" borderId="412" xfId="10" applyNumberFormat="1" applyFont="1" applyFill="1" applyBorder="1" applyAlignment="1">
      <alignment horizontal="center" vertical="center" wrapText="1"/>
    </xf>
    <xf numFmtId="1" fontId="6" fillId="3" borderId="411" xfId="10" applyNumberFormat="1" applyFont="1" applyFill="1" applyBorder="1" applyAlignment="1">
      <alignment horizontal="center" vertical="center" wrapText="1"/>
    </xf>
    <xf numFmtId="1" fontId="6" fillId="3" borderId="451" xfId="10" applyNumberFormat="1" applyFont="1" applyFill="1" applyBorder="1" applyAlignment="1">
      <alignment horizontal="center" vertical="center" wrapText="1"/>
    </xf>
    <xf numFmtId="1" fontId="6" fillId="3" borderId="420" xfId="0" applyNumberFormat="1" applyFont="1" applyFill="1" applyBorder="1" applyAlignment="1">
      <alignment horizontal="left" vertical="center" wrapText="1"/>
    </xf>
    <xf numFmtId="1" fontId="6" fillId="3" borderId="416" xfId="0" applyNumberFormat="1" applyFont="1" applyFill="1" applyBorder="1" applyAlignment="1">
      <alignment horizontal="left" vertical="center" wrapText="1"/>
    </xf>
    <xf numFmtId="1" fontId="6" fillId="3" borderId="23" xfId="0" applyNumberFormat="1" applyFont="1" applyFill="1" applyBorder="1" applyAlignment="1">
      <alignment horizontal="left"/>
    </xf>
    <xf numFmtId="1" fontId="6" fillId="3" borderId="21" xfId="0" applyNumberFormat="1" applyFont="1" applyFill="1" applyBorder="1" applyAlignment="1">
      <alignment horizontal="left"/>
    </xf>
    <xf numFmtId="1" fontId="6" fillId="3" borderId="25" xfId="0" applyNumberFormat="1" applyFont="1" applyFill="1" applyBorder="1" applyAlignment="1">
      <alignment horizontal="left" vertical="center" wrapText="1"/>
    </xf>
    <xf numFmtId="1" fontId="6" fillId="3" borderId="9" xfId="0" applyNumberFormat="1" applyFont="1" applyFill="1" applyBorder="1" applyAlignment="1">
      <alignment horizontal="center" vertical="center" wrapText="1"/>
    </xf>
    <xf numFmtId="1" fontId="6" fillId="3" borderId="302" xfId="0" applyNumberFormat="1" applyFont="1" applyFill="1" applyBorder="1" applyAlignment="1">
      <alignment horizontal="left" vertical="center" wrapText="1"/>
    </xf>
    <xf numFmtId="1" fontId="6" fillId="3" borderId="428" xfId="0" applyNumberFormat="1" applyFont="1" applyFill="1" applyBorder="1" applyAlignment="1">
      <alignment horizontal="left" vertical="center" wrapText="1"/>
    </xf>
    <xf numFmtId="1" fontId="6" fillId="3" borderId="52" xfId="0" applyNumberFormat="1" applyFont="1" applyFill="1" applyBorder="1" applyAlignment="1">
      <alignment horizontal="left" vertical="center" wrapText="1"/>
    </xf>
    <xf numFmtId="1" fontId="6" fillId="3" borderId="31" xfId="0" applyNumberFormat="1" applyFont="1" applyFill="1" applyBorder="1" applyAlignment="1">
      <alignment horizontal="left" vertical="center" wrapText="1"/>
    </xf>
    <xf numFmtId="1" fontId="6" fillId="0" borderId="299" xfId="0" applyNumberFormat="1" applyFont="1" applyBorder="1" applyAlignment="1">
      <alignment horizontal="center" vertical="center" wrapText="1"/>
    </xf>
    <xf numFmtId="1" fontId="6" fillId="0" borderId="49" xfId="0" applyNumberFormat="1" applyFont="1" applyBorder="1" applyAlignment="1">
      <alignment horizontal="center" vertical="center" wrapText="1"/>
    </xf>
    <xf numFmtId="1" fontId="6" fillId="0" borderId="428" xfId="0" applyNumberFormat="1" applyFont="1" applyBorder="1"/>
    <xf numFmtId="1" fontId="4" fillId="3" borderId="0" xfId="10" applyNumberFormat="1" applyFont="1" applyFill="1" applyAlignment="1">
      <alignment wrapText="1"/>
    </xf>
    <xf numFmtId="1" fontId="10" fillId="0" borderId="0" xfId="0" applyNumberFormat="1" applyFont="1" applyAlignment="1">
      <alignment wrapText="1"/>
    </xf>
    <xf numFmtId="1" fontId="6" fillId="3" borderId="0" xfId="10" applyNumberFormat="1" applyFont="1" applyFill="1" applyAlignment="1">
      <alignment horizontal="center" vertical="center" wrapText="1"/>
    </xf>
    <xf numFmtId="1" fontId="6" fillId="3" borderId="302" xfId="0" applyNumberFormat="1" applyFont="1" applyFill="1" applyBorder="1" applyAlignment="1">
      <alignment horizontal="center" vertical="center" wrapText="1"/>
    </xf>
    <xf numFmtId="1" fontId="6" fillId="3" borderId="428" xfId="0" applyNumberFormat="1" applyFont="1" applyFill="1" applyBorder="1" applyAlignment="1">
      <alignment horizontal="center" vertical="center" wrapText="1"/>
    </xf>
    <xf numFmtId="1" fontId="6" fillId="3" borderId="342" xfId="0" applyNumberFormat="1" applyFont="1" applyFill="1" applyBorder="1" applyAlignment="1">
      <alignment horizontal="center" vertical="center" wrapText="1"/>
    </xf>
    <xf numFmtId="1" fontId="6" fillId="3" borderId="296" xfId="10" applyNumberFormat="1" applyFont="1" applyFill="1" applyBorder="1" applyAlignment="1">
      <alignment horizontal="center" vertical="center" wrapText="1"/>
    </xf>
    <xf numFmtId="1" fontId="6" fillId="3" borderId="422" xfId="10" applyNumberFormat="1" applyFont="1" applyFill="1" applyBorder="1" applyAlignment="1">
      <alignment horizontal="center" vertical="center" wrapText="1"/>
    </xf>
    <xf numFmtId="1" fontId="4" fillId="3" borderId="444" xfId="10" applyNumberFormat="1" applyFont="1" applyFill="1" applyBorder="1" applyAlignment="1">
      <alignment horizontal="left" wrapText="1"/>
    </xf>
    <xf numFmtId="1" fontId="6" fillId="0" borderId="561" xfId="0" applyNumberFormat="1" applyFont="1" applyBorder="1" applyAlignment="1">
      <alignment horizontal="left" vertical="center" wrapText="1"/>
    </xf>
    <xf numFmtId="1" fontId="6" fillId="0" borderId="88" xfId="0" applyNumberFormat="1" applyFont="1" applyBorder="1" applyAlignment="1">
      <alignment horizontal="left" vertical="center" wrapText="1"/>
    </xf>
    <xf numFmtId="1" fontId="51" fillId="15" borderId="23" xfId="0" applyNumberFormat="1" applyFont="1" applyFill="1" applyBorder="1" applyAlignment="1">
      <alignment horizontal="left" vertical="center" wrapText="1"/>
    </xf>
    <xf numFmtId="1" fontId="51" fillId="15" borderId="21" xfId="0" applyNumberFormat="1" applyFont="1" applyFill="1" applyBorder="1" applyAlignment="1">
      <alignment horizontal="left" vertical="center" wrapText="1"/>
    </xf>
    <xf numFmtId="1" fontId="15" fillId="0" borderId="882" xfId="0" applyNumberFormat="1" applyFont="1" applyBorder="1" applyAlignment="1">
      <alignment horizontal="center" vertical="center" wrapText="1"/>
    </xf>
    <xf numFmtId="1" fontId="15" fillId="0" borderId="495" xfId="0" applyNumberFormat="1" applyFont="1" applyBorder="1" applyAlignment="1">
      <alignment horizontal="center" vertical="center" wrapText="1"/>
    </xf>
    <xf numFmtId="1" fontId="15" fillId="0" borderId="834" xfId="0" applyNumberFormat="1" applyFont="1" applyBorder="1" applyAlignment="1">
      <alignment horizontal="center" vertical="center" wrapText="1"/>
    </xf>
    <xf numFmtId="1" fontId="6" fillId="0" borderId="894" xfId="0" applyNumberFormat="1" applyFont="1" applyBorder="1" applyAlignment="1">
      <alignment horizontal="left" vertical="center" wrapText="1"/>
    </xf>
    <xf numFmtId="1" fontId="6" fillId="0" borderId="873" xfId="0" applyNumberFormat="1" applyFont="1" applyBorder="1" applyAlignment="1">
      <alignment horizontal="center"/>
    </xf>
    <xf numFmtId="1" fontId="6" fillId="0" borderId="874" xfId="0" applyNumberFormat="1" applyFont="1" applyBorder="1" applyAlignment="1">
      <alignment horizontal="center"/>
    </xf>
    <xf numFmtId="1" fontId="6" fillId="0" borderId="898" xfId="0" applyNumberFormat="1" applyFont="1" applyBorder="1" applyAlignment="1">
      <alignment horizontal="left" vertical="center" wrapText="1"/>
    </xf>
    <xf numFmtId="1" fontId="6" fillId="0" borderId="909" xfId="0" applyNumberFormat="1" applyFont="1" applyBorder="1" applyAlignment="1">
      <alignment horizontal="left" vertical="center" wrapText="1"/>
    </xf>
    <xf numFmtId="1" fontId="6" fillId="0" borderId="22" xfId="0" applyNumberFormat="1" applyFont="1" applyBorder="1" applyAlignment="1">
      <alignment horizontal="left" vertical="center" wrapText="1"/>
    </xf>
    <xf numFmtId="1" fontId="51" fillId="0" borderId="873" xfId="0" applyNumberFormat="1" applyFont="1" applyBorder="1" applyAlignment="1">
      <alignment horizontal="left" vertical="center" wrapText="1"/>
    </xf>
    <xf numFmtId="1" fontId="51" fillId="0" borderId="874" xfId="0" applyNumberFormat="1" applyFont="1" applyBorder="1" applyAlignment="1">
      <alignment horizontal="left" vertical="center" wrapText="1"/>
    </xf>
    <xf numFmtId="1" fontId="6" fillId="0" borderId="901" xfId="0" applyNumberFormat="1" applyFont="1" applyBorder="1" applyAlignment="1">
      <alignment horizontal="left" vertical="center" wrapText="1"/>
    </xf>
    <xf numFmtId="1" fontId="51" fillId="3" borderId="24" xfId="0" applyNumberFormat="1" applyFont="1" applyFill="1" applyBorder="1" applyAlignment="1">
      <alignment horizontal="left" vertical="center" wrapText="1"/>
    </xf>
    <xf numFmtId="1" fontId="6" fillId="0" borderId="906" xfId="0" applyNumberFormat="1" applyFont="1" applyBorder="1" applyAlignment="1">
      <alignment horizontal="center" vertical="center"/>
    </xf>
    <xf numFmtId="1" fontId="20" fillId="0" borderId="871" xfId="0" applyNumberFormat="1" applyFont="1" applyBorder="1" applyAlignment="1">
      <alignment horizontal="center" vertical="center"/>
    </xf>
    <xf numFmtId="1" fontId="6" fillId="0" borderId="791" xfId="0" applyNumberFormat="1" applyFont="1" applyBorder="1" applyAlignment="1">
      <alignment horizontal="center" vertical="center" wrapText="1"/>
    </xf>
    <xf numFmtId="1" fontId="6" fillId="0" borderId="563" xfId="0" applyNumberFormat="1" applyFont="1" applyBorder="1" applyAlignment="1">
      <alignment horizontal="center" vertical="center" wrapText="1"/>
    </xf>
    <xf numFmtId="1" fontId="51" fillId="0" borderId="882" xfId="0" applyNumberFormat="1" applyFont="1" applyBorder="1" applyAlignment="1" applyProtection="1">
      <alignment horizontal="center" vertical="center" wrapText="1"/>
      <protection hidden="1"/>
    </xf>
    <xf numFmtId="1" fontId="51" fillId="0" borderId="834" xfId="0" applyNumberFormat="1" applyFont="1" applyBorder="1" applyAlignment="1" applyProtection="1">
      <alignment horizontal="center" vertical="center" wrapText="1"/>
      <protection hidden="1"/>
    </xf>
    <xf numFmtId="1" fontId="51" fillId="0" borderId="834" xfId="0" applyNumberFormat="1" applyFont="1" applyBorder="1" applyAlignment="1">
      <alignment horizontal="center" vertical="center"/>
    </xf>
    <xf numFmtId="1" fontId="88" fillId="0" borderId="0" xfId="0" applyNumberFormat="1" applyFont="1" applyFill="1" applyBorder="1" applyAlignment="1">
      <alignment horizontal="center" vertical="center" wrapText="1"/>
    </xf>
    <xf numFmtId="1" fontId="88" fillId="0" borderId="534" xfId="0" applyNumberFormat="1" applyFont="1" applyFill="1" applyBorder="1" applyAlignment="1">
      <alignment horizontal="center" vertical="center" wrapText="1"/>
    </xf>
    <xf numFmtId="1" fontId="6" fillId="0" borderId="882" xfId="0" applyNumberFormat="1" applyFont="1" applyBorder="1" applyAlignment="1" applyProtection="1">
      <alignment horizontal="center" vertical="center" wrapText="1"/>
      <protection hidden="1"/>
    </xf>
    <xf numFmtId="1" fontId="6" fillId="0" borderId="834" xfId="0" applyNumberFormat="1" applyFont="1" applyBorder="1" applyAlignment="1" applyProtection="1">
      <alignment horizontal="center" vertical="center" wrapText="1"/>
      <protection hidden="1"/>
    </xf>
    <xf numFmtId="1" fontId="20" fillId="0" borderId="873" xfId="0" applyNumberFormat="1" applyFont="1" applyBorder="1" applyAlignment="1">
      <alignment horizontal="center" vertical="center"/>
    </xf>
    <xf numFmtId="1" fontId="20" fillId="0" borderId="870" xfId="0" applyNumberFormat="1" applyFont="1" applyBorder="1" applyAlignment="1">
      <alignment horizontal="center" vertical="center"/>
    </xf>
    <xf numFmtId="1" fontId="20" fillId="0" borderId="874" xfId="0" applyNumberFormat="1" applyFont="1" applyBorder="1" applyAlignment="1">
      <alignment horizontal="center" vertical="center"/>
    </xf>
    <xf numFmtId="1" fontId="6" fillId="0" borderId="879" xfId="0" applyNumberFormat="1" applyFont="1" applyBorder="1" applyAlignment="1">
      <alignment horizontal="left"/>
    </xf>
    <xf numFmtId="1" fontId="6" fillId="0" borderId="880" xfId="0" applyNumberFormat="1" applyFont="1" applyBorder="1" applyAlignment="1">
      <alignment horizontal="left"/>
    </xf>
    <xf numFmtId="1" fontId="6" fillId="0" borderId="271" xfId="0" applyNumberFormat="1" applyFont="1" applyBorder="1" applyAlignment="1">
      <alignment horizontal="center" vertical="center"/>
    </xf>
    <xf numFmtId="1" fontId="51" fillId="0" borderId="40" xfId="0" applyNumberFormat="1" applyFont="1" applyBorder="1" applyAlignment="1">
      <alignment horizontal="left" vertical="center"/>
    </xf>
    <xf numFmtId="1" fontId="51" fillId="0" borderId="51" xfId="0" applyNumberFormat="1" applyFont="1" applyBorder="1" applyAlignment="1">
      <alignment horizontal="left" vertical="center"/>
    </xf>
    <xf numFmtId="1" fontId="51" fillId="0" borderId="62" xfId="0" applyNumberFormat="1" applyFont="1" applyBorder="1" applyAlignment="1">
      <alignment horizontal="left" vertical="center"/>
    </xf>
    <xf numFmtId="1" fontId="51" fillId="0" borderId="39" xfId="0" applyNumberFormat="1" applyFont="1" applyBorder="1" applyAlignment="1">
      <alignment horizontal="left" vertical="center"/>
    </xf>
    <xf numFmtId="1" fontId="68" fillId="0" borderId="40" xfId="0" applyNumberFormat="1" applyFont="1" applyBorder="1" applyAlignment="1">
      <alignment horizontal="left" vertical="center"/>
    </xf>
    <xf numFmtId="1" fontId="68" fillId="0" borderId="51" xfId="0" applyNumberFormat="1" applyFont="1" applyBorder="1" applyAlignment="1">
      <alignment horizontal="left" vertical="center"/>
    </xf>
    <xf numFmtId="1" fontId="6" fillId="0" borderId="19" xfId="0" applyNumberFormat="1" applyFont="1" applyBorder="1" applyAlignment="1">
      <alignment horizontal="left" vertical="center" wrapText="1"/>
    </xf>
    <xf numFmtId="1" fontId="6" fillId="0" borderId="333" xfId="0" applyNumberFormat="1" applyFont="1" applyBorder="1" applyAlignment="1">
      <alignment horizontal="center" vertical="center"/>
    </xf>
    <xf numFmtId="1" fontId="6" fillId="0" borderId="335" xfId="0" applyNumberFormat="1" applyFont="1" applyBorder="1" applyAlignment="1">
      <alignment horizontal="center" vertical="center"/>
    </xf>
    <xf numFmtId="1" fontId="6" fillId="0" borderId="341" xfId="0" applyNumberFormat="1" applyFont="1" applyBorder="1" applyAlignment="1">
      <alignment horizontal="center" vertical="center"/>
    </xf>
    <xf numFmtId="1" fontId="6" fillId="0" borderId="340" xfId="0" applyNumberFormat="1" applyFont="1" applyBorder="1" applyAlignment="1">
      <alignment horizontal="center" vertical="center"/>
    </xf>
    <xf numFmtId="1" fontId="13" fillId="0" borderId="306" xfId="0" applyNumberFormat="1" applyFont="1" applyBorder="1" applyAlignment="1">
      <alignment horizontal="center" vertical="center" wrapText="1"/>
    </xf>
    <xf numFmtId="1" fontId="13" fillId="0" borderId="324" xfId="0" applyNumberFormat="1" applyFont="1" applyBorder="1" applyAlignment="1">
      <alignment horizontal="center" vertical="center" wrapText="1"/>
    </xf>
    <xf numFmtId="1" fontId="13" fillId="0" borderId="337" xfId="0" applyNumberFormat="1" applyFont="1" applyBorder="1" applyAlignment="1">
      <alignment horizontal="center" vertical="center" wrapText="1"/>
    </xf>
    <xf numFmtId="1" fontId="51" fillId="0" borderId="52" xfId="0" applyNumberFormat="1" applyFont="1" applyBorder="1" applyAlignment="1">
      <alignment horizontal="left" vertical="center"/>
    </xf>
    <xf numFmtId="1" fontId="51" fillId="0" borderId="31" xfId="0" applyNumberFormat="1" applyFont="1" applyBorder="1" applyAlignment="1">
      <alignment horizontal="left" vertical="center"/>
    </xf>
    <xf numFmtId="1" fontId="6" fillId="0" borderId="41" xfId="0" applyNumberFormat="1" applyFont="1" applyBorder="1"/>
    <xf numFmtId="1" fontId="6" fillId="0" borderId="64" xfId="0" applyNumberFormat="1" applyFont="1" applyBorder="1"/>
    <xf numFmtId="1" fontId="6" fillId="0" borderId="93" xfId="0" applyNumberFormat="1" applyFont="1" applyBorder="1"/>
    <xf numFmtId="1" fontId="6" fillId="3" borderId="15" xfId="0" applyNumberFormat="1" applyFont="1" applyFill="1" applyBorder="1" applyAlignment="1">
      <alignment horizontal="left" wrapText="1"/>
    </xf>
    <xf numFmtId="1" fontId="6" fillId="3" borderId="282" xfId="0" applyNumberFormat="1" applyFont="1" applyFill="1" applyBorder="1" applyAlignment="1">
      <alignment horizontal="left" wrapText="1"/>
    </xf>
    <xf numFmtId="1" fontId="51" fillId="3" borderId="341" xfId="0" applyNumberFormat="1" applyFont="1" applyFill="1" applyBorder="1" applyAlignment="1">
      <alignment horizontal="left" wrapText="1"/>
    </xf>
    <xf numFmtId="1" fontId="51" fillId="3" borderId="342" xfId="0" applyNumberFormat="1" applyFont="1" applyFill="1" applyBorder="1" applyAlignment="1">
      <alignment horizontal="left" wrapText="1"/>
    </xf>
    <xf numFmtId="1" fontId="6" fillId="0" borderId="306" xfId="0" applyNumberFormat="1" applyFont="1" applyBorder="1" applyAlignment="1">
      <alignment horizontal="center"/>
    </xf>
    <xf numFmtId="1" fontId="6" fillId="0" borderId="337" xfId="0" applyNumberFormat="1" applyFont="1" applyBorder="1" applyAlignment="1">
      <alignment horizontal="center"/>
    </xf>
    <xf numFmtId="1" fontId="6" fillId="0" borderId="296" xfId="0" applyNumberFormat="1" applyFont="1" applyBorder="1" applyAlignment="1">
      <alignment horizontal="center" vertical="center" textRotation="90"/>
    </xf>
    <xf numFmtId="1" fontId="6" fillId="0" borderId="9" xfId="0" applyNumberFormat="1" applyFont="1" applyBorder="1" applyAlignment="1">
      <alignment horizontal="center" vertical="center" textRotation="90"/>
    </xf>
    <xf numFmtId="1" fontId="6" fillId="0" borderId="495" xfId="0" applyNumberFormat="1" applyFont="1" applyBorder="1" applyAlignment="1">
      <alignment horizontal="center" vertical="center" textRotation="90"/>
    </xf>
    <xf numFmtId="1" fontId="6" fillId="0" borderId="339" xfId="0" applyNumberFormat="1" applyFont="1" applyBorder="1" applyAlignment="1">
      <alignment horizontal="center" vertical="center" textRotation="90"/>
    </xf>
    <xf numFmtId="1" fontId="6" fillId="0" borderId="333" xfId="0" applyNumberFormat="1" applyFont="1" applyBorder="1" applyAlignment="1">
      <alignment horizontal="left" wrapText="1"/>
    </xf>
    <xf numFmtId="1" fontId="6" fillId="0" borderId="335" xfId="0" applyNumberFormat="1" applyFont="1" applyBorder="1" applyAlignment="1">
      <alignment horizontal="left" wrapText="1"/>
    </xf>
    <xf numFmtId="1" fontId="51" fillId="0" borderId="296" xfId="0" applyNumberFormat="1" applyFont="1" applyBorder="1" applyAlignment="1">
      <alignment horizontal="center" vertical="center"/>
    </xf>
    <xf numFmtId="1" fontId="51" fillId="0" borderId="339" xfId="0" applyNumberFormat="1" applyFont="1" applyBorder="1" applyAlignment="1">
      <alignment horizontal="center" vertical="center"/>
    </xf>
    <xf numFmtId="1" fontId="6" fillId="3" borderId="15" xfId="0" applyNumberFormat="1" applyFont="1" applyFill="1" applyBorder="1" applyAlignment="1">
      <alignment horizontal="left" vertical="center" wrapText="1"/>
    </xf>
    <xf numFmtId="1" fontId="6" fillId="3" borderId="282" xfId="0" applyNumberFormat="1" applyFont="1" applyFill="1" applyBorder="1" applyAlignment="1">
      <alignment horizontal="left" vertical="center" wrapText="1"/>
    </xf>
    <xf numFmtId="1" fontId="6" fillId="0" borderId="266" xfId="0" applyNumberFormat="1" applyFont="1" applyBorder="1" applyAlignment="1">
      <alignment horizontal="center" wrapText="1"/>
    </xf>
    <xf numFmtId="1" fontId="6" fillId="0" borderId="291" xfId="0" applyNumberFormat="1" applyFont="1" applyBorder="1" applyAlignment="1">
      <alignment horizontal="center" wrapText="1"/>
    </xf>
    <xf numFmtId="1" fontId="6" fillId="0" borderId="41" xfId="0" applyNumberFormat="1" applyFont="1" applyBorder="1" applyAlignment="1">
      <alignment horizontal="left"/>
    </xf>
    <xf numFmtId="1" fontId="6" fillId="0" borderId="64" xfId="0" applyNumberFormat="1" applyFont="1" applyBorder="1" applyAlignment="1">
      <alignment horizontal="left"/>
    </xf>
    <xf numFmtId="1" fontId="6" fillId="0" borderId="93" xfId="0" applyNumberFormat="1" applyFont="1" applyBorder="1" applyAlignment="1">
      <alignment horizontal="left"/>
    </xf>
    <xf numFmtId="1" fontId="6" fillId="0" borderId="38" xfId="0" applyNumberFormat="1" applyFont="1" applyBorder="1" applyAlignment="1">
      <alignment horizontal="left"/>
    </xf>
    <xf numFmtId="1" fontId="6" fillId="0" borderId="63" xfId="0" applyNumberFormat="1" applyFont="1" applyBorder="1" applyAlignment="1">
      <alignment horizontal="left"/>
    </xf>
    <xf numFmtId="1" fontId="6" fillId="0" borderId="60" xfId="0" applyNumberFormat="1" applyFont="1" applyBorder="1" applyAlignment="1">
      <alignment horizontal="left"/>
    </xf>
    <xf numFmtId="1" fontId="6" fillId="0" borderId="30" xfId="0" applyNumberFormat="1" applyFont="1" applyBorder="1" applyAlignment="1">
      <alignment horizontal="left"/>
    </xf>
    <xf numFmtId="1" fontId="6" fillId="0" borderId="89" xfId="0" applyNumberFormat="1" applyFont="1" applyBorder="1" applyAlignment="1">
      <alignment horizontal="left"/>
    </xf>
    <xf numFmtId="1" fontId="6" fillId="0" borderId="61" xfId="0" applyNumberFormat="1" applyFont="1" applyBorder="1" applyAlignment="1">
      <alignment horizontal="left"/>
    </xf>
    <xf numFmtId="1" fontId="6" fillId="0" borderId="285" xfId="0" applyNumberFormat="1" applyFont="1" applyBorder="1" applyAlignment="1">
      <alignment horizontal="center" wrapText="1"/>
    </xf>
    <xf numFmtId="1" fontId="6" fillId="0" borderId="266" xfId="0" applyNumberFormat="1" applyFont="1" applyBorder="1" applyAlignment="1">
      <alignment horizontal="center" vertical="center" wrapText="1"/>
    </xf>
    <xf numFmtId="1" fontId="6" fillId="0" borderId="285" xfId="0" applyNumberFormat="1" applyFont="1" applyBorder="1" applyAlignment="1">
      <alignment horizontal="center" vertical="center" wrapText="1"/>
    </xf>
    <xf numFmtId="1" fontId="6" fillId="0" borderId="291" xfId="0" applyNumberFormat="1" applyFont="1" applyBorder="1" applyAlignment="1">
      <alignment horizontal="center" vertical="center" wrapText="1"/>
    </xf>
    <xf numFmtId="1" fontId="13" fillId="3" borderId="0" xfId="0" applyNumberFormat="1" applyFont="1" applyFill="1" applyAlignment="1">
      <alignment horizontal="center"/>
    </xf>
    <xf numFmtId="1" fontId="6" fillId="0" borderId="16" xfId="0" applyNumberFormat="1" applyFont="1" applyBorder="1" applyAlignment="1">
      <alignment horizontal="left"/>
    </xf>
    <xf numFmtId="1" fontId="6" fillId="0" borderId="45" xfId="0" applyNumberFormat="1" applyFont="1" applyBorder="1" applyAlignment="1">
      <alignment horizontal="left"/>
    </xf>
    <xf numFmtId="1" fontId="6" fillId="0" borderId="18" xfId="0" applyNumberFormat="1" applyFont="1" applyBorder="1" applyAlignment="1">
      <alignment horizontal="left"/>
    </xf>
    <xf numFmtId="1" fontId="6" fillId="0" borderId="260" xfId="0" applyNumberFormat="1" applyFont="1" applyBorder="1" applyAlignment="1">
      <alignment horizontal="left" vertical="center" wrapText="1"/>
    </xf>
    <xf numFmtId="1" fontId="6" fillId="3" borderId="40" xfId="0" applyNumberFormat="1" applyFont="1" applyFill="1" applyBorder="1" applyAlignment="1">
      <alignment horizontal="left" vertical="center"/>
    </xf>
    <xf numFmtId="1" fontId="6" fillId="3" borderId="51" xfId="0" applyNumberFormat="1" applyFont="1" applyFill="1" applyBorder="1" applyAlignment="1">
      <alignment horizontal="left" vertical="center"/>
    </xf>
    <xf numFmtId="1" fontId="51" fillId="0" borderId="316" xfId="0" applyNumberFormat="1" applyFont="1" applyBorder="1" applyAlignment="1">
      <alignment horizontal="center" vertical="center"/>
    </xf>
    <xf numFmtId="1" fontId="51" fillId="0" borderId="340" xfId="0" applyNumberFormat="1" applyFont="1" applyBorder="1" applyAlignment="1">
      <alignment horizontal="center" vertical="center"/>
    </xf>
    <xf numFmtId="1" fontId="6" fillId="0" borderId="763" xfId="0" applyNumberFormat="1" applyFont="1" applyBorder="1" applyAlignment="1">
      <alignment horizontal="center" vertical="center"/>
    </xf>
    <xf numFmtId="0" fontId="6" fillId="0" borderId="324" xfId="0" applyFont="1" applyBorder="1" applyAlignment="1">
      <alignment horizontal="center" vertical="center"/>
    </xf>
    <xf numFmtId="0" fontId="6" fillId="0" borderId="337" xfId="0" applyFont="1" applyBorder="1" applyAlignment="1">
      <alignment horizontal="center" vertical="center"/>
    </xf>
    <xf numFmtId="1" fontId="51" fillId="0" borderId="15" xfId="0" applyNumberFormat="1" applyFont="1" applyBorder="1" applyAlignment="1">
      <alignment horizontal="left" vertical="center"/>
    </xf>
    <xf numFmtId="1" fontId="51" fillId="0" borderId="283" xfId="0" applyNumberFormat="1" applyFont="1" applyBorder="1" applyAlignment="1">
      <alignment horizontal="left" vertical="center"/>
    </xf>
    <xf numFmtId="1" fontId="51" fillId="0" borderId="282" xfId="0" applyNumberFormat="1" applyFont="1" applyBorder="1" applyAlignment="1">
      <alignment horizontal="left" vertical="center"/>
    </xf>
    <xf numFmtId="1" fontId="51" fillId="0" borderId="38" xfId="0" applyNumberFormat="1" applyFont="1" applyBorder="1" applyAlignment="1">
      <alignment horizontal="left" vertical="center" wrapText="1"/>
    </xf>
    <xf numFmtId="1" fontId="51" fillId="0" borderId="63" xfId="0" applyNumberFormat="1" applyFont="1" applyBorder="1" applyAlignment="1">
      <alignment horizontal="left" vertical="center" wrapText="1"/>
    </xf>
    <xf numFmtId="1" fontId="51" fillId="0" borderId="36" xfId="0" applyNumberFormat="1" applyFont="1" applyBorder="1" applyAlignment="1">
      <alignment horizontal="left" vertical="center" wrapText="1"/>
    </xf>
    <xf numFmtId="1" fontId="6" fillId="0" borderId="15" xfId="0" applyNumberFormat="1" applyFont="1" applyBorder="1" applyAlignment="1">
      <alignment horizontal="left" vertical="center" wrapText="1"/>
    </xf>
    <xf numFmtId="1" fontId="6" fillId="0" borderId="283" xfId="0" applyNumberFormat="1" applyFont="1" applyBorder="1" applyAlignment="1">
      <alignment horizontal="left" vertical="center" wrapText="1"/>
    </xf>
    <xf numFmtId="1" fontId="6" fillId="0" borderId="282" xfId="0" applyNumberFormat="1" applyFont="1" applyBorder="1" applyAlignment="1">
      <alignment horizontal="left" vertical="center" wrapText="1"/>
    </xf>
    <xf numFmtId="1" fontId="6" fillId="0" borderId="86" xfId="0" applyNumberFormat="1" applyFont="1" applyBorder="1" applyAlignment="1">
      <alignment horizontal="left" vertical="center"/>
    </xf>
    <xf numFmtId="1" fontId="58" fillId="0" borderId="404" xfId="0" applyNumberFormat="1" applyFont="1" applyBorder="1" applyAlignment="1">
      <alignment horizontal="center" vertical="center" wrapText="1"/>
    </xf>
    <xf numFmtId="1" fontId="58" fillId="0" borderId="406" xfId="0" applyNumberFormat="1" applyFont="1" applyBorder="1" applyAlignment="1">
      <alignment horizontal="center" vertical="center" wrapText="1"/>
    </xf>
    <xf numFmtId="1" fontId="0" fillId="3" borderId="296" xfId="0" applyNumberFormat="1" applyFill="1" applyBorder="1" applyAlignment="1">
      <alignment horizontal="center" vertical="center" wrapText="1"/>
    </xf>
    <xf numFmtId="1" fontId="0" fillId="3" borderId="339" xfId="0" applyNumberFormat="1" applyFill="1" applyBorder="1" applyAlignment="1">
      <alignment horizontal="center" vertical="center" wrapText="1"/>
    </xf>
    <xf numFmtId="1" fontId="51" fillId="0" borderId="324" xfId="0" applyNumberFormat="1" applyFont="1" applyBorder="1" applyAlignment="1">
      <alignment horizontal="center" vertical="center" wrapText="1"/>
    </xf>
    <xf numFmtId="1" fontId="51" fillId="0" borderId="337" xfId="0" applyNumberFormat="1" applyFont="1" applyBorder="1" applyAlignment="1">
      <alignment horizontal="center" vertical="center" wrapText="1"/>
    </xf>
    <xf numFmtId="1" fontId="0" fillId="3" borderId="306" xfId="0" applyNumberFormat="1" applyFill="1" applyBorder="1" applyAlignment="1">
      <alignment horizontal="center" vertical="center" wrapText="1"/>
    </xf>
    <xf numFmtId="1" fontId="0" fillId="3" borderId="324" xfId="0" applyNumberFormat="1" applyFill="1" applyBorder="1" applyAlignment="1">
      <alignment horizontal="center" vertical="center" wrapText="1"/>
    </xf>
    <xf numFmtId="1" fontId="0" fillId="3" borderId="337" xfId="0" applyNumberFormat="1" applyFill="1" applyBorder="1" applyAlignment="1">
      <alignment horizontal="center" vertical="center" wrapText="1"/>
    </xf>
    <xf numFmtId="1" fontId="0" fillId="0" borderId="767" xfId="0" applyNumberFormat="1" applyBorder="1" applyAlignment="1">
      <alignment horizontal="center" vertical="center"/>
    </xf>
    <xf numFmtId="1" fontId="0" fillId="0" borderId="716" xfId="0" applyNumberFormat="1" applyBorder="1" applyAlignment="1">
      <alignment horizontal="center" vertical="center"/>
    </xf>
    <xf numFmtId="1" fontId="0" fillId="0" borderId="717" xfId="0" applyNumberFormat="1" applyBorder="1" applyAlignment="1">
      <alignment horizontal="center" vertical="center"/>
    </xf>
    <xf numFmtId="1" fontId="0" fillId="0" borderId="751" xfId="0" applyNumberFormat="1" applyBorder="1" applyAlignment="1">
      <alignment horizontal="center" vertical="center"/>
    </xf>
    <xf numFmtId="1" fontId="0" fillId="0" borderId="497" xfId="0" applyNumberFormat="1" applyBorder="1" applyAlignment="1">
      <alignment horizontal="center" vertical="center"/>
    </xf>
    <xf numFmtId="1" fontId="0" fillId="0" borderId="559" xfId="0" applyNumberFormat="1" applyBorder="1" applyAlignment="1">
      <alignment horizontal="center" vertical="center"/>
    </xf>
    <xf numFmtId="1" fontId="6" fillId="0" borderId="316" xfId="0" applyNumberFormat="1" applyFont="1" applyBorder="1" applyAlignment="1">
      <alignment horizontal="center" vertical="center"/>
    </xf>
    <xf numFmtId="1" fontId="0" fillId="3" borderId="200" xfId="0" applyNumberFormat="1" applyFill="1" applyBorder="1" applyAlignment="1">
      <alignment horizontal="center" vertical="center"/>
    </xf>
    <xf numFmtId="1" fontId="0" fillId="3" borderId="405" xfId="0" applyNumberFormat="1" applyFill="1" applyBorder="1" applyAlignment="1">
      <alignment horizontal="center" vertical="center"/>
    </xf>
    <xf numFmtId="1" fontId="0" fillId="3" borderId="406" xfId="0" applyNumberFormat="1" applyFill="1" applyBorder="1" applyAlignment="1">
      <alignment horizontal="center" vertical="center"/>
    </xf>
    <xf numFmtId="1" fontId="6" fillId="0" borderId="20" xfId="0" applyNumberFormat="1" applyFont="1" applyBorder="1" applyAlignment="1">
      <alignment horizontal="left"/>
    </xf>
    <xf numFmtId="1" fontId="6" fillId="0" borderId="46" xfId="0" applyNumberFormat="1" applyFont="1" applyBorder="1" applyAlignment="1">
      <alignment horizontal="left"/>
    </xf>
    <xf numFmtId="1" fontId="6" fillId="0" borderId="22" xfId="0" applyNumberFormat="1" applyFont="1" applyBorder="1" applyAlignment="1">
      <alignment horizontal="left"/>
    </xf>
    <xf numFmtId="1" fontId="6" fillId="0" borderId="237" xfId="0" applyNumberFormat="1" applyFont="1" applyBorder="1" applyAlignment="1">
      <alignment horizontal="center" vertical="center" wrapText="1"/>
    </xf>
    <xf numFmtId="1" fontId="7" fillId="0" borderId="33" xfId="0" applyNumberFormat="1" applyFont="1" applyBorder="1" applyAlignment="1">
      <alignment horizontal="center" vertical="center" wrapText="1"/>
    </xf>
    <xf numFmtId="1" fontId="7" fillId="0" borderId="277" xfId="0" applyNumberFormat="1" applyFont="1" applyBorder="1" applyAlignment="1">
      <alignment horizontal="center" vertical="center" wrapText="1"/>
    </xf>
    <xf numFmtId="1" fontId="6" fillId="3" borderId="375" xfId="0" applyNumberFormat="1" applyFont="1" applyFill="1" applyBorder="1" applyAlignment="1">
      <alignment horizontal="center" vertical="center" wrapText="1"/>
    </xf>
    <xf numFmtId="1" fontId="7" fillId="0" borderId="402" xfId="0" applyNumberFormat="1" applyFont="1" applyBorder="1" applyAlignment="1">
      <alignment horizontal="center" vertical="center" wrapText="1"/>
    </xf>
    <xf numFmtId="1" fontId="7" fillId="0" borderId="278" xfId="0" applyNumberFormat="1" applyFont="1" applyBorder="1" applyAlignment="1">
      <alignment horizontal="center" vertical="center" wrapText="1"/>
    </xf>
    <xf numFmtId="1" fontId="6" fillId="0" borderId="200" xfId="0" applyNumberFormat="1" applyFont="1" applyBorder="1" applyAlignment="1">
      <alignment horizontal="center" vertical="center"/>
    </xf>
    <xf numFmtId="1" fontId="6" fillId="3" borderId="943" xfId="0" applyNumberFormat="1" applyFont="1" applyFill="1" applyBorder="1" applyAlignment="1">
      <alignment horizontal="center" vertical="center"/>
    </xf>
    <xf numFmtId="1" fontId="6" fillId="3" borderId="944" xfId="0" applyNumberFormat="1" applyFont="1" applyFill="1" applyBorder="1" applyAlignment="1">
      <alignment horizontal="center" vertical="center"/>
    </xf>
    <xf numFmtId="1" fontId="6" fillId="3" borderId="405" xfId="0" applyNumberFormat="1" applyFont="1" applyFill="1" applyBorder="1" applyAlignment="1">
      <alignment horizontal="center" vertical="center" wrapText="1"/>
    </xf>
    <xf numFmtId="1" fontId="6" fillId="0" borderId="409" xfId="0" applyNumberFormat="1" applyFont="1" applyBorder="1" applyAlignment="1">
      <alignment horizontal="center" vertical="center"/>
    </xf>
    <xf numFmtId="1" fontId="7" fillId="0" borderId="0" xfId="0" applyNumberFormat="1" applyFont="1" applyAlignment="1">
      <alignment horizontal="center" vertical="center" wrapText="1"/>
    </xf>
    <xf numFmtId="1" fontId="7" fillId="0" borderId="237" xfId="0" applyNumberFormat="1" applyFont="1" applyBorder="1" applyAlignment="1">
      <alignment horizontal="center" vertical="center" wrapText="1"/>
    </xf>
    <xf numFmtId="1" fontId="7" fillId="0" borderId="66" xfId="0" applyNumberFormat="1" applyFont="1" applyBorder="1" applyAlignment="1">
      <alignment horizontal="center" vertical="center" wrapText="1"/>
    </xf>
    <xf numFmtId="1" fontId="7" fillId="0" borderId="262" xfId="0" applyNumberFormat="1" applyFont="1" applyBorder="1" applyAlignment="1">
      <alignment horizontal="center" vertical="center" wrapText="1"/>
    </xf>
    <xf numFmtId="1" fontId="6" fillId="0" borderId="404" xfId="0" applyNumberFormat="1" applyFont="1" applyBorder="1" applyAlignment="1">
      <alignment horizontal="left" vertical="center"/>
    </xf>
    <xf numFmtId="1" fontId="6" fillId="0" borderId="405" xfId="0" applyNumberFormat="1" applyFont="1" applyBorder="1" applyAlignment="1">
      <alignment horizontal="left" vertical="center"/>
    </xf>
    <xf numFmtId="1" fontId="6" fillId="0" borderId="407" xfId="0" applyNumberFormat="1" applyFont="1" applyBorder="1" applyAlignment="1">
      <alignment horizontal="left" vertical="center"/>
    </xf>
    <xf numFmtId="1" fontId="7" fillId="0" borderId="34" xfId="0" applyNumberFormat="1" applyFont="1" applyBorder="1" applyAlignment="1">
      <alignment horizontal="center" vertical="center" wrapText="1"/>
    </xf>
    <xf numFmtId="1" fontId="7" fillId="0" borderId="150" xfId="0" applyNumberFormat="1" applyFont="1" applyBorder="1" applyAlignment="1">
      <alignment horizontal="center" vertical="center" wrapText="1"/>
    </xf>
    <xf numFmtId="1" fontId="7" fillId="0" borderId="280" xfId="0" applyNumberFormat="1" applyFont="1" applyBorder="1" applyAlignment="1">
      <alignment horizontal="center" vertical="center" wrapText="1"/>
    </xf>
    <xf numFmtId="1" fontId="7" fillId="0" borderId="65" xfId="0" applyNumberFormat="1" applyFont="1" applyBorder="1" applyAlignment="1">
      <alignment horizontal="center" vertical="center" wrapText="1"/>
    </xf>
    <xf numFmtId="1" fontId="7" fillId="0" borderId="279" xfId="0" applyNumberFormat="1" applyFont="1" applyBorder="1" applyAlignment="1">
      <alignment horizontal="center" vertical="center" wrapText="1"/>
    </xf>
    <xf numFmtId="1" fontId="51" fillId="0" borderId="418" xfId="0" applyNumberFormat="1" applyFont="1" applyBorder="1" applyAlignment="1">
      <alignment horizontal="center" vertical="center" wrapText="1"/>
    </xf>
    <xf numFmtId="1" fontId="51" fillId="0" borderId="405" xfId="0" applyNumberFormat="1" applyFont="1" applyBorder="1" applyAlignment="1">
      <alignment horizontal="center" vertical="center"/>
    </xf>
    <xf numFmtId="1" fontId="6" fillId="3" borderId="403" xfId="0" applyNumberFormat="1" applyFont="1" applyFill="1" applyBorder="1" applyAlignment="1">
      <alignment horizontal="center" vertical="center" wrapText="1"/>
    </xf>
    <xf numFmtId="1" fontId="6" fillId="3" borderId="391" xfId="0" applyNumberFormat="1" applyFont="1" applyFill="1" applyBorder="1" applyAlignment="1">
      <alignment horizontal="center" vertical="center"/>
    </xf>
    <xf numFmtId="0" fontId="6" fillId="0" borderId="403" xfId="0" applyFont="1" applyBorder="1" applyAlignment="1">
      <alignment horizontal="center" vertical="center" wrapText="1"/>
    </xf>
    <xf numFmtId="0" fontId="6" fillId="0" borderId="422" xfId="0" applyFont="1" applyBorder="1" applyAlignment="1">
      <alignment horizontal="center" vertical="center" wrapText="1"/>
    </xf>
    <xf numFmtId="0" fontId="51" fillId="0" borderId="882" xfId="0" applyFont="1" applyBorder="1" applyAlignment="1">
      <alignment horizontal="center" vertical="center" wrapText="1"/>
    </xf>
    <xf numFmtId="0" fontId="51" fillId="0" borderId="921" xfId="0" applyFont="1" applyBorder="1" applyAlignment="1">
      <alignment horizontal="center" vertical="center" wrapText="1"/>
    </xf>
    <xf numFmtId="1" fontId="15" fillId="0" borderId="763" xfId="0" applyNumberFormat="1" applyFont="1" applyBorder="1" applyAlignment="1">
      <alignment horizontal="center" vertical="center" wrapText="1"/>
    </xf>
    <xf numFmtId="1" fontId="15" fillId="0" borderId="562" xfId="0" applyNumberFormat="1" applyFont="1" applyBorder="1" applyAlignment="1">
      <alignment horizontal="center" vertical="center" wrapText="1"/>
    </xf>
    <xf numFmtId="1" fontId="6" fillId="0" borderId="426" xfId="0" applyNumberFormat="1" applyFont="1" applyBorder="1" applyAlignment="1">
      <alignment horizontal="left" wrapText="1"/>
    </xf>
    <xf numFmtId="1" fontId="6" fillId="0" borderId="342" xfId="0" applyNumberFormat="1" applyFont="1" applyBorder="1" applyAlignment="1">
      <alignment horizontal="left" wrapText="1"/>
    </xf>
    <xf numFmtId="1" fontId="6" fillId="0" borderId="759" xfId="0" applyNumberFormat="1" applyFont="1" applyBorder="1" applyAlignment="1">
      <alignment horizontal="left" vertical="center"/>
    </xf>
    <xf numFmtId="1" fontId="6" fillId="0" borderId="765" xfId="0" applyNumberFormat="1" applyFont="1" applyBorder="1" applyAlignment="1">
      <alignment horizontal="left" vertical="center"/>
    </xf>
    <xf numFmtId="1" fontId="6" fillId="0" borderId="758" xfId="0" applyNumberFormat="1" applyFont="1" applyBorder="1" applyAlignment="1">
      <alignment horizontal="left" vertical="center"/>
    </xf>
    <xf numFmtId="1" fontId="92" fillId="32" borderId="534" xfId="0" applyNumberFormat="1" applyFont="1" applyFill="1" applyBorder="1" applyAlignment="1">
      <alignment horizontal="center" vertical="center" wrapText="1"/>
    </xf>
    <xf numFmtId="1" fontId="6" fillId="0" borderId="265" xfId="0" applyNumberFormat="1" applyFont="1" applyBorder="1" applyAlignment="1">
      <alignment horizontal="center" vertical="center"/>
    </xf>
    <xf numFmtId="1" fontId="20" fillId="0" borderId="403" xfId="0" applyNumberFormat="1" applyFont="1" applyBorder="1" applyAlignment="1">
      <alignment horizontal="center" vertical="center" wrapText="1"/>
    </xf>
    <xf numFmtId="1" fontId="20" fillId="0" borderId="422" xfId="0" applyNumberFormat="1" applyFont="1" applyBorder="1" applyAlignment="1">
      <alignment horizontal="center" vertical="center" wrapText="1"/>
    </xf>
    <xf numFmtId="1" fontId="6" fillId="0" borderId="426" xfId="0" applyNumberFormat="1" applyFont="1" applyBorder="1" applyAlignment="1">
      <alignment horizontal="left" vertical="center"/>
    </xf>
    <xf numFmtId="1" fontId="6" fillId="0" borderId="265" xfId="0" applyNumberFormat="1" applyFont="1" applyBorder="1" applyAlignment="1">
      <alignment horizontal="left" vertical="center"/>
    </xf>
    <xf numFmtId="1" fontId="51" fillId="0" borderId="403" xfId="0" applyNumberFormat="1" applyFont="1" applyBorder="1" applyAlignment="1">
      <alignment horizontal="center" vertical="center"/>
    </xf>
    <xf numFmtId="1" fontId="51" fillId="0" borderId="422" xfId="0" applyNumberFormat="1" applyFont="1" applyBorder="1" applyAlignment="1">
      <alignment horizontal="center" vertical="center"/>
    </xf>
    <xf numFmtId="1" fontId="6" fillId="0" borderId="40" xfId="0" applyNumberFormat="1" applyFont="1" applyBorder="1" applyAlignment="1">
      <alignment horizontal="left" vertical="top" wrapText="1"/>
    </xf>
    <xf numFmtId="1" fontId="6" fillId="0" borderId="51" xfId="0" applyNumberFormat="1" applyFont="1" applyBorder="1" applyAlignment="1">
      <alignment horizontal="left" vertical="top" wrapText="1"/>
    </xf>
    <xf numFmtId="1" fontId="15" fillId="0" borderId="774" xfId="0" applyNumberFormat="1" applyFont="1" applyBorder="1" applyAlignment="1">
      <alignment horizontal="center" vertical="center"/>
    </xf>
    <xf numFmtId="1" fontId="6" fillId="0" borderId="775" xfId="0" applyNumberFormat="1" applyFont="1" applyBorder="1"/>
    <xf numFmtId="1" fontId="6" fillId="0" borderId="776" xfId="0" applyNumberFormat="1" applyFont="1" applyBorder="1" applyAlignment="1">
      <alignment horizontal="left" vertical="center"/>
    </xf>
    <xf numFmtId="1" fontId="6" fillId="0" borderId="777" xfId="0" applyNumberFormat="1" applyFont="1" applyBorder="1" applyAlignment="1">
      <alignment horizontal="left" vertical="center"/>
    </xf>
    <xf numFmtId="1" fontId="57" fillId="0" borderId="404" xfId="0" applyNumberFormat="1" applyFont="1" applyBorder="1" applyAlignment="1">
      <alignment horizontal="center" vertical="center" wrapText="1"/>
    </xf>
    <xf numFmtId="1" fontId="57" fillId="0" borderId="397" xfId="0" applyNumberFormat="1" applyFont="1" applyBorder="1" applyAlignment="1">
      <alignment horizontal="center" vertical="center" wrapText="1"/>
    </xf>
    <xf numFmtId="1" fontId="57" fillId="0" borderId="398" xfId="0" applyNumberFormat="1" applyFont="1" applyBorder="1" applyAlignment="1">
      <alignment horizontal="center" vertical="center" wrapText="1"/>
    </xf>
    <xf numFmtId="1" fontId="20" fillId="0" borderId="375" xfId="0" applyNumberFormat="1" applyFont="1" applyBorder="1" applyAlignment="1">
      <alignment horizontal="center" vertical="center"/>
    </xf>
    <xf numFmtId="1" fontId="20" fillId="0" borderId="9" xfId="0" applyNumberFormat="1" applyFont="1" applyBorder="1" applyAlignment="1">
      <alignment horizontal="center" vertical="center"/>
    </xf>
    <xf numFmtId="1" fontId="20" fillId="0" borderId="422" xfId="0" applyNumberFormat="1" applyFont="1" applyBorder="1" applyAlignment="1">
      <alignment horizontal="center" vertical="center"/>
    </xf>
    <xf numFmtId="1" fontId="20" fillId="0" borderId="9" xfId="0" applyNumberFormat="1" applyFont="1" applyBorder="1" applyAlignment="1">
      <alignment horizontal="center" vertical="center" wrapText="1"/>
    </xf>
    <xf numFmtId="1" fontId="20" fillId="0" borderId="391" xfId="0" applyNumberFormat="1" applyFont="1" applyBorder="1" applyAlignment="1">
      <alignment horizontal="center" vertical="center"/>
    </xf>
    <xf numFmtId="1" fontId="20" fillId="0" borderId="392" xfId="0" applyNumberFormat="1" applyFont="1" applyBorder="1" applyAlignment="1">
      <alignment horizontal="center" vertical="center"/>
    </xf>
    <xf numFmtId="1" fontId="20" fillId="0" borderId="404" xfId="0" applyNumberFormat="1" applyFont="1" applyBorder="1" applyAlignment="1">
      <alignment horizontal="center" vertical="center"/>
    </xf>
    <xf numFmtId="1" fontId="20" fillId="0" borderId="397" xfId="0" applyNumberFormat="1" applyFont="1" applyBorder="1" applyAlignment="1">
      <alignment horizontal="center" vertical="center"/>
    </xf>
    <xf numFmtId="1" fontId="20" fillId="0" borderId="398" xfId="0" applyNumberFormat="1" applyFont="1" applyBorder="1" applyAlignment="1">
      <alignment horizontal="center" vertical="center"/>
    </xf>
    <xf numFmtId="1" fontId="6" fillId="0" borderId="391" xfId="0" applyNumberFormat="1" applyFont="1" applyBorder="1" applyAlignment="1">
      <alignment horizontal="center" vertical="center"/>
    </xf>
    <xf numFmtId="1" fontId="6" fillId="0" borderId="397" xfId="0" applyNumberFormat="1" applyFont="1" applyBorder="1" applyAlignment="1">
      <alignment horizontal="center" vertical="center"/>
    </xf>
    <xf numFmtId="1" fontId="6" fillId="0" borderId="398" xfId="0" applyNumberFormat="1" applyFont="1" applyBorder="1" applyAlignment="1">
      <alignment horizontal="center" vertical="center"/>
    </xf>
    <xf numFmtId="1" fontId="6" fillId="0" borderId="777" xfId="0" applyNumberFormat="1" applyFont="1" applyBorder="1"/>
    <xf numFmtId="1" fontId="15" fillId="3" borderId="774" xfId="0" applyNumberFormat="1" applyFont="1" applyFill="1" applyBorder="1" applyAlignment="1">
      <alignment horizontal="center"/>
    </xf>
    <xf numFmtId="1" fontId="15" fillId="3" borderId="775" xfId="0" applyNumberFormat="1" applyFont="1" applyFill="1" applyBorder="1" applyAlignment="1">
      <alignment horizontal="center"/>
    </xf>
    <xf numFmtId="1" fontId="15" fillId="3" borderId="773" xfId="0" applyNumberFormat="1" applyFont="1" applyFill="1" applyBorder="1" applyAlignment="1">
      <alignment horizontal="center"/>
    </xf>
    <xf numFmtId="1" fontId="15" fillId="3" borderId="717" xfId="0" applyNumberFormat="1" applyFont="1" applyFill="1" applyBorder="1" applyAlignment="1">
      <alignment horizontal="center"/>
    </xf>
    <xf numFmtId="1" fontId="15" fillId="3" borderId="776" xfId="0" applyNumberFormat="1" applyFont="1" applyFill="1" applyBorder="1" applyAlignment="1">
      <alignment horizontal="left"/>
    </xf>
    <xf numFmtId="1" fontId="15" fillId="3" borderId="777" xfId="0" applyNumberFormat="1" applyFont="1" applyFill="1" applyBorder="1" applyAlignment="1">
      <alignment horizontal="left"/>
    </xf>
    <xf numFmtId="0" fontId="15" fillId="0" borderId="23" xfId="0" applyFont="1" applyBorder="1" applyAlignment="1">
      <alignment horizontal="left"/>
    </xf>
    <xf numFmtId="0" fontId="15" fillId="0" borderId="21" xfId="0" applyFont="1" applyBorder="1" applyAlignment="1">
      <alignment horizontal="left"/>
    </xf>
    <xf numFmtId="1" fontId="51" fillId="0" borderId="200" xfId="0" applyNumberFormat="1" applyFont="1" applyBorder="1" applyAlignment="1">
      <alignment horizontal="center" vertical="center"/>
    </xf>
    <xf numFmtId="1" fontId="13" fillId="0" borderId="403" xfId="0" applyNumberFormat="1" applyFont="1" applyBorder="1" applyAlignment="1">
      <alignment horizontal="center" vertical="center"/>
    </xf>
    <xf numFmtId="1" fontId="13" fillId="0" borderId="9" xfId="0" applyNumberFormat="1" applyFont="1" applyBorder="1" applyAlignment="1">
      <alignment horizontal="center" vertical="center"/>
    </xf>
    <xf numFmtId="1" fontId="13" fillId="0" borderId="426" xfId="0" applyNumberFormat="1" applyFont="1" applyBorder="1" applyAlignment="1">
      <alignment horizontal="center" vertical="center"/>
    </xf>
    <xf numFmtId="1" fontId="58" fillId="0" borderId="782" xfId="12" applyNumberFormat="1" applyFont="1" applyBorder="1" applyAlignment="1">
      <alignment horizontal="center" vertical="center" wrapText="1"/>
    </xf>
    <xf numFmtId="1" fontId="58" fillId="0" borderId="495" xfId="12" applyNumberFormat="1" applyFont="1" applyBorder="1" applyAlignment="1">
      <alignment horizontal="center" vertical="center" wrapText="1"/>
    </xf>
    <xf numFmtId="1" fontId="58" fillId="0" borderId="648" xfId="12" applyNumberFormat="1" applyFont="1" applyBorder="1" applyAlignment="1">
      <alignment horizontal="center" vertical="center" wrapText="1"/>
    </xf>
    <xf numFmtId="1" fontId="58" fillId="0" borderId="405" xfId="0" applyNumberFormat="1" applyFont="1" applyBorder="1" applyAlignment="1">
      <alignment horizontal="center" vertical="center" wrapText="1"/>
    </xf>
    <xf numFmtId="1" fontId="51" fillId="0" borderId="146" xfId="0" applyNumberFormat="1" applyFont="1" applyBorder="1" applyAlignment="1">
      <alignment horizontal="center" vertical="center" wrapText="1"/>
    </xf>
    <xf numFmtId="1" fontId="51" fillId="0" borderId="408" xfId="0" applyNumberFormat="1" applyFont="1" applyBorder="1" applyAlignment="1">
      <alignment horizontal="center" vertical="center" wrapText="1"/>
    </xf>
    <xf numFmtId="1" fontId="51" fillId="0" borderId="409" xfId="0" applyNumberFormat="1" applyFont="1" applyBorder="1" applyAlignment="1">
      <alignment horizontal="center" vertical="center" wrapText="1"/>
    </xf>
    <xf numFmtId="1" fontId="51" fillId="0" borderId="440" xfId="0" applyNumberFormat="1" applyFont="1" applyBorder="1" applyAlignment="1">
      <alignment horizontal="center" vertical="center" wrapText="1"/>
    </xf>
    <xf numFmtId="1" fontId="51" fillId="0" borderId="237" xfId="0" applyNumberFormat="1" applyFont="1" applyBorder="1" applyAlignment="1">
      <alignment horizontal="center" vertical="center" wrapText="1"/>
    </xf>
    <xf numFmtId="1" fontId="51" fillId="0" borderId="237" xfId="0" applyNumberFormat="1" applyFont="1" applyBorder="1" applyAlignment="1">
      <alignment horizontal="center" vertical="center"/>
    </xf>
    <xf numFmtId="1" fontId="51" fillId="0" borderId="265" xfId="0" applyNumberFormat="1" applyFont="1" applyBorder="1" applyAlignment="1">
      <alignment horizontal="center" vertical="center"/>
    </xf>
    <xf numFmtId="1" fontId="51" fillId="0" borderId="426" xfId="0" applyNumberFormat="1" applyFont="1" applyBorder="1" applyAlignment="1">
      <alignment horizontal="center" vertical="center"/>
    </xf>
    <xf numFmtId="1" fontId="51" fillId="0" borderId="441" xfId="0" applyNumberFormat="1" applyFont="1" applyBorder="1" applyAlignment="1">
      <alignment horizontal="center" vertical="center"/>
    </xf>
    <xf numFmtId="1" fontId="51" fillId="0" borderId="408" xfId="0" applyNumberFormat="1" applyFont="1" applyBorder="1" applyAlignment="1">
      <alignment horizontal="center" vertical="center"/>
    </xf>
    <xf numFmtId="1" fontId="51" fillId="0" borderId="409" xfId="0" applyNumberFormat="1" applyFont="1" applyBorder="1" applyAlignment="1">
      <alignment horizontal="center" vertical="center"/>
    </xf>
    <xf numFmtId="1" fontId="51" fillId="0" borderId="429" xfId="0" applyNumberFormat="1" applyFont="1" applyBorder="1" applyAlignment="1">
      <alignment horizontal="center" vertical="center"/>
    </xf>
    <xf numFmtId="1" fontId="51" fillId="0" borderId="405" xfId="0" applyNumberFormat="1" applyFont="1" applyBorder="1" applyAlignment="1">
      <alignment horizontal="center" vertical="center" wrapText="1"/>
    </xf>
    <xf numFmtId="1" fontId="51" fillId="0" borderId="406" xfId="0" applyNumberFormat="1" applyFont="1" applyBorder="1" applyAlignment="1">
      <alignment horizontal="center" vertical="center" wrapText="1"/>
    </xf>
    <xf numFmtId="1" fontId="51" fillId="0" borderId="200" xfId="0" applyNumberFormat="1" applyFont="1" applyBorder="1" applyAlignment="1">
      <alignment horizontal="center" vertical="center" wrapText="1"/>
    </xf>
    <xf numFmtId="1" fontId="6" fillId="0" borderId="408" xfId="0" applyNumberFormat="1" applyFont="1" applyBorder="1" applyAlignment="1">
      <alignment horizontal="center" vertical="center"/>
    </xf>
    <xf numFmtId="1" fontId="6" fillId="0" borderId="237" xfId="0" applyNumberFormat="1" applyFont="1" applyBorder="1" applyAlignment="1">
      <alignment horizontal="center" vertical="center"/>
    </xf>
    <xf numFmtId="1" fontId="13" fillId="0" borderId="403" xfId="12" applyNumberFormat="1" applyFont="1" applyBorder="1" applyAlignment="1">
      <alignment horizontal="center" vertical="center" wrapText="1"/>
    </xf>
    <xf numFmtId="1" fontId="13" fillId="0" borderId="9" xfId="12" applyNumberFormat="1" applyFont="1" applyBorder="1" applyAlignment="1">
      <alignment horizontal="center" vertical="center" wrapText="1"/>
    </xf>
    <xf numFmtId="1" fontId="13" fillId="0" borderId="422" xfId="12" applyNumberFormat="1" applyFont="1" applyBorder="1" applyAlignment="1">
      <alignment horizontal="center" vertical="center" wrapText="1"/>
    </xf>
    <xf numFmtId="1" fontId="13" fillId="0" borderId="405" xfId="0" applyNumberFormat="1" applyFont="1" applyBorder="1" applyAlignment="1">
      <alignment horizontal="center" vertical="center" wrapText="1"/>
    </xf>
    <xf numFmtId="1" fontId="13" fillId="0" borderId="407" xfId="0" applyNumberFormat="1" applyFont="1" applyBorder="1" applyAlignment="1">
      <alignment horizontal="center" vertical="center" wrapText="1"/>
    </xf>
    <xf numFmtId="1" fontId="6" fillId="0" borderId="431" xfId="0" applyNumberFormat="1" applyFont="1" applyBorder="1" applyAlignment="1">
      <alignment horizontal="center" vertical="center"/>
    </xf>
    <xf numFmtId="1" fontId="51" fillId="0" borderId="423" xfId="0" applyNumberFormat="1" applyFont="1" applyBorder="1" applyAlignment="1">
      <alignment horizontal="center" vertical="center" wrapText="1"/>
    </xf>
    <xf numFmtId="1" fontId="51" fillId="0" borderId="280" xfId="0" applyNumberFormat="1" applyFont="1" applyBorder="1" applyAlignment="1">
      <alignment horizontal="center" vertical="center" wrapText="1"/>
    </xf>
    <xf numFmtId="1" fontId="51" fillId="0" borderId="417" xfId="0" applyNumberFormat="1" applyFont="1" applyBorder="1" applyAlignment="1">
      <alignment horizontal="center" vertical="center" wrapText="1"/>
    </xf>
    <xf numFmtId="1" fontId="15" fillId="0" borderId="404" xfId="0" applyNumberFormat="1" applyFont="1" applyBorder="1" applyAlignment="1">
      <alignment horizontal="center" vertical="center" wrapText="1"/>
    </xf>
    <xf numFmtId="1" fontId="15" fillId="0" borderId="407" xfId="0" applyNumberFormat="1" applyFont="1" applyBorder="1" applyAlignment="1">
      <alignment horizontal="center" vertical="center" wrapText="1"/>
    </xf>
    <xf numFmtId="1" fontId="12" fillId="0" borderId="403" xfId="0" applyNumberFormat="1" applyFont="1" applyBorder="1" applyAlignment="1">
      <alignment horizontal="center" vertical="center"/>
    </xf>
    <xf numFmtId="1" fontId="12" fillId="0" borderId="9" xfId="0" applyNumberFormat="1" applyFont="1" applyBorder="1" applyAlignment="1">
      <alignment horizontal="center" vertical="center"/>
    </xf>
    <xf numFmtId="1" fontId="12" fillId="0" borderId="422" xfId="0" applyNumberFormat="1" applyFont="1" applyBorder="1" applyAlignment="1">
      <alignment horizontal="center" vertical="center"/>
    </xf>
    <xf numFmtId="1" fontId="15" fillId="0" borderId="200" xfId="0" applyNumberFormat="1" applyFont="1" applyBorder="1" applyAlignment="1">
      <alignment horizontal="center" vertical="center"/>
    </xf>
    <xf numFmtId="1" fontId="15" fillId="0" borderId="406" xfId="0" applyNumberFormat="1" applyFont="1" applyBorder="1" applyAlignment="1">
      <alignment horizontal="center" vertical="center"/>
    </xf>
    <xf numFmtId="1" fontId="51" fillId="0" borderId="769" xfId="0" applyNumberFormat="1" applyFont="1" applyBorder="1" applyAlignment="1">
      <alignment horizontal="center" vertical="center" wrapText="1"/>
    </xf>
    <xf numFmtId="0" fontId="6" fillId="0" borderId="40" xfId="0" applyFont="1" applyBorder="1" applyAlignment="1">
      <alignment horizontal="left" vertical="center" wrapText="1"/>
    </xf>
    <xf numFmtId="0" fontId="6" fillId="0" borderId="51" xfId="0" applyFont="1" applyBorder="1" applyAlignment="1">
      <alignment horizontal="left" vertical="center" wrapText="1"/>
    </xf>
    <xf numFmtId="0" fontId="51" fillId="0" borderId="402" xfId="0" applyFont="1" applyBorder="1" applyAlignment="1">
      <alignment horizontal="center" vertical="center" wrapText="1"/>
    </xf>
    <xf numFmtId="0" fontId="51" fillId="0" borderId="28" xfId="0" applyFont="1" applyBorder="1" applyAlignment="1">
      <alignment horizontal="center" vertical="center" wrapText="1"/>
    </xf>
    <xf numFmtId="0" fontId="51" fillId="0" borderId="404" xfId="0" applyFont="1" applyBorder="1" applyAlignment="1">
      <alignment horizontal="center" vertical="center" wrapText="1"/>
    </xf>
    <xf numFmtId="0" fontId="51" fillId="0" borderId="405" xfId="0" applyFont="1" applyBorder="1" applyAlignment="1">
      <alignment horizontal="center" vertical="center" wrapText="1"/>
    </xf>
    <xf numFmtId="0" fontId="6" fillId="0" borderId="424" xfId="0" applyFont="1" applyBorder="1" applyAlignment="1">
      <alignment horizontal="center" vertical="center" wrapText="1"/>
    </xf>
    <xf numFmtId="0" fontId="6" fillId="0" borderId="49" xfId="0" applyFont="1" applyBorder="1" applyAlignment="1">
      <alignment horizontal="center" vertical="center" wrapText="1"/>
    </xf>
    <xf numFmtId="0" fontId="6" fillId="0" borderId="420" xfId="0" applyFont="1" applyBorder="1" applyAlignment="1">
      <alignment horizontal="left" vertical="center" wrapText="1"/>
    </xf>
    <xf numFmtId="0" fontId="6" fillId="0" borderId="416" xfId="0" applyFont="1" applyBorder="1" applyAlignment="1">
      <alignment horizontal="left" vertical="center" wrapText="1"/>
    </xf>
    <xf numFmtId="0" fontId="15" fillId="0" borderId="767" xfId="0" applyFont="1" applyBorder="1" applyAlignment="1">
      <alignment horizontal="center" vertical="center" wrapText="1"/>
    </xf>
    <xf numFmtId="0" fontId="15" fillId="0" borderId="717" xfId="0" applyFont="1" applyBorder="1" applyAlignment="1">
      <alignment horizontal="center" vertical="center" wrapText="1"/>
    </xf>
    <xf numFmtId="0" fontId="15" fillId="0" borderId="35" xfId="0" applyFont="1" applyBorder="1" applyAlignment="1">
      <alignment horizontal="center" vertical="center" wrapText="1"/>
    </xf>
    <xf numFmtId="0" fontId="15" fillId="0" borderId="534" xfId="0" applyFont="1" applyBorder="1" applyAlignment="1">
      <alignment horizontal="center" vertical="center" wrapText="1"/>
    </xf>
    <xf numFmtId="0" fontId="15" fillId="0" borderId="657" xfId="0" applyFont="1" applyBorder="1" applyAlignment="1">
      <alignment horizontal="center" vertical="center" wrapText="1"/>
    </xf>
    <xf numFmtId="0" fontId="15" fillId="0" borderId="652" xfId="0" applyFont="1" applyBorder="1" applyAlignment="1">
      <alignment horizontal="center" vertical="center" wrapText="1"/>
    </xf>
    <xf numFmtId="0" fontId="51" fillId="0" borderId="427" xfId="0" applyFont="1" applyBorder="1" applyAlignment="1">
      <alignment horizontal="center" vertical="center" wrapText="1"/>
    </xf>
    <xf numFmtId="0" fontId="51" fillId="0" borderId="428" xfId="0" applyFont="1" applyBorder="1" applyAlignment="1">
      <alignment horizontal="center" vertical="center" wrapText="1"/>
    </xf>
    <xf numFmtId="0" fontId="51" fillId="0" borderId="275" xfId="0" applyFont="1" applyBorder="1" applyAlignment="1">
      <alignment horizontal="center" vertical="center" wrapText="1"/>
    </xf>
    <xf numFmtId="0" fontId="51" fillId="0" borderId="276" xfId="0" applyFont="1" applyBorder="1" applyAlignment="1">
      <alignment horizontal="center" vertical="center" wrapText="1"/>
    </xf>
    <xf numFmtId="0" fontId="51" fillId="0" borderId="782" xfId="0" applyFont="1" applyBorder="1" applyAlignment="1">
      <alignment horizontal="center" vertical="center"/>
    </xf>
    <xf numFmtId="0" fontId="51" fillId="0" borderId="495" xfId="0" applyFont="1" applyBorder="1" applyAlignment="1">
      <alignment horizontal="center" vertical="center"/>
    </xf>
    <xf numFmtId="0" fontId="51" fillId="0" borderId="648" xfId="0" applyFont="1" applyBorder="1" applyAlignment="1">
      <alignment horizontal="center" vertical="center"/>
    </xf>
    <xf numFmtId="0" fontId="51" fillId="15" borderId="428" xfId="0" applyFont="1" applyFill="1" applyBorder="1" applyAlignment="1">
      <alignment horizontal="center" vertical="center" wrapText="1"/>
    </xf>
    <xf numFmtId="0" fontId="51" fillId="15" borderId="81" xfId="0" applyFont="1" applyFill="1" applyBorder="1" applyAlignment="1">
      <alignment horizontal="center" vertical="center" wrapText="1"/>
    </xf>
    <xf numFmtId="0" fontId="51" fillId="15" borderId="276" xfId="0" applyFont="1" applyFill="1" applyBorder="1" applyAlignment="1">
      <alignment horizontal="center" vertical="center" wrapText="1"/>
    </xf>
    <xf numFmtId="0" fontId="51" fillId="0" borderId="407" xfId="0" applyFont="1" applyBorder="1" applyAlignment="1">
      <alignment horizontal="center" vertical="center"/>
    </xf>
    <xf numFmtId="0" fontId="40" fillId="0" borderId="403" xfId="0" applyFont="1" applyBorder="1" applyAlignment="1">
      <alignment horizontal="center" vertical="center" wrapText="1"/>
    </xf>
    <xf numFmtId="0" fontId="40" fillId="0" borderId="9" xfId="0" applyFont="1" applyBorder="1" applyAlignment="1">
      <alignment horizontal="center" vertical="center" wrapText="1"/>
    </xf>
    <xf numFmtId="0" fontId="40" fillId="0" borderId="422" xfId="0" applyFont="1" applyBorder="1" applyAlignment="1">
      <alignment horizontal="center" vertical="center" wrapText="1"/>
    </xf>
    <xf numFmtId="0" fontId="40" fillId="0" borderId="428" xfId="0" applyFont="1" applyBorder="1" applyAlignment="1">
      <alignment horizontal="center" vertical="center" wrapText="1"/>
    </xf>
    <xf numFmtId="0" fontId="40" fillId="0" borderId="81" xfId="0" applyFont="1" applyBorder="1" applyAlignment="1">
      <alignment horizontal="center" vertical="center" wrapText="1"/>
    </xf>
    <xf numFmtId="0" fontId="40" fillId="0" borderId="276" xfId="0" applyFont="1" applyBorder="1" applyAlignment="1">
      <alignment horizontal="center" vertical="center" wrapText="1"/>
    </xf>
    <xf numFmtId="0" fontId="51" fillId="0" borderId="403" xfId="0" applyFont="1" applyBorder="1" applyAlignment="1">
      <alignment horizontal="center" vertical="center" wrapText="1"/>
    </xf>
    <xf numFmtId="0" fontId="51" fillId="0" borderId="9" xfId="0" applyFont="1" applyBorder="1" applyAlignment="1">
      <alignment horizontal="center" vertical="center" wrapText="1"/>
    </xf>
    <xf numFmtId="0" fontId="51" fillId="0" borderId="422" xfId="0" applyFont="1" applyBorder="1" applyAlignment="1">
      <alignment horizontal="center" vertical="center" wrapText="1"/>
    </xf>
    <xf numFmtId="0" fontId="51" fillId="0" borderId="495" xfId="0" applyFont="1" applyBorder="1" applyAlignment="1">
      <alignment horizontal="center" vertical="center" wrapText="1"/>
    </xf>
    <xf numFmtId="0" fontId="51" fillId="0" borderId="648" xfId="0" applyFont="1" applyBorder="1" applyAlignment="1">
      <alignment horizontal="center" vertical="center" wrapText="1"/>
    </xf>
    <xf numFmtId="0" fontId="6" fillId="0" borderId="401" xfId="0" applyFont="1" applyBorder="1" applyAlignment="1">
      <alignment horizontal="center" vertical="center" wrapText="1"/>
    </xf>
    <xf numFmtId="0" fontId="6" fillId="0" borderId="27" xfId="0" applyFont="1" applyBorder="1" applyAlignment="1">
      <alignment horizontal="center" vertical="center" wrapText="1"/>
    </xf>
    <xf numFmtId="0" fontId="6" fillId="0" borderId="402" xfId="0" applyFont="1" applyBorder="1" applyAlignment="1">
      <alignment horizontal="center" vertical="center" wrapText="1"/>
    </xf>
    <xf numFmtId="0" fontId="6" fillId="0" borderId="28" xfId="0" applyFont="1" applyBorder="1" applyAlignment="1">
      <alignment horizontal="center" vertical="center" wrapText="1"/>
    </xf>
    <xf numFmtId="0" fontId="6" fillId="0" borderId="404" xfId="0" applyFont="1" applyBorder="1" applyAlignment="1">
      <alignment horizontal="center" vertical="center" wrapText="1"/>
    </xf>
    <xf numFmtId="0" fontId="6" fillId="0" borderId="405" xfId="0" applyFont="1" applyBorder="1" applyAlignment="1">
      <alignment horizontal="center" vertical="center" wrapText="1"/>
    </xf>
    <xf numFmtId="0" fontId="51" fillId="0" borderId="767" xfId="0" applyFont="1" applyBorder="1" applyAlignment="1">
      <alignment horizontal="center" vertical="center" wrapText="1"/>
    </xf>
    <xf numFmtId="0" fontId="51" fillId="0" borderId="717" xfId="0" applyFont="1" applyBorder="1" applyAlignment="1">
      <alignment horizontal="center" vertical="center" wrapText="1"/>
    </xf>
    <xf numFmtId="0" fontId="51" fillId="0" borderId="657" xfId="0" applyFont="1" applyBorder="1" applyAlignment="1">
      <alignment horizontal="center" vertical="center" wrapText="1"/>
    </xf>
    <xf numFmtId="0" fontId="51" fillId="0" borderId="652" xfId="0" applyFont="1" applyBorder="1" applyAlignment="1">
      <alignment horizontal="center" vertical="center" wrapText="1"/>
    </xf>
    <xf numFmtId="0" fontId="51" fillId="0" borderId="401" xfId="0" applyFont="1" applyBorder="1" applyAlignment="1">
      <alignment horizontal="center" vertical="center" wrapText="1"/>
    </xf>
    <xf numFmtId="0" fontId="51" fillId="0" borderId="27" xfId="0" applyFont="1" applyBorder="1" applyAlignment="1">
      <alignment horizontal="center" vertical="center" wrapText="1"/>
    </xf>
    <xf numFmtId="0" fontId="51" fillId="0" borderId="424" xfId="0" applyFont="1" applyBorder="1" applyAlignment="1">
      <alignment horizontal="center" vertical="center" wrapText="1"/>
    </xf>
    <xf numFmtId="0" fontId="51" fillId="0" borderId="49" xfId="0" applyFont="1" applyBorder="1" applyAlignment="1">
      <alignment horizontal="center" vertical="center" wrapText="1"/>
    </xf>
    <xf numFmtId="0" fontId="51" fillId="0" borderId="81" xfId="0" applyFont="1" applyBorder="1" applyAlignment="1">
      <alignment horizontal="center" vertical="center" wrapText="1"/>
    </xf>
    <xf numFmtId="1" fontId="51" fillId="0" borderId="111" xfId="0" applyNumberFormat="1" applyFont="1" applyBorder="1" applyAlignment="1">
      <alignment horizontal="center" vertical="center" wrapText="1"/>
    </xf>
    <xf numFmtId="1" fontId="51" fillId="0" borderId="224" xfId="0" applyNumberFormat="1" applyFont="1" applyBorder="1" applyAlignment="1">
      <alignment horizontal="center" vertical="center" wrapText="1"/>
    </xf>
    <xf numFmtId="1" fontId="51" fillId="0" borderId="115" xfId="0" applyNumberFormat="1" applyFont="1" applyBorder="1" applyAlignment="1">
      <alignment horizontal="center" vertical="center" wrapText="1"/>
    </xf>
    <xf numFmtId="0" fontId="40" fillId="0" borderId="111" xfId="0" applyFont="1" applyBorder="1" applyAlignment="1">
      <alignment horizontal="center" vertical="center" wrapText="1"/>
    </xf>
    <xf numFmtId="0" fontId="40" fillId="0" borderId="224" xfId="0" applyFont="1" applyBorder="1" applyAlignment="1">
      <alignment horizontal="center" vertical="center" wrapText="1"/>
    </xf>
    <xf numFmtId="0" fontId="40" fillId="0" borderId="115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51" fillId="0" borderId="404" xfId="0" applyFont="1" applyBorder="1" applyAlignment="1">
      <alignment horizontal="left" vertical="center" wrapText="1"/>
    </xf>
    <xf numFmtId="0" fontId="51" fillId="0" borderId="407" xfId="0" applyFont="1" applyBorder="1" applyAlignment="1">
      <alignment horizontal="left" vertical="center" wrapText="1"/>
    </xf>
    <xf numFmtId="0" fontId="6" fillId="0" borderId="767" xfId="0" applyFont="1" applyBorder="1" applyAlignment="1">
      <alignment horizontal="center" vertical="center" wrapText="1"/>
    </xf>
    <xf numFmtId="0" fontId="6" fillId="0" borderId="717" xfId="0" applyFont="1" applyBorder="1" applyAlignment="1">
      <alignment horizontal="center" vertical="center" wrapText="1"/>
    </xf>
    <xf numFmtId="0" fontId="6" fillId="0" borderId="35" xfId="0" applyFont="1" applyBorder="1" applyAlignment="1">
      <alignment horizontal="center" vertical="center" wrapText="1"/>
    </xf>
    <xf numFmtId="0" fontId="6" fillId="0" borderId="534" xfId="0" applyFont="1" applyBorder="1" applyAlignment="1">
      <alignment horizontal="center" vertical="center" wrapText="1"/>
    </xf>
    <xf numFmtId="0" fontId="6" fillId="0" borderId="657" xfId="0" applyFont="1" applyBorder="1" applyAlignment="1">
      <alignment horizontal="center" vertical="center" wrapText="1"/>
    </xf>
    <xf numFmtId="0" fontId="6" fillId="0" borderId="652" xfId="0" applyFont="1" applyBorder="1" applyAlignment="1">
      <alignment horizontal="center" vertical="center" wrapText="1"/>
    </xf>
    <xf numFmtId="0" fontId="51" fillId="0" borderId="111" xfId="0" applyFont="1" applyBorder="1" applyAlignment="1">
      <alignment horizontal="center" vertical="center" wrapText="1"/>
    </xf>
    <xf numFmtId="0" fontId="51" fillId="0" borderId="224" xfId="0" applyFont="1" applyBorder="1" applyAlignment="1">
      <alignment horizontal="center" vertical="center" wrapText="1"/>
    </xf>
    <xf numFmtId="0" fontId="51" fillId="0" borderId="115" xfId="0" applyFont="1" applyBorder="1" applyAlignment="1">
      <alignment horizontal="center" vertical="center" wrapText="1"/>
    </xf>
    <xf numFmtId="0" fontId="51" fillId="0" borderId="0" xfId="0" applyFont="1" applyBorder="1" applyAlignment="1">
      <alignment horizontal="center" vertical="center" wrapText="1"/>
    </xf>
    <xf numFmtId="0" fontId="51" fillId="0" borderId="405" xfId="0" applyFont="1" applyFill="1" applyBorder="1" applyAlignment="1">
      <alignment horizontal="center" vertical="center" wrapText="1"/>
    </xf>
    <xf numFmtId="0" fontId="51" fillId="0" borderId="407" xfId="0" applyFont="1" applyFill="1" applyBorder="1" applyAlignment="1">
      <alignment horizontal="center" vertical="center" wrapText="1"/>
    </xf>
    <xf numFmtId="0" fontId="51" fillId="0" borderId="404" xfId="0" applyFont="1" applyFill="1" applyBorder="1" applyAlignment="1">
      <alignment horizontal="center" vertical="center" wrapText="1"/>
    </xf>
    <xf numFmtId="0" fontId="6" fillId="0" borderId="81" xfId="0" applyFont="1" applyBorder="1" applyAlignment="1">
      <alignment horizontal="center" vertical="center" wrapText="1"/>
    </xf>
    <xf numFmtId="0" fontId="6" fillId="0" borderId="276" xfId="0" applyFont="1" applyBorder="1" applyAlignment="1">
      <alignment horizontal="center" vertical="center" wrapText="1"/>
    </xf>
    <xf numFmtId="0" fontId="51" fillId="0" borderId="969" xfId="0" applyFont="1" applyBorder="1" applyAlignment="1">
      <alignment horizontal="left" vertical="center" wrapText="1"/>
    </xf>
    <xf numFmtId="0" fontId="51" fillId="0" borderId="970" xfId="0" applyFont="1" applyBorder="1" applyAlignment="1">
      <alignment horizontal="left" vertical="center" wrapText="1"/>
    </xf>
    <xf numFmtId="0" fontId="51" fillId="0" borderId="40" xfId="0" applyFont="1" applyBorder="1" applyAlignment="1">
      <alignment horizontal="left" vertical="center" wrapText="1"/>
    </xf>
    <xf numFmtId="0" fontId="51" fillId="0" borderId="51" xfId="0" applyFont="1" applyBorder="1" applyAlignment="1">
      <alignment horizontal="left" vertical="center" wrapText="1"/>
    </xf>
    <xf numFmtId="0" fontId="51" fillId="15" borderId="40" xfId="0" applyFont="1" applyFill="1" applyBorder="1" applyAlignment="1">
      <alignment horizontal="left" vertical="center" wrapText="1"/>
    </xf>
    <xf numFmtId="0" fontId="51" fillId="15" borderId="51" xfId="0" applyFont="1" applyFill="1" applyBorder="1" applyAlignment="1">
      <alignment horizontal="left" vertical="center" wrapText="1"/>
    </xf>
    <xf numFmtId="0" fontId="40" fillId="0" borderId="40" xfId="0" applyFont="1" applyBorder="1" applyAlignment="1">
      <alignment horizontal="left" vertical="center" wrapText="1"/>
    </xf>
    <xf numFmtId="0" fontId="40" fillId="0" borderId="51" xfId="0" applyFont="1" applyBorder="1" applyAlignment="1">
      <alignment horizontal="left" vertical="center" wrapText="1"/>
    </xf>
    <xf numFmtId="0" fontId="51" fillId="15" borderId="491" xfId="0" applyFont="1" applyFill="1" applyBorder="1" applyAlignment="1">
      <alignment horizontal="left" vertical="center" wrapText="1"/>
    </xf>
    <xf numFmtId="0" fontId="51" fillId="15" borderId="39" xfId="0" applyFont="1" applyFill="1" applyBorder="1" applyAlignment="1">
      <alignment horizontal="left" vertical="center" wrapText="1"/>
    </xf>
    <xf numFmtId="0" fontId="50" fillId="12" borderId="216" xfId="0" applyFont="1" applyFill="1" applyBorder="1" applyAlignment="1">
      <alignment horizontal="center" vertical="center" wrapText="1"/>
    </xf>
    <xf numFmtId="0" fontId="50" fillId="12" borderId="215" xfId="0" applyFont="1" applyFill="1" applyBorder="1" applyAlignment="1">
      <alignment horizontal="center" vertical="center" wrapText="1"/>
    </xf>
    <xf numFmtId="0" fontId="50" fillId="12" borderId="214" xfId="0" applyFont="1" applyFill="1" applyBorder="1" applyAlignment="1">
      <alignment horizontal="center" vertical="center" wrapText="1"/>
    </xf>
    <xf numFmtId="0" fontId="49" fillId="12" borderId="212" xfId="0" applyFont="1" applyFill="1" applyBorder="1" applyAlignment="1" applyProtection="1">
      <alignment horizontal="center" vertical="center" wrapText="1"/>
      <protection hidden="1"/>
    </xf>
    <xf numFmtId="0" fontId="49" fillId="12" borderId="206" xfId="0" applyFont="1" applyFill="1" applyBorder="1" applyAlignment="1" applyProtection="1">
      <alignment horizontal="center" vertical="center" wrapText="1"/>
      <protection hidden="1"/>
    </xf>
    <xf numFmtId="0" fontId="49" fillId="12" borderId="211" xfId="0" applyFont="1" applyFill="1" applyBorder="1" applyAlignment="1" applyProtection="1">
      <alignment horizontal="center" vertical="center" wrapText="1"/>
      <protection hidden="1"/>
    </xf>
    <xf numFmtId="0" fontId="49" fillId="12" borderId="210" xfId="0" applyFont="1" applyFill="1" applyBorder="1" applyAlignment="1" applyProtection="1">
      <alignment horizontal="center" vertical="center" wrapText="1"/>
      <protection hidden="1"/>
    </xf>
    <xf numFmtId="0" fontId="49" fillId="12" borderId="209" xfId="0" applyFont="1" applyFill="1" applyBorder="1" applyAlignment="1" applyProtection="1">
      <alignment horizontal="center" vertical="center" wrapText="1"/>
      <protection hidden="1"/>
    </xf>
    <xf numFmtId="0" fontId="49" fillId="12" borderId="208" xfId="0" applyFont="1" applyFill="1" applyBorder="1" applyAlignment="1" applyProtection="1">
      <alignment horizontal="center" vertical="center" wrapText="1"/>
      <protection hidden="1"/>
    </xf>
  </cellXfs>
  <cellStyles count="30">
    <cellStyle name="20% - Énfasis1" xfId="28" builtinId="30"/>
    <cellStyle name="Celda de comprobación" xfId="25" builtinId="23"/>
    <cellStyle name="Escribir 2" xfId="18" xr:uid="{00000000-0005-0000-0000-000002000000}"/>
    <cellStyle name="Escribir 2 2" xfId="17" xr:uid="{00000000-0005-0000-0000-000003000000}"/>
    <cellStyle name="Escribir 2 3" xfId="22" xr:uid="{00000000-0005-0000-0000-000004000000}"/>
    <cellStyle name="Hipervínculo" xfId="26" builtinId="8" hidden="1"/>
    <cellStyle name="Hipervínculo visitado" xfId="27" builtinId="9" hidden="1"/>
    <cellStyle name="Millares [0] 2" xfId="1" xr:uid="{00000000-0005-0000-0000-000007000000}"/>
    <cellStyle name="Millares [0] 2 2" xfId="2" xr:uid="{00000000-0005-0000-0000-000008000000}"/>
    <cellStyle name="Millares [0] 3 2 2" xfId="3" xr:uid="{00000000-0005-0000-0000-000009000000}"/>
    <cellStyle name="Millares [0] 3 2 2 2" xfId="19" xr:uid="{00000000-0005-0000-0000-00000A000000}"/>
    <cellStyle name="Millares 10 3" xfId="4" xr:uid="{00000000-0005-0000-0000-00000B000000}"/>
    <cellStyle name="Millares 2" xfId="5" xr:uid="{00000000-0005-0000-0000-00000C000000}"/>
    <cellStyle name="Normal" xfId="0" builtinId="0"/>
    <cellStyle name="Normal 2" xfId="6" xr:uid="{00000000-0005-0000-0000-00000E000000}"/>
    <cellStyle name="Normal 2 2" xfId="7" xr:uid="{00000000-0005-0000-0000-00000F000000}"/>
    <cellStyle name="Normal 6" xfId="8" xr:uid="{00000000-0005-0000-0000-000010000000}"/>
    <cellStyle name="Normal_nombre" xfId="16" xr:uid="{00000000-0005-0000-0000-000011000000}"/>
    <cellStyle name="Normal_REM 02-2002" xfId="9" xr:uid="{00000000-0005-0000-0000-000012000000}"/>
    <cellStyle name="Normal_REM 04-2002" xfId="10" xr:uid="{00000000-0005-0000-0000-000013000000}"/>
    <cellStyle name="Normal_REM 05-2002" xfId="11" xr:uid="{00000000-0005-0000-0000-000014000000}"/>
    <cellStyle name="Normal_REM 17-2002" xfId="23" xr:uid="{00000000-0005-0000-0000-000015000000}"/>
    <cellStyle name="Normal_REM 18A-2002" xfId="12" xr:uid="{00000000-0005-0000-0000-000016000000}"/>
    <cellStyle name="Normal_REM 21-2002" xfId="13" xr:uid="{00000000-0005-0000-0000-000017000000}"/>
    <cellStyle name="Notas" xfId="14" builtinId="10"/>
    <cellStyle name="Notas 2" xfId="15" xr:uid="{00000000-0005-0000-0000-000019000000}"/>
    <cellStyle name="Notas 2 2" xfId="21" xr:uid="{00000000-0005-0000-0000-00001A000000}"/>
    <cellStyle name="Notas 2 2 2" xfId="24" xr:uid="{00000000-0005-0000-0000-00001B000000}"/>
    <cellStyle name="Notas 2 2 3" xfId="29" xr:uid="{00000000-0005-0000-0000-00001C000000}"/>
    <cellStyle name="Notas 3" xfId="20" xr:uid="{00000000-0005-0000-0000-00001D000000}"/>
  </cellStyles>
  <dxfs count="0"/>
  <tableStyles count="0" defaultTableStyle="TableStyleMedium2" defaultPivotStyle="PivotStyleLight16"/>
  <colors>
    <mruColors>
      <color rgb="FFBFBFBF"/>
      <color rgb="FF4472C4"/>
      <color rgb="FFC6E0B4"/>
      <color rgb="FF000000"/>
      <color rgb="FFFFFFCC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ctrlProps/ctrlProp1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123825</xdr:colOff>
          <xdr:row>18</xdr:row>
          <xdr:rowOff>114300</xdr:rowOff>
        </xdr:from>
        <xdr:to>
          <xdr:col>9</xdr:col>
          <xdr:colOff>685800</xdr:colOff>
          <xdr:row>19</xdr:row>
          <xdr:rowOff>152400</xdr:rowOff>
        </xdr:to>
        <xdr:sp macro="" textlink="">
          <xdr:nvSpPr>
            <xdr:cNvPr id="2050" name="Button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0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es-CL" sz="1100" b="0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Verificar Habilitacion de Macros</a:t>
              </a:r>
            </a:p>
          </xdr:txBody>
        </xdr:sp>
        <xdr:clientData fPrintsWithSheet="0"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276225</xdr:colOff>
      <xdr:row>4</xdr:row>
      <xdr:rowOff>142875</xdr:rowOff>
    </xdr:from>
    <xdr:to>
      <xdr:col>4</xdr:col>
      <xdr:colOff>1200150</xdr:colOff>
      <xdr:row>4</xdr:row>
      <xdr:rowOff>409575</xdr:rowOff>
    </xdr:to>
    <xdr:sp macro="[0]!RESPALDAARCHIVO" textlink="">
      <xdr:nvSpPr>
        <xdr:cNvPr id="4" name="3 Rectángulo">
          <a:extLst>
            <a:ext uri="{FF2B5EF4-FFF2-40B4-BE49-F238E27FC236}">
              <a16:creationId xmlns:a16="http://schemas.microsoft.com/office/drawing/2014/main" id="{00000000-0008-0000-1800-000004000000}"/>
            </a:ext>
          </a:extLst>
        </xdr:cNvPr>
        <xdr:cNvSpPr/>
      </xdr:nvSpPr>
      <xdr:spPr>
        <a:xfrm>
          <a:off x="1047750" y="1476375"/>
          <a:ext cx="0" cy="47625"/>
        </a:xfrm>
        <a:prstGeom prst="rect">
          <a:avLst/>
        </a:prstGeom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1200">
              <a:solidFill>
                <a:sysClr val="windowText" lastClr="000000"/>
              </a:solidFill>
            </a:rPr>
            <a:t>ACEPTAR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REM%20SA_20_V1.0%20FINAL%20_%202019-11-29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MBRE"/>
      <sheetName val="A01"/>
      <sheetName val="A02"/>
      <sheetName val="A03"/>
      <sheetName val="A04"/>
      <sheetName val="A05"/>
      <sheetName val="A06"/>
      <sheetName val="A07"/>
      <sheetName val="A08"/>
      <sheetName val="A09"/>
      <sheetName val="A11"/>
      <sheetName val="A19a"/>
      <sheetName val="A19b"/>
      <sheetName val="A21"/>
      <sheetName val="A23"/>
      <sheetName val="A24"/>
      <sheetName val="A25"/>
      <sheetName val="A26"/>
      <sheetName val="A27"/>
      <sheetName val="A28"/>
      <sheetName val="A29"/>
      <sheetName val="A30 "/>
      <sheetName val="A31"/>
      <sheetName val="Contro"/>
      <sheetName val="MACROS"/>
    </sheetNames>
    <sheetDataSet>
      <sheetData sheetId="0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</row>
        <row r="6">
          <cell r="B6">
            <v>0</v>
          </cell>
          <cell r="C6">
            <v>0</v>
          </cell>
          <cell r="D6">
            <v>0</v>
          </cell>
        </row>
        <row r="7">
          <cell r="B7">
            <v>2020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3.v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AM165"/>
  <sheetViews>
    <sheetView showGridLines="0" workbookViewId="0">
      <selection sqref="A1:B1"/>
    </sheetView>
  </sheetViews>
  <sheetFormatPr baseColWidth="10" defaultColWidth="11.42578125" defaultRowHeight="10.5" x14ac:dyDescent="0.15"/>
  <cols>
    <col min="1" max="1" width="49.42578125" style="7" customWidth="1"/>
    <col min="2" max="2" width="60.7109375" style="4" customWidth="1"/>
    <col min="3" max="8" width="5.7109375" style="4" customWidth="1"/>
    <col min="9" max="9" width="16.85546875" style="1" customWidth="1"/>
    <col min="10" max="18" width="11.85546875" style="1" customWidth="1"/>
    <col min="19" max="26" width="23.140625" style="1" customWidth="1"/>
    <col min="27" max="27" width="11.42578125" style="1" hidden="1" customWidth="1"/>
    <col min="28" max="28" width="54.28515625" style="1" hidden="1" customWidth="1"/>
    <col min="29" max="29" width="27.42578125" style="1" hidden="1" customWidth="1"/>
    <col min="30" max="30" width="23.140625" style="1" hidden="1" customWidth="1"/>
    <col min="31" max="32" width="23.140625" style="1" customWidth="1"/>
    <col min="33" max="33" width="2.140625" style="1" customWidth="1"/>
    <col min="34" max="39" width="23.140625" style="1" customWidth="1"/>
    <col min="40" max="50" width="23.140625" style="4" customWidth="1"/>
    <col min="51" max="16384" width="11.42578125" style="4"/>
  </cols>
  <sheetData>
    <row r="1" spans="1:33" ht="36" customHeight="1" x14ac:dyDescent="0.15">
      <c r="A1" s="5084" t="s">
        <v>919</v>
      </c>
      <c r="B1" s="5085"/>
      <c r="C1" s="5078" t="s">
        <v>918</v>
      </c>
      <c r="D1" s="5079"/>
      <c r="E1" s="5079"/>
      <c r="F1" s="5079"/>
      <c r="G1" s="5079"/>
      <c r="H1" s="5080"/>
    </row>
    <row r="2" spans="1:33" ht="21.75" customHeight="1" x14ac:dyDescent="0.2">
      <c r="A2" s="23" t="s">
        <v>917</v>
      </c>
      <c r="B2" s="40"/>
      <c r="C2" s="38"/>
      <c r="D2" s="37"/>
      <c r="E2" s="37"/>
      <c r="F2" s="37"/>
      <c r="G2" s="36"/>
      <c r="H2" s="1"/>
      <c r="I2" s="39" t="str">
        <f>IF(OR(NOMBRE!C2="",NOMBRE!D2="",NOMBRE!E2="",NOMBRE!F2="",NOMBRE!G2=""),"Falta Cód. Com.","")</f>
        <v>Falta Cód. Com.</v>
      </c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D2" s="5"/>
      <c r="AG2" s="24">
        <f>IF(I2&gt;"",1,0)</f>
        <v>1</v>
      </c>
    </row>
    <row r="3" spans="1:33" ht="21.75" customHeight="1" x14ac:dyDescent="0.2">
      <c r="A3" s="23" t="s">
        <v>916</v>
      </c>
      <c r="B3" s="30"/>
      <c r="C3" s="38"/>
      <c r="D3" s="37"/>
      <c r="E3" s="37"/>
      <c r="F3" s="37"/>
      <c r="G3" s="37"/>
      <c r="H3" s="36"/>
      <c r="I3" s="35" t="str">
        <f>IF(OR(NOMBRE!C3="",NOMBRE!D3="",NOMBRE!E3="",NOMBRE!F3="",NOMBRE!G3="",NOMBRE!H3=""),"Falta Cód. Est.","")</f>
        <v>Falta Cód. Est.</v>
      </c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D3" s="5"/>
      <c r="AG3" s="24">
        <f>IF(I3&gt;"",1,0)</f>
        <v>1</v>
      </c>
    </row>
    <row r="4" spans="1:33" ht="21.75" customHeight="1" x14ac:dyDescent="0.2">
      <c r="A4" s="23" t="s">
        <v>915</v>
      </c>
      <c r="B4" s="30"/>
      <c r="C4" s="33"/>
      <c r="D4" s="8"/>
      <c r="E4" s="8"/>
      <c r="F4" s="8"/>
      <c r="G4" s="8"/>
      <c r="H4" s="8"/>
      <c r="I4" s="27" t="str">
        <f>IF(OR(NOMBRE!B4=""),"Falta Tipo. Est.","")</f>
        <v>Falta Tipo. Est.</v>
      </c>
      <c r="J4" s="26"/>
      <c r="K4" s="32"/>
      <c r="L4" s="4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31"/>
      <c r="AB4" s="31"/>
      <c r="AD4" s="5"/>
      <c r="AG4" s="24">
        <f>IF(I4&gt;"",1,0)</f>
        <v>1</v>
      </c>
    </row>
    <row r="5" spans="1:33" ht="21.75" customHeight="1" x14ac:dyDescent="0.2">
      <c r="A5" s="23" t="s">
        <v>914</v>
      </c>
      <c r="B5" s="30"/>
      <c r="C5" s="33"/>
      <c r="D5" s="8"/>
      <c r="E5" s="8"/>
      <c r="F5" s="8"/>
      <c r="G5" s="8"/>
      <c r="H5" s="8"/>
      <c r="I5" s="27" t="str">
        <f>IF(OR(NOMBRE!B5=""),"Falta Dependencia. Est.","")</f>
        <v>Falta Dependencia. Est.</v>
      </c>
      <c r="J5" s="26"/>
      <c r="K5" s="32"/>
      <c r="L5" s="4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31"/>
      <c r="AB5" s="31"/>
      <c r="AD5" s="5"/>
      <c r="AG5" s="24">
        <f>IF(I5&gt;"",1,0)</f>
        <v>1</v>
      </c>
    </row>
    <row r="6" spans="1:33" ht="21.75" customHeight="1" x14ac:dyDescent="0.2">
      <c r="A6" s="23" t="s">
        <v>913</v>
      </c>
      <c r="B6" s="30"/>
      <c r="C6" s="29"/>
      <c r="D6" s="28"/>
      <c r="E6" s="8"/>
      <c r="F6" s="8"/>
      <c r="G6" s="8"/>
      <c r="H6" s="8"/>
      <c r="I6" s="27" t="str">
        <f>IF(OR(NOMBRE!C6="",NOMBRE!D6=""),"Falta Cód. Mes.","")</f>
        <v>Falta Cód. Mes.</v>
      </c>
      <c r="J6" s="26"/>
      <c r="K6" s="26"/>
      <c r="L6" s="26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D6" s="5"/>
      <c r="AG6" s="24">
        <f>IF(I6&gt;"",1,0)</f>
        <v>1</v>
      </c>
    </row>
    <row r="7" spans="1:33" ht="21.75" customHeight="1" x14ac:dyDescent="0.2">
      <c r="A7" s="23" t="s">
        <v>912</v>
      </c>
      <c r="B7" s="22">
        <v>2020</v>
      </c>
      <c r="C7" s="1"/>
      <c r="D7" s="1"/>
      <c r="E7" s="1"/>
      <c r="F7" s="1"/>
      <c r="G7" s="1"/>
      <c r="H7" s="1"/>
      <c r="AG7" s="21">
        <f>SUM(AG2:AG6)</f>
        <v>5</v>
      </c>
    </row>
    <row r="8" spans="1:33" ht="12" customHeight="1" x14ac:dyDescent="0.15">
      <c r="A8" s="20"/>
      <c r="B8" s="19"/>
      <c r="C8" s="1"/>
      <c r="D8" s="1"/>
      <c r="E8" s="1"/>
      <c r="F8" s="1"/>
      <c r="G8" s="1"/>
      <c r="H8" s="1"/>
    </row>
    <row r="9" spans="1:33" ht="28.5" customHeight="1" x14ac:dyDescent="0.15">
      <c r="A9" s="5086" t="s">
        <v>3949</v>
      </c>
      <c r="B9" s="5087"/>
      <c r="C9" s="1"/>
      <c r="D9" s="1"/>
      <c r="E9" s="1"/>
      <c r="F9" s="1"/>
      <c r="G9" s="5090" t="s">
        <v>1263</v>
      </c>
      <c r="H9" s="5091"/>
      <c r="I9" s="5091"/>
      <c r="J9" s="5092"/>
    </row>
    <row r="10" spans="1:33" ht="12" customHeight="1" x14ac:dyDescent="0.2">
      <c r="A10" s="18"/>
      <c r="B10" s="3"/>
      <c r="C10" s="1"/>
      <c r="D10" s="1"/>
      <c r="E10" s="1"/>
      <c r="F10" s="1"/>
      <c r="G10" s="5093"/>
      <c r="H10" s="5094"/>
      <c r="I10" s="5094"/>
      <c r="J10" s="5095"/>
    </row>
    <row r="11" spans="1:33" ht="27" customHeight="1" x14ac:dyDescent="0.2">
      <c r="A11" s="17" t="s">
        <v>911</v>
      </c>
      <c r="B11" s="15"/>
      <c r="C11" s="1"/>
      <c r="D11" s="1"/>
      <c r="E11" s="1"/>
      <c r="F11" s="1"/>
      <c r="G11" s="5093"/>
      <c r="H11" s="5094"/>
      <c r="I11" s="5094"/>
      <c r="J11" s="5095"/>
      <c r="L11" s="13"/>
      <c r="M11" s="13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9" t="s">
        <v>1298</v>
      </c>
      <c r="AB11" s="9" t="s">
        <v>1310</v>
      </c>
      <c r="AC11" s="75" t="s">
        <v>910</v>
      </c>
    </row>
    <row r="12" spans="1:33" ht="21" customHeight="1" x14ac:dyDescent="0.2">
      <c r="A12" s="16" t="s">
        <v>909</v>
      </c>
      <c r="B12" s="15"/>
      <c r="C12" s="1"/>
      <c r="D12" s="1"/>
      <c r="E12" s="1"/>
      <c r="F12" s="1"/>
      <c r="G12" s="5093"/>
      <c r="H12" s="5094"/>
      <c r="I12" s="5094"/>
      <c r="J12" s="5095"/>
      <c r="L12" s="13"/>
      <c r="M12" s="13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9" t="s">
        <v>1299</v>
      </c>
      <c r="AB12" s="9" t="s">
        <v>1311</v>
      </c>
      <c r="AC12" s="75" t="s">
        <v>1336</v>
      </c>
    </row>
    <row r="13" spans="1:33" ht="14.25" customHeight="1" x14ac:dyDescent="0.2">
      <c r="A13" s="3"/>
      <c r="B13" s="14"/>
      <c r="C13" s="1"/>
      <c r="D13" s="1"/>
      <c r="E13" s="1"/>
      <c r="F13" s="1"/>
      <c r="G13" s="5093"/>
      <c r="H13" s="5094"/>
      <c r="I13" s="5094"/>
      <c r="J13" s="5095"/>
      <c r="L13" s="13" t="s">
        <v>211</v>
      </c>
      <c r="M13" s="13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9" t="s">
        <v>1300</v>
      </c>
      <c r="AB13" s="9" t="s">
        <v>1312</v>
      </c>
      <c r="AC13" s="75" t="s">
        <v>1337</v>
      </c>
    </row>
    <row r="14" spans="1:33" ht="14.25" customHeight="1" x14ac:dyDescent="0.15">
      <c r="A14" s="6"/>
      <c r="B14" s="1"/>
      <c r="C14" s="1"/>
      <c r="D14" s="1"/>
      <c r="E14" s="1"/>
      <c r="F14" s="1"/>
      <c r="G14" s="5096"/>
      <c r="H14" s="5097"/>
      <c r="I14" s="5097"/>
      <c r="J14" s="5098"/>
      <c r="L14" s="13"/>
      <c r="M14" s="13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9" t="s">
        <v>1301</v>
      </c>
      <c r="AB14" s="9" t="s">
        <v>1313</v>
      </c>
      <c r="AC14" s="76"/>
    </row>
    <row r="15" spans="1:33" ht="21" customHeight="1" x14ac:dyDescent="0.15">
      <c r="A15" s="5088" t="s">
        <v>908</v>
      </c>
      <c r="B15" s="5089"/>
      <c r="C15" s="1"/>
      <c r="D15" s="1"/>
      <c r="E15" s="1"/>
      <c r="F15" s="1"/>
      <c r="G15" s="1"/>
      <c r="H15" s="1"/>
      <c r="L15" s="13"/>
      <c r="M15" s="13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9" t="s">
        <v>1302</v>
      </c>
      <c r="AB15" s="9" t="s">
        <v>1314</v>
      </c>
      <c r="AC15" s="76"/>
    </row>
    <row r="16" spans="1:33" ht="15" customHeight="1" x14ac:dyDescent="0.15">
      <c r="A16" s="6"/>
      <c r="B16" s="1"/>
      <c r="C16" s="1"/>
      <c r="D16" s="1"/>
      <c r="E16" s="1"/>
      <c r="F16" s="1"/>
      <c r="G16" s="1"/>
      <c r="H16" s="1"/>
      <c r="L16" s="13"/>
      <c r="M16" s="13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9" t="s">
        <v>1303</v>
      </c>
      <c r="AB16" s="9" t="s">
        <v>1315</v>
      </c>
      <c r="AC16" s="76"/>
    </row>
    <row r="17" spans="1:29" ht="21" customHeight="1" x14ac:dyDescent="0.15">
      <c r="A17" s="6"/>
      <c r="B17" s="5081" t="s">
        <v>907</v>
      </c>
      <c r="C17" s="1"/>
      <c r="D17" s="1"/>
      <c r="E17" s="1"/>
      <c r="F17" s="1"/>
      <c r="G17" s="5099" t="s">
        <v>1262</v>
      </c>
      <c r="H17" s="5100"/>
      <c r="I17" s="5100"/>
      <c r="J17" s="5101"/>
      <c r="L17" s="13"/>
      <c r="M17" s="13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9" t="s">
        <v>1304</v>
      </c>
      <c r="AB17" s="9" t="s">
        <v>1316</v>
      </c>
      <c r="AC17" s="76"/>
    </row>
    <row r="18" spans="1:29" ht="21" customHeight="1" x14ac:dyDescent="0.15">
      <c r="A18" s="6"/>
      <c r="B18" s="5082"/>
      <c r="C18" s="1"/>
      <c r="D18" s="1"/>
      <c r="E18" s="1"/>
      <c r="F18" s="1"/>
      <c r="G18" s="70"/>
      <c r="H18" s="71"/>
      <c r="I18" s="74" t="s">
        <v>1482</v>
      </c>
      <c r="J18" s="72"/>
      <c r="L18" s="13"/>
      <c r="M18" s="13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9" t="s">
        <v>1305</v>
      </c>
      <c r="AB18" s="9" t="s">
        <v>1317</v>
      </c>
      <c r="AC18" s="76"/>
    </row>
    <row r="19" spans="1:29" ht="21" customHeight="1" x14ac:dyDescent="0.15">
      <c r="A19" s="6"/>
      <c r="B19" s="5083"/>
      <c r="C19" s="1"/>
      <c r="D19" s="1"/>
      <c r="E19" s="1"/>
      <c r="F19" s="1"/>
      <c r="G19" s="67"/>
      <c r="H19" s="68"/>
      <c r="I19" s="68"/>
      <c r="J19" s="69"/>
      <c r="L19" s="13"/>
      <c r="M19" s="13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9" t="s">
        <v>1306</v>
      </c>
      <c r="AB19" s="9" t="s">
        <v>1318</v>
      </c>
      <c r="AC19" s="76"/>
    </row>
    <row r="20" spans="1:29" ht="21" customHeight="1" x14ac:dyDescent="0.15">
      <c r="A20" s="6"/>
      <c r="B20" s="1"/>
      <c r="C20" s="1"/>
      <c r="D20" s="1"/>
      <c r="E20" s="1"/>
      <c r="F20" s="1"/>
      <c r="G20" s="70"/>
      <c r="H20" s="71"/>
      <c r="I20" s="71"/>
      <c r="J20" s="72"/>
      <c r="L20" s="13"/>
      <c r="M20" s="13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9" t="s">
        <v>1307</v>
      </c>
      <c r="AB20" s="9" t="s">
        <v>1319</v>
      </c>
      <c r="AC20" s="76"/>
    </row>
    <row r="21" spans="1:29" ht="21" customHeight="1" x14ac:dyDescent="0.15">
      <c r="A21" s="6"/>
      <c r="B21" s="1"/>
      <c r="C21" s="1"/>
      <c r="D21" s="1"/>
      <c r="E21" s="1"/>
      <c r="F21" s="1"/>
      <c r="G21" s="73"/>
      <c r="H21" s="73"/>
      <c r="I21" s="73"/>
      <c r="J21" s="73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9" t="s">
        <v>1308</v>
      </c>
      <c r="AB21" s="9" t="s">
        <v>1320</v>
      </c>
      <c r="AC21" s="76"/>
    </row>
    <row r="22" spans="1:29" ht="21" customHeight="1" x14ac:dyDescent="0.15">
      <c r="A22" s="6"/>
      <c r="B22" s="1"/>
      <c r="C22" s="1"/>
      <c r="D22" s="1"/>
      <c r="E22" s="1"/>
      <c r="F22" s="1"/>
      <c r="G22" s="73"/>
      <c r="H22" s="73"/>
      <c r="I22" s="73"/>
      <c r="J22" s="73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9" t="s">
        <v>1309</v>
      </c>
      <c r="AB22" s="9" t="s">
        <v>1321</v>
      </c>
      <c r="AC22" s="76"/>
    </row>
    <row r="23" spans="1:29" ht="17.25" customHeight="1" x14ac:dyDescent="0.15">
      <c r="A23" s="6"/>
      <c r="B23" s="1"/>
      <c r="C23" s="1"/>
      <c r="D23" s="1"/>
      <c r="E23" s="1"/>
      <c r="F23" s="1"/>
      <c r="G23" s="1"/>
      <c r="H23" s="1"/>
      <c r="I23" s="2"/>
      <c r="J23" s="2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2"/>
      <c r="AB23" s="9" t="s">
        <v>1322</v>
      </c>
      <c r="AC23" s="76"/>
    </row>
    <row r="24" spans="1:29" ht="18.75" customHeight="1" x14ac:dyDescent="0.15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0"/>
      <c r="S24" s="10"/>
      <c r="T24" s="10"/>
      <c r="U24" s="10"/>
      <c r="V24" s="10"/>
      <c r="W24" s="10"/>
      <c r="X24" s="10"/>
      <c r="Y24" s="10"/>
      <c r="Z24" s="10"/>
      <c r="AA24" s="12"/>
      <c r="AB24" s="9" t="s">
        <v>1323</v>
      </c>
      <c r="AC24" s="76"/>
    </row>
    <row r="25" spans="1:29" ht="18" customHeight="1" x14ac:dyDescent="0.15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0"/>
      <c r="S25" s="10"/>
      <c r="T25" s="10"/>
      <c r="U25" s="10"/>
      <c r="V25" s="10"/>
      <c r="W25" s="10"/>
      <c r="X25" s="10"/>
      <c r="Y25" s="10"/>
      <c r="Z25" s="10"/>
      <c r="AA25" s="12"/>
      <c r="AB25" s="9" t="s">
        <v>1324</v>
      </c>
      <c r="AC25" s="76"/>
    </row>
    <row r="26" spans="1:29" ht="19.5" customHeight="1" x14ac:dyDescent="0.15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0"/>
      <c r="S26" s="10"/>
      <c r="T26" s="10"/>
      <c r="U26" s="10"/>
      <c r="V26" s="10"/>
      <c r="W26" s="10"/>
      <c r="X26" s="10"/>
      <c r="Y26" s="10"/>
      <c r="Z26" s="10"/>
      <c r="AA26" s="12"/>
      <c r="AB26" s="9" t="s">
        <v>1325</v>
      </c>
      <c r="AC26" s="76"/>
    </row>
    <row r="27" spans="1:29" ht="19.5" customHeight="1" x14ac:dyDescent="0.15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0"/>
      <c r="S27" s="10"/>
      <c r="T27" s="10"/>
      <c r="U27" s="10"/>
      <c r="V27" s="10"/>
      <c r="W27" s="10"/>
      <c r="X27" s="10"/>
      <c r="Y27" s="10"/>
      <c r="Z27" s="10"/>
      <c r="AA27" s="12"/>
      <c r="AB27" s="9" t="s">
        <v>1326</v>
      </c>
      <c r="AC27" s="76"/>
    </row>
    <row r="28" spans="1:29" ht="18.75" customHeight="1" x14ac:dyDescent="0.15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0"/>
      <c r="S28" s="10"/>
      <c r="T28" s="10"/>
      <c r="U28" s="10"/>
      <c r="V28" s="10"/>
      <c r="W28" s="10"/>
      <c r="X28" s="10"/>
      <c r="Y28" s="10"/>
      <c r="Z28" s="10"/>
      <c r="AA28" s="12"/>
      <c r="AB28" s="9" t="s">
        <v>1327</v>
      </c>
      <c r="AC28" s="76"/>
    </row>
    <row r="29" spans="1:29" ht="18.75" customHeight="1" x14ac:dyDescent="0.25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0"/>
      <c r="S29" s="10"/>
      <c r="T29" s="10"/>
      <c r="U29" s="10"/>
      <c r="V29" s="10"/>
      <c r="W29" s="10"/>
      <c r="X29" s="10"/>
      <c r="Y29" s="10"/>
      <c r="Z29" s="10"/>
      <c r="AA29"/>
      <c r="AB29" s="9" t="s">
        <v>1328</v>
      </c>
      <c r="AC29" s="77"/>
    </row>
    <row r="30" spans="1:29" ht="18.75" customHeight="1" x14ac:dyDescent="0.25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0"/>
      <c r="S30" s="10"/>
      <c r="T30" s="10"/>
      <c r="U30" s="10"/>
      <c r="V30" s="10"/>
      <c r="W30" s="10"/>
      <c r="X30" s="10"/>
      <c r="Y30" s="10"/>
      <c r="Z30" s="10"/>
      <c r="AA30"/>
      <c r="AB30" s="9" t="s">
        <v>1329</v>
      </c>
      <c r="AC30" s="77"/>
    </row>
    <row r="31" spans="1:29" ht="18.75" customHeight="1" x14ac:dyDescent="0.25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0"/>
      <c r="S31" s="10"/>
      <c r="T31" s="10"/>
      <c r="U31" s="10"/>
      <c r="V31" s="10"/>
      <c r="W31" s="10"/>
      <c r="X31" s="10"/>
      <c r="Y31" s="10"/>
      <c r="Z31" s="10"/>
      <c r="AA31"/>
      <c r="AB31" s="9" t="s">
        <v>1330</v>
      </c>
      <c r="AC31" s="77"/>
    </row>
    <row r="32" spans="1:29" ht="12" customHeight="1" x14ac:dyDescent="0.25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0"/>
      <c r="S32" s="10"/>
      <c r="T32" s="10"/>
      <c r="U32" s="10"/>
      <c r="V32" s="10"/>
      <c r="W32" s="10"/>
      <c r="X32" s="10"/>
      <c r="Y32" s="10"/>
      <c r="Z32" s="10"/>
      <c r="AA32"/>
      <c r="AB32" s="9" t="s">
        <v>1331</v>
      </c>
      <c r="AC32" s="77"/>
    </row>
    <row r="33" spans="1:29" ht="12" customHeight="1" x14ac:dyDescent="0.15">
      <c r="A33" s="6"/>
      <c r="B33" s="1"/>
      <c r="C33" s="1"/>
      <c r="D33" s="1"/>
      <c r="E33" s="1"/>
      <c r="F33" s="1"/>
      <c r="G33" s="1"/>
      <c r="H33" s="1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B33" s="9" t="s">
        <v>1332</v>
      </c>
      <c r="AC33" s="75"/>
    </row>
    <row r="34" spans="1:29" ht="12" customHeight="1" x14ac:dyDescent="0.15">
      <c r="A34" s="6"/>
      <c r="B34" s="1"/>
      <c r="C34" s="1"/>
      <c r="D34" s="1"/>
      <c r="E34" s="1"/>
      <c r="F34" s="1"/>
      <c r="G34" s="1"/>
      <c r="H34" s="1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B34" s="9" t="s">
        <v>1333</v>
      </c>
      <c r="AC34" s="75"/>
    </row>
    <row r="35" spans="1:29" ht="12" customHeight="1" x14ac:dyDescent="0.15">
      <c r="A35" s="6"/>
      <c r="B35" s="1"/>
      <c r="C35" s="1"/>
      <c r="D35" s="1"/>
      <c r="E35" s="1"/>
      <c r="F35" s="1"/>
      <c r="G35" s="1"/>
      <c r="H35" s="1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B35" s="9" t="s">
        <v>1334</v>
      </c>
      <c r="AC35" s="75"/>
    </row>
    <row r="36" spans="1:29" x14ac:dyDescent="0.15">
      <c r="A36" s="6"/>
      <c r="B36" s="1"/>
      <c r="C36" s="1"/>
      <c r="D36" s="1"/>
      <c r="E36" s="1"/>
      <c r="F36" s="1"/>
      <c r="G36" s="1"/>
      <c r="H36" s="1"/>
      <c r="AB36" s="9" t="s">
        <v>1335</v>
      </c>
      <c r="AC36" s="75"/>
    </row>
    <row r="37" spans="1:29" x14ac:dyDescent="0.15">
      <c r="A37" s="6"/>
      <c r="B37" s="1"/>
      <c r="C37" s="1"/>
      <c r="D37" s="1"/>
      <c r="E37" s="1"/>
      <c r="F37" s="1"/>
      <c r="G37" s="1"/>
      <c r="H37" s="1"/>
      <c r="AB37" s="9" t="s">
        <v>1682</v>
      </c>
    </row>
    <row r="38" spans="1:29" x14ac:dyDescent="0.15">
      <c r="A38" s="6"/>
      <c r="C38" s="1"/>
      <c r="D38" s="1"/>
      <c r="E38" s="1"/>
      <c r="F38" s="1"/>
      <c r="G38" s="1"/>
      <c r="H38" s="1"/>
      <c r="AB38" s="9"/>
    </row>
    <row r="39" spans="1:29" x14ac:dyDescent="0.15">
      <c r="A39" s="6"/>
      <c r="C39" s="1"/>
      <c r="D39" s="1"/>
      <c r="E39" s="1"/>
      <c r="F39" s="1"/>
      <c r="G39" s="1"/>
      <c r="H39" s="1"/>
      <c r="AB39" s="9"/>
    </row>
    <row r="40" spans="1:29" x14ac:dyDescent="0.15">
      <c r="A40" s="6"/>
      <c r="C40" s="1"/>
      <c r="D40" s="1"/>
      <c r="E40" s="1"/>
      <c r="F40" s="1"/>
      <c r="G40" s="1"/>
      <c r="H40" s="1"/>
      <c r="AB40" s="9"/>
    </row>
    <row r="41" spans="1:29" x14ac:dyDescent="0.15">
      <c r="A41" s="6"/>
      <c r="C41" s="1"/>
      <c r="D41" s="1"/>
      <c r="E41" s="1"/>
      <c r="F41" s="1"/>
      <c r="G41" s="1"/>
      <c r="H41" s="1"/>
    </row>
    <row r="42" spans="1:29" x14ac:dyDescent="0.15">
      <c r="A42" s="6"/>
      <c r="C42" s="1"/>
      <c r="D42" s="1"/>
      <c r="E42" s="1"/>
      <c r="F42" s="1"/>
      <c r="G42" s="1"/>
      <c r="H42" s="1"/>
    </row>
    <row r="43" spans="1:29" x14ac:dyDescent="0.15">
      <c r="A43" s="6"/>
      <c r="C43" s="1"/>
      <c r="D43" s="1"/>
      <c r="E43" s="1"/>
      <c r="F43" s="1"/>
      <c r="G43" s="1"/>
      <c r="H43" s="1"/>
    </row>
    <row r="44" spans="1:29" x14ac:dyDescent="0.15">
      <c r="A44" s="6"/>
      <c r="C44" s="1"/>
      <c r="D44" s="1"/>
      <c r="E44" s="1"/>
      <c r="F44" s="1"/>
      <c r="G44" s="1"/>
      <c r="H44" s="1"/>
    </row>
    <row r="45" spans="1:29" x14ac:dyDescent="0.15">
      <c r="A45" s="6"/>
      <c r="C45" s="1"/>
      <c r="D45" s="1"/>
      <c r="E45" s="1"/>
      <c r="F45" s="1"/>
      <c r="G45" s="1"/>
      <c r="H45" s="1"/>
    </row>
    <row r="46" spans="1:29" x14ac:dyDescent="0.15">
      <c r="A46" s="6"/>
      <c r="C46" s="1"/>
      <c r="D46" s="1"/>
      <c r="E46" s="1"/>
      <c r="F46" s="1"/>
      <c r="G46" s="1"/>
      <c r="H46" s="1"/>
    </row>
    <row r="47" spans="1:29" x14ac:dyDescent="0.15">
      <c r="A47" s="6"/>
      <c r="C47" s="1"/>
      <c r="D47" s="1"/>
      <c r="E47" s="1"/>
      <c r="F47" s="1"/>
      <c r="G47" s="1"/>
      <c r="H47" s="1"/>
    </row>
    <row r="48" spans="1:29" x14ac:dyDescent="0.15">
      <c r="A48" s="6"/>
      <c r="C48" s="1"/>
      <c r="D48" s="1"/>
      <c r="E48" s="1"/>
      <c r="F48" s="1"/>
      <c r="G48" s="1"/>
      <c r="H48" s="1"/>
    </row>
    <row r="49" spans="3:8" x14ac:dyDescent="0.15">
      <c r="C49" s="1"/>
      <c r="D49" s="1"/>
      <c r="E49" s="1"/>
      <c r="F49" s="1"/>
      <c r="G49" s="1"/>
      <c r="H49" s="1"/>
    </row>
    <row r="50" spans="3:8" x14ac:dyDescent="0.15">
      <c r="C50" s="1"/>
      <c r="D50" s="1"/>
      <c r="E50" s="1"/>
      <c r="F50" s="1"/>
      <c r="G50" s="1"/>
      <c r="H50" s="1"/>
    </row>
    <row r="51" spans="3:8" x14ac:dyDescent="0.15">
      <c r="C51" s="1"/>
      <c r="D51" s="1"/>
      <c r="E51" s="1"/>
      <c r="F51" s="1"/>
      <c r="G51" s="1"/>
      <c r="H51" s="1"/>
    </row>
    <row r="52" spans="3:8" x14ac:dyDescent="0.15">
      <c r="C52" s="1"/>
      <c r="D52" s="1"/>
      <c r="E52" s="1"/>
      <c r="F52" s="1"/>
      <c r="G52" s="1"/>
      <c r="H52" s="1"/>
    </row>
    <row r="53" spans="3:8" x14ac:dyDescent="0.15">
      <c r="C53" s="1"/>
      <c r="D53" s="1"/>
      <c r="E53" s="1"/>
      <c r="F53" s="1"/>
      <c r="G53" s="1"/>
      <c r="H53" s="1"/>
    </row>
    <row r="54" spans="3:8" x14ac:dyDescent="0.15">
      <c r="C54" s="1"/>
      <c r="D54" s="1"/>
      <c r="E54" s="1"/>
      <c r="F54" s="1"/>
      <c r="G54" s="1"/>
      <c r="H54" s="1"/>
    </row>
    <row r="55" spans="3:8" x14ac:dyDescent="0.15">
      <c r="C55" s="1"/>
      <c r="D55" s="1"/>
      <c r="E55" s="1"/>
      <c r="F55" s="1"/>
      <c r="G55" s="1"/>
      <c r="H55" s="1"/>
    </row>
    <row r="56" spans="3:8" x14ac:dyDescent="0.15">
      <c r="C56" s="1"/>
      <c r="D56" s="1"/>
      <c r="E56" s="1"/>
      <c r="F56" s="1"/>
      <c r="G56" s="1"/>
      <c r="H56" s="1"/>
    </row>
    <row r="57" spans="3:8" x14ac:dyDescent="0.15">
      <c r="C57" s="1"/>
      <c r="D57" s="1"/>
      <c r="E57" s="1"/>
      <c r="F57" s="1"/>
      <c r="G57" s="1"/>
      <c r="H57" s="1"/>
    </row>
    <row r="58" spans="3:8" x14ac:dyDescent="0.15">
      <c r="C58" s="1"/>
      <c r="D58" s="1"/>
      <c r="E58" s="1"/>
      <c r="F58" s="1"/>
      <c r="G58" s="1"/>
      <c r="H58" s="1"/>
    </row>
    <row r="59" spans="3:8" x14ac:dyDescent="0.15">
      <c r="C59" s="1"/>
      <c r="D59" s="1"/>
      <c r="E59" s="1"/>
      <c r="F59" s="1"/>
      <c r="G59" s="1"/>
      <c r="H59" s="1"/>
    </row>
    <row r="60" spans="3:8" x14ac:dyDescent="0.15">
      <c r="C60" s="1"/>
      <c r="D60" s="1"/>
      <c r="E60" s="1"/>
      <c r="F60" s="1"/>
      <c r="G60" s="1"/>
      <c r="H60" s="1"/>
    </row>
    <row r="61" spans="3:8" x14ac:dyDescent="0.15">
      <c r="C61" s="1"/>
      <c r="D61" s="1"/>
      <c r="E61" s="1"/>
      <c r="F61" s="1"/>
      <c r="G61" s="1"/>
      <c r="H61" s="1"/>
    </row>
    <row r="62" spans="3:8" x14ac:dyDescent="0.15">
      <c r="C62" s="1"/>
      <c r="D62" s="1"/>
      <c r="E62" s="1"/>
      <c r="F62" s="1"/>
      <c r="G62" s="1"/>
      <c r="H62" s="1"/>
    </row>
    <row r="63" spans="3:8" x14ac:dyDescent="0.15">
      <c r="C63" s="1"/>
      <c r="D63" s="1"/>
      <c r="E63" s="1"/>
      <c r="F63" s="1"/>
      <c r="G63" s="1"/>
      <c r="H63" s="1"/>
    </row>
    <row r="64" spans="3:8" x14ac:dyDescent="0.15">
      <c r="C64" s="1"/>
      <c r="D64" s="1"/>
      <c r="E64" s="1"/>
      <c r="F64" s="1"/>
      <c r="G64" s="1"/>
      <c r="H64" s="1"/>
    </row>
    <row r="65" spans="3:8" x14ac:dyDescent="0.15">
      <c r="C65" s="1"/>
      <c r="D65" s="1"/>
      <c r="E65" s="1"/>
      <c r="F65" s="1"/>
      <c r="G65" s="1"/>
      <c r="H65" s="1"/>
    </row>
    <row r="66" spans="3:8" x14ac:dyDescent="0.15">
      <c r="C66" s="1"/>
      <c r="D66" s="1"/>
      <c r="E66" s="1"/>
      <c r="F66" s="1"/>
      <c r="G66" s="1"/>
      <c r="H66" s="1"/>
    </row>
    <row r="67" spans="3:8" x14ac:dyDescent="0.15">
      <c r="C67" s="1"/>
      <c r="D67" s="1"/>
      <c r="E67" s="1"/>
      <c r="F67" s="1"/>
      <c r="G67" s="1"/>
      <c r="H67" s="1"/>
    </row>
    <row r="68" spans="3:8" x14ac:dyDescent="0.15">
      <c r="C68" s="1"/>
      <c r="D68" s="1"/>
      <c r="E68" s="1"/>
      <c r="F68" s="1"/>
      <c r="G68" s="1"/>
      <c r="H68" s="1"/>
    </row>
    <row r="69" spans="3:8" x14ac:dyDescent="0.15">
      <c r="C69" s="1"/>
      <c r="D69" s="1"/>
      <c r="E69" s="1"/>
      <c r="F69" s="1"/>
      <c r="G69" s="1"/>
      <c r="H69" s="1"/>
    </row>
    <row r="70" spans="3:8" x14ac:dyDescent="0.15">
      <c r="C70" s="1"/>
      <c r="D70" s="1"/>
      <c r="E70" s="1"/>
      <c r="F70" s="1"/>
      <c r="G70" s="1"/>
      <c r="H70" s="1"/>
    </row>
    <row r="71" spans="3:8" x14ac:dyDescent="0.15">
      <c r="C71" s="1"/>
      <c r="D71" s="1"/>
      <c r="E71" s="1"/>
      <c r="F71" s="1"/>
      <c r="G71" s="1"/>
      <c r="H71" s="1"/>
    </row>
    <row r="72" spans="3:8" x14ac:dyDescent="0.15">
      <c r="C72" s="1"/>
      <c r="D72" s="1"/>
      <c r="E72" s="1"/>
      <c r="F72" s="1"/>
      <c r="G72" s="1"/>
      <c r="H72" s="1"/>
    </row>
    <row r="73" spans="3:8" x14ac:dyDescent="0.15">
      <c r="C73" s="1"/>
      <c r="D73" s="1"/>
      <c r="E73" s="1"/>
      <c r="F73" s="1"/>
      <c r="G73" s="1"/>
      <c r="H73" s="1"/>
    </row>
    <row r="74" spans="3:8" x14ac:dyDescent="0.15">
      <c r="C74" s="1"/>
      <c r="D74" s="1"/>
      <c r="E74" s="1"/>
      <c r="F74" s="1"/>
      <c r="G74" s="1"/>
      <c r="H74" s="1"/>
    </row>
    <row r="75" spans="3:8" x14ac:dyDescent="0.15">
      <c r="C75" s="1"/>
      <c r="D75" s="1"/>
      <c r="E75" s="1"/>
      <c r="F75" s="1"/>
      <c r="G75" s="1"/>
      <c r="H75" s="1"/>
    </row>
    <row r="76" spans="3:8" x14ac:dyDescent="0.15">
      <c r="C76" s="1"/>
      <c r="D76" s="1"/>
      <c r="E76" s="1"/>
      <c r="F76" s="1"/>
      <c r="G76" s="1"/>
      <c r="H76" s="1"/>
    </row>
    <row r="77" spans="3:8" x14ac:dyDescent="0.15">
      <c r="C77" s="1"/>
      <c r="D77" s="1"/>
      <c r="E77" s="1"/>
      <c r="F77" s="1"/>
      <c r="G77" s="1"/>
      <c r="H77" s="1"/>
    </row>
    <row r="78" spans="3:8" x14ac:dyDescent="0.15">
      <c r="C78" s="1"/>
      <c r="D78" s="1"/>
      <c r="E78" s="1"/>
      <c r="F78" s="1"/>
      <c r="G78" s="1"/>
      <c r="H78" s="1"/>
    </row>
    <row r="79" spans="3:8" x14ac:dyDescent="0.15">
      <c r="C79" s="1"/>
      <c r="D79" s="1"/>
      <c r="E79" s="1"/>
      <c r="F79" s="1"/>
      <c r="G79" s="1"/>
      <c r="H79" s="1"/>
    </row>
    <row r="80" spans="3:8" x14ac:dyDescent="0.15">
      <c r="C80" s="1"/>
      <c r="D80" s="1"/>
      <c r="E80" s="1"/>
      <c r="F80" s="1"/>
      <c r="G80" s="1"/>
      <c r="H80" s="1"/>
    </row>
    <row r="81" spans="3:8" x14ac:dyDescent="0.15">
      <c r="C81" s="1"/>
      <c r="D81" s="1"/>
      <c r="E81" s="1"/>
      <c r="F81" s="1"/>
      <c r="G81" s="1"/>
      <c r="H81" s="1"/>
    </row>
    <row r="82" spans="3:8" x14ac:dyDescent="0.15">
      <c r="C82" s="1"/>
      <c r="D82" s="1"/>
      <c r="E82" s="1"/>
      <c r="F82" s="1"/>
      <c r="G82" s="1"/>
      <c r="H82" s="1"/>
    </row>
    <row r="83" spans="3:8" x14ac:dyDescent="0.15">
      <c r="C83" s="1"/>
      <c r="D83" s="1"/>
      <c r="E83" s="1"/>
      <c r="F83" s="1"/>
      <c r="G83" s="1"/>
      <c r="H83" s="1"/>
    </row>
    <row r="84" spans="3:8" x14ac:dyDescent="0.15">
      <c r="C84" s="1"/>
      <c r="D84" s="1"/>
      <c r="E84" s="1"/>
      <c r="F84" s="1"/>
      <c r="G84" s="1"/>
      <c r="H84" s="1"/>
    </row>
    <row r="85" spans="3:8" x14ac:dyDescent="0.15">
      <c r="C85" s="1"/>
      <c r="D85" s="1"/>
      <c r="E85" s="1"/>
      <c r="F85" s="1"/>
      <c r="G85" s="1"/>
      <c r="H85" s="1"/>
    </row>
    <row r="86" spans="3:8" x14ac:dyDescent="0.15">
      <c r="C86" s="1"/>
      <c r="D86" s="1"/>
      <c r="E86" s="1"/>
      <c r="F86" s="1"/>
      <c r="G86" s="1"/>
      <c r="H86" s="1"/>
    </row>
    <row r="87" spans="3:8" x14ac:dyDescent="0.15">
      <c r="C87" s="1"/>
      <c r="D87" s="1"/>
      <c r="E87" s="1"/>
      <c r="F87" s="1"/>
      <c r="G87" s="1"/>
      <c r="H87" s="1"/>
    </row>
    <row r="88" spans="3:8" x14ac:dyDescent="0.15">
      <c r="C88" s="1"/>
      <c r="D88" s="1"/>
      <c r="E88" s="1"/>
      <c r="F88" s="1"/>
      <c r="G88" s="1"/>
      <c r="H88" s="1"/>
    </row>
    <row r="89" spans="3:8" x14ac:dyDescent="0.15">
      <c r="C89" s="1"/>
      <c r="D89" s="1"/>
      <c r="E89" s="1"/>
      <c r="F89" s="1"/>
      <c r="G89" s="1"/>
      <c r="H89" s="1"/>
    </row>
    <row r="90" spans="3:8" x14ac:dyDescent="0.15">
      <c r="C90" s="1"/>
      <c r="D90" s="1"/>
      <c r="E90" s="1"/>
      <c r="F90" s="1"/>
      <c r="G90" s="1"/>
      <c r="H90" s="1"/>
    </row>
    <row r="91" spans="3:8" x14ac:dyDescent="0.15">
      <c r="C91" s="1"/>
      <c r="D91" s="1"/>
      <c r="E91" s="1"/>
      <c r="F91" s="1"/>
      <c r="G91" s="1"/>
      <c r="H91" s="1"/>
    </row>
    <row r="92" spans="3:8" x14ac:dyDescent="0.15">
      <c r="C92" s="1"/>
      <c r="D92" s="1"/>
      <c r="E92" s="1"/>
      <c r="F92" s="1"/>
      <c r="G92" s="1"/>
      <c r="H92" s="1"/>
    </row>
    <row r="93" spans="3:8" x14ac:dyDescent="0.15">
      <c r="C93" s="1"/>
      <c r="D93" s="1"/>
      <c r="E93" s="1"/>
      <c r="F93" s="1"/>
      <c r="G93" s="1"/>
      <c r="H93" s="1"/>
    </row>
    <row r="94" spans="3:8" x14ac:dyDescent="0.15">
      <c r="C94" s="1"/>
      <c r="D94" s="1"/>
      <c r="E94" s="1"/>
      <c r="F94" s="1"/>
      <c r="G94" s="1"/>
      <c r="H94" s="1"/>
    </row>
    <row r="95" spans="3:8" x14ac:dyDescent="0.15">
      <c r="C95" s="1"/>
      <c r="D95" s="1"/>
      <c r="E95" s="1"/>
      <c r="F95" s="1"/>
      <c r="G95" s="1"/>
      <c r="H95" s="1"/>
    </row>
    <row r="96" spans="3:8" x14ac:dyDescent="0.15">
      <c r="C96" s="1"/>
      <c r="D96" s="1"/>
      <c r="E96" s="1"/>
      <c r="F96" s="1"/>
      <c r="G96" s="1"/>
      <c r="H96" s="1"/>
    </row>
    <row r="97" spans="3:8" x14ac:dyDescent="0.15">
      <c r="C97" s="1"/>
      <c r="D97" s="1"/>
      <c r="E97" s="1"/>
      <c r="F97" s="1"/>
      <c r="G97" s="1"/>
      <c r="H97" s="1"/>
    </row>
    <row r="98" spans="3:8" x14ac:dyDescent="0.15">
      <c r="C98" s="1"/>
      <c r="D98" s="1"/>
      <c r="E98" s="1"/>
      <c r="F98" s="1"/>
      <c r="G98" s="1"/>
      <c r="H98" s="1"/>
    </row>
    <row r="99" spans="3:8" x14ac:dyDescent="0.15">
      <c r="C99" s="1"/>
      <c r="D99" s="1"/>
      <c r="E99" s="1"/>
      <c r="F99" s="1"/>
      <c r="G99" s="1"/>
      <c r="H99" s="1"/>
    </row>
    <row r="100" spans="3:8" x14ac:dyDescent="0.15">
      <c r="C100" s="1"/>
      <c r="D100" s="1"/>
      <c r="E100" s="1"/>
      <c r="F100" s="1"/>
      <c r="G100" s="1"/>
      <c r="H100" s="1"/>
    </row>
    <row r="101" spans="3:8" x14ac:dyDescent="0.15">
      <c r="C101" s="1"/>
      <c r="D101" s="1"/>
      <c r="E101" s="1"/>
      <c r="F101" s="1"/>
      <c r="G101" s="1"/>
      <c r="H101" s="1"/>
    </row>
    <row r="102" spans="3:8" x14ac:dyDescent="0.15">
      <c r="C102" s="1"/>
      <c r="D102" s="1"/>
      <c r="E102" s="1"/>
      <c r="F102" s="1"/>
      <c r="G102" s="1"/>
      <c r="H102" s="1"/>
    </row>
    <row r="103" spans="3:8" x14ac:dyDescent="0.15">
      <c r="C103" s="1"/>
      <c r="D103" s="1"/>
      <c r="E103" s="1"/>
      <c r="F103" s="1"/>
      <c r="G103" s="1"/>
      <c r="H103" s="1"/>
    </row>
    <row r="104" spans="3:8" x14ac:dyDescent="0.15">
      <c r="C104" s="1"/>
      <c r="D104" s="1"/>
      <c r="E104" s="1"/>
      <c r="F104" s="1"/>
      <c r="G104" s="1"/>
      <c r="H104" s="1"/>
    </row>
    <row r="105" spans="3:8" x14ac:dyDescent="0.15">
      <c r="C105" s="1"/>
      <c r="D105" s="1"/>
      <c r="E105" s="1"/>
      <c r="F105" s="1"/>
      <c r="G105" s="1"/>
      <c r="H105" s="1"/>
    </row>
    <row r="106" spans="3:8" x14ac:dyDescent="0.15">
      <c r="C106" s="1"/>
      <c r="D106" s="1"/>
      <c r="E106" s="1"/>
      <c r="F106" s="1"/>
      <c r="G106" s="1"/>
      <c r="H106" s="1"/>
    </row>
    <row r="107" spans="3:8" x14ac:dyDescent="0.15">
      <c r="C107" s="1"/>
      <c r="D107" s="1"/>
      <c r="E107" s="1"/>
      <c r="F107" s="1"/>
      <c r="G107" s="1"/>
      <c r="H107" s="1"/>
    </row>
    <row r="108" spans="3:8" x14ac:dyDescent="0.15">
      <c r="C108" s="1"/>
      <c r="D108" s="1"/>
      <c r="E108" s="1"/>
      <c r="F108" s="1"/>
      <c r="G108" s="1"/>
      <c r="H108" s="1"/>
    </row>
    <row r="109" spans="3:8" x14ac:dyDescent="0.15">
      <c r="C109" s="1"/>
      <c r="D109" s="1"/>
      <c r="E109" s="1"/>
      <c r="F109" s="1"/>
      <c r="G109" s="1"/>
      <c r="H109" s="1"/>
    </row>
    <row r="110" spans="3:8" x14ac:dyDescent="0.15">
      <c r="C110" s="1"/>
      <c r="D110" s="1"/>
      <c r="E110" s="1"/>
      <c r="F110" s="1"/>
      <c r="G110" s="1"/>
      <c r="H110" s="1"/>
    </row>
    <row r="111" spans="3:8" x14ac:dyDescent="0.15">
      <c r="C111" s="1"/>
      <c r="D111" s="1"/>
      <c r="E111" s="1"/>
      <c r="F111" s="1"/>
      <c r="G111" s="1"/>
      <c r="H111" s="1"/>
    </row>
    <row r="112" spans="3:8" x14ac:dyDescent="0.15">
      <c r="C112" s="1"/>
      <c r="D112" s="1"/>
      <c r="E112" s="1"/>
      <c r="F112" s="1"/>
      <c r="G112" s="1"/>
      <c r="H112" s="1"/>
    </row>
    <row r="113" spans="3:8" x14ac:dyDescent="0.15">
      <c r="C113" s="1"/>
      <c r="D113" s="1"/>
      <c r="E113" s="1"/>
      <c r="F113" s="1"/>
      <c r="G113" s="1"/>
      <c r="H113" s="1"/>
    </row>
    <row r="114" spans="3:8" x14ac:dyDescent="0.15">
      <c r="C114" s="1"/>
      <c r="D114" s="1"/>
      <c r="E114" s="1"/>
      <c r="F114" s="1"/>
      <c r="G114" s="1"/>
      <c r="H114" s="1"/>
    </row>
    <row r="115" spans="3:8" x14ac:dyDescent="0.15">
      <c r="C115" s="1"/>
      <c r="D115" s="1"/>
      <c r="E115" s="1"/>
      <c r="F115" s="1"/>
      <c r="G115" s="1"/>
      <c r="H115" s="1"/>
    </row>
    <row r="116" spans="3:8" x14ac:dyDescent="0.15">
      <c r="C116" s="1"/>
      <c r="D116" s="1"/>
      <c r="E116" s="1"/>
      <c r="F116" s="1"/>
      <c r="G116" s="1"/>
      <c r="H116" s="1"/>
    </row>
    <row r="117" spans="3:8" x14ac:dyDescent="0.15">
      <c r="C117" s="1"/>
      <c r="D117" s="1"/>
      <c r="E117" s="1"/>
      <c r="F117" s="1"/>
      <c r="G117" s="1"/>
      <c r="H117" s="1"/>
    </row>
    <row r="118" spans="3:8" x14ac:dyDescent="0.15">
      <c r="C118" s="1"/>
      <c r="D118" s="1"/>
      <c r="E118" s="1"/>
      <c r="F118" s="1"/>
      <c r="G118" s="1"/>
      <c r="H118" s="1"/>
    </row>
    <row r="119" spans="3:8" x14ac:dyDescent="0.15">
      <c r="C119" s="1"/>
      <c r="D119" s="1"/>
      <c r="E119" s="1"/>
      <c r="F119" s="1"/>
      <c r="G119" s="1"/>
      <c r="H119" s="1"/>
    </row>
    <row r="120" spans="3:8" x14ac:dyDescent="0.15">
      <c r="C120" s="1"/>
      <c r="D120" s="1"/>
      <c r="E120" s="1"/>
      <c r="F120" s="1"/>
      <c r="G120" s="1"/>
      <c r="H120" s="1"/>
    </row>
    <row r="121" spans="3:8" x14ac:dyDescent="0.15">
      <c r="C121" s="1"/>
      <c r="D121" s="1"/>
      <c r="E121" s="1"/>
      <c r="F121" s="1"/>
      <c r="G121" s="1"/>
      <c r="H121" s="1"/>
    </row>
    <row r="122" spans="3:8" x14ac:dyDescent="0.15">
      <c r="C122" s="1"/>
      <c r="D122" s="1"/>
      <c r="E122" s="1"/>
      <c r="F122" s="1"/>
      <c r="G122" s="1"/>
      <c r="H122" s="1"/>
    </row>
    <row r="123" spans="3:8" x14ac:dyDescent="0.15">
      <c r="C123" s="1"/>
      <c r="D123" s="1"/>
      <c r="E123" s="1"/>
      <c r="F123" s="1"/>
      <c r="G123" s="1"/>
      <c r="H123" s="1"/>
    </row>
    <row r="124" spans="3:8" x14ac:dyDescent="0.15">
      <c r="C124" s="1"/>
      <c r="D124" s="1"/>
      <c r="E124" s="1"/>
      <c r="F124" s="1"/>
      <c r="G124" s="1"/>
      <c r="H124" s="1"/>
    </row>
    <row r="125" spans="3:8" x14ac:dyDescent="0.15">
      <c r="C125" s="1"/>
      <c r="D125" s="1"/>
      <c r="E125" s="1"/>
      <c r="F125" s="1"/>
      <c r="G125" s="1"/>
      <c r="H125" s="1"/>
    </row>
    <row r="126" spans="3:8" x14ac:dyDescent="0.15">
      <c r="C126" s="1"/>
      <c r="D126" s="1"/>
      <c r="E126" s="1"/>
      <c r="F126" s="1"/>
      <c r="G126" s="1"/>
      <c r="H126" s="1"/>
    </row>
    <row r="127" spans="3:8" x14ac:dyDescent="0.15">
      <c r="C127" s="1"/>
      <c r="D127" s="1"/>
      <c r="E127" s="1"/>
      <c r="F127" s="1"/>
      <c r="G127" s="1"/>
      <c r="H127" s="1"/>
    </row>
    <row r="128" spans="3:8" x14ac:dyDescent="0.15">
      <c r="C128" s="1"/>
      <c r="D128" s="1"/>
      <c r="E128" s="1"/>
      <c r="F128" s="1"/>
      <c r="G128" s="1"/>
      <c r="H128" s="1"/>
    </row>
    <row r="129" spans="3:8" x14ac:dyDescent="0.15">
      <c r="C129" s="1"/>
      <c r="D129" s="1"/>
      <c r="E129" s="1"/>
      <c r="F129" s="1"/>
      <c r="G129" s="1"/>
      <c r="H129" s="1"/>
    </row>
    <row r="130" spans="3:8" x14ac:dyDescent="0.15">
      <c r="C130" s="1"/>
      <c r="D130" s="1"/>
      <c r="E130" s="1"/>
      <c r="F130" s="1"/>
      <c r="G130" s="1"/>
      <c r="H130" s="1"/>
    </row>
    <row r="131" spans="3:8" x14ac:dyDescent="0.15">
      <c r="C131" s="1"/>
      <c r="D131" s="1"/>
      <c r="E131" s="1"/>
      <c r="F131" s="1"/>
      <c r="G131" s="1"/>
      <c r="H131" s="1"/>
    </row>
    <row r="132" spans="3:8" x14ac:dyDescent="0.15">
      <c r="C132" s="1"/>
      <c r="D132" s="1"/>
      <c r="E132" s="1"/>
      <c r="F132" s="1"/>
      <c r="G132" s="1"/>
      <c r="H132" s="1"/>
    </row>
    <row r="133" spans="3:8" x14ac:dyDescent="0.15">
      <c r="C133" s="1"/>
      <c r="D133" s="1"/>
      <c r="E133" s="1"/>
      <c r="F133" s="1"/>
      <c r="G133" s="1"/>
      <c r="H133" s="1"/>
    </row>
    <row r="134" spans="3:8" x14ac:dyDescent="0.15">
      <c r="C134" s="1"/>
      <c r="D134" s="1"/>
      <c r="E134" s="1"/>
      <c r="F134" s="1"/>
      <c r="G134" s="1"/>
      <c r="H134" s="1"/>
    </row>
    <row r="135" spans="3:8" x14ac:dyDescent="0.15">
      <c r="C135" s="1"/>
      <c r="D135" s="1"/>
      <c r="E135" s="1"/>
      <c r="F135" s="1"/>
      <c r="G135" s="1"/>
      <c r="H135" s="1"/>
    </row>
    <row r="136" spans="3:8" x14ac:dyDescent="0.15">
      <c r="C136" s="1"/>
      <c r="D136" s="1"/>
      <c r="E136" s="1"/>
      <c r="F136" s="1"/>
      <c r="G136" s="1"/>
      <c r="H136" s="1"/>
    </row>
    <row r="137" spans="3:8" x14ac:dyDescent="0.15">
      <c r="C137" s="1"/>
      <c r="D137" s="1"/>
      <c r="E137" s="1"/>
      <c r="F137" s="1"/>
      <c r="G137" s="1"/>
      <c r="H137" s="1"/>
    </row>
    <row r="138" spans="3:8" x14ac:dyDescent="0.15">
      <c r="C138" s="1"/>
      <c r="D138" s="1"/>
      <c r="E138" s="1"/>
      <c r="F138" s="1"/>
      <c r="G138" s="1"/>
      <c r="H138" s="1"/>
    </row>
    <row r="139" spans="3:8" x14ac:dyDescent="0.15">
      <c r="C139" s="1"/>
      <c r="D139" s="1"/>
      <c r="E139" s="1"/>
      <c r="F139" s="1"/>
      <c r="G139" s="1"/>
      <c r="H139" s="1"/>
    </row>
    <row r="140" spans="3:8" x14ac:dyDescent="0.15">
      <c r="C140" s="1"/>
      <c r="D140" s="1"/>
      <c r="E140" s="1"/>
      <c r="F140" s="1"/>
      <c r="G140" s="1"/>
      <c r="H140" s="1"/>
    </row>
    <row r="141" spans="3:8" x14ac:dyDescent="0.15">
      <c r="C141" s="1"/>
      <c r="D141" s="1"/>
      <c r="E141" s="1"/>
      <c r="F141" s="1"/>
      <c r="G141" s="1"/>
      <c r="H141" s="1"/>
    </row>
    <row r="142" spans="3:8" x14ac:dyDescent="0.15">
      <c r="C142" s="1"/>
      <c r="D142" s="1"/>
      <c r="E142" s="1"/>
      <c r="F142" s="1"/>
      <c r="G142" s="1"/>
      <c r="H142" s="1"/>
    </row>
    <row r="143" spans="3:8" x14ac:dyDescent="0.15">
      <c r="C143" s="1"/>
      <c r="D143" s="1"/>
      <c r="E143" s="1"/>
      <c r="F143" s="1"/>
      <c r="G143" s="1"/>
      <c r="H143" s="1"/>
    </row>
    <row r="144" spans="3:8" x14ac:dyDescent="0.15">
      <c r="C144" s="1"/>
      <c r="D144" s="1"/>
      <c r="E144" s="1"/>
      <c r="F144" s="1"/>
      <c r="G144" s="1"/>
      <c r="H144" s="1"/>
    </row>
    <row r="145" spans="3:8" x14ac:dyDescent="0.15">
      <c r="C145" s="1"/>
      <c r="D145" s="1"/>
      <c r="E145" s="1"/>
      <c r="F145" s="1"/>
      <c r="G145" s="1"/>
      <c r="H145" s="1"/>
    </row>
    <row r="146" spans="3:8" x14ac:dyDescent="0.15">
      <c r="C146" s="1"/>
      <c r="D146" s="1"/>
      <c r="E146" s="1"/>
      <c r="F146" s="1"/>
      <c r="G146" s="1"/>
      <c r="H146" s="1"/>
    </row>
    <row r="147" spans="3:8" x14ac:dyDescent="0.15">
      <c r="C147" s="1"/>
      <c r="D147" s="1"/>
      <c r="E147" s="1"/>
      <c r="F147" s="1"/>
      <c r="G147" s="1"/>
      <c r="H147" s="1"/>
    </row>
    <row r="148" spans="3:8" x14ac:dyDescent="0.15">
      <c r="C148" s="1"/>
      <c r="D148" s="1"/>
      <c r="E148" s="1"/>
      <c r="F148" s="1"/>
      <c r="G148" s="1"/>
      <c r="H148" s="1"/>
    </row>
    <row r="149" spans="3:8" x14ac:dyDescent="0.15">
      <c r="C149" s="1"/>
      <c r="D149" s="1"/>
      <c r="E149" s="1"/>
      <c r="F149" s="1"/>
      <c r="G149" s="1"/>
      <c r="H149" s="1"/>
    </row>
    <row r="150" spans="3:8" x14ac:dyDescent="0.15">
      <c r="C150" s="1"/>
      <c r="D150" s="1"/>
      <c r="E150" s="1"/>
      <c r="F150" s="1"/>
      <c r="G150" s="1"/>
      <c r="H150" s="1"/>
    </row>
    <row r="151" spans="3:8" x14ac:dyDescent="0.15">
      <c r="C151" s="1"/>
      <c r="D151" s="1"/>
      <c r="E151" s="1"/>
      <c r="F151" s="1"/>
      <c r="G151" s="1"/>
      <c r="H151" s="1"/>
    </row>
    <row r="152" spans="3:8" x14ac:dyDescent="0.15">
      <c r="C152" s="1"/>
      <c r="D152" s="1"/>
      <c r="E152" s="1"/>
      <c r="F152" s="1"/>
      <c r="G152" s="1"/>
      <c r="H152" s="1"/>
    </row>
    <row r="153" spans="3:8" x14ac:dyDescent="0.15">
      <c r="C153" s="1"/>
      <c r="D153" s="1"/>
      <c r="E153" s="1"/>
      <c r="F153" s="1"/>
      <c r="G153" s="1"/>
      <c r="H153" s="1"/>
    </row>
    <row r="154" spans="3:8" x14ac:dyDescent="0.15">
      <c r="C154" s="1"/>
      <c r="D154" s="1"/>
      <c r="E154" s="1"/>
      <c r="F154" s="1"/>
      <c r="G154" s="1"/>
      <c r="H154" s="1"/>
    </row>
    <row r="155" spans="3:8" x14ac:dyDescent="0.15">
      <c r="C155" s="1"/>
      <c r="D155" s="1"/>
      <c r="E155" s="1"/>
      <c r="F155" s="1"/>
      <c r="G155" s="1"/>
      <c r="H155" s="1"/>
    </row>
    <row r="156" spans="3:8" x14ac:dyDescent="0.15">
      <c r="C156" s="1"/>
      <c r="D156" s="1"/>
      <c r="E156" s="1"/>
      <c r="F156" s="1"/>
      <c r="G156" s="1"/>
      <c r="H156" s="1"/>
    </row>
    <row r="157" spans="3:8" x14ac:dyDescent="0.15">
      <c r="C157" s="1"/>
      <c r="D157" s="1"/>
      <c r="E157" s="1"/>
      <c r="F157" s="1"/>
      <c r="G157" s="1"/>
      <c r="H157" s="1"/>
    </row>
    <row r="158" spans="3:8" x14ac:dyDescent="0.15">
      <c r="C158" s="1"/>
      <c r="D158" s="1"/>
      <c r="E158" s="1"/>
      <c r="F158" s="1"/>
      <c r="G158" s="1"/>
      <c r="H158" s="1"/>
    </row>
    <row r="159" spans="3:8" x14ac:dyDescent="0.15">
      <c r="C159" s="1"/>
      <c r="D159" s="1"/>
      <c r="E159" s="1"/>
      <c r="F159" s="1"/>
      <c r="G159" s="1"/>
      <c r="H159" s="1"/>
    </row>
    <row r="160" spans="3:8" x14ac:dyDescent="0.15">
      <c r="C160" s="1"/>
      <c r="D160" s="1"/>
      <c r="E160" s="1"/>
      <c r="F160" s="1"/>
      <c r="G160" s="1"/>
      <c r="H160" s="1"/>
    </row>
    <row r="161" spans="3:8" x14ac:dyDescent="0.15">
      <c r="C161" s="1"/>
      <c r="D161" s="1"/>
      <c r="E161" s="1"/>
      <c r="F161" s="1"/>
      <c r="G161" s="1"/>
      <c r="H161" s="1"/>
    </row>
    <row r="162" spans="3:8" x14ac:dyDescent="0.15">
      <c r="C162" s="1"/>
      <c r="D162" s="1"/>
      <c r="E162" s="1"/>
      <c r="F162" s="1"/>
      <c r="G162" s="1"/>
      <c r="H162" s="1"/>
    </row>
    <row r="163" spans="3:8" x14ac:dyDescent="0.15">
      <c r="C163" s="1"/>
      <c r="D163" s="1"/>
      <c r="E163" s="1"/>
      <c r="F163" s="1"/>
      <c r="G163" s="1"/>
      <c r="H163" s="1"/>
    </row>
    <row r="164" spans="3:8" x14ac:dyDescent="0.15">
      <c r="C164" s="1"/>
      <c r="D164" s="1"/>
      <c r="E164" s="1"/>
      <c r="F164" s="1"/>
      <c r="G164" s="1"/>
      <c r="H164" s="1"/>
    </row>
    <row r="165" spans="3:8" x14ac:dyDescent="0.15">
      <c r="C165" s="1"/>
      <c r="D165" s="1"/>
      <c r="E165" s="1"/>
      <c r="F165" s="1"/>
      <c r="G165" s="1"/>
      <c r="H165" s="1"/>
    </row>
  </sheetData>
  <mergeCells count="7">
    <mergeCell ref="C1:H1"/>
    <mergeCell ref="B17:B19"/>
    <mergeCell ref="A1:B1"/>
    <mergeCell ref="A9:B9"/>
    <mergeCell ref="A15:B15"/>
    <mergeCell ref="G9:J14"/>
    <mergeCell ref="G17:J17"/>
  </mergeCells>
  <dataValidations count="7">
    <dataValidation type="list" allowBlank="1" showInputMessage="1" showErrorMessage="1" sqref="B5" xr:uid="{00000000-0002-0000-0000-000000000000}">
      <formula1>$AC$11:$AC$13</formula1>
    </dataValidation>
    <dataValidation type="list" allowBlank="1" showInputMessage="1" showErrorMessage="1" sqref="B6" xr:uid="{00000000-0002-0000-0000-000001000000}">
      <formula1>$AA$11:$AA$22</formula1>
    </dataValidation>
    <dataValidation type="list" allowBlank="1" showInputMessage="1" showErrorMessage="1" sqref="B4" xr:uid="{00000000-0002-0000-0000-000002000000}">
      <formula1>$AB$11:$AB$40</formula1>
    </dataValidation>
    <dataValidation type="whole" allowBlank="1" showInputMessage="1" showErrorMessage="1" errorTitle="Número Incorrecto" error="Sólo se permite ingresar un dígito entre 0 y 9." sqref="D6" xr:uid="{00000000-0002-0000-0000-000003000000}">
      <formula1>0</formula1>
      <formula2>9</formula2>
    </dataValidation>
    <dataValidation type="whole" allowBlank="1" showInputMessage="1" showErrorMessage="1" errorTitle="Número Inválido" error="Sólo se permite ingresar un dígito." sqref="C2:G2" xr:uid="{00000000-0002-0000-0000-000004000000}">
      <formula1>0</formula1>
      <formula2>9</formula2>
    </dataValidation>
    <dataValidation type="whole" allowBlank="1" showInputMessage="1" showErrorMessage="1" errorTitle="Número Inválido" error="Sólo se permite ingresar un dígito entre 0 y 9." sqref="C3:H3" xr:uid="{00000000-0002-0000-0000-000005000000}">
      <formula1>0</formula1>
      <formula2>9</formula2>
    </dataValidation>
    <dataValidation type="whole" allowBlank="1" showInputMessage="1" showErrorMessage="1" errorTitle="Número Incorrecto" error="Sólo se permite ingresar un dígito 0 o 1." sqref="C6" xr:uid="{00000000-0002-0000-0000-000006000000}">
      <formula1>0</formula1>
      <formula2>1</formula2>
    </dataValidation>
  </dataValidations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50" r:id="rId4" name="Button 2">
              <controlPr defaultSize="0" print="0" autoFill="0" autoPict="0" macro="[0]!Verificar_Macros">
                <anchor moveWithCells="1" sizeWithCells="1">
                  <from>
                    <xdr:col>6</xdr:col>
                    <xdr:colOff>123825</xdr:colOff>
                    <xdr:row>18</xdr:row>
                    <xdr:rowOff>114300</xdr:rowOff>
                  </from>
                  <to>
                    <xdr:col>9</xdr:col>
                    <xdr:colOff>685800</xdr:colOff>
                    <xdr:row>19</xdr:row>
                    <xdr:rowOff>152400</xdr:rowOff>
                  </to>
                </anchor>
              </controlPr>
            </control>
          </mc:Choice>
        </mc:AlternateContent>
      </controls>
    </mc:Choice>
  </mc:AlternateContent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>
    <tabColor theme="0"/>
  </sheetPr>
  <dimension ref="A1:DA187"/>
  <sheetViews>
    <sheetView topLeftCell="A34" zoomScaleNormal="100" workbookViewId="0">
      <selection activeCell="A49" sqref="A49:C51"/>
    </sheetView>
  </sheetViews>
  <sheetFormatPr baseColWidth="10" defaultColWidth="11.42578125" defaultRowHeight="14.25" x14ac:dyDescent="0.2"/>
  <cols>
    <col min="1" max="1" width="16.7109375" style="80" customWidth="1"/>
    <col min="2" max="2" width="45.42578125" style="80" customWidth="1"/>
    <col min="3" max="3" width="26.7109375" style="80" customWidth="1"/>
    <col min="4" max="4" width="12.42578125" style="80" customWidth="1"/>
    <col min="5" max="5" width="12.140625" style="80" customWidth="1"/>
    <col min="6" max="6" width="14.42578125" style="80" bestFit="1" customWidth="1"/>
    <col min="7" max="9" width="11.42578125" style="80"/>
    <col min="10" max="11" width="11.28515625" style="80" customWidth="1"/>
    <col min="12" max="37" width="11.42578125" style="80"/>
    <col min="38" max="38" width="13.42578125" style="80" customWidth="1"/>
    <col min="39" max="39" width="11.42578125" style="80" customWidth="1"/>
    <col min="40" max="40" width="12.42578125" style="80" customWidth="1"/>
    <col min="41" max="42" width="11.42578125" style="80"/>
    <col min="43" max="43" width="10.7109375" style="80" customWidth="1"/>
    <col min="44" max="47" width="11.42578125" style="80"/>
    <col min="48" max="48" width="9.42578125" style="80" customWidth="1"/>
    <col min="49" max="77" width="11.42578125" style="80"/>
    <col min="78" max="79" width="11.42578125" style="80" customWidth="1"/>
    <col min="80" max="85" width="11.42578125" style="889" customWidth="1"/>
    <col min="86" max="100" width="11.42578125" style="1017" customWidth="1"/>
    <col min="101" max="105" width="11.42578125" style="889" customWidth="1"/>
    <col min="106" max="16384" width="11.42578125" style="80"/>
  </cols>
  <sheetData>
    <row r="1" spans="1:97" ht="16.350000000000001" customHeight="1" x14ac:dyDescent="0.2">
      <c r="B1" s="78" t="s">
        <v>910</v>
      </c>
      <c r="C1" s="79"/>
    </row>
    <row r="2" spans="1:97" ht="16.350000000000001" customHeight="1" x14ac:dyDescent="0.2">
      <c r="B2" s="78" t="str">
        <f>CONCATENATE("COMUNA: ",NOMBRE!B2," - ","( ",NOMBRE!C2,NOMBRE!D2,NOMBRE!E2,NOMBRE!F2,NOMBRE!G2," )")</f>
        <v>COMUNA:  - (  )</v>
      </c>
    </row>
    <row r="3" spans="1:97" ht="16.350000000000001" customHeight="1" x14ac:dyDescent="0.2">
      <c r="B3" s="78" t="str">
        <f>CONCATENATE("ESTABLECIMIENTO/ESTRATEGIA: ",NOMBRE!B3," - ","( ",NOMBRE!C3,NOMBRE!D3,NOMBRE!E3,NOMBRE!F3,NOMBRE!G3,NOMBRE!H3," )")</f>
        <v>ESTABLECIMIENTO/ESTRATEGIA:  - (  )</v>
      </c>
    </row>
    <row r="4" spans="1:97" ht="16.350000000000001" customHeight="1" x14ac:dyDescent="0.2">
      <c r="B4" s="78" t="str">
        <f>CONCATENATE("MES: ",NOMBRE!B6," - ","( ",NOMBRE!C6,NOMBRE!D6," )")</f>
        <v>MES:  - (  )</v>
      </c>
    </row>
    <row r="5" spans="1:97" ht="16.350000000000001" customHeight="1" x14ac:dyDescent="0.2">
      <c r="B5" s="78" t="str">
        <f>CONCATENATE("AÑO: ",NOMBRE!B7)</f>
        <v>AÑO: 2020</v>
      </c>
    </row>
    <row r="6" spans="1:97" ht="15" x14ac:dyDescent="0.2">
      <c r="B6" s="5148" t="s">
        <v>0</v>
      </c>
      <c r="C6" s="5148"/>
      <c r="D6" s="5148"/>
      <c r="E6" s="5148"/>
      <c r="F6" s="5148"/>
      <c r="G6" s="5148"/>
      <c r="H6" s="5148"/>
      <c r="I6" s="5148"/>
      <c r="J6" s="5148"/>
      <c r="K6" s="5148"/>
      <c r="L6" s="5148"/>
      <c r="M6" s="5148"/>
      <c r="N6" s="5148"/>
      <c r="O6" s="5148"/>
      <c r="P6" s="5148"/>
      <c r="Q6" s="5148"/>
      <c r="R6" s="5148"/>
      <c r="S6" s="5148"/>
      <c r="T6" s="5148"/>
      <c r="U6" s="5148"/>
      <c r="V6" s="5148"/>
      <c r="W6" s="5148"/>
      <c r="X6" s="5148"/>
      <c r="Y6" s="5148"/>
      <c r="Z6" s="5148"/>
      <c r="AA6" s="5148"/>
      <c r="AB6" s="5148"/>
      <c r="AC6" s="5148"/>
      <c r="AD6" s="5148"/>
      <c r="AE6" s="5148"/>
      <c r="AF6" s="5148"/>
      <c r="AG6" s="5148"/>
      <c r="AH6" s="5148"/>
      <c r="AI6" s="5148"/>
      <c r="AJ6" s="5148"/>
      <c r="AK6" s="5148"/>
      <c r="AL6" s="5148"/>
      <c r="AM6" s="81"/>
      <c r="AN6" s="81"/>
      <c r="AO6" s="81"/>
      <c r="AP6" s="81"/>
      <c r="AQ6" s="81"/>
      <c r="AR6" s="81"/>
      <c r="AS6" s="81"/>
      <c r="AT6" s="81"/>
    </row>
    <row r="7" spans="1:97" ht="15" x14ac:dyDescent="0.2">
      <c r="B7" s="82"/>
      <c r="C7" s="82"/>
      <c r="D7" s="82"/>
      <c r="E7" s="82"/>
      <c r="F7" s="82"/>
      <c r="G7" s="82"/>
      <c r="H7" s="82"/>
      <c r="I7" s="82"/>
      <c r="J7" s="82"/>
      <c r="K7" s="82"/>
      <c r="L7" s="82"/>
      <c r="M7" s="82"/>
      <c r="N7" s="82"/>
      <c r="O7" s="82"/>
      <c r="P7" s="82"/>
      <c r="Q7" s="82"/>
      <c r="R7" s="82"/>
      <c r="S7" s="82"/>
      <c r="T7" s="82"/>
      <c r="U7" s="82"/>
      <c r="V7" s="82"/>
      <c r="W7" s="82"/>
      <c r="X7" s="82"/>
      <c r="Y7" s="82"/>
      <c r="Z7" s="82"/>
      <c r="AA7" s="82"/>
      <c r="AB7" s="82"/>
      <c r="AC7" s="82"/>
      <c r="AD7" s="82"/>
      <c r="AE7" s="82"/>
      <c r="AF7" s="82"/>
      <c r="AG7" s="82"/>
      <c r="AH7" s="82"/>
      <c r="AI7" s="82"/>
      <c r="AJ7" s="82"/>
      <c r="AK7" s="82"/>
      <c r="AL7" s="82"/>
      <c r="AM7" s="81"/>
      <c r="AN7" s="81"/>
      <c r="AO7" s="81"/>
      <c r="AP7" s="81"/>
      <c r="AQ7" s="81"/>
      <c r="AR7" s="81"/>
      <c r="AS7" s="81"/>
      <c r="AT7" s="81"/>
      <c r="AU7" s="83"/>
      <c r="AV7" s="83"/>
      <c r="AW7" s="83"/>
      <c r="AX7" s="83"/>
      <c r="AY7" s="83"/>
      <c r="AZ7" s="83"/>
      <c r="BA7" s="83"/>
      <c r="BB7" s="83"/>
      <c r="BC7" s="83"/>
      <c r="BD7" s="83"/>
      <c r="BE7" s="83"/>
      <c r="BF7" s="83"/>
      <c r="BG7" s="83"/>
      <c r="BH7" s="83"/>
      <c r="BI7" s="83"/>
      <c r="BJ7" s="83"/>
      <c r="BK7" s="83"/>
      <c r="BL7" s="83"/>
      <c r="BM7" s="83"/>
      <c r="BN7" s="83"/>
      <c r="BO7" s="83"/>
    </row>
    <row r="8" spans="1:97" ht="15" x14ac:dyDescent="0.2">
      <c r="B8" s="84"/>
      <c r="C8" s="84"/>
      <c r="D8" s="84"/>
      <c r="E8" s="84"/>
      <c r="F8" s="84"/>
      <c r="G8" s="84"/>
      <c r="H8" s="84"/>
      <c r="I8" s="83"/>
      <c r="J8" s="83"/>
      <c r="K8" s="83"/>
      <c r="L8" s="83"/>
      <c r="M8" s="83"/>
      <c r="N8" s="83"/>
      <c r="O8" s="83"/>
      <c r="P8" s="83"/>
      <c r="Q8" s="83"/>
      <c r="R8" s="83"/>
      <c r="S8" s="83"/>
      <c r="T8" s="83"/>
      <c r="U8" s="83"/>
      <c r="V8" s="83"/>
      <c r="W8" s="83"/>
      <c r="X8" s="83"/>
      <c r="Y8" s="83"/>
      <c r="Z8" s="83"/>
      <c r="AA8" s="83"/>
      <c r="AB8" s="83"/>
      <c r="AC8" s="83"/>
    </row>
    <row r="9" spans="1:97" ht="31.35" customHeight="1" x14ac:dyDescent="0.2">
      <c r="B9" s="85" t="s">
        <v>1</v>
      </c>
      <c r="C9" s="86"/>
      <c r="D9" s="86"/>
      <c r="E9" s="87"/>
      <c r="F9" s="86"/>
      <c r="G9" s="86"/>
      <c r="H9" s="86"/>
      <c r="I9" s="86"/>
      <c r="J9" s="86"/>
      <c r="K9" s="86"/>
      <c r="L9" s="86"/>
      <c r="M9" s="86"/>
      <c r="N9" s="86"/>
      <c r="O9" s="86"/>
      <c r="P9" s="86"/>
      <c r="Q9" s="86"/>
      <c r="R9" s="86"/>
      <c r="S9" s="86"/>
      <c r="T9" s="86"/>
      <c r="U9" s="86"/>
      <c r="V9" s="86"/>
      <c r="W9" s="84"/>
      <c r="X9" s="84"/>
      <c r="Y9" s="84"/>
      <c r="Z9" s="83"/>
    </row>
    <row r="10" spans="1:97" ht="19.5" customHeight="1" x14ac:dyDescent="0.2">
      <c r="B10" s="5134" t="s">
        <v>2</v>
      </c>
      <c r="C10" s="5134" t="s">
        <v>3</v>
      </c>
      <c r="D10" s="5112" t="s">
        <v>4</v>
      </c>
      <c r="E10" s="5107" t="s">
        <v>5</v>
      </c>
      <c r="F10" s="5117"/>
      <c r="G10" s="5117"/>
      <c r="H10" s="5117"/>
      <c r="I10" s="5117"/>
      <c r="J10" s="5117"/>
      <c r="K10" s="5117"/>
      <c r="L10" s="5117"/>
      <c r="M10" s="5117"/>
      <c r="N10" s="5117"/>
      <c r="O10" s="5117"/>
      <c r="P10" s="5117"/>
      <c r="Q10" s="5117"/>
      <c r="R10" s="5117"/>
      <c r="S10" s="5117"/>
      <c r="T10" s="5108"/>
      <c r="U10" s="5107" t="s">
        <v>40</v>
      </c>
      <c r="V10" s="5117"/>
      <c r="W10" s="5128" t="s">
        <v>1357</v>
      </c>
      <c r="X10" s="5112" t="s">
        <v>1371</v>
      </c>
      <c r="Y10" s="5112" t="s">
        <v>1372</v>
      </c>
      <c r="Z10" s="5107" t="s">
        <v>1296</v>
      </c>
      <c r="AA10" s="5117"/>
      <c r="AB10" s="5108"/>
    </row>
    <row r="11" spans="1:97" ht="48" customHeight="1" x14ac:dyDescent="0.2">
      <c r="A11" s="2446" t="s">
        <v>2775</v>
      </c>
      <c r="B11" s="5136"/>
      <c r="C11" s="5136"/>
      <c r="D11" s="5114"/>
      <c r="E11" s="88" t="s">
        <v>7</v>
      </c>
      <c r="F11" s="88" t="s">
        <v>8</v>
      </c>
      <c r="G11" s="88" t="s">
        <v>9</v>
      </c>
      <c r="H11" s="89" t="s">
        <v>10</v>
      </c>
      <c r="I11" s="89" t="s">
        <v>11</v>
      </c>
      <c r="J11" s="89" t="s">
        <v>12</v>
      </c>
      <c r="K11" s="89" t="s">
        <v>13</v>
      </c>
      <c r="L11" s="89" t="s">
        <v>14</v>
      </c>
      <c r="M11" s="89" t="s">
        <v>15</v>
      </c>
      <c r="N11" s="89" t="s">
        <v>16</v>
      </c>
      <c r="O11" s="89" t="s">
        <v>17</v>
      </c>
      <c r="P11" s="89" t="s">
        <v>18</v>
      </c>
      <c r="Q11" s="89" t="s">
        <v>19</v>
      </c>
      <c r="R11" s="89" t="s">
        <v>20</v>
      </c>
      <c r="S11" s="89" t="s">
        <v>21</v>
      </c>
      <c r="T11" s="90" t="s">
        <v>22</v>
      </c>
      <c r="U11" s="91" t="s">
        <v>65</v>
      </c>
      <c r="V11" s="90" t="s">
        <v>66</v>
      </c>
      <c r="W11" s="5129"/>
      <c r="X11" s="5114"/>
      <c r="Y11" s="5114"/>
      <c r="Z11" s="253" t="s">
        <v>1370</v>
      </c>
      <c r="AA11" s="88" t="s">
        <v>2609</v>
      </c>
      <c r="AB11" s="131" t="s">
        <v>2610</v>
      </c>
      <c r="AC11" s="94"/>
      <c r="AD11" s="94"/>
      <c r="AE11" s="94"/>
      <c r="AF11" s="94"/>
      <c r="AG11" s="94"/>
      <c r="AH11" s="94"/>
      <c r="AI11" s="94"/>
      <c r="AJ11" s="94"/>
      <c r="AK11" s="94"/>
      <c r="AL11" s="94"/>
      <c r="AM11" s="94"/>
      <c r="AN11" s="94"/>
      <c r="AO11" s="94"/>
      <c r="AP11" s="94"/>
      <c r="AQ11" s="94"/>
      <c r="AR11" s="94"/>
      <c r="AS11" s="94"/>
      <c r="AT11" s="94"/>
      <c r="AU11" s="94"/>
      <c r="CA11" s="94"/>
    </row>
    <row r="12" spans="1:97" ht="16.350000000000001" customHeight="1" x14ac:dyDescent="0.2">
      <c r="A12" s="2449" t="s">
        <v>2776</v>
      </c>
      <c r="B12" s="5102" t="s">
        <v>28</v>
      </c>
      <c r="C12" s="2450" t="s">
        <v>29</v>
      </c>
      <c r="D12" s="2451" t="s">
        <v>2777</v>
      </c>
      <c r="E12" s="2452" t="s">
        <v>2778</v>
      </c>
      <c r="F12" s="2396" t="s">
        <v>2779</v>
      </c>
      <c r="G12" s="2396" t="s">
        <v>2780</v>
      </c>
      <c r="H12" s="2396" t="s">
        <v>2781</v>
      </c>
      <c r="I12" s="2396" t="s">
        <v>2782</v>
      </c>
      <c r="J12" s="2396" t="s">
        <v>2783</v>
      </c>
      <c r="K12" s="2396" t="s">
        <v>2784</v>
      </c>
      <c r="L12" s="2396" t="s">
        <v>2785</v>
      </c>
      <c r="M12" s="2396" t="s">
        <v>2786</v>
      </c>
      <c r="N12" s="2396" t="s">
        <v>2787</v>
      </c>
      <c r="O12" s="2453" t="s">
        <v>2788</v>
      </c>
      <c r="P12" s="2453" t="s">
        <v>2789</v>
      </c>
      <c r="Q12" s="2453" t="s">
        <v>2790</v>
      </c>
      <c r="R12" s="2453" t="s">
        <v>2791</v>
      </c>
      <c r="S12" s="2453" t="s">
        <v>2792</v>
      </c>
      <c r="T12" s="2454" t="s">
        <v>2793</v>
      </c>
      <c r="U12" s="2452" t="s">
        <v>2794</v>
      </c>
      <c r="V12" s="2455" t="s">
        <v>2795</v>
      </c>
      <c r="W12" s="2455" t="s">
        <v>2796</v>
      </c>
      <c r="X12" s="2456" t="s">
        <v>2797</v>
      </c>
      <c r="Y12" s="2456" t="s">
        <v>2798</v>
      </c>
      <c r="Z12" s="2452" t="s">
        <v>2799</v>
      </c>
      <c r="AA12" s="2453" t="s">
        <v>2800</v>
      </c>
      <c r="AB12" s="2457" t="s">
        <v>2801</v>
      </c>
      <c r="AC12" s="1057"/>
      <c r="AD12" s="1058"/>
      <c r="AE12" s="1058"/>
      <c r="AF12" s="1058"/>
      <c r="AG12" s="1058"/>
      <c r="AH12" s="1058"/>
      <c r="AI12" s="1058"/>
      <c r="AJ12" s="1058"/>
      <c r="AK12" s="1058"/>
      <c r="AL12" s="1058"/>
      <c r="AM12" s="1058"/>
      <c r="AN12" s="1058"/>
      <c r="AO12" s="1058"/>
      <c r="AP12" s="94"/>
      <c r="AQ12" s="94"/>
      <c r="AR12" s="94"/>
      <c r="AS12" s="94"/>
      <c r="AT12" s="94"/>
      <c r="AU12" s="94"/>
      <c r="CA12" s="94"/>
      <c r="CB12" s="890"/>
      <c r="CC12" s="890"/>
      <c r="CM12" s="1017">
        <v>0</v>
      </c>
      <c r="CN12" s="1017">
        <v>0</v>
      </c>
      <c r="CR12" s="1017">
        <v>0</v>
      </c>
    </row>
    <row r="13" spans="1:97" ht="16.350000000000001" customHeight="1" x14ac:dyDescent="0.2">
      <c r="A13" s="2458" t="s">
        <v>2802</v>
      </c>
      <c r="B13" s="5149"/>
      <c r="C13" s="100" t="s">
        <v>30</v>
      </c>
      <c r="D13" s="2459" t="s">
        <v>2777</v>
      </c>
      <c r="E13" s="101" t="s">
        <v>2778</v>
      </c>
      <c r="F13" s="102" t="s">
        <v>2779</v>
      </c>
      <c r="G13" s="102" t="s">
        <v>2780</v>
      </c>
      <c r="H13" s="102" t="s">
        <v>2781</v>
      </c>
      <c r="I13" s="102" t="s">
        <v>2782</v>
      </c>
      <c r="J13" s="102" t="s">
        <v>2783</v>
      </c>
      <c r="K13" s="102" t="s">
        <v>2784</v>
      </c>
      <c r="L13" s="102" t="s">
        <v>2785</v>
      </c>
      <c r="M13" s="102" t="s">
        <v>2786</v>
      </c>
      <c r="N13" s="102" t="s">
        <v>2787</v>
      </c>
      <c r="O13" s="103" t="s">
        <v>2788</v>
      </c>
      <c r="P13" s="103" t="s">
        <v>2789</v>
      </c>
      <c r="Q13" s="103" t="s">
        <v>2790</v>
      </c>
      <c r="R13" s="103" t="s">
        <v>2791</v>
      </c>
      <c r="S13" s="103" t="s">
        <v>2792</v>
      </c>
      <c r="T13" s="104" t="s">
        <v>2793</v>
      </c>
      <c r="U13" s="101" t="s">
        <v>2794</v>
      </c>
      <c r="V13" s="105" t="s">
        <v>2795</v>
      </c>
      <c r="W13" s="105" t="s">
        <v>2796</v>
      </c>
      <c r="X13" s="106" t="s">
        <v>2797</v>
      </c>
      <c r="Y13" s="106" t="s">
        <v>2798</v>
      </c>
      <c r="Z13" s="101" t="s">
        <v>2799</v>
      </c>
      <c r="AA13" s="103" t="s">
        <v>2800</v>
      </c>
      <c r="AB13" s="169" t="s">
        <v>2801</v>
      </c>
      <c r="AC13" s="1057"/>
      <c r="AD13" s="1058"/>
      <c r="AE13" s="1058"/>
      <c r="AF13" s="1058"/>
      <c r="AG13" s="1058"/>
      <c r="AH13" s="1058"/>
      <c r="AI13" s="1058"/>
      <c r="AJ13" s="1058"/>
      <c r="AK13" s="1058"/>
      <c r="AL13" s="1058"/>
      <c r="AM13" s="1058"/>
      <c r="AN13" s="1058"/>
      <c r="AO13" s="1058"/>
      <c r="AP13" s="94"/>
      <c r="AQ13" s="94"/>
      <c r="AR13" s="94"/>
      <c r="AS13" s="94"/>
      <c r="AT13" s="94"/>
      <c r="AU13" s="94"/>
      <c r="CA13" s="94"/>
      <c r="CC13" s="890"/>
      <c r="CM13" s="1017">
        <v>0</v>
      </c>
      <c r="CN13" s="1017">
        <v>0</v>
      </c>
      <c r="CR13" s="1017">
        <v>0</v>
      </c>
    </row>
    <row r="14" spans="1:97" ht="16.350000000000001" customHeight="1" x14ac:dyDescent="0.2">
      <c r="A14" s="2458" t="s">
        <v>2803</v>
      </c>
      <c r="B14" s="5102" t="s">
        <v>31</v>
      </c>
      <c r="C14" s="2460" t="s">
        <v>29</v>
      </c>
      <c r="D14" s="2461" t="s">
        <v>2777</v>
      </c>
      <c r="E14" s="2404" t="s">
        <v>2778</v>
      </c>
      <c r="F14" s="2396" t="s">
        <v>2779</v>
      </c>
      <c r="G14" s="2396" t="s">
        <v>2780</v>
      </c>
      <c r="H14" s="2396" t="s">
        <v>2781</v>
      </c>
      <c r="I14" s="2396" t="s">
        <v>2782</v>
      </c>
      <c r="J14" s="2396" t="s">
        <v>2783</v>
      </c>
      <c r="K14" s="2396" t="s">
        <v>2784</v>
      </c>
      <c r="L14" s="2396" t="s">
        <v>2785</v>
      </c>
      <c r="M14" s="2396" t="s">
        <v>2786</v>
      </c>
      <c r="N14" s="2462" t="s">
        <v>2787</v>
      </c>
      <c r="O14" s="2462" t="s">
        <v>2788</v>
      </c>
      <c r="P14" s="2453" t="s">
        <v>2789</v>
      </c>
      <c r="Q14" s="2453" t="s">
        <v>2790</v>
      </c>
      <c r="R14" s="2453" t="s">
        <v>2791</v>
      </c>
      <c r="S14" s="2453" t="s">
        <v>2792</v>
      </c>
      <c r="T14" s="2308" t="s">
        <v>2793</v>
      </c>
      <c r="U14" s="2404" t="s">
        <v>2794</v>
      </c>
      <c r="V14" s="2393" t="s">
        <v>2795</v>
      </c>
      <c r="W14" s="2393" t="s">
        <v>2796</v>
      </c>
      <c r="X14" s="2393" t="s">
        <v>2797</v>
      </c>
      <c r="Y14" s="2463" t="s">
        <v>2798</v>
      </c>
      <c r="Z14" s="2404" t="s">
        <v>2799</v>
      </c>
      <c r="AA14" s="2464" t="s">
        <v>2800</v>
      </c>
      <c r="AB14" s="2405" t="s">
        <v>2801</v>
      </c>
      <c r="AC14" s="1057"/>
      <c r="AD14" s="1058"/>
      <c r="AE14" s="1058"/>
      <c r="AF14" s="1058"/>
      <c r="AG14" s="1058"/>
      <c r="AH14" s="1058"/>
      <c r="AI14" s="1058"/>
      <c r="AJ14" s="1058"/>
      <c r="AK14" s="1058"/>
      <c r="AL14" s="1058"/>
      <c r="AM14" s="1058"/>
      <c r="AN14" s="1058"/>
      <c r="AO14" s="1058"/>
      <c r="AP14" s="94"/>
      <c r="AQ14" s="94"/>
      <c r="AR14" s="94"/>
      <c r="AS14" s="94"/>
      <c r="AT14" s="94"/>
      <c r="AU14" s="94"/>
      <c r="CA14" s="94"/>
      <c r="CC14" s="890"/>
      <c r="CE14" s="890"/>
      <c r="CM14" s="1017">
        <v>0</v>
      </c>
      <c r="CN14" s="1017">
        <v>0</v>
      </c>
      <c r="CO14" s="1017">
        <v>0</v>
      </c>
      <c r="CR14" s="1017">
        <v>0</v>
      </c>
      <c r="CS14" s="1017">
        <v>0</v>
      </c>
    </row>
    <row r="15" spans="1:97" ht="16.350000000000001" customHeight="1" x14ac:dyDescent="0.2">
      <c r="A15" s="2458" t="s">
        <v>2804</v>
      </c>
      <c r="B15" s="5103"/>
      <c r="C15" s="2465" t="s">
        <v>30</v>
      </c>
      <c r="D15" s="2466" t="s">
        <v>2777</v>
      </c>
      <c r="E15" s="2395" t="s">
        <v>2778</v>
      </c>
      <c r="F15" s="2467" t="s">
        <v>2779</v>
      </c>
      <c r="G15" s="2467" t="s">
        <v>2780</v>
      </c>
      <c r="H15" s="2467" t="s">
        <v>2781</v>
      </c>
      <c r="I15" s="2467" t="s">
        <v>2782</v>
      </c>
      <c r="J15" s="2467" t="s">
        <v>2783</v>
      </c>
      <c r="K15" s="2467" t="s">
        <v>2784</v>
      </c>
      <c r="L15" s="2467" t="s">
        <v>2785</v>
      </c>
      <c r="M15" s="2467" t="s">
        <v>2786</v>
      </c>
      <c r="N15" s="2468" t="s">
        <v>2787</v>
      </c>
      <c r="O15" s="2468" t="s">
        <v>2788</v>
      </c>
      <c r="P15" s="103" t="s">
        <v>2789</v>
      </c>
      <c r="Q15" s="103" t="s">
        <v>2790</v>
      </c>
      <c r="R15" s="103" t="s">
        <v>2791</v>
      </c>
      <c r="S15" s="103" t="s">
        <v>2792</v>
      </c>
      <c r="T15" s="118" t="s">
        <v>2793</v>
      </c>
      <c r="U15" s="2398" t="s">
        <v>2794</v>
      </c>
      <c r="V15" s="105" t="s">
        <v>2795</v>
      </c>
      <c r="W15" s="105" t="s">
        <v>2796</v>
      </c>
      <c r="X15" s="105" t="s">
        <v>2797</v>
      </c>
      <c r="Y15" s="106" t="s">
        <v>2798</v>
      </c>
      <c r="Z15" s="2398" t="s">
        <v>2799</v>
      </c>
      <c r="AA15" s="2469" t="s">
        <v>2800</v>
      </c>
      <c r="AB15" s="2406" t="s">
        <v>2801</v>
      </c>
      <c r="AC15" s="1057"/>
      <c r="AD15" s="1058"/>
      <c r="AE15" s="1058"/>
      <c r="AF15" s="1058"/>
      <c r="AG15" s="1058"/>
      <c r="AH15" s="1058"/>
      <c r="AI15" s="1058"/>
      <c r="AJ15" s="1058"/>
      <c r="AK15" s="1058"/>
      <c r="AL15" s="1058"/>
      <c r="AM15" s="1058"/>
      <c r="AN15" s="1058"/>
      <c r="AO15" s="1058"/>
      <c r="AP15" s="94"/>
      <c r="AQ15" s="1059"/>
      <c r="AR15" s="94"/>
      <c r="AS15" s="94"/>
      <c r="AT15" s="94"/>
      <c r="AU15" s="94"/>
      <c r="CA15" s="94"/>
      <c r="CC15" s="890"/>
      <c r="CE15" s="890"/>
      <c r="CM15" s="1017">
        <v>0</v>
      </c>
      <c r="CN15" s="1017">
        <v>0</v>
      </c>
      <c r="CO15" s="1017">
        <v>0</v>
      </c>
      <c r="CR15" s="1017">
        <v>0</v>
      </c>
      <c r="CS15" s="1017">
        <v>0</v>
      </c>
    </row>
    <row r="16" spans="1:97" ht="16.350000000000001" customHeight="1" x14ac:dyDescent="0.2">
      <c r="A16" s="2458" t="s">
        <v>2805</v>
      </c>
      <c r="B16" s="5102" t="s">
        <v>32</v>
      </c>
      <c r="C16" s="2450" t="s">
        <v>29</v>
      </c>
      <c r="D16" s="2451" t="s">
        <v>2777</v>
      </c>
      <c r="E16" s="2452" t="s">
        <v>2778</v>
      </c>
      <c r="F16" s="2462" t="s">
        <v>2779</v>
      </c>
      <c r="G16" s="2462" t="s">
        <v>2780</v>
      </c>
      <c r="H16" s="2462" t="s">
        <v>2781</v>
      </c>
      <c r="I16" s="2462" t="s">
        <v>2782</v>
      </c>
      <c r="J16" s="2462" t="s">
        <v>2783</v>
      </c>
      <c r="K16" s="2462" t="s">
        <v>2784</v>
      </c>
      <c r="L16" s="2462" t="s">
        <v>2785</v>
      </c>
      <c r="M16" s="2462" t="s">
        <v>2786</v>
      </c>
      <c r="N16" s="2462" t="s">
        <v>2787</v>
      </c>
      <c r="O16" s="2462" t="s">
        <v>2788</v>
      </c>
      <c r="P16" s="2453" t="s">
        <v>2789</v>
      </c>
      <c r="Q16" s="2453" t="s">
        <v>2790</v>
      </c>
      <c r="R16" s="2453" t="s">
        <v>2791</v>
      </c>
      <c r="S16" s="2453" t="s">
        <v>2792</v>
      </c>
      <c r="T16" s="2454" t="s">
        <v>2793</v>
      </c>
      <c r="U16" s="2452" t="s">
        <v>2794</v>
      </c>
      <c r="V16" s="2393" t="s">
        <v>2795</v>
      </c>
      <c r="W16" s="2393" t="s">
        <v>2796</v>
      </c>
      <c r="X16" s="2463" t="s">
        <v>2797</v>
      </c>
      <c r="Y16" s="2463" t="s">
        <v>2798</v>
      </c>
      <c r="Z16" s="2452" t="s">
        <v>2799</v>
      </c>
      <c r="AA16" s="2453" t="s">
        <v>2800</v>
      </c>
      <c r="AB16" s="2457" t="s">
        <v>2801</v>
      </c>
      <c r="AC16" s="1057"/>
      <c r="AD16" s="1058"/>
      <c r="AE16" s="1058"/>
      <c r="AF16" s="1058"/>
      <c r="AG16" s="1058"/>
      <c r="AH16" s="1058"/>
      <c r="AI16" s="1058"/>
      <c r="AJ16" s="1058"/>
      <c r="AK16" s="1058"/>
      <c r="AL16" s="1058"/>
      <c r="AM16" s="1058"/>
      <c r="AN16" s="1058"/>
      <c r="AO16" s="1058"/>
      <c r="AP16" s="94"/>
      <c r="AQ16" s="94"/>
      <c r="AR16" s="94"/>
      <c r="AS16" s="94"/>
      <c r="AT16" s="94"/>
      <c r="AU16" s="94"/>
      <c r="CA16" s="94"/>
      <c r="CC16" s="890"/>
      <c r="CM16" s="1017">
        <v>0</v>
      </c>
      <c r="CN16" s="1017">
        <v>0</v>
      </c>
      <c r="CR16" s="1017">
        <v>0</v>
      </c>
    </row>
    <row r="17" spans="1:105" ht="16.350000000000001" customHeight="1" x14ac:dyDescent="0.2">
      <c r="A17" s="2458" t="s">
        <v>2806</v>
      </c>
      <c r="B17" s="5104"/>
      <c r="C17" s="100" t="s">
        <v>30</v>
      </c>
      <c r="D17" s="2459" t="s">
        <v>2777</v>
      </c>
      <c r="E17" s="101" t="s">
        <v>2778</v>
      </c>
      <c r="F17" s="2468" t="s">
        <v>2779</v>
      </c>
      <c r="G17" s="2468" t="s">
        <v>2780</v>
      </c>
      <c r="H17" s="2468" t="s">
        <v>2781</v>
      </c>
      <c r="I17" s="2468" t="s">
        <v>2782</v>
      </c>
      <c r="J17" s="2468" t="s">
        <v>2783</v>
      </c>
      <c r="K17" s="2468" t="s">
        <v>2784</v>
      </c>
      <c r="L17" s="2468" t="s">
        <v>2785</v>
      </c>
      <c r="M17" s="2468" t="s">
        <v>2786</v>
      </c>
      <c r="N17" s="102" t="s">
        <v>2787</v>
      </c>
      <c r="O17" s="102" t="s">
        <v>2788</v>
      </c>
      <c r="P17" s="103" t="s">
        <v>2789</v>
      </c>
      <c r="Q17" s="103" t="s">
        <v>2790</v>
      </c>
      <c r="R17" s="103" t="s">
        <v>2791</v>
      </c>
      <c r="S17" s="103" t="s">
        <v>2792</v>
      </c>
      <c r="T17" s="104" t="s">
        <v>2793</v>
      </c>
      <c r="U17" s="2470" t="s">
        <v>2794</v>
      </c>
      <c r="V17" s="105" t="s">
        <v>2795</v>
      </c>
      <c r="W17" s="105" t="s">
        <v>2796</v>
      </c>
      <c r="X17" s="106" t="s">
        <v>2797</v>
      </c>
      <c r="Y17" s="106" t="s">
        <v>2798</v>
      </c>
      <c r="Z17" s="101" t="s">
        <v>2799</v>
      </c>
      <c r="AA17" s="103" t="s">
        <v>2800</v>
      </c>
      <c r="AB17" s="169" t="s">
        <v>2801</v>
      </c>
      <c r="AC17" s="1057"/>
      <c r="AD17" s="1058"/>
      <c r="AE17" s="1058"/>
      <c r="AF17" s="1058"/>
      <c r="AG17" s="1058"/>
      <c r="AH17" s="1058"/>
      <c r="AI17" s="1058"/>
      <c r="AJ17" s="1058"/>
      <c r="AK17" s="1058"/>
      <c r="AL17" s="1058"/>
      <c r="AM17" s="1058"/>
      <c r="AN17" s="1058"/>
      <c r="AO17" s="1058"/>
      <c r="AP17" s="94"/>
      <c r="AQ17" s="94"/>
      <c r="AR17" s="94"/>
      <c r="AS17" s="94"/>
      <c r="AT17" s="94"/>
      <c r="AU17" s="94"/>
      <c r="CA17" s="94"/>
      <c r="CC17" s="890"/>
      <c r="CM17" s="1017">
        <v>0</v>
      </c>
      <c r="CN17" s="1017">
        <v>0</v>
      </c>
      <c r="CR17" s="1017">
        <v>0</v>
      </c>
    </row>
    <row r="18" spans="1:105" ht="16.350000000000001" customHeight="1" x14ac:dyDescent="0.2">
      <c r="A18" s="2458" t="s">
        <v>2807</v>
      </c>
      <c r="B18" s="5103" t="s">
        <v>33</v>
      </c>
      <c r="C18" s="2460" t="s">
        <v>29</v>
      </c>
      <c r="D18" s="2461" t="s">
        <v>2777</v>
      </c>
      <c r="E18" s="2404" t="s">
        <v>2778</v>
      </c>
      <c r="F18" s="2396" t="s">
        <v>2779</v>
      </c>
      <c r="G18" s="2396" t="s">
        <v>2780</v>
      </c>
      <c r="H18" s="2396" t="s">
        <v>2781</v>
      </c>
      <c r="I18" s="2396" t="s">
        <v>2782</v>
      </c>
      <c r="J18" s="2396" t="s">
        <v>2783</v>
      </c>
      <c r="K18" s="2396" t="s">
        <v>2784</v>
      </c>
      <c r="L18" s="2396" t="s">
        <v>2785</v>
      </c>
      <c r="M18" s="2396" t="s">
        <v>2786</v>
      </c>
      <c r="N18" s="2462" t="s">
        <v>2787</v>
      </c>
      <c r="O18" s="2462" t="s">
        <v>2788</v>
      </c>
      <c r="P18" s="2453" t="s">
        <v>2789</v>
      </c>
      <c r="Q18" s="2453" t="s">
        <v>2790</v>
      </c>
      <c r="R18" s="2453" t="s">
        <v>2791</v>
      </c>
      <c r="S18" s="2453" t="s">
        <v>2792</v>
      </c>
      <c r="T18" s="2308" t="s">
        <v>2793</v>
      </c>
      <c r="U18" s="2404" t="s">
        <v>2794</v>
      </c>
      <c r="V18" s="2393" t="s">
        <v>2795</v>
      </c>
      <c r="W18" s="2393" t="s">
        <v>2796</v>
      </c>
      <c r="X18" s="2463" t="s">
        <v>2797</v>
      </c>
      <c r="Y18" s="2393" t="s">
        <v>2798</v>
      </c>
      <c r="Z18" s="2391" t="s">
        <v>2799</v>
      </c>
      <c r="AA18" s="2396" t="s">
        <v>2800</v>
      </c>
      <c r="AB18" s="2396" t="s">
        <v>2801</v>
      </c>
      <c r="AC18" s="1057"/>
      <c r="AD18" s="1058"/>
      <c r="AE18" s="1058"/>
      <c r="AF18" s="1058"/>
      <c r="AG18" s="1058"/>
      <c r="AH18" s="1058"/>
      <c r="AI18" s="1058"/>
      <c r="AJ18" s="1058"/>
      <c r="AK18" s="1058"/>
      <c r="AL18" s="1058"/>
      <c r="AM18" s="1058"/>
      <c r="AN18" s="1058"/>
      <c r="AO18" s="1058"/>
      <c r="AP18" s="94"/>
      <c r="AQ18" s="94"/>
      <c r="AR18" s="94"/>
      <c r="AS18" s="94"/>
      <c r="AT18" s="94"/>
      <c r="AU18" s="94"/>
      <c r="CA18" s="94"/>
      <c r="CC18" s="890"/>
      <c r="CF18" s="890"/>
      <c r="CG18" s="889" t="str">
        <f>IF(AND(D18&lt;&gt;0,'A05'!D50=""),"* No olvide registrar ingresos a control de salud de los respectivos RN, en REM A05-secci„n E. ","")</f>
        <v/>
      </c>
      <c r="CM18" s="1017">
        <v>0</v>
      </c>
      <c r="CN18" s="1017">
        <v>0</v>
      </c>
      <c r="CP18" s="1017">
        <v>0</v>
      </c>
      <c r="CQ18" s="1017">
        <v>0</v>
      </c>
      <c r="CR18" s="1017">
        <v>0</v>
      </c>
      <c r="CT18" s="1017">
        <v>0</v>
      </c>
      <c r="CU18" s="1017">
        <v>0</v>
      </c>
    </row>
    <row r="19" spans="1:105" ht="16.350000000000001" customHeight="1" x14ac:dyDescent="0.2">
      <c r="A19" s="2458" t="s">
        <v>2808</v>
      </c>
      <c r="B19" s="5103"/>
      <c r="C19" s="2465" t="s">
        <v>30</v>
      </c>
      <c r="D19" s="2466" t="s">
        <v>2777</v>
      </c>
      <c r="E19" s="2395" t="s">
        <v>2778</v>
      </c>
      <c r="F19" s="2467" t="s">
        <v>2779</v>
      </c>
      <c r="G19" s="2467" t="s">
        <v>2780</v>
      </c>
      <c r="H19" s="2467" t="s">
        <v>2781</v>
      </c>
      <c r="I19" s="2467" t="s">
        <v>2782</v>
      </c>
      <c r="J19" s="2467" t="s">
        <v>2783</v>
      </c>
      <c r="K19" s="2467" t="s">
        <v>2784</v>
      </c>
      <c r="L19" s="2467" t="s">
        <v>2785</v>
      </c>
      <c r="M19" s="2467" t="s">
        <v>2786</v>
      </c>
      <c r="N19" s="102" t="s">
        <v>2787</v>
      </c>
      <c r="O19" s="2468" t="s">
        <v>2788</v>
      </c>
      <c r="P19" s="103" t="s">
        <v>2789</v>
      </c>
      <c r="Q19" s="103" t="s">
        <v>2790</v>
      </c>
      <c r="R19" s="103" t="s">
        <v>2791</v>
      </c>
      <c r="S19" s="103" t="s">
        <v>2792</v>
      </c>
      <c r="T19" s="118" t="s">
        <v>2793</v>
      </c>
      <c r="U19" s="2398" t="s">
        <v>2794</v>
      </c>
      <c r="V19" s="105" t="s">
        <v>2795</v>
      </c>
      <c r="W19" s="105" t="s">
        <v>2796</v>
      </c>
      <c r="X19" s="106" t="s">
        <v>2797</v>
      </c>
      <c r="Y19" s="2324" t="s">
        <v>2798</v>
      </c>
      <c r="Z19" s="2245" t="s">
        <v>2799</v>
      </c>
      <c r="AA19" s="146" t="s">
        <v>2800</v>
      </c>
      <c r="AB19" s="2396" t="s">
        <v>2801</v>
      </c>
      <c r="AC19" s="1057"/>
      <c r="AD19" s="1058"/>
      <c r="AE19" s="1058"/>
      <c r="AF19" s="1058"/>
      <c r="AG19" s="1058"/>
      <c r="AH19" s="1058"/>
      <c r="AI19" s="1058"/>
      <c r="AJ19" s="1058"/>
      <c r="AK19" s="1058"/>
      <c r="AL19" s="1058"/>
      <c r="AM19" s="1058"/>
      <c r="AN19" s="1058"/>
      <c r="AO19" s="1058"/>
      <c r="AP19" s="94"/>
      <c r="AQ19" s="94"/>
      <c r="AR19" s="94"/>
      <c r="AS19" s="94"/>
      <c r="AT19" s="94"/>
      <c r="AU19" s="94"/>
      <c r="CA19" s="94"/>
      <c r="CC19" s="890"/>
      <c r="CG19" s="889" t="str">
        <f>IF(AND(D19&lt;&gt;0,'A05'!D50=""),"* No olvide registrar ingresos a control de salud de los respectivos RN, en REM A05-secci„n E. ","")</f>
        <v/>
      </c>
      <c r="CM19" s="1017">
        <v>0</v>
      </c>
      <c r="CN19" s="1017">
        <v>0</v>
      </c>
      <c r="CP19" s="1017">
        <v>0</v>
      </c>
      <c r="CQ19" s="1017">
        <v>0</v>
      </c>
      <c r="CR19" s="1017">
        <v>0</v>
      </c>
      <c r="CT19" s="1017">
        <v>0</v>
      </c>
      <c r="CU19" s="1017">
        <v>0</v>
      </c>
    </row>
    <row r="20" spans="1:105" ht="16.350000000000001" customHeight="1" x14ac:dyDescent="0.2">
      <c r="A20" s="2458" t="s">
        <v>2809</v>
      </c>
      <c r="B20" s="5102" t="s">
        <v>34</v>
      </c>
      <c r="C20" s="2450" t="s">
        <v>29</v>
      </c>
      <c r="D20" s="2451" t="s">
        <v>2777</v>
      </c>
      <c r="E20" s="2452" t="s">
        <v>2778</v>
      </c>
      <c r="F20" s="2462" t="s">
        <v>2779</v>
      </c>
      <c r="G20" s="2462" t="s">
        <v>2780</v>
      </c>
      <c r="H20" s="2462" t="s">
        <v>2781</v>
      </c>
      <c r="I20" s="2462" t="s">
        <v>2782</v>
      </c>
      <c r="J20" s="2462" t="s">
        <v>2783</v>
      </c>
      <c r="K20" s="2462" t="s">
        <v>2784</v>
      </c>
      <c r="L20" s="2462" t="s">
        <v>2785</v>
      </c>
      <c r="M20" s="2462" t="s">
        <v>2786</v>
      </c>
      <c r="N20" s="2462" t="s">
        <v>2787</v>
      </c>
      <c r="O20" s="2462" t="s">
        <v>2788</v>
      </c>
      <c r="P20" s="2453" t="s">
        <v>2789</v>
      </c>
      <c r="Q20" s="2453" t="s">
        <v>2790</v>
      </c>
      <c r="R20" s="2453" t="s">
        <v>2791</v>
      </c>
      <c r="S20" s="2453" t="s">
        <v>2792</v>
      </c>
      <c r="T20" s="2454" t="s">
        <v>2793</v>
      </c>
      <c r="U20" s="2452" t="s">
        <v>2794</v>
      </c>
      <c r="V20" s="2393" t="s">
        <v>2795</v>
      </c>
      <c r="W20" s="2393" t="s">
        <v>2796</v>
      </c>
      <c r="X20" s="2463" t="s">
        <v>2797</v>
      </c>
      <c r="Y20" s="2471" t="s">
        <v>2798</v>
      </c>
      <c r="Z20" s="2472" t="s">
        <v>2799</v>
      </c>
      <c r="AA20" s="2473" t="s">
        <v>2800</v>
      </c>
      <c r="AB20" s="2396" t="s">
        <v>2801</v>
      </c>
      <c r="AC20" s="1057"/>
      <c r="AD20" s="1058"/>
      <c r="AE20" s="1058"/>
      <c r="AF20" s="1058"/>
      <c r="AG20" s="1058"/>
      <c r="AH20" s="1058"/>
      <c r="AI20" s="1058"/>
      <c r="AJ20" s="1058"/>
      <c r="AK20" s="1058"/>
      <c r="AL20" s="1058"/>
      <c r="AM20" s="1058"/>
      <c r="AN20" s="1058"/>
      <c r="AO20" s="1058"/>
      <c r="AP20" s="94"/>
      <c r="AQ20" s="94"/>
      <c r="AR20" s="94"/>
      <c r="AS20" s="94"/>
      <c r="AT20" s="94"/>
      <c r="AU20" s="94"/>
      <c r="CA20" s="94"/>
      <c r="CC20" s="890"/>
      <c r="CF20" s="890"/>
      <c r="CG20" s="889" t="str">
        <f>IF(AND(D20&lt;&gt;0,'A05'!D50=""),"* No olvide registrar ingresos a control de salud de los respectivos RN, en REM A05-secci„n E. ","")</f>
        <v/>
      </c>
      <c r="CM20" s="1017">
        <v>0</v>
      </c>
      <c r="CN20" s="1017">
        <v>0</v>
      </c>
      <c r="CP20" s="1017">
        <v>0</v>
      </c>
      <c r="CQ20" s="1017">
        <v>0</v>
      </c>
      <c r="CR20" s="1017">
        <v>0</v>
      </c>
      <c r="CT20" s="1017">
        <v>0</v>
      </c>
      <c r="CU20" s="1017">
        <v>0</v>
      </c>
    </row>
    <row r="21" spans="1:105" ht="16.350000000000001" customHeight="1" x14ac:dyDescent="0.2">
      <c r="A21" s="2458" t="s">
        <v>2810</v>
      </c>
      <c r="B21" s="5104"/>
      <c r="C21" s="100" t="s">
        <v>30</v>
      </c>
      <c r="D21" s="2459" t="s">
        <v>2777</v>
      </c>
      <c r="E21" s="101" t="s">
        <v>2778</v>
      </c>
      <c r="F21" s="2467" t="s">
        <v>2779</v>
      </c>
      <c r="G21" s="2467" t="s">
        <v>2780</v>
      </c>
      <c r="H21" s="2467" t="s">
        <v>2781</v>
      </c>
      <c r="I21" s="2467" t="s">
        <v>2782</v>
      </c>
      <c r="J21" s="2467" t="s">
        <v>2783</v>
      </c>
      <c r="K21" s="2467" t="s">
        <v>2784</v>
      </c>
      <c r="L21" s="2467" t="s">
        <v>2785</v>
      </c>
      <c r="M21" s="2467" t="s">
        <v>2786</v>
      </c>
      <c r="N21" s="2468" t="s">
        <v>2787</v>
      </c>
      <c r="O21" s="2468" t="s">
        <v>2788</v>
      </c>
      <c r="P21" s="103" t="s">
        <v>2789</v>
      </c>
      <c r="Q21" s="103" t="s">
        <v>2790</v>
      </c>
      <c r="R21" s="103" t="s">
        <v>2791</v>
      </c>
      <c r="S21" s="103" t="s">
        <v>2792</v>
      </c>
      <c r="T21" s="104" t="s">
        <v>2793</v>
      </c>
      <c r="U21" s="2470" t="s">
        <v>2794</v>
      </c>
      <c r="V21" s="105" t="s">
        <v>2795</v>
      </c>
      <c r="W21" s="105" t="s">
        <v>2796</v>
      </c>
      <c r="X21" s="106" t="s">
        <v>2797</v>
      </c>
      <c r="Y21" s="105" t="s">
        <v>2798</v>
      </c>
      <c r="Z21" s="166" t="s">
        <v>2799</v>
      </c>
      <c r="AA21" s="102" t="s">
        <v>2800</v>
      </c>
      <c r="AB21" s="2396" t="s">
        <v>2801</v>
      </c>
      <c r="AC21" s="1057"/>
      <c r="AD21" s="1058"/>
      <c r="AE21" s="1058"/>
      <c r="AF21" s="1058"/>
      <c r="AG21" s="1058"/>
      <c r="AH21" s="1058"/>
      <c r="AI21" s="1058"/>
      <c r="AJ21" s="1058"/>
      <c r="AK21" s="1058"/>
      <c r="AL21" s="1058"/>
      <c r="AM21" s="1058"/>
      <c r="AN21" s="1058"/>
      <c r="AO21" s="1058"/>
      <c r="AP21" s="94"/>
      <c r="AQ21" s="94"/>
      <c r="AR21" s="94"/>
      <c r="AS21" s="94"/>
      <c r="AT21" s="94"/>
      <c r="AU21" s="94"/>
      <c r="CA21" s="94"/>
      <c r="CC21" s="890"/>
      <c r="CG21" s="889" t="str">
        <f>IF(AND(D21&lt;&gt;0,'A05'!D50=""),"* No olvide registrar ingresos a control de salud de los respectivos RN, en REM A05-secci„n E. ","")</f>
        <v/>
      </c>
      <c r="CM21" s="1017">
        <v>0</v>
      </c>
      <c r="CN21" s="1017">
        <v>0</v>
      </c>
      <c r="CP21" s="1017">
        <v>0</v>
      </c>
      <c r="CQ21" s="1017">
        <v>0</v>
      </c>
      <c r="CR21" s="1017">
        <v>0</v>
      </c>
      <c r="CT21" s="1017">
        <v>0</v>
      </c>
      <c r="CU21" s="1017">
        <v>0</v>
      </c>
    </row>
    <row r="22" spans="1:105" ht="16.350000000000001" customHeight="1" x14ac:dyDescent="0.2">
      <c r="A22" s="2458" t="s">
        <v>2811</v>
      </c>
      <c r="B22" s="5146" t="s">
        <v>858</v>
      </c>
      <c r="C22" s="2475" t="s">
        <v>35</v>
      </c>
      <c r="D22" s="2475" t="s">
        <v>2777</v>
      </c>
      <c r="E22" s="2452" t="s">
        <v>2778</v>
      </c>
      <c r="F22" s="2462" t="s">
        <v>2779</v>
      </c>
      <c r="G22" s="2462" t="s">
        <v>2780</v>
      </c>
      <c r="H22" s="2462" t="s">
        <v>2781</v>
      </c>
      <c r="I22" s="2462" t="s">
        <v>2782</v>
      </c>
      <c r="J22" s="2462" t="s">
        <v>2783</v>
      </c>
      <c r="K22" s="2462" t="s">
        <v>2784</v>
      </c>
      <c r="L22" s="2462" t="s">
        <v>2785</v>
      </c>
      <c r="M22" s="2462" t="s">
        <v>2786</v>
      </c>
      <c r="N22" s="2462" t="s">
        <v>2787</v>
      </c>
      <c r="O22" s="2462" t="s">
        <v>2788</v>
      </c>
      <c r="P22" s="2462" t="s">
        <v>2789</v>
      </c>
      <c r="Q22" s="2462" t="s">
        <v>2790</v>
      </c>
      <c r="R22" s="2462" t="s">
        <v>2791</v>
      </c>
      <c r="S22" s="2462" t="s">
        <v>2792</v>
      </c>
      <c r="T22" s="2462" t="s">
        <v>2793</v>
      </c>
      <c r="U22" s="2404" t="s">
        <v>2794</v>
      </c>
      <c r="V22" s="2393" t="s">
        <v>2795</v>
      </c>
      <c r="W22" s="2393" t="s">
        <v>2796</v>
      </c>
      <c r="X22" s="2463" t="s">
        <v>2797</v>
      </c>
      <c r="Y22" s="2463" t="s">
        <v>2798</v>
      </c>
      <c r="Z22" s="2452" t="s">
        <v>2799</v>
      </c>
      <c r="AA22" s="2453" t="s">
        <v>2800</v>
      </c>
      <c r="AB22" s="2457" t="s">
        <v>2801</v>
      </c>
      <c r="AC22" s="1057"/>
      <c r="AD22" s="1058"/>
      <c r="AE22" s="1058"/>
      <c r="AF22" s="1058"/>
      <c r="AG22" s="1058"/>
      <c r="AH22" s="1058"/>
      <c r="AI22" s="1058"/>
      <c r="AJ22" s="1058"/>
      <c r="AK22" s="1058"/>
      <c r="AL22" s="1058"/>
      <c r="AM22" s="1058"/>
      <c r="AN22" s="1058"/>
      <c r="AO22" s="1058"/>
      <c r="AP22" s="94"/>
      <c r="AQ22" s="94"/>
      <c r="AR22" s="94"/>
      <c r="AS22" s="94"/>
      <c r="AT22" s="94"/>
      <c r="AU22" s="94"/>
      <c r="CA22" s="94"/>
      <c r="CC22" s="890"/>
      <c r="CM22" s="1017">
        <v>0</v>
      </c>
      <c r="CN22" s="1017">
        <v>0</v>
      </c>
      <c r="CR22" s="1017">
        <v>0</v>
      </c>
    </row>
    <row r="23" spans="1:105" ht="16.350000000000001" customHeight="1" x14ac:dyDescent="0.2">
      <c r="A23" s="2458" t="s">
        <v>2812</v>
      </c>
      <c r="B23" s="5146"/>
      <c r="C23" s="2465" t="s">
        <v>30</v>
      </c>
      <c r="D23" s="2465" t="s">
        <v>2777</v>
      </c>
      <c r="E23" s="101" t="s">
        <v>2778</v>
      </c>
      <c r="F23" s="2467" t="s">
        <v>2779</v>
      </c>
      <c r="G23" s="2467" t="s">
        <v>2780</v>
      </c>
      <c r="H23" s="2467" t="s">
        <v>2781</v>
      </c>
      <c r="I23" s="2467" t="s">
        <v>2782</v>
      </c>
      <c r="J23" s="2467" t="s">
        <v>2783</v>
      </c>
      <c r="K23" s="2467" t="s">
        <v>2784</v>
      </c>
      <c r="L23" s="2467" t="s">
        <v>2785</v>
      </c>
      <c r="M23" s="2467" t="s">
        <v>2786</v>
      </c>
      <c r="N23" s="102" t="s">
        <v>2787</v>
      </c>
      <c r="O23" s="2468" t="s">
        <v>2788</v>
      </c>
      <c r="P23" s="2468" t="s">
        <v>2789</v>
      </c>
      <c r="Q23" s="2467" t="s">
        <v>2790</v>
      </c>
      <c r="R23" s="2467" t="s">
        <v>2791</v>
      </c>
      <c r="S23" s="2467" t="s">
        <v>2792</v>
      </c>
      <c r="T23" s="2467" t="s">
        <v>2793</v>
      </c>
      <c r="U23" s="2398" t="s">
        <v>2794</v>
      </c>
      <c r="V23" s="105" t="s">
        <v>2795</v>
      </c>
      <c r="W23" s="105" t="s">
        <v>2796</v>
      </c>
      <c r="X23" s="106" t="s">
        <v>2797</v>
      </c>
      <c r="Y23" s="106" t="s">
        <v>2798</v>
      </c>
      <c r="Z23" s="101" t="s">
        <v>2799</v>
      </c>
      <c r="AA23" s="103" t="s">
        <v>2800</v>
      </c>
      <c r="AB23" s="169" t="s">
        <v>2801</v>
      </c>
      <c r="AC23" s="1057"/>
      <c r="AD23" s="1058"/>
      <c r="AE23" s="1058"/>
      <c r="AF23" s="1058"/>
      <c r="AG23" s="1058"/>
      <c r="AH23" s="1058"/>
      <c r="AI23" s="1058"/>
      <c r="AJ23" s="1058"/>
      <c r="AK23" s="1058"/>
      <c r="AL23" s="1058"/>
      <c r="AM23" s="1058"/>
      <c r="AN23" s="1058"/>
      <c r="AO23" s="1058"/>
      <c r="AP23" s="94"/>
      <c r="AQ23" s="94"/>
      <c r="AR23" s="94"/>
      <c r="AS23" s="94"/>
      <c r="AT23" s="94"/>
      <c r="AU23" s="94"/>
      <c r="CA23" s="94"/>
      <c r="CC23" s="890"/>
      <c r="CM23" s="1017">
        <v>0</v>
      </c>
      <c r="CN23" s="1017">
        <v>0</v>
      </c>
      <c r="CR23" s="1017">
        <v>0</v>
      </c>
    </row>
    <row r="24" spans="1:105" ht="16.350000000000001" customHeight="1" x14ac:dyDescent="0.2">
      <c r="A24" s="2458" t="s">
        <v>2813</v>
      </c>
      <c r="B24" s="5102" t="s">
        <v>36</v>
      </c>
      <c r="C24" s="2476" t="s">
        <v>29</v>
      </c>
      <c r="D24" s="2476" t="s">
        <v>2777</v>
      </c>
      <c r="E24" s="2452" t="s">
        <v>2778</v>
      </c>
      <c r="F24" s="2453" t="s">
        <v>2779</v>
      </c>
      <c r="G24" s="2453" t="s">
        <v>2780</v>
      </c>
      <c r="H24" s="2453" t="s">
        <v>2781</v>
      </c>
      <c r="I24" s="2453" t="s">
        <v>2782</v>
      </c>
      <c r="J24" s="2453" t="s">
        <v>2783</v>
      </c>
      <c r="K24" s="2453" t="s">
        <v>2784</v>
      </c>
      <c r="L24" s="2453" t="s">
        <v>2785</v>
      </c>
      <c r="M24" s="2462" t="s">
        <v>2786</v>
      </c>
      <c r="N24" s="2462" t="s">
        <v>2787</v>
      </c>
      <c r="O24" s="2462" t="s">
        <v>2788</v>
      </c>
      <c r="P24" s="2462" t="s">
        <v>2789</v>
      </c>
      <c r="Q24" s="2453" t="s">
        <v>2790</v>
      </c>
      <c r="R24" s="2453" t="s">
        <v>2791</v>
      </c>
      <c r="S24" s="2453" t="s">
        <v>2792</v>
      </c>
      <c r="T24" s="2454" t="s">
        <v>2793</v>
      </c>
      <c r="U24" s="2452" t="s">
        <v>2794</v>
      </c>
      <c r="V24" s="2393" t="s">
        <v>2795</v>
      </c>
      <c r="W24" s="2393" t="s">
        <v>2796</v>
      </c>
      <c r="X24" s="2463" t="s">
        <v>2797</v>
      </c>
      <c r="Y24" s="2463" t="s">
        <v>2798</v>
      </c>
      <c r="Z24" s="2404" t="s">
        <v>2799</v>
      </c>
      <c r="AA24" s="2464" t="s">
        <v>2800</v>
      </c>
      <c r="AB24" s="2405" t="s">
        <v>2801</v>
      </c>
      <c r="AC24" s="1057"/>
      <c r="AD24" s="1058"/>
      <c r="AE24" s="1058"/>
      <c r="AF24" s="1058"/>
      <c r="AG24" s="1058"/>
      <c r="AH24" s="1058"/>
      <c r="AI24" s="1058"/>
      <c r="AJ24" s="1058"/>
      <c r="AK24" s="1058"/>
      <c r="AL24" s="1058"/>
      <c r="AM24" s="1058"/>
      <c r="AN24" s="1058"/>
      <c r="AO24" s="1058"/>
      <c r="AP24" s="94"/>
      <c r="AQ24" s="94"/>
      <c r="AR24" s="94"/>
      <c r="AS24" s="94"/>
      <c r="AT24" s="94"/>
      <c r="AU24" s="94"/>
      <c r="CA24" s="94"/>
      <c r="CC24" s="890"/>
      <c r="CM24" s="1017">
        <v>0</v>
      </c>
      <c r="CN24" s="1017">
        <v>0</v>
      </c>
      <c r="CR24" s="1017">
        <v>0</v>
      </c>
    </row>
    <row r="25" spans="1:105" ht="16.350000000000001" customHeight="1" x14ac:dyDescent="0.2">
      <c r="A25" s="2458" t="s">
        <v>2814</v>
      </c>
      <c r="B25" s="5104"/>
      <c r="C25" s="100" t="s">
        <v>30</v>
      </c>
      <c r="D25" s="2477" t="s">
        <v>2777</v>
      </c>
      <c r="E25" s="101" t="s">
        <v>2778</v>
      </c>
      <c r="F25" s="2478" t="s">
        <v>2779</v>
      </c>
      <c r="G25" s="2478" t="s">
        <v>2780</v>
      </c>
      <c r="H25" s="2478" t="s">
        <v>2781</v>
      </c>
      <c r="I25" s="2478" t="s">
        <v>2782</v>
      </c>
      <c r="J25" s="2478" t="s">
        <v>2783</v>
      </c>
      <c r="K25" s="2478" t="s">
        <v>2784</v>
      </c>
      <c r="L25" s="2478" t="s">
        <v>2785</v>
      </c>
      <c r="M25" s="102" t="s">
        <v>2786</v>
      </c>
      <c r="N25" s="102" t="s">
        <v>2787</v>
      </c>
      <c r="O25" s="2468" t="s">
        <v>2788</v>
      </c>
      <c r="P25" s="2468" t="s">
        <v>2789</v>
      </c>
      <c r="Q25" s="2478" t="s">
        <v>2790</v>
      </c>
      <c r="R25" s="2478" t="s">
        <v>2791</v>
      </c>
      <c r="S25" s="2478" t="s">
        <v>2792</v>
      </c>
      <c r="T25" s="2479" t="s">
        <v>2793</v>
      </c>
      <c r="U25" s="106" t="s">
        <v>2794</v>
      </c>
      <c r="V25" s="168" t="s">
        <v>2795</v>
      </c>
      <c r="W25" s="105" t="s">
        <v>2796</v>
      </c>
      <c r="X25" s="106" t="s">
        <v>2797</v>
      </c>
      <c r="Y25" s="106" t="s">
        <v>2798</v>
      </c>
      <c r="Z25" s="101" t="s">
        <v>2799</v>
      </c>
      <c r="AA25" s="103" t="s">
        <v>2800</v>
      </c>
      <c r="AB25" s="169" t="s">
        <v>2801</v>
      </c>
      <c r="AC25" s="1057"/>
      <c r="AD25" s="1058"/>
      <c r="AE25" s="1058"/>
      <c r="AF25" s="1058"/>
      <c r="AG25" s="1058"/>
      <c r="AH25" s="1058"/>
      <c r="AI25" s="1058"/>
      <c r="AJ25" s="1058"/>
      <c r="AK25" s="1058"/>
      <c r="AL25" s="1058"/>
      <c r="AM25" s="1058"/>
      <c r="AN25" s="1058"/>
      <c r="AO25" s="1058"/>
      <c r="AP25" s="94"/>
      <c r="AQ25" s="94"/>
      <c r="AR25" s="94"/>
      <c r="AS25" s="94"/>
      <c r="AT25" s="94"/>
      <c r="AU25" s="94"/>
      <c r="CA25" s="94"/>
      <c r="CC25" s="890"/>
      <c r="CM25" s="1017">
        <v>0</v>
      </c>
      <c r="CN25" s="1017">
        <v>0</v>
      </c>
      <c r="CR25" s="1017">
        <v>0</v>
      </c>
    </row>
    <row r="26" spans="1:105" ht="16.350000000000001" customHeight="1" x14ac:dyDescent="0.2">
      <c r="A26" s="2458" t="s">
        <v>2815</v>
      </c>
      <c r="B26" s="5103" t="s">
        <v>37</v>
      </c>
      <c r="C26" s="2475" t="s">
        <v>29</v>
      </c>
      <c r="D26" s="2450" t="s">
        <v>2777</v>
      </c>
      <c r="E26" s="2452" t="s">
        <v>2778</v>
      </c>
      <c r="F26" s="2396" t="s">
        <v>2779</v>
      </c>
      <c r="G26" s="2396" t="s">
        <v>2780</v>
      </c>
      <c r="H26" s="2396" t="s">
        <v>2781</v>
      </c>
      <c r="I26" s="2396" t="s">
        <v>2782</v>
      </c>
      <c r="J26" s="2396" t="s">
        <v>2783</v>
      </c>
      <c r="K26" s="2396" t="s">
        <v>2784</v>
      </c>
      <c r="L26" s="2396" t="s">
        <v>2785</v>
      </c>
      <c r="M26" s="2462" t="s">
        <v>2786</v>
      </c>
      <c r="N26" s="2462" t="s">
        <v>2787</v>
      </c>
      <c r="O26" s="2462" t="s">
        <v>2788</v>
      </c>
      <c r="P26" s="2462" t="s">
        <v>2789</v>
      </c>
      <c r="Q26" s="2396" t="s">
        <v>2790</v>
      </c>
      <c r="R26" s="2396" t="s">
        <v>2791</v>
      </c>
      <c r="S26" s="2396" t="s">
        <v>2792</v>
      </c>
      <c r="T26" s="2480" t="s">
        <v>2793</v>
      </c>
      <c r="U26" s="2393" t="s">
        <v>2794</v>
      </c>
      <c r="V26" s="2271" t="s">
        <v>2795</v>
      </c>
      <c r="W26" s="2393" t="s">
        <v>2796</v>
      </c>
      <c r="X26" s="2463" t="s">
        <v>2797</v>
      </c>
      <c r="Y26" s="2463" t="s">
        <v>2798</v>
      </c>
      <c r="Z26" s="2404" t="s">
        <v>2799</v>
      </c>
      <c r="AA26" s="2464" t="s">
        <v>2800</v>
      </c>
      <c r="AB26" s="2405" t="s">
        <v>2801</v>
      </c>
      <c r="AC26" s="1057"/>
      <c r="AD26" s="1058"/>
      <c r="AE26" s="1058"/>
      <c r="AF26" s="1058"/>
      <c r="AG26" s="1058"/>
      <c r="AH26" s="1058"/>
      <c r="AI26" s="1058"/>
      <c r="AJ26" s="1058"/>
      <c r="AK26" s="1058"/>
      <c r="AL26" s="1058"/>
      <c r="AM26" s="1058"/>
      <c r="AN26" s="1058"/>
      <c r="AO26" s="1058"/>
      <c r="AP26" s="94"/>
      <c r="AQ26" s="94"/>
      <c r="AR26" s="94"/>
      <c r="AS26" s="94"/>
      <c r="AT26" s="94"/>
      <c r="AU26" s="94"/>
      <c r="CA26" s="94"/>
      <c r="CC26" s="890"/>
      <c r="CM26" s="1017">
        <v>0</v>
      </c>
      <c r="CN26" s="1017">
        <v>0</v>
      </c>
      <c r="CR26" s="1017">
        <v>0</v>
      </c>
    </row>
    <row r="27" spans="1:105" ht="16.350000000000001" customHeight="1" x14ac:dyDescent="0.2">
      <c r="A27" s="2458" t="s">
        <v>2816</v>
      </c>
      <c r="B27" s="5104"/>
      <c r="C27" s="100" t="s">
        <v>30</v>
      </c>
      <c r="D27" s="100" t="s">
        <v>2777</v>
      </c>
      <c r="E27" s="101" t="s">
        <v>2778</v>
      </c>
      <c r="F27" s="102" t="s">
        <v>2779</v>
      </c>
      <c r="G27" s="102" t="s">
        <v>2780</v>
      </c>
      <c r="H27" s="102" t="s">
        <v>2781</v>
      </c>
      <c r="I27" s="102" t="s">
        <v>2782</v>
      </c>
      <c r="J27" s="102" t="s">
        <v>2783</v>
      </c>
      <c r="K27" s="102" t="s">
        <v>2784</v>
      </c>
      <c r="L27" s="102" t="s">
        <v>2785</v>
      </c>
      <c r="M27" s="102" t="s">
        <v>2786</v>
      </c>
      <c r="N27" s="2468" t="s">
        <v>2787</v>
      </c>
      <c r="O27" s="2468" t="s">
        <v>2788</v>
      </c>
      <c r="P27" s="2468" t="s">
        <v>2789</v>
      </c>
      <c r="Q27" s="102" t="s">
        <v>2790</v>
      </c>
      <c r="R27" s="102" t="s">
        <v>2791</v>
      </c>
      <c r="S27" s="102" t="s">
        <v>2792</v>
      </c>
      <c r="T27" s="125" t="s">
        <v>2793</v>
      </c>
      <c r="U27" s="105" t="s">
        <v>2794</v>
      </c>
      <c r="V27" s="126" t="s">
        <v>2795</v>
      </c>
      <c r="W27" s="105" t="s">
        <v>2796</v>
      </c>
      <c r="X27" s="106" t="s">
        <v>2797</v>
      </c>
      <c r="Y27" s="106" t="s">
        <v>2798</v>
      </c>
      <c r="Z27" s="101" t="s">
        <v>2799</v>
      </c>
      <c r="AA27" s="103" t="s">
        <v>2800</v>
      </c>
      <c r="AB27" s="169" t="s">
        <v>2801</v>
      </c>
      <c r="AC27" s="1057"/>
      <c r="AD27" s="1058"/>
      <c r="AE27" s="1058"/>
      <c r="AF27" s="1058"/>
      <c r="AG27" s="1058"/>
      <c r="AH27" s="1058"/>
      <c r="AI27" s="1058"/>
      <c r="AJ27" s="1058"/>
      <c r="AK27" s="1058"/>
      <c r="AL27" s="1058"/>
      <c r="AM27" s="1058"/>
      <c r="AN27" s="1058"/>
      <c r="AO27" s="1058"/>
      <c r="AP27" s="94"/>
      <c r="AQ27" s="94"/>
      <c r="AR27" s="94"/>
      <c r="AS27" s="94"/>
      <c r="AT27" s="94"/>
      <c r="AU27" s="94"/>
      <c r="CA27" s="94"/>
      <c r="CC27" s="890"/>
      <c r="CM27" s="1017">
        <v>0</v>
      </c>
      <c r="CN27" s="1017">
        <v>0</v>
      </c>
      <c r="CR27" s="1017">
        <v>0</v>
      </c>
    </row>
    <row r="28" spans="1:105" s="127" customFormat="1" ht="31.35" customHeight="1" x14ac:dyDescent="0.2">
      <c r="B28" s="85" t="s">
        <v>38</v>
      </c>
      <c r="C28" s="84"/>
      <c r="D28" s="84"/>
      <c r="E28" s="84"/>
      <c r="F28" s="84"/>
      <c r="G28" s="84"/>
      <c r="H28" s="84"/>
      <c r="I28" s="84"/>
      <c r="J28" s="84"/>
      <c r="K28" s="84"/>
      <c r="L28" s="84"/>
      <c r="M28" s="84"/>
      <c r="N28" s="84"/>
      <c r="O28" s="84"/>
      <c r="P28" s="84"/>
      <c r="Q28" s="84"/>
      <c r="R28" s="84"/>
      <c r="S28" s="84"/>
      <c r="T28" s="84"/>
      <c r="U28" s="84"/>
      <c r="V28" s="84"/>
      <c r="W28" s="84"/>
      <c r="X28" s="84"/>
      <c r="Y28" s="84"/>
      <c r="Z28" s="84"/>
      <c r="AA28" s="84"/>
      <c r="AB28" s="84"/>
      <c r="BF28" s="84"/>
      <c r="BG28" s="84"/>
      <c r="BH28" s="84"/>
      <c r="BI28" s="84"/>
      <c r="BJ28" s="84"/>
      <c r="BK28" s="84"/>
      <c r="BL28" s="84"/>
      <c r="BM28" s="84"/>
      <c r="BN28" s="84"/>
      <c r="BO28" s="84"/>
      <c r="BP28" s="84"/>
      <c r="BQ28" s="84"/>
      <c r="BR28" s="84"/>
      <c r="BS28" s="84"/>
      <c r="BT28" s="84"/>
      <c r="BU28" s="84"/>
      <c r="BV28" s="84"/>
      <c r="BW28" s="84"/>
      <c r="BX28" s="84"/>
      <c r="BY28" s="84"/>
      <c r="BZ28" s="84"/>
      <c r="CB28" s="1013"/>
      <c r="CC28" s="1013"/>
      <c r="CD28" s="1013"/>
      <c r="CE28" s="1013"/>
      <c r="CF28" s="1013"/>
      <c r="CG28" s="1013"/>
      <c r="CH28" s="1018"/>
      <c r="CI28" s="1018"/>
      <c r="CJ28" s="1018"/>
      <c r="CK28" s="1018"/>
      <c r="CL28" s="1018"/>
      <c r="CM28" s="1018"/>
      <c r="CN28" s="1018"/>
      <c r="CO28" s="1018"/>
      <c r="CP28" s="1018"/>
      <c r="CQ28" s="1018"/>
      <c r="CR28" s="1018"/>
      <c r="CS28" s="1018"/>
      <c r="CT28" s="1018"/>
      <c r="CU28" s="1018"/>
      <c r="CV28" s="1018"/>
      <c r="CW28" s="1013"/>
      <c r="CX28" s="1013"/>
      <c r="CY28" s="1013"/>
      <c r="CZ28" s="1013"/>
      <c r="DA28" s="1013"/>
    </row>
    <row r="29" spans="1:105" s="128" customFormat="1" ht="30" customHeight="1" x14ac:dyDescent="0.2">
      <c r="B29" s="5134" t="s">
        <v>2</v>
      </c>
      <c r="C29" s="5134" t="s">
        <v>3</v>
      </c>
      <c r="D29" s="5105" t="s">
        <v>42</v>
      </c>
      <c r="E29" s="5137"/>
      <c r="F29" s="5106"/>
      <c r="G29" s="5107" t="s">
        <v>62</v>
      </c>
      <c r="H29" s="5117"/>
      <c r="I29" s="5117"/>
      <c r="J29" s="5117"/>
      <c r="K29" s="5117"/>
      <c r="L29" s="5117"/>
      <c r="M29" s="5117"/>
      <c r="N29" s="5117"/>
      <c r="O29" s="5117"/>
      <c r="P29" s="5117"/>
      <c r="Q29" s="5117"/>
      <c r="R29" s="5117"/>
      <c r="S29" s="5117"/>
      <c r="T29" s="5117"/>
      <c r="U29" s="5117"/>
      <c r="V29" s="5117"/>
      <c r="W29" s="5117"/>
      <c r="X29" s="5117"/>
      <c r="Y29" s="5117"/>
      <c r="Z29" s="5117"/>
      <c r="AA29" s="5117"/>
      <c r="AB29" s="5117"/>
      <c r="AC29" s="5117"/>
      <c r="AD29" s="5117"/>
      <c r="AE29" s="5117"/>
      <c r="AF29" s="5117"/>
      <c r="AG29" s="5117"/>
      <c r="AH29" s="5117"/>
      <c r="AI29" s="5108"/>
      <c r="AJ29" s="5128" t="s">
        <v>1357</v>
      </c>
      <c r="AK29" s="5138" t="s">
        <v>58</v>
      </c>
      <c r="AL29" s="5139"/>
      <c r="AM29" s="5115" t="s">
        <v>1483</v>
      </c>
      <c r="BF29" s="81"/>
      <c r="BG29" s="81"/>
      <c r="BH29" s="81"/>
      <c r="BI29" s="81"/>
      <c r="BJ29" s="81"/>
      <c r="BK29" s="81"/>
      <c r="BL29" s="81"/>
      <c r="BM29" s="81"/>
      <c r="BN29" s="81"/>
      <c r="BO29" s="81"/>
      <c r="BP29" s="81"/>
      <c r="BQ29" s="81"/>
      <c r="BR29" s="81"/>
      <c r="BS29" s="81"/>
      <c r="BT29" s="81"/>
      <c r="BU29" s="81"/>
      <c r="BV29" s="81"/>
      <c r="BW29" s="81"/>
      <c r="BX29" s="81"/>
      <c r="BY29" s="81"/>
      <c r="BZ29" s="81"/>
      <c r="CB29" s="902"/>
      <c r="CC29" s="902"/>
      <c r="CD29" s="902"/>
      <c r="CE29" s="902"/>
      <c r="CF29" s="902"/>
      <c r="CG29" s="902"/>
      <c r="CH29" s="1019"/>
      <c r="CI29" s="1019"/>
      <c r="CJ29" s="1019"/>
      <c r="CK29" s="1019"/>
      <c r="CL29" s="1019"/>
      <c r="CM29" s="1019"/>
      <c r="CN29" s="1019"/>
      <c r="CO29" s="1019"/>
      <c r="CP29" s="1019"/>
      <c r="CQ29" s="1019"/>
      <c r="CR29" s="1019"/>
      <c r="CS29" s="1019"/>
      <c r="CT29" s="1019"/>
      <c r="CU29" s="1019"/>
      <c r="CV29" s="1019"/>
      <c r="CW29" s="902"/>
      <c r="CX29" s="902"/>
      <c r="CY29" s="902"/>
      <c r="CZ29" s="902"/>
      <c r="DA29" s="902"/>
    </row>
    <row r="30" spans="1:105" s="128" customFormat="1" ht="36" customHeight="1" x14ac:dyDescent="0.2">
      <c r="B30" s="5136"/>
      <c r="C30" s="5136"/>
      <c r="D30" s="129" t="s">
        <v>184</v>
      </c>
      <c r="E30" s="91" t="s">
        <v>24</v>
      </c>
      <c r="F30" s="131" t="s">
        <v>25</v>
      </c>
      <c r="G30" s="132" t="s">
        <v>43</v>
      </c>
      <c r="H30" s="88" t="s">
        <v>44</v>
      </c>
      <c r="I30" s="88" t="s">
        <v>45</v>
      </c>
      <c r="J30" s="88" t="s">
        <v>46</v>
      </c>
      <c r="K30" s="133" t="s">
        <v>47</v>
      </c>
      <c r="L30" s="88" t="s">
        <v>48</v>
      </c>
      <c r="M30" s="88" t="s">
        <v>49</v>
      </c>
      <c r="N30" s="88" t="s">
        <v>50</v>
      </c>
      <c r="O30" s="88" t="s">
        <v>51</v>
      </c>
      <c r="P30" s="88" t="s">
        <v>52</v>
      </c>
      <c r="Q30" s="88" t="s">
        <v>53</v>
      </c>
      <c r="R30" s="88" t="s">
        <v>54</v>
      </c>
      <c r="S30" s="88" t="s">
        <v>55</v>
      </c>
      <c r="T30" s="88" t="s">
        <v>56</v>
      </c>
      <c r="U30" s="89" t="s">
        <v>57</v>
      </c>
      <c r="V30" s="89" t="s">
        <v>319</v>
      </c>
      <c r="W30" s="89" t="s">
        <v>10</v>
      </c>
      <c r="X30" s="89" t="s">
        <v>11</v>
      </c>
      <c r="Y30" s="89" t="s">
        <v>12</v>
      </c>
      <c r="Z30" s="89" t="s">
        <v>13</v>
      </c>
      <c r="AA30" s="89" t="s">
        <v>14</v>
      </c>
      <c r="AB30" s="89" t="s">
        <v>15</v>
      </c>
      <c r="AC30" s="89" t="s">
        <v>16</v>
      </c>
      <c r="AD30" s="89" t="s">
        <v>17</v>
      </c>
      <c r="AE30" s="89" t="s">
        <v>18</v>
      </c>
      <c r="AF30" s="89" t="s">
        <v>19</v>
      </c>
      <c r="AG30" s="89" t="s">
        <v>20</v>
      </c>
      <c r="AH30" s="89" t="s">
        <v>21</v>
      </c>
      <c r="AI30" s="90" t="s">
        <v>22</v>
      </c>
      <c r="AJ30" s="5129"/>
      <c r="AK30" s="134" t="s">
        <v>59</v>
      </c>
      <c r="AL30" s="135" t="s">
        <v>60</v>
      </c>
      <c r="AM30" s="5116"/>
      <c r="AO30" s="127"/>
      <c r="AP30" s="127"/>
      <c r="AQ30" s="127"/>
      <c r="BF30" s="81"/>
      <c r="BG30" s="81"/>
      <c r="BH30" s="81"/>
      <c r="BI30" s="81"/>
      <c r="BJ30" s="81"/>
      <c r="BK30" s="81"/>
      <c r="BL30" s="81"/>
      <c r="BM30" s="81"/>
      <c r="BN30" s="81"/>
      <c r="BO30" s="81"/>
      <c r="BP30" s="81"/>
      <c r="BQ30" s="81"/>
      <c r="BR30" s="81"/>
      <c r="BS30" s="81"/>
      <c r="BT30" s="81"/>
      <c r="BU30" s="81"/>
      <c r="BV30" s="81"/>
      <c r="BW30" s="81"/>
      <c r="BX30" s="81"/>
      <c r="BY30" s="81"/>
      <c r="BZ30" s="81"/>
      <c r="CB30" s="902"/>
      <c r="CC30" s="902"/>
      <c r="CD30" s="902"/>
      <c r="CE30" s="902"/>
      <c r="CF30" s="902"/>
      <c r="CG30" s="902"/>
      <c r="CH30" s="1019"/>
      <c r="CI30" s="1019"/>
      <c r="CJ30" s="1019"/>
      <c r="CK30" s="1019"/>
      <c r="CL30" s="1019"/>
      <c r="CM30" s="1019"/>
      <c r="CN30" s="1019"/>
      <c r="CO30" s="1019"/>
      <c r="CP30" s="1019"/>
      <c r="CQ30" s="1019"/>
      <c r="CR30" s="1019"/>
      <c r="CS30" s="1019"/>
      <c r="CT30" s="1019"/>
      <c r="CU30" s="1019"/>
      <c r="CV30" s="1019"/>
      <c r="CW30" s="902"/>
      <c r="CX30" s="902"/>
      <c r="CY30" s="902"/>
      <c r="CZ30" s="902"/>
      <c r="DA30" s="902"/>
    </row>
    <row r="31" spans="1:105" s="128" customFormat="1" ht="14.45" customHeight="1" x14ac:dyDescent="0.2">
      <c r="A31" s="2458" t="s">
        <v>2820</v>
      </c>
      <c r="B31" s="5102" t="s">
        <v>849</v>
      </c>
      <c r="C31" s="2450" t="s">
        <v>29</v>
      </c>
      <c r="D31" s="2450" t="s">
        <v>2777</v>
      </c>
      <c r="E31" s="2481" t="s">
        <v>2778</v>
      </c>
      <c r="F31" s="2482" t="s">
        <v>2779</v>
      </c>
      <c r="G31" s="2483" t="s">
        <v>2780</v>
      </c>
      <c r="H31" s="2462" t="s">
        <v>2781</v>
      </c>
      <c r="I31" s="2462" t="s">
        <v>2782</v>
      </c>
      <c r="J31" s="2462" t="s">
        <v>2783</v>
      </c>
      <c r="K31" s="2484" t="s">
        <v>2784</v>
      </c>
      <c r="L31" s="2484" t="s">
        <v>2785</v>
      </c>
      <c r="M31" s="2462" t="s">
        <v>2786</v>
      </c>
      <c r="N31" s="2485" t="s">
        <v>2787</v>
      </c>
      <c r="O31" s="2486" t="s">
        <v>2788</v>
      </c>
      <c r="P31" s="2486" t="s">
        <v>2789</v>
      </c>
      <c r="Q31" s="2487" t="s">
        <v>2790</v>
      </c>
      <c r="R31" s="2462" t="s">
        <v>2791</v>
      </c>
      <c r="S31" s="2462" t="s">
        <v>2792</v>
      </c>
      <c r="T31" s="2462" t="s">
        <v>2793</v>
      </c>
      <c r="U31" s="2484" t="s">
        <v>2794</v>
      </c>
      <c r="V31" s="2484" t="s">
        <v>2795</v>
      </c>
      <c r="W31" s="2462" t="s">
        <v>2796</v>
      </c>
      <c r="X31" s="2485" t="s">
        <v>2797</v>
      </c>
      <c r="Y31" s="2484" t="s">
        <v>2798</v>
      </c>
      <c r="Z31" s="2484" t="s">
        <v>2799</v>
      </c>
      <c r="AA31" s="2487" t="s">
        <v>2800</v>
      </c>
      <c r="AB31" s="2462" t="s">
        <v>2801</v>
      </c>
      <c r="AC31" s="2484" t="s">
        <v>2817</v>
      </c>
      <c r="AD31" s="2487" t="s">
        <v>2818</v>
      </c>
      <c r="AE31" s="2462" t="s">
        <v>2819</v>
      </c>
      <c r="AF31" s="2484" t="s">
        <v>2821</v>
      </c>
      <c r="AG31" s="2487" t="s">
        <v>2822</v>
      </c>
      <c r="AH31" s="2462" t="s">
        <v>2823</v>
      </c>
      <c r="AI31" s="2488" t="s">
        <v>2824</v>
      </c>
      <c r="AJ31" s="2455" t="s">
        <v>2825</v>
      </c>
      <c r="AK31" s="2487" t="s">
        <v>2826</v>
      </c>
      <c r="AL31" s="2488" t="s">
        <v>2827</v>
      </c>
      <c r="AM31" s="2488" t="s">
        <v>2831</v>
      </c>
      <c r="AN31" s="1057"/>
      <c r="AO31" s="1058"/>
      <c r="AP31" s="1058"/>
      <c r="AQ31" s="1058"/>
      <c r="AR31" s="1058"/>
      <c r="AS31" s="1058"/>
      <c r="AT31" s="1058"/>
      <c r="AU31" s="1058"/>
      <c r="AV31" s="1058"/>
      <c r="AW31" s="1058"/>
      <c r="AX31" s="1058"/>
      <c r="AY31" s="1058"/>
      <c r="AZ31" s="1058"/>
      <c r="BF31" s="81"/>
      <c r="BG31" s="81"/>
      <c r="BH31" s="81"/>
      <c r="BI31" s="81"/>
      <c r="BJ31" s="81"/>
      <c r="BK31" s="81"/>
      <c r="BL31" s="81"/>
      <c r="BM31" s="81"/>
      <c r="BN31" s="81"/>
      <c r="BO31" s="81"/>
      <c r="BP31" s="81"/>
      <c r="BQ31" s="81"/>
      <c r="BR31" s="81"/>
      <c r="BS31" s="81"/>
      <c r="BT31" s="81"/>
      <c r="BU31" s="81"/>
      <c r="BV31" s="81"/>
      <c r="BW31" s="81"/>
      <c r="BX31" s="81"/>
      <c r="BY31" s="81"/>
      <c r="BZ31" s="81"/>
      <c r="CB31" s="902"/>
      <c r="CC31" s="902"/>
      <c r="CD31" s="902" t="str">
        <f>IF(AK31&gt;SUM(G31:N31),"* Los controles con presencia del padre NO DEBE ser mayor que el total Controles Menor 1 año. ",IF(AL31&gt;SUM(O31:Q31),"* Los controles con presencia del padre NO DEBE ser mayor que el total Controles 1 año a 3 años 11 meses 29 dÍas. ",""))</f>
        <v xml:space="preserve">* Los controles con presencia del padre NO DEBE ser mayor que el total Controles Menor 1 año. </v>
      </c>
      <c r="CE31" s="902" t="str">
        <f>IF(AND(G31&lt;&gt;0,'A05'!D50=""),"* NO OLVIDE REGISTRAR INGRESOS A CONTROL DE SALUD DE LOS RESPECTIVOS RN, EN REM A05-SECCIÓN E. ","")</f>
        <v/>
      </c>
      <c r="CF31" s="902"/>
      <c r="CG31" s="902"/>
      <c r="CH31" s="1019"/>
      <c r="CI31" s="1019">
        <v>0</v>
      </c>
      <c r="CJ31" s="1019">
        <f>IF(AK31&gt;SUM(G31:N31),1,IF(AL31&gt;SUM(O31:Q31),1,0))</f>
        <v>1</v>
      </c>
      <c r="CK31" s="1019">
        <v>0</v>
      </c>
      <c r="CL31" s="1019"/>
      <c r="CM31" s="1019"/>
      <c r="CN31" s="1019"/>
      <c r="CO31" s="1019"/>
      <c r="CP31" s="1019"/>
      <c r="CQ31" s="1019"/>
      <c r="CR31" s="1019"/>
      <c r="CS31" s="1019"/>
      <c r="CT31" s="1019"/>
      <c r="CU31" s="1019"/>
      <c r="CV31" s="1019"/>
      <c r="CW31" s="902"/>
      <c r="CX31" s="902"/>
      <c r="CY31" s="902"/>
      <c r="CZ31" s="902"/>
      <c r="DA31" s="902"/>
    </row>
    <row r="32" spans="1:105" s="128" customFormat="1" ht="14.45" customHeight="1" x14ac:dyDescent="0.2">
      <c r="A32" s="2458" t="s">
        <v>2828</v>
      </c>
      <c r="B32" s="5103"/>
      <c r="C32" s="140" t="s">
        <v>41</v>
      </c>
      <c r="D32" s="140" t="s">
        <v>2777</v>
      </c>
      <c r="E32" s="2481" t="s">
        <v>2778</v>
      </c>
      <c r="F32" s="2482" t="s">
        <v>2779</v>
      </c>
      <c r="G32" s="141" t="s">
        <v>2780</v>
      </c>
      <c r="H32" s="2489" t="s">
        <v>2781</v>
      </c>
      <c r="I32" s="2489" t="s">
        <v>2782</v>
      </c>
      <c r="J32" s="142" t="s">
        <v>2783</v>
      </c>
      <c r="K32" s="2489" t="s">
        <v>2784</v>
      </c>
      <c r="L32" s="2489" t="s">
        <v>2785</v>
      </c>
      <c r="M32" s="142" t="s">
        <v>2786</v>
      </c>
      <c r="N32" s="2489" t="s">
        <v>2787</v>
      </c>
      <c r="O32" s="2489" t="s">
        <v>2788</v>
      </c>
      <c r="P32" s="142" t="s">
        <v>2789</v>
      </c>
      <c r="Q32" s="2489" t="s">
        <v>2790</v>
      </c>
      <c r="R32" s="2489" t="s">
        <v>2791</v>
      </c>
      <c r="S32" s="142" t="s">
        <v>2792</v>
      </c>
      <c r="T32" s="2489" t="s">
        <v>2793</v>
      </c>
      <c r="U32" s="2489" t="s">
        <v>2794</v>
      </c>
      <c r="V32" s="142" t="s">
        <v>2795</v>
      </c>
      <c r="W32" s="2489" t="s">
        <v>2796</v>
      </c>
      <c r="X32" s="2489" t="s">
        <v>2797</v>
      </c>
      <c r="Y32" s="142" t="s">
        <v>2798</v>
      </c>
      <c r="Z32" s="2489" t="s">
        <v>2799</v>
      </c>
      <c r="AA32" s="2489" t="s">
        <v>2800</v>
      </c>
      <c r="AB32" s="142" t="s">
        <v>2801</v>
      </c>
      <c r="AC32" s="2489" t="s">
        <v>2817</v>
      </c>
      <c r="AD32" s="2489" t="s">
        <v>2818</v>
      </c>
      <c r="AE32" s="142" t="s">
        <v>2819</v>
      </c>
      <c r="AF32" s="2489" t="s">
        <v>2821</v>
      </c>
      <c r="AG32" s="2489" t="s">
        <v>2822</v>
      </c>
      <c r="AH32" s="142" t="s">
        <v>2823</v>
      </c>
      <c r="AI32" s="2490" t="s">
        <v>2824</v>
      </c>
      <c r="AJ32" s="2491" t="s">
        <v>2825</v>
      </c>
      <c r="AK32" s="180" t="s">
        <v>2826</v>
      </c>
      <c r="AL32" s="2490" t="s">
        <v>2827</v>
      </c>
      <c r="AM32" s="2488" t="s">
        <v>2831</v>
      </c>
      <c r="AN32" s="1057"/>
      <c r="AO32" s="1058"/>
      <c r="AP32" s="1058"/>
      <c r="AQ32" s="1058"/>
      <c r="AR32" s="1058"/>
      <c r="AS32" s="1058"/>
      <c r="AT32" s="1058"/>
      <c r="AU32" s="1058"/>
      <c r="AV32" s="1058"/>
      <c r="AW32" s="1058"/>
      <c r="AX32" s="1058"/>
      <c r="AY32" s="1058"/>
      <c r="AZ32" s="1058"/>
      <c r="BF32" s="81"/>
      <c r="BG32" s="81"/>
      <c r="BH32" s="81"/>
      <c r="BI32" s="81"/>
      <c r="BJ32" s="81"/>
      <c r="BK32" s="81"/>
      <c r="BL32" s="81"/>
      <c r="BM32" s="81"/>
      <c r="BN32" s="81"/>
      <c r="BO32" s="81"/>
      <c r="BP32" s="81"/>
      <c r="BQ32" s="81"/>
      <c r="BR32" s="81"/>
      <c r="BS32" s="81"/>
      <c r="BT32" s="81"/>
      <c r="BU32" s="81"/>
      <c r="BV32" s="81"/>
      <c r="BW32" s="81"/>
      <c r="BX32" s="81"/>
      <c r="BY32" s="81"/>
      <c r="BZ32" s="81"/>
      <c r="CB32" s="902"/>
      <c r="CC32" s="902"/>
      <c r="CD32" s="902" t="str">
        <f>IF(AK32&gt;SUM(G32:N32),"* Los controles con presencia del padre NO DEBE ser mayor que el total Controles Menor 1 año. ",IF(AL32&gt;SUM(O32:Q32),"* Los controles con presencia del padre NO DEBE ser mayor que el total Controles 1 año a 3 años 11 meses 29 dÍas. ",""))</f>
        <v xml:space="preserve">* Los controles con presencia del padre NO DEBE ser mayor que el total Controles Menor 1 año. </v>
      </c>
      <c r="CE32" s="902" t="str">
        <f>IF(AND(G32&lt;&gt;0,'A05'!D50=""),"* NO OLVIDE REGISTRAR INGRESOS A CONTROL DE SALUD DE LOS RESPECTIVOS RN, EN REM A05-SECCIÓN E. ","")</f>
        <v/>
      </c>
      <c r="CF32" s="902"/>
      <c r="CG32" s="902"/>
      <c r="CH32" s="1019"/>
      <c r="CI32" s="1019">
        <v>0</v>
      </c>
      <c r="CJ32" s="1019">
        <f>IF(AK32&gt;SUM(G32:N32),1,IF(AL32&gt;SUM(O32:Q32),1,0))</f>
        <v>1</v>
      </c>
      <c r="CK32" s="1019">
        <v>0</v>
      </c>
      <c r="CL32" s="1019"/>
      <c r="CM32" s="1019"/>
      <c r="CN32" s="1019"/>
      <c r="CO32" s="1019"/>
      <c r="CP32" s="1019"/>
      <c r="CQ32" s="1019"/>
      <c r="CR32" s="1019"/>
      <c r="CS32" s="1019"/>
      <c r="CT32" s="1019"/>
      <c r="CU32" s="1019"/>
      <c r="CV32" s="1019"/>
      <c r="CW32" s="902"/>
      <c r="CX32" s="902"/>
      <c r="CY32" s="902"/>
      <c r="CZ32" s="902"/>
      <c r="DA32" s="902"/>
    </row>
    <row r="33" spans="1:105" s="128" customFormat="1" ht="14.45" customHeight="1" x14ac:dyDescent="0.2">
      <c r="A33" s="2458" t="s">
        <v>2829</v>
      </c>
      <c r="B33" s="5103"/>
      <c r="C33" s="2465" t="s">
        <v>30</v>
      </c>
      <c r="D33" s="2465" t="s">
        <v>2777</v>
      </c>
      <c r="E33" s="2481" t="s">
        <v>2778</v>
      </c>
      <c r="F33" s="2482" t="s">
        <v>2779</v>
      </c>
      <c r="G33" s="144" t="s">
        <v>2780</v>
      </c>
      <c r="H33" s="145" t="s">
        <v>2781</v>
      </c>
      <c r="I33" s="145" t="s">
        <v>2782</v>
      </c>
      <c r="J33" s="145" t="s">
        <v>2783</v>
      </c>
      <c r="K33" s="145" t="s">
        <v>2784</v>
      </c>
      <c r="L33" s="145" t="s">
        <v>2785</v>
      </c>
      <c r="M33" s="145" t="s">
        <v>2786</v>
      </c>
      <c r="N33" s="145" t="s">
        <v>2787</v>
      </c>
      <c r="O33" s="145" t="s">
        <v>2788</v>
      </c>
      <c r="P33" s="145" t="s">
        <v>2789</v>
      </c>
      <c r="Q33" s="145" t="s">
        <v>2790</v>
      </c>
      <c r="R33" s="145" t="s">
        <v>2791</v>
      </c>
      <c r="S33" s="145" t="s">
        <v>2792</v>
      </c>
      <c r="T33" s="145" t="s">
        <v>2793</v>
      </c>
      <c r="U33" s="146" t="s">
        <v>2794</v>
      </c>
      <c r="V33" s="146" t="s">
        <v>2795</v>
      </c>
      <c r="W33" s="146" t="s">
        <v>2796</v>
      </c>
      <c r="X33" s="146" t="s">
        <v>2797</v>
      </c>
      <c r="Y33" s="146" t="s">
        <v>2798</v>
      </c>
      <c r="Z33" s="146" t="s">
        <v>2799</v>
      </c>
      <c r="AA33" s="146" t="s">
        <v>2800</v>
      </c>
      <c r="AB33" s="146" t="s">
        <v>2801</v>
      </c>
      <c r="AC33" s="146" t="s">
        <v>2817</v>
      </c>
      <c r="AD33" s="146" t="s">
        <v>2818</v>
      </c>
      <c r="AE33" s="146" t="s">
        <v>2819</v>
      </c>
      <c r="AF33" s="146" t="s">
        <v>2821</v>
      </c>
      <c r="AG33" s="146" t="s">
        <v>2822</v>
      </c>
      <c r="AH33" s="146" t="s">
        <v>2823</v>
      </c>
      <c r="AI33" s="183" t="s">
        <v>2824</v>
      </c>
      <c r="AJ33" s="2324" t="s">
        <v>2825</v>
      </c>
      <c r="AK33" s="144" t="s">
        <v>2826</v>
      </c>
      <c r="AL33" s="174" t="s">
        <v>2827</v>
      </c>
      <c r="AM33" s="2488" t="s">
        <v>2831</v>
      </c>
      <c r="AN33" s="1057"/>
      <c r="AO33" s="1058"/>
      <c r="AP33" s="1058"/>
      <c r="AQ33" s="1058"/>
      <c r="AR33" s="1058"/>
      <c r="AS33" s="1058"/>
      <c r="AT33" s="1058"/>
      <c r="AU33" s="1058"/>
      <c r="AV33" s="1058"/>
      <c r="AW33" s="1058"/>
      <c r="AX33" s="1058"/>
      <c r="AY33" s="1058"/>
      <c r="AZ33" s="1058"/>
      <c r="BF33" s="81"/>
      <c r="BG33" s="81"/>
      <c r="BH33" s="81"/>
      <c r="BI33" s="81"/>
      <c r="BJ33" s="81"/>
      <c r="BK33" s="81"/>
      <c r="BL33" s="81"/>
      <c r="BM33" s="81"/>
      <c r="BN33" s="81"/>
      <c r="BO33" s="81"/>
      <c r="BP33" s="81"/>
      <c r="BQ33" s="81"/>
      <c r="BR33" s="81"/>
      <c r="BS33" s="81"/>
      <c r="BT33" s="81"/>
      <c r="BU33" s="81"/>
      <c r="BV33" s="81"/>
      <c r="BW33" s="81"/>
      <c r="BX33" s="81"/>
      <c r="BY33" s="81"/>
      <c r="BZ33" s="81"/>
      <c r="CB33" s="902"/>
      <c r="CC33" s="902"/>
      <c r="CD33" s="902" t="str">
        <f>IF((AK33&gt;G33),"* Los controles con presencia del padre NO DEBE ser mayor que el total Controles Menor 1 año. ","")</f>
        <v xml:space="preserve">* Los controles con presencia del padre NO DEBE ser mayor que el total Controles Menor 1 año. </v>
      </c>
      <c r="CE33" s="902" t="str">
        <f>IF(AND(G33&lt;&gt;0,'A05'!D50=""),"* NO OLVIDE REGISTRAR INGRESOS A CONTROL DE SALUD DE LOS RESPECTIVOS RN, EN REM A05-SECCIÓN E. ","")</f>
        <v/>
      </c>
      <c r="CF33" s="902"/>
      <c r="CG33" s="902"/>
      <c r="CH33" s="1019"/>
      <c r="CI33" s="1019">
        <v>0</v>
      </c>
      <c r="CJ33" s="1019">
        <f>IF(AK33&gt;SUM(G33:N33),1,IF(AL33&gt;SUM(O33:Q33),1,0))</f>
        <v>1</v>
      </c>
      <c r="CK33" s="1019">
        <v>0</v>
      </c>
      <c r="CL33" s="1019"/>
      <c r="CM33" s="1019"/>
      <c r="CN33" s="1019"/>
      <c r="CO33" s="1019"/>
      <c r="CP33" s="1019"/>
      <c r="CQ33" s="1019"/>
      <c r="CR33" s="1019"/>
      <c r="CS33" s="1019"/>
      <c r="CT33" s="1019"/>
      <c r="CU33" s="1019"/>
      <c r="CV33" s="1019"/>
      <c r="CW33" s="902"/>
      <c r="CX33" s="902"/>
      <c r="CY33" s="902"/>
      <c r="CZ33" s="902"/>
      <c r="DA33" s="902"/>
    </row>
    <row r="34" spans="1:105" s="128" customFormat="1" ht="14.45" customHeight="1" x14ac:dyDescent="0.2">
      <c r="A34" s="2458" t="s">
        <v>2830</v>
      </c>
      <c r="B34" s="5104"/>
      <c r="C34" s="100" t="s">
        <v>69</v>
      </c>
      <c r="D34" s="100" t="s">
        <v>2777</v>
      </c>
      <c r="E34" s="2492" t="s">
        <v>2778</v>
      </c>
      <c r="F34" s="2493" t="s">
        <v>2779</v>
      </c>
      <c r="G34" s="2494" t="s">
        <v>2780</v>
      </c>
      <c r="H34" s="2494" t="s">
        <v>2781</v>
      </c>
      <c r="I34" s="2494" t="s">
        <v>2782</v>
      </c>
      <c r="J34" s="2494" t="s">
        <v>2783</v>
      </c>
      <c r="K34" s="2494" t="s">
        <v>2784</v>
      </c>
      <c r="L34" s="2478" t="s">
        <v>2785</v>
      </c>
      <c r="M34" s="2478" t="s">
        <v>2786</v>
      </c>
      <c r="N34" s="2478" t="s">
        <v>2787</v>
      </c>
      <c r="O34" s="2468" t="s">
        <v>2788</v>
      </c>
      <c r="P34" s="2468" t="s">
        <v>2789</v>
      </c>
      <c r="Q34" s="2468" t="s">
        <v>2790</v>
      </c>
      <c r="R34" s="2468" t="s">
        <v>2791</v>
      </c>
      <c r="S34" s="2468" t="s">
        <v>2792</v>
      </c>
      <c r="T34" s="2468" t="s">
        <v>2793</v>
      </c>
      <c r="U34" s="103" t="s">
        <v>2794</v>
      </c>
      <c r="V34" s="103" t="s">
        <v>2795</v>
      </c>
      <c r="W34" s="103" t="s">
        <v>2796</v>
      </c>
      <c r="X34" s="103" t="s">
        <v>2797</v>
      </c>
      <c r="Y34" s="103" t="s">
        <v>2798</v>
      </c>
      <c r="Z34" s="103" t="s">
        <v>2799</v>
      </c>
      <c r="AA34" s="103" t="s">
        <v>2800</v>
      </c>
      <c r="AB34" s="103" t="s">
        <v>2801</v>
      </c>
      <c r="AC34" s="103" t="s">
        <v>2817</v>
      </c>
      <c r="AD34" s="103" t="s">
        <v>2818</v>
      </c>
      <c r="AE34" s="103" t="s">
        <v>2819</v>
      </c>
      <c r="AF34" s="103" t="s">
        <v>2821</v>
      </c>
      <c r="AG34" s="103" t="s">
        <v>2822</v>
      </c>
      <c r="AH34" s="150" t="s">
        <v>2823</v>
      </c>
      <c r="AI34" s="104" t="s">
        <v>2824</v>
      </c>
      <c r="AJ34" s="105" t="s">
        <v>2825</v>
      </c>
      <c r="AK34" s="599" t="s">
        <v>2826</v>
      </c>
      <c r="AL34" s="168" t="s">
        <v>2827</v>
      </c>
      <c r="AM34" s="168" t="s">
        <v>2831</v>
      </c>
      <c r="AN34" s="1057"/>
      <c r="AO34" s="1058"/>
      <c r="AP34" s="1058"/>
      <c r="AQ34" s="1058"/>
      <c r="AR34" s="1058"/>
      <c r="AS34" s="1058"/>
      <c r="AT34" s="1058"/>
      <c r="AU34" s="1058"/>
      <c r="AV34" s="1058"/>
      <c r="AW34" s="1058"/>
      <c r="AX34" s="1058"/>
      <c r="AY34" s="1058"/>
      <c r="AZ34" s="1058"/>
      <c r="BF34" s="81"/>
      <c r="BG34" s="81"/>
      <c r="BH34" s="81"/>
      <c r="BI34" s="81"/>
      <c r="BJ34" s="81"/>
      <c r="BK34" s="81"/>
      <c r="BL34" s="81"/>
      <c r="BM34" s="81"/>
      <c r="BN34" s="81"/>
      <c r="BO34" s="81"/>
      <c r="BP34" s="81"/>
      <c r="BQ34" s="81"/>
      <c r="BR34" s="81"/>
      <c r="BS34" s="81"/>
      <c r="BT34" s="81"/>
      <c r="BU34" s="81"/>
      <c r="BV34" s="81"/>
      <c r="BW34" s="81"/>
      <c r="BX34" s="81"/>
      <c r="BY34" s="81"/>
      <c r="BZ34" s="81"/>
      <c r="CB34" s="902"/>
      <c r="CC34" s="902"/>
      <c r="CD34" s="902" t="str">
        <f>IF(AL34&gt;SUM(O34:T34),"* Los controles con presencia del padre NO DEBE ser mayor que el total Controles 1año a 3 años 11 meses 29 dÍas. ","")</f>
        <v xml:space="preserve">* Los controles con presencia del padre NO DEBE ser mayor que el total Controles 1año a 3 años 11 meses 29 dÍas. </v>
      </c>
      <c r="CE34" s="902"/>
      <c r="CF34" s="902"/>
      <c r="CG34" s="902"/>
      <c r="CH34" s="1019"/>
      <c r="CI34" s="1019">
        <v>0</v>
      </c>
      <c r="CJ34" s="1019">
        <f>IF(AK34&gt;SUM(G34:N34),1,IF(AL34&gt;SUM(O34:Q34),1,0))</f>
        <v>1</v>
      </c>
      <c r="CK34" s="1019">
        <v>0</v>
      </c>
      <c r="CL34" s="1019"/>
      <c r="CM34" s="1019"/>
      <c r="CN34" s="1019"/>
      <c r="CO34" s="1019"/>
      <c r="CP34" s="1019"/>
      <c r="CQ34" s="1019"/>
      <c r="CR34" s="1019"/>
      <c r="CS34" s="1019"/>
      <c r="CT34" s="1019"/>
      <c r="CU34" s="1019"/>
      <c r="CV34" s="1019"/>
      <c r="CW34" s="902"/>
      <c r="CX34" s="902"/>
      <c r="CY34" s="902"/>
      <c r="CZ34" s="902"/>
      <c r="DA34" s="902"/>
    </row>
    <row r="35" spans="1:105" s="94" customFormat="1" ht="31.35" customHeight="1" x14ac:dyDescent="0.2">
      <c r="B35" s="152" t="s">
        <v>61</v>
      </c>
      <c r="C35" s="153"/>
      <c r="D35" s="153"/>
      <c r="E35" s="153"/>
      <c r="F35" s="154"/>
      <c r="G35" s="155"/>
      <c r="H35" s="156"/>
      <c r="I35" s="309"/>
      <c r="J35" s="157"/>
      <c r="K35" s="157"/>
      <c r="L35" s="157"/>
      <c r="M35" s="157"/>
      <c r="N35" s="156"/>
      <c r="O35" s="154"/>
      <c r="P35" s="157"/>
      <c r="Q35" s="157"/>
      <c r="R35" s="157"/>
      <c r="S35" s="157"/>
      <c r="T35" s="157"/>
      <c r="U35" s="156"/>
      <c r="V35" s="156"/>
      <c r="W35" s="154"/>
      <c r="X35" s="157"/>
      <c r="Y35" s="156"/>
      <c r="Z35" s="156"/>
      <c r="AA35" s="156"/>
      <c r="AB35" s="154"/>
      <c r="AC35" s="952"/>
      <c r="AD35" s="156"/>
      <c r="AE35" s="156"/>
      <c r="AF35" s="154"/>
      <c r="AG35" s="156"/>
      <c r="AH35" s="154"/>
      <c r="AI35" s="157"/>
      <c r="AJ35" s="157"/>
      <c r="AK35" s="157"/>
      <c r="AL35" s="157"/>
      <c r="AM35" s="157"/>
      <c r="AN35" s="1060"/>
      <c r="AO35" s="1060"/>
      <c r="AP35" s="128"/>
      <c r="AQ35" s="128"/>
      <c r="AR35" s="128"/>
      <c r="AS35" s="128"/>
      <c r="AT35" s="128"/>
      <c r="BF35" s="80"/>
      <c r="BG35" s="80"/>
      <c r="BH35" s="80"/>
      <c r="BI35" s="80"/>
      <c r="BJ35" s="80"/>
      <c r="BK35" s="80"/>
      <c r="BL35" s="80"/>
      <c r="BM35" s="80"/>
      <c r="BN35" s="80"/>
      <c r="BO35" s="80"/>
      <c r="BP35" s="80"/>
      <c r="BQ35" s="80"/>
      <c r="BR35" s="80"/>
      <c r="BS35" s="80"/>
      <c r="BT35" s="80"/>
      <c r="BU35" s="80"/>
      <c r="BV35" s="80"/>
      <c r="BW35" s="80"/>
      <c r="BX35" s="80"/>
      <c r="BY35" s="80"/>
      <c r="BZ35" s="80"/>
      <c r="CB35" s="889"/>
      <c r="CC35" s="889"/>
      <c r="CD35" s="889"/>
      <c r="CE35" s="889"/>
      <c r="CF35" s="889"/>
      <c r="CG35" s="889"/>
      <c r="CH35" s="1017"/>
      <c r="CI35" s="1017"/>
      <c r="CJ35" s="1017"/>
      <c r="CK35" s="1017"/>
      <c r="CL35" s="1017"/>
      <c r="CM35" s="1017"/>
      <c r="CN35" s="1017"/>
      <c r="CO35" s="1017"/>
      <c r="CP35" s="1017"/>
      <c r="CQ35" s="1017"/>
      <c r="CR35" s="1017"/>
      <c r="CS35" s="1017"/>
      <c r="CT35" s="1017"/>
      <c r="CU35" s="1017"/>
      <c r="CV35" s="1017"/>
      <c r="CW35" s="889"/>
      <c r="CX35" s="889"/>
      <c r="CY35" s="889"/>
      <c r="CZ35" s="889"/>
      <c r="DA35" s="889"/>
    </row>
    <row r="36" spans="1:105" s="94" customFormat="1" ht="14.45" customHeight="1" x14ac:dyDescent="0.2">
      <c r="B36" s="5134" t="s">
        <v>2</v>
      </c>
      <c r="C36" s="5134" t="s">
        <v>3</v>
      </c>
      <c r="D36" s="5118" t="s">
        <v>42</v>
      </c>
      <c r="E36" s="5119"/>
      <c r="F36" s="5120"/>
      <c r="G36" s="5107" t="s">
        <v>62</v>
      </c>
      <c r="H36" s="5117"/>
      <c r="I36" s="5117"/>
      <c r="J36" s="5117"/>
      <c r="K36" s="5117"/>
      <c r="L36" s="5117"/>
      <c r="M36" s="5117"/>
      <c r="N36" s="5117"/>
      <c r="O36" s="5117"/>
      <c r="P36" s="5117"/>
      <c r="Q36" s="5117"/>
      <c r="R36" s="5117"/>
      <c r="S36" s="5117"/>
      <c r="T36" s="5117"/>
      <c r="U36" s="5117"/>
      <c r="V36" s="5117"/>
      <c r="W36" s="5117"/>
      <c r="X36" s="5117"/>
      <c r="Y36" s="5117"/>
      <c r="Z36" s="5117"/>
      <c r="AA36" s="5117"/>
      <c r="AB36" s="5117"/>
      <c r="AC36" s="5117"/>
      <c r="AD36" s="5117"/>
      <c r="AE36" s="5117"/>
      <c r="AF36" s="5117"/>
      <c r="AG36" s="5117"/>
      <c r="AH36" s="5117"/>
      <c r="AI36" s="5117"/>
      <c r="AJ36" s="5117"/>
      <c r="AK36" s="5117"/>
      <c r="AL36" s="5117"/>
      <c r="AM36" s="5117"/>
      <c r="AN36" s="5108"/>
      <c r="AO36" s="5112" t="s">
        <v>1357</v>
      </c>
      <c r="AP36" s="128"/>
      <c r="AQ36" s="128"/>
      <c r="AR36" s="128"/>
      <c r="BF36" s="80"/>
      <c r="BG36" s="80"/>
      <c r="BH36" s="80"/>
      <c r="BI36" s="80"/>
      <c r="BJ36" s="80"/>
      <c r="BK36" s="80"/>
      <c r="BL36" s="80"/>
      <c r="BM36" s="80"/>
      <c r="BN36" s="80"/>
      <c r="BO36" s="80"/>
      <c r="BP36" s="80"/>
      <c r="BQ36" s="80"/>
      <c r="BR36" s="80"/>
      <c r="BS36" s="80"/>
      <c r="BT36" s="80"/>
      <c r="BU36" s="80"/>
      <c r="BV36" s="80"/>
      <c r="BW36" s="80"/>
      <c r="BX36" s="80"/>
      <c r="BY36" s="80"/>
      <c r="BZ36" s="80"/>
      <c r="CB36" s="889"/>
      <c r="CC36" s="889"/>
      <c r="CD36" s="889"/>
      <c r="CE36" s="889"/>
      <c r="CF36" s="889"/>
      <c r="CG36" s="889"/>
      <c r="CH36" s="1017"/>
      <c r="CI36" s="1017"/>
      <c r="CJ36" s="1017"/>
      <c r="CK36" s="1017"/>
      <c r="CL36" s="1017"/>
      <c r="CM36" s="1017"/>
      <c r="CN36" s="1017"/>
      <c r="CO36" s="1017"/>
      <c r="CP36" s="1017"/>
      <c r="CQ36" s="1017"/>
      <c r="CR36" s="1017"/>
      <c r="CS36" s="1017"/>
      <c r="CT36" s="1017"/>
      <c r="CU36" s="1017"/>
      <c r="CV36" s="1017"/>
      <c r="CW36" s="889"/>
      <c r="CX36" s="889"/>
      <c r="CY36" s="889"/>
      <c r="CZ36" s="889"/>
      <c r="DA36" s="889"/>
    </row>
    <row r="37" spans="1:105" s="94" customFormat="1" ht="16.350000000000001" customHeight="1" x14ac:dyDescent="0.2">
      <c r="B37" s="5135"/>
      <c r="C37" s="5135"/>
      <c r="D37" s="5121"/>
      <c r="E37" s="5122"/>
      <c r="F37" s="5123"/>
      <c r="G37" s="5107" t="s">
        <v>63</v>
      </c>
      <c r="H37" s="5108"/>
      <c r="I37" s="5107" t="s">
        <v>7</v>
      </c>
      <c r="J37" s="5108"/>
      <c r="K37" s="5107" t="s">
        <v>64</v>
      </c>
      <c r="L37" s="5108"/>
      <c r="M37" s="5107" t="s">
        <v>9</v>
      </c>
      <c r="N37" s="5108"/>
      <c r="O37" s="5105" t="s">
        <v>10</v>
      </c>
      <c r="P37" s="5106"/>
      <c r="Q37" s="5105" t="s">
        <v>11</v>
      </c>
      <c r="R37" s="5106"/>
      <c r="S37" s="5105" t="s">
        <v>12</v>
      </c>
      <c r="T37" s="5106"/>
      <c r="U37" s="5105" t="s">
        <v>13</v>
      </c>
      <c r="V37" s="5106"/>
      <c r="W37" s="5105" t="s">
        <v>14</v>
      </c>
      <c r="X37" s="5106"/>
      <c r="Y37" s="5105" t="s">
        <v>15</v>
      </c>
      <c r="Z37" s="5106"/>
      <c r="AA37" s="5105" t="s">
        <v>16</v>
      </c>
      <c r="AB37" s="5106"/>
      <c r="AC37" s="5105" t="s">
        <v>17</v>
      </c>
      <c r="AD37" s="5106"/>
      <c r="AE37" s="5105" t="s">
        <v>18</v>
      </c>
      <c r="AF37" s="5106"/>
      <c r="AG37" s="5105" t="s">
        <v>19</v>
      </c>
      <c r="AH37" s="5106"/>
      <c r="AI37" s="5105" t="s">
        <v>20</v>
      </c>
      <c r="AJ37" s="5106"/>
      <c r="AK37" s="5105" t="s">
        <v>21</v>
      </c>
      <c r="AL37" s="5106"/>
      <c r="AM37" s="5105" t="s">
        <v>22</v>
      </c>
      <c r="AN37" s="5106"/>
      <c r="AO37" s="5113"/>
      <c r="AP37" s="128"/>
      <c r="AQ37" s="128"/>
      <c r="AR37" s="128"/>
      <c r="AS37" s="128"/>
      <c r="BF37" s="80"/>
      <c r="BG37" s="80"/>
      <c r="BH37" s="80"/>
      <c r="BI37" s="80"/>
      <c r="BJ37" s="80"/>
      <c r="BK37" s="80"/>
      <c r="BL37" s="80"/>
      <c r="BM37" s="80"/>
      <c r="BN37" s="80"/>
      <c r="BO37" s="80"/>
      <c r="BP37" s="80"/>
      <c r="BQ37" s="80"/>
      <c r="BR37" s="80"/>
      <c r="BS37" s="80"/>
      <c r="BT37" s="80"/>
      <c r="BU37" s="80"/>
      <c r="BV37" s="80"/>
      <c r="BW37" s="80"/>
      <c r="BX37" s="80"/>
      <c r="BY37" s="80"/>
      <c r="BZ37" s="80"/>
      <c r="CB37" s="889"/>
      <c r="CC37" s="889"/>
      <c r="CD37" s="889"/>
      <c r="CE37" s="889"/>
      <c r="CF37" s="889"/>
      <c r="CG37" s="889"/>
      <c r="CH37" s="1017"/>
      <c r="CI37" s="1017"/>
      <c r="CJ37" s="1017"/>
      <c r="CK37" s="1017"/>
      <c r="CL37" s="1017"/>
      <c r="CM37" s="1017"/>
      <c r="CN37" s="1017"/>
      <c r="CO37" s="1017"/>
      <c r="CP37" s="1017"/>
      <c r="CQ37" s="1017"/>
      <c r="CR37" s="1017"/>
      <c r="CS37" s="1017"/>
      <c r="CT37" s="1017"/>
      <c r="CU37" s="1017"/>
      <c r="CV37" s="1017"/>
      <c r="CW37" s="889"/>
      <c r="CX37" s="889"/>
      <c r="CY37" s="889"/>
      <c r="CZ37" s="889"/>
      <c r="DA37" s="889"/>
    </row>
    <row r="38" spans="1:105" s="94" customFormat="1" ht="16.350000000000001" customHeight="1" x14ac:dyDescent="0.2">
      <c r="B38" s="5136"/>
      <c r="C38" s="5136"/>
      <c r="D38" s="91" t="s">
        <v>184</v>
      </c>
      <c r="E38" s="133" t="s">
        <v>24</v>
      </c>
      <c r="F38" s="131" t="s">
        <v>25</v>
      </c>
      <c r="G38" s="253" t="s">
        <v>24</v>
      </c>
      <c r="H38" s="131" t="s">
        <v>25</v>
      </c>
      <c r="I38" s="253" t="s">
        <v>24</v>
      </c>
      <c r="J38" s="131" t="s">
        <v>25</v>
      </c>
      <c r="K38" s="253" t="s">
        <v>24</v>
      </c>
      <c r="L38" s="131" t="s">
        <v>25</v>
      </c>
      <c r="M38" s="253" t="s">
        <v>24</v>
      </c>
      <c r="N38" s="131" t="s">
        <v>25</v>
      </c>
      <c r="O38" s="253" t="s">
        <v>24</v>
      </c>
      <c r="P38" s="131" t="s">
        <v>25</v>
      </c>
      <c r="Q38" s="253" t="s">
        <v>24</v>
      </c>
      <c r="R38" s="131" t="s">
        <v>25</v>
      </c>
      <c r="S38" s="253" t="s">
        <v>24</v>
      </c>
      <c r="T38" s="131" t="s">
        <v>25</v>
      </c>
      <c r="U38" s="253" t="s">
        <v>24</v>
      </c>
      <c r="V38" s="131" t="s">
        <v>25</v>
      </c>
      <c r="W38" s="253" t="s">
        <v>24</v>
      </c>
      <c r="X38" s="131" t="s">
        <v>25</v>
      </c>
      <c r="Y38" s="253" t="s">
        <v>24</v>
      </c>
      <c r="Z38" s="131" t="s">
        <v>25</v>
      </c>
      <c r="AA38" s="253" t="s">
        <v>24</v>
      </c>
      <c r="AB38" s="131" t="s">
        <v>25</v>
      </c>
      <c r="AC38" s="253" t="s">
        <v>24</v>
      </c>
      <c r="AD38" s="131" t="s">
        <v>25</v>
      </c>
      <c r="AE38" s="253" t="s">
        <v>24</v>
      </c>
      <c r="AF38" s="131" t="s">
        <v>25</v>
      </c>
      <c r="AG38" s="253" t="s">
        <v>24</v>
      </c>
      <c r="AH38" s="131" t="s">
        <v>25</v>
      </c>
      <c r="AI38" s="253" t="s">
        <v>24</v>
      </c>
      <c r="AJ38" s="131" t="s">
        <v>25</v>
      </c>
      <c r="AK38" s="253" t="s">
        <v>24</v>
      </c>
      <c r="AL38" s="131" t="s">
        <v>25</v>
      </c>
      <c r="AM38" s="253" t="s">
        <v>24</v>
      </c>
      <c r="AN38" s="131" t="s">
        <v>25</v>
      </c>
      <c r="AO38" s="5114"/>
      <c r="AP38" s="128"/>
      <c r="AQ38" s="128"/>
      <c r="AR38" s="128"/>
      <c r="BF38" s="80"/>
      <c r="BG38" s="80"/>
      <c r="BH38" s="80"/>
      <c r="BI38" s="80"/>
      <c r="BJ38" s="80"/>
      <c r="BK38" s="80"/>
      <c r="BL38" s="80"/>
      <c r="BM38" s="80"/>
      <c r="BN38" s="80"/>
      <c r="BO38" s="80"/>
      <c r="BP38" s="80"/>
      <c r="BQ38" s="80"/>
      <c r="BR38" s="80"/>
      <c r="BS38" s="80"/>
      <c r="BT38" s="80"/>
      <c r="BU38" s="80"/>
      <c r="BV38" s="80"/>
      <c r="BW38" s="80"/>
      <c r="BX38" s="80"/>
      <c r="BY38" s="80"/>
      <c r="BZ38" s="80"/>
      <c r="CB38" s="889"/>
      <c r="CC38" s="889"/>
      <c r="CD38" s="889"/>
      <c r="CE38" s="889"/>
      <c r="CF38" s="889"/>
      <c r="CG38" s="889"/>
      <c r="CH38" s="1017"/>
      <c r="CI38" s="1017"/>
      <c r="CJ38" s="1017"/>
      <c r="CK38" s="1017"/>
      <c r="CL38" s="1017"/>
      <c r="CM38" s="1017"/>
      <c r="CN38" s="1017"/>
      <c r="CO38" s="1017"/>
      <c r="CP38" s="1017"/>
      <c r="CQ38" s="1017"/>
      <c r="CR38" s="1017"/>
      <c r="CS38" s="1017"/>
      <c r="CT38" s="1017"/>
      <c r="CU38" s="1017"/>
      <c r="CV38" s="1017"/>
      <c r="CW38" s="889"/>
      <c r="CX38" s="889"/>
      <c r="CY38" s="889"/>
      <c r="CZ38" s="889"/>
      <c r="DA38" s="889"/>
    </row>
    <row r="39" spans="1:105" ht="16.350000000000001" customHeight="1" x14ac:dyDescent="0.2">
      <c r="A39" s="2458" t="s">
        <v>2835</v>
      </c>
      <c r="B39" s="5102" t="s">
        <v>67</v>
      </c>
      <c r="C39" s="2450" t="s">
        <v>29</v>
      </c>
      <c r="D39" s="2495" t="s">
        <v>2777</v>
      </c>
      <c r="E39" s="2496" t="s">
        <v>2778</v>
      </c>
      <c r="F39" s="2497" t="s">
        <v>2779</v>
      </c>
      <c r="G39" s="2498" t="s">
        <v>2780</v>
      </c>
      <c r="H39" s="2454" t="s">
        <v>2781</v>
      </c>
      <c r="I39" s="2452" t="s">
        <v>2782</v>
      </c>
      <c r="J39" s="2454" t="s">
        <v>2783</v>
      </c>
      <c r="K39" s="2452" t="s">
        <v>2784</v>
      </c>
      <c r="L39" s="2454" t="s">
        <v>2785</v>
      </c>
      <c r="M39" s="2483" t="s">
        <v>2786</v>
      </c>
      <c r="N39" s="2480" t="s">
        <v>2787</v>
      </c>
      <c r="O39" s="2483" t="s">
        <v>2788</v>
      </c>
      <c r="P39" s="2480" t="s">
        <v>2789</v>
      </c>
      <c r="Q39" s="2483" t="s">
        <v>2790</v>
      </c>
      <c r="R39" s="2480" t="s">
        <v>2791</v>
      </c>
      <c r="S39" s="2483" t="s">
        <v>2792</v>
      </c>
      <c r="T39" s="2480" t="s">
        <v>2793</v>
      </c>
      <c r="U39" s="2483" t="s">
        <v>2794</v>
      </c>
      <c r="V39" s="2480" t="s">
        <v>2795</v>
      </c>
      <c r="W39" s="2483" t="s">
        <v>2796</v>
      </c>
      <c r="X39" s="2480" t="s">
        <v>2797</v>
      </c>
      <c r="Y39" s="2483" t="s">
        <v>2798</v>
      </c>
      <c r="Z39" s="2480" t="s">
        <v>2799</v>
      </c>
      <c r="AA39" s="2483" t="s">
        <v>2800</v>
      </c>
      <c r="AB39" s="2480" t="s">
        <v>2801</v>
      </c>
      <c r="AC39" s="2462" t="s">
        <v>2817</v>
      </c>
      <c r="AD39" s="2499" t="s">
        <v>2818</v>
      </c>
      <c r="AE39" s="2487" t="s">
        <v>2819</v>
      </c>
      <c r="AF39" s="2499" t="s">
        <v>2821</v>
      </c>
      <c r="AG39" s="2483" t="s">
        <v>2822</v>
      </c>
      <c r="AH39" s="2480" t="s">
        <v>2823</v>
      </c>
      <c r="AI39" s="2462" t="s">
        <v>2824</v>
      </c>
      <c r="AJ39" s="2480" t="s">
        <v>2825</v>
      </c>
      <c r="AK39" s="2487" t="s">
        <v>2826</v>
      </c>
      <c r="AL39" s="2499" t="s">
        <v>2827</v>
      </c>
      <c r="AM39" s="2483" t="s">
        <v>2831</v>
      </c>
      <c r="AN39" s="2480" t="s">
        <v>2832</v>
      </c>
      <c r="AO39" s="2480" t="s">
        <v>2833</v>
      </c>
      <c r="AP39" s="1057"/>
      <c r="AQ39" s="1058"/>
      <c r="AR39" s="1058"/>
      <c r="AS39" s="1058"/>
      <c r="AT39" s="1058"/>
      <c r="AU39" s="1058"/>
      <c r="AV39" s="1058"/>
      <c r="AW39" s="1058"/>
      <c r="AX39" s="1058"/>
      <c r="AY39" s="1058"/>
      <c r="AZ39" s="1058"/>
      <c r="BA39" s="1058"/>
      <c r="BB39" s="1058"/>
      <c r="BC39" s="94"/>
      <c r="BD39" s="94"/>
      <c r="BE39" s="94"/>
      <c r="CJ39" s="1017">
        <v>0</v>
      </c>
    </row>
    <row r="40" spans="1:105" ht="16.350000000000001" customHeight="1" x14ac:dyDescent="0.2">
      <c r="A40" s="2458" t="s">
        <v>2836</v>
      </c>
      <c r="B40" s="5103"/>
      <c r="C40" s="2425" t="s">
        <v>41</v>
      </c>
      <c r="D40" s="2500" t="s">
        <v>2777</v>
      </c>
      <c r="E40" s="2501" t="s">
        <v>2778</v>
      </c>
      <c r="F40" s="2502" t="s">
        <v>2779</v>
      </c>
      <c r="G40" s="161" t="s">
        <v>2780</v>
      </c>
      <c r="H40" s="162" t="s">
        <v>2781</v>
      </c>
      <c r="I40" s="145" t="s">
        <v>2782</v>
      </c>
      <c r="J40" s="162" t="s">
        <v>2783</v>
      </c>
      <c r="K40" s="145" t="s">
        <v>2784</v>
      </c>
      <c r="L40" s="162" t="s">
        <v>2785</v>
      </c>
      <c r="M40" s="141" t="s">
        <v>2786</v>
      </c>
      <c r="N40" s="163" t="s">
        <v>2787</v>
      </c>
      <c r="O40" s="141" t="s">
        <v>2788</v>
      </c>
      <c r="P40" s="163" t="s">
        <v>2789</v>
      </c>
      <c r="Q40" s="141" t="s">
        <v>2790</v>
      </c>
      <c r="R40" s="163" t="s">
        <v>2791</v>
      </c>
      <c r="S40" s="141" t="s">
        <v>2792</v>
      </c>
      <c r="T40" s="163" t="s">
        <v>2793</v>
      </c>
      <c r="U40" s="141" t="s">
        <v>2794</v>
      </c>
      <c r="V40" s="163" t="s">
        <v>2795</v>
      </c>
      <c r="W40" s="141" t="s">
        <v>2796</v>
      </c>
      <c r="X40" s="163" t="s">
        <v>2797</v>
      </c>
      <c r="Y40" s="141" t="s">
        <v>2798</v>
      </c>
      <c r="Z40" s="163" t="s">
        <v>2799</v>
      </c>
      <c r="AA40" s="141" t="s">
        <v>2800</v>
      </c>
      <c r="AB40" s="163" t="s">
        <v>2801</v>
      </c>
      <c r="AC40" s="142" t="s">
        <v>2817</v>
      </c>
      <c r="AD40" s="198" t="s">
        <v>2818</v>
      </c>
      <c r="AE40" s="180" t="s">
        <v>2819</v>
      </c>
      <c r="AF40" s="198" t="s">
        <v>2821</v>
      </c>
      <c r="AG40" s="141" t="s">
        <v>2822</v>
      </c>
      <c r="AH40" s="163" t="s">
        <v>2823</v>
      </c>
      <c r="AI40" s="142" t="s">
        <v>2824</v>
      </c>
      <c r="AJ40" s="163" t="s">
        <v>2825</v>
      </c>
      <c r="AK40" s="180" t="s">
        <v>2826</v>
      </c>
      <c r="AL40" s="198" t="s">
        <v>2827</v>
      </c>
      <c r="AM40" s="141" t="s">
        <v>2831</v>
      </c>
      <c r="AN40" s="163" t="s">
        <v>2832</v>
      </c>
      <c r="AO40" s="163" t="s">
        <v>2833</v>
      </c>
      <c r="AP40" s="1057"/>
      <c r="AQ40" s="1058"/>
      <c r="AR40" s="1058"/>
      <c r="AS40" s="1058"/>
      <c r="AT40" s="1058"/>
      <c r="AU40" s="1058"/>
      <c r="AV40" s="1058"/>
      <c r="AW40" s="1058"/>
      <c r="AX40" s="1058"/>
      <c r="AY40" s="1058"/>
      <c r="AZ40" s="1058"/>
      <c r="BA40" s="1058"/>
      <c r="BB40" s="1058"/>
      <c r="BC40" s="94"/>
      <c r="BD40" s="94"/>
      <c r="BE40" s="94"/>
      <c r="CC40" s="890"/>
      <c r="CJ40" s="1017">
        <v>0</v>
      </c>
    </row>
    <row r="41" spans="1:105" ht="16.350000000000001" customHeight="1" x14ac:dyDescent="0.2">
      <c r="A41" s="2458" t="s">
        <v>2837</v>
      </c>
      <c r="B41" s="5103"/>
      <c r="C41" s="140" t="s">
        <v>68</v>
      </c>
      <c r="D41" s="2500" t="s">
        <v>2777</v>
      </c>
      <c r="E41" s="2501" t="s">
        <v>2778</v>
      </c>
      <c r="F41" s="2502" t="s">
        <v>2779</v>
      </c>
      <c r="G41" s="2503" t="s">
        <v>2780</v>
      </c>
      <c r="H41" s="2308" t="s">
        <v>2781</v>
      </c>
      <c r="I41" s="2464" t="s">
        <v>2782</v>
      </c>
      <c r="J41" s="2308" t="s">
        <v>2783</v>
      </c>
      <c r="K41" s="2464" t="s">
        <v>2784</v>
      </c>
      <c r="L41" s="2308" t="s">
        <v>2785</v>
      </c>
      <c r="M41" s="141" t="s">
        <v>2786</v>
      </c>
      <c r="N41" s="163" t="s">
        <v>2787</v>
      </c>
      <c r="O41" s="141" t="s">
        <v>2788</v>
      </c>
      <c r="P41" s="163" t="s">
        <v>2789</v>
      </c>
      <c r="Q41" s="141" t="s">
        <v>2790</v>
      </c>
      <c r="R41" s="163" t="s">
        <v>2791</v>
      </c>
      <c r="S41" s="141" t="s">
        <v>2792</v>
      </c>
      <c r="T41" s="163" t="s">
        <v>2793</v>
      </c>
      <c r="U41" s="141" t="s">
        <v>2794</v>
      </c>
      <c r="V41" s="163" t="s">
        <v>2795</v>
      </c>
      <c r="W41" s="141" t="s">
        <v>2796</v>
      </c>
      <c r="X41" s="163" t="s">
        <v>2797</v>
      </c>
      <c r="Y41" s="141" t="s">
        <v>2798</v>
      </c>
      <c r="Z41" s="163" t="s">
        <v>2799</v>
      </c>
      <c r="AA41" s="141" t="s">
        <v>2800</v>
      </c>
      <c r="AB41" s="163" t="s">
        <v>2801</v>
      </c>
      <c r="AC41" s="142" t="s">
        <v>2817</v>
      </c>
      <c r="AD41" s="198" t="s">
        <v>2818</v>
      </c>
      <c r="AE41" s="180" t="s">
        <v>2819</v>
      </c>
      <c r="AF41" s="198" t="s">
        <v>2821</v>
      </c>
      <c r="AG41" s="141" t="s">
        <v>2822</v>
      </c>
      <c r="AH41" s="163" t="s">
        <v>2823</v>
      </c>
      <c r="AI41" s="142" t="s">
        <v>2824</v>
      </c>
      <c r="AJ41" s="163" t="s">
        <v>2825</v>
      </c>
      <c r="AK41" s="180" t="s">
        <v>2826</v>
      </c>
      <c r="AL41" s="198" t="s">
        <v>2827</v>
      </c>
      <c r="AM41" s="141" t="s">
        <v>2831</v>
      </c>
      <c r="AN41" s="163" t="s">
        <v>2832</v>
      </c>
      <c r="AO41" s="163" t="s">
        <v>2833</v>
      </c>
      <c r="AP41" s="1057"/>
      <c r="AQ41" s="1058"/>
      <c r="AR41" s="1058"/>
      <c r="AS41" s="1058"/>
      <c r="AT41" s="1058"/>
      <c r="AU41" s="1058"/>
      <c r="AV41" s="1058"/>
      <c r="AW41" s="1058"/>
      <c r="AX41" s="1058"/>
      <c r="AY41" s="1058"/>
      <c r="AZ41" s="1058"/>
      <c r="BA41" s="1058"/>
      <c r="BB41" s="1058"/>
      <c r="BC41" s="94"/>
      <c r="BD41" s="94"/>
      <c r="BE41" s="94"/>
      <c r="CC41" s="890"/>
      <c r="CJ41" s="1017">
        <v>0</v>
      </c>
    </row>
    <row r="42" spans="1:105" ht="16.350000000000001" customHeight="1" x14ac:dyDescent="0.2">
      <c r="A42" s="2458" t="s">
        <v>2838</v>
      </c>
      <c r="B42" s="5104"/>
      <c r="C42" s="100" t="s">
        <v>69</v>
      </c>
      <c r="D42" s="2504" t="s">
        <v>2777</v>
      </c>
      <c r="E42" s="2505" t="s">
        <v>2778</v>
      </c>
      <c r="F42" s="2506" t="s">
        <v>2779</v>
      </c>
      <c r="G42" s="2503" t="s">
        <v>2780</v>
      </c>
      <c r="H42" s="2479" t="s">
        <v>2781</v>
      </c>
      <c r="I42" s="2404" t="s">
        <v>2782</v>
      </c>
      <c r="J42" s="2479" t="s">
        <v>2783</v>
      </c>
      <c r="K42" s="2404" t="s">
        <v>2784</v>
      </c>
      <c r="L42" s="2479" t="s">
        <v>2785</v>
      </c>
      <c r="M42" s="166" t="s">
        <v>2786</v>
      </c>
      <c r="N42" s="125" t="s">
        <v>2787</v>
      </c>
      <c r="O42" s="166" t="s">
        <v>2788</v>
      </c>
      <c r="P42" s="125" t="s">
        <v>2789</v>
      </c>
      <c r="Q42" s="166" t="s">
        <v>2790</v>
      </c>
      <c r="R42" s="125" t="s">
        <v>2791</v>
      </c>
      <c r="S42" s="166" t="s">
        <v>2792</v>
      </c>
      <c r="T42" s="125" t="s">
        <v>2793</v>
      </c>
      <c r="U42" s="166" t="s">
        <v>2794</v>
      </c>
      <c r="V42" s="125" t="s">
        <v>2795</v>
      </c>
      <c r="W42" s="166" t="s">
        <v>2796</v>
      </c>
      <c r="X42" s="125" t="s">
        <v>2797</v>
      </c>
      <c r="Y42" s="166" t="s">
        <v>2798</v>
      </c>
      <c r="Z42" s="125" t="s">
        <v>2799</v>
      </c>
      <c r="AA42" s="166" t="s">
        <v>2800</v>
      </c>
      <c r="AB42" s="125" t="s">
        <v>2801</v>
      </c>
      <c r="AC42" s="102" t="s">
        <v>2817</v>
      </c>
      <c r="AD42" s="168" t="s">
        <v>2818</v>
      </c>
      <c r="AE42" s="126" t="s">
        <v>2819</v>
      </c>
      <c r="AF42" s="168" t="s">
        <v>2821</v>
      </c>
      <c r="AG42" s="166" t="s">
        <v>2822</v>
      </c>
      <c r="AH42" s="125" t="s">
        <v>2823</v>
      </c>
      <c r="AI42" s="102" t="s">
        <v>2824</v>
      </c>
      <c r="AJ42" s="125" t="s">
        <v>2825</v>
      </c>
      <c r="AK42" s="126" t="s">
        <v>2826</v>
      </c>
      <c r="AL42" s="168" t="s">
        <v>2827</v>
      </c>
      <c r="AM42" s="166" t="s">
        <v>2831</v>
      </c>
      <c r="AN42" s="125" t="s">
        <v>2832</v>
      </c>
      <c r="AO42" s="125" t="s">
        <v>2833</v>
      </c>
      <c r="AP42" s="1057"/>
      <c r="AQ42" s="1058"/>
      <c r="AR42" s="1058"/>
      <c r="AS42" s="1058"/>
      <c r="AT42" s="1058"/>
      <c r="AU42" s="1058"/>
      <c r="AV42" s="1058"/>
      <c r="AW42" s="1058"/>
      <c r="AX42" s="1058"/>
      <c r="AY42" s="1058"/>
      <c r="AZ42" s="1058"/>
      <c r="BA42" s="1058"/>
      <c r="BB42" s="1058"/>
      <c r="BC42" s="94"/>
      <c r="BD42" s="94"/>
      <c r="BE42" s="94"/>
      <c r="CC42" s="890"/>
      <c r="CJ42" s="1017">
        <v>0</v>
      </c>
    </row>
    <row r="43" spans="1:105" ht="16.350000000000001" customHeight="1" x14ac:dyDescent="0.2">
      <c r="A43" s="2458" t="s">
        <v>2839</v>
      </c>
      <c r="B43" s="5102" t="s">
        <v>70</v>
      </c>
      <c r="C43" s="2450" t="s">
        <v>29</v>
      </c>
      <c r="D43" s="2507" t="s">
        <v>2777</v>
      </c>
      <c r="E43" s="2496" t="s">
        <v>2778</v>
      </c>
      <c r="F43" s="2497" t="s">
        <v>2779</v>
      </c>
      <c r="G43" s="2487" t="s">
        <v>2780</v>
      </c>
      <c r="H43" s="2499" t="s">
        <v>2781</v>
      </c>
      <c r="I43" s="2483" t="s">
        <v>2782</v>
      </c>
      <c r="J43" s="2499" t="s">
        <v>2783</v>
      </c>
      <c r="K43" s="2483" t="s">
        <v>2784</v>
      </c>
      <c r="L43" s="2499" t="s">
        <v>2785</v>
      </c>
      <c r="M43" s="2483" t="s">
        <v>2786</v>
      </c>
      <c r="N43" s="2499" t="s">
        <v>2787</v>
      </c>
      <c r="O43" s="2483" t="s">
        <v>2788</v>
      </c>
      <c r="P43" s="2499" t="s">
        <v>2789</v>
      </c>
      <c r="Q43" s="2483" t="s">
        <v>2790</v>
      </c>
      <c r="R43" s="2499" t="s">
        <v>2791</v>
      </c>
      <c r="S43" s="2483" t="s">
        <v>2792</v>
      </c>
      <c r="T43" s="2499" t="s">
        <v>2793</v>
      </c>
      <c r="U43" s="2483" t="s">
        <v>2794</v>
      </c>
      <c r="V43" s="2499" t="s">
        <v>2795</v>
      </c>
      <c r="W43" s="2483" t="s">
        <v>2796</v>
      </c>
      <c r="X43" s="2499" t="s">
        <v>2797</v>
      </c>
      <c r="Y43" s="2483" t="s">
        <v>2798</v>
      </c>
      <c r="Z43" s="2499" t="s">
        <v>2799</v>
      </c>
      <c r="AA43" s="2483" t="s">
        <v>2800</v>
      </c>
      <c r="AB43" s="2499" t="s">
        <v>2801</v>
      </c>
      <c r="AC43" s="2487" t="s">
        <v>2817</v>
      </c>
      <c r="AD43" s="2499" t="s">
        <v>2818</v>
      </c>
      <c r="AE43" s="2487" t="s">
        <v>2819</v>
      </c>
      <c r="AF43" s="2499" t="s">
        <v>2821</v>
      </c>
      <c r="AG43" s="2483" t="s">
        <v>2822</v>
      </c>
      <c r="AH43" s="2499" t="s">
        <v>2823</v>
      </c>
      <c r="AI43" s="2487" t="s">
        <v>2824</v>
      </c>
      <c r="AJ43" s="2480" t="s">
        <v>2825</v>
      </c>
      <c r="AK43" s="2487" t="s">
        <v>2826</v>
      </c>
      <c r="AL43" s="2499" t="s">
        <v>2827</v>
      </c>
      <c r="AM43" s="2483" t="s">
        <v>2831</v>
      </c>
      <c r="AN43" s="2499" t="s">
        <v>2832</v>
      </c>
      <c r="AO43" s="2499" t="s">
        <v>2833</v>
      </c>
      <c r="AP43" s="1057"/>
      <c r="AQ43" s="1058"/>
      <c r="AR43" s="1058"/>
      <c r="AS43" s="1058"/>
      <c r="AT43" s="1058"/>
      <c r="AU43" s="1058"/>
      <c r="AV43" s="1058"/>
      <c r="AW43" s="1058"/>
      <c r="AX43" s="1058"/>
      <c r="AY43" s="1058"/>
      <c r="AZ43" s="1058"/>
      <c r="BA43" s="1058"/>
      <c r="BB43" s="1058"/>
      <c r="BC43" s="94"/>
      <c r="BD43" s="94"/>
      <c r="BE43" s="94"/>
      <c r="CC43" s="890"/>
      <c r="CJ43" s="1017">
        <v>0</v>
      </c>
    </row>
    <row r="44" spans="1:105" ht="16.350000000000001" customHeight="1" x14ac:dyDescent="0.2">
      <c r="A44" s="2458" t="s">
        <v>2840</v>
      </c>
      <c r="B44" s="5104"/>
      <c r="C44" s="2426" t="s">
        <v>41</v>
      </c>
      <c r="D44" s="2508" t="s">
        <v>2777</v>
      </c>
      <c r="E44" s="2505" t="s">
        <v>2778</v>
      </c>
      <c r="F44" s="2506" t="s">
        <v>2779</v>
      </c>
      <c r="G44" s="126" t="s">
        <v>2780</v>
      </c>
      <c r="H44" s="168" t="s">
        <v>2781</v>
      </c>
      <c r="I44" s="166" t="s">
        <v>2782</v>
      </c>
      <c r="J44" s="168" t="s">
        <v>2783</v>
      </c>
      <c r="K44" s="166" t="s">
        <v>2784</v>
      </c>
      <c r="L44" s="168" t="s">
        <v>2785</v>
      </c>
      <c r="M44" s="166" t="s">
        <v>2786</v>
      </c>
      <c r="N44" s="168" t="s">
        <v>2787</v>
      </c>
      <c r="O44" s="166" t="s">
        <v>2788</v>
      </c>
      <c r="P44" s="168" t="s">
        <v>2789</v>
      </c>
      <c r="Q44" s="166" t="s">
        <v>2790</v>
      </c>
      <c r="R44" s="168" t="s">
        <v>2791</v>
      </c>
      <c r="S44" s="166" t="s">
        <v>2792</v>
      </c>
      <c r="T44" s="168" t="s">
        <v>2793</v>
      </c>
      <c r="U44" s="166" t="s">
        <v>2794</v>
      </c>
      <c r="V44" s="168" t="s">
        <v>2795</v>
      </c>
      <c r="W44" s="166" t="s">
        <v>2796</v>
      </c>
      <c r="X44" s="168" t="s">
        <v>2797</v>
      </c>
      <c r="Y44" s="166" t="s">
        <v>2798</v>
      </c>
      <c r="Z44" s="168" t="s">
        <v>2799</v>
      </c>
      <c r="AA44" s="166" t="s">
        <v>2800</v>
      </c>
      <c r="AB44" s="168" t="s">
        <v>2801</v>
      </c>
      <c r="AC44" s="126" t="s">
        <v>2817</v>
      </c>
      <c r="AD44" s="168" t="s">
        <v>2818</v>
      </c>
      <c r="AE44" s="126" t="s">
        <v>2819</v>
      </c>
      <c r="AF44" s="168" t="s">
        <v>2821</v>
      </c>
      <c r="AG44" s="166" t="s">
        <v>2822</v>
      </c>
      <c r="AH44" s="168" t="s">
        <v>2823</v>
      </c>
      <c r="AI44" s="126" t="s">
        <v>2824</v>
      </c>
      <c r="AJ44" s="125" t="s">
        <v>2825</v>
      </c>
      <c r="AK44" s="126" t="s">
        <v>2826</v>
      </c>
      <c r="AL44" s="168" t="s">
        <v>2827</v>
      </c>
      <c r="AM44" s="166" t="s">
        <v>2831</v>
      </c>
      <c r="AN44" s="168" t="s">
        <v>2832</v>
      </c>
      <c r="AO44" s="168" t="s">
        <v>2833</v>
      </c>
      <c r="AP44" s="1057"/>
      <c r="AQ44" s="1058"/>
      <c r="AR44" s="1058"/>
      <c r="AS44" s="1058"/>
      <c r="AT44" s="1058"/>
      <c r="AU44" s="1058"/>
      <c r="AV44" s="1058"/>
      <c r="AW44" s="1058"/>
      <c r="AX44" s="1058"/>
      <c r="AY44" s="1058"/>
      <c r="AZ44" s="1058"/>
      <c r="BA44" s="1058"/>
      <c r="BB44" s="1058"/>
      <c r="BC44" s="94"/>
      <c r="BD44" s="94"/>
      <c r="BE44" s="94"/>
      <c r="CC44" s="890"/>
      <c r="CJ44" s="1017">
        <v>0</v>
      </c>
    </row>
    <row r="45" spans="1:105" ht="16.350000000000001" customHeight="1" x14ac:dyDescent="0.2">
      <c r="A45" s="2458" t="s">
        <v>2841</v>
      </c>
      <c r="B45" s="5103" t="s">
        <v>71</v>
      </c>
      <c r="C45" s="2450" t="s">
        <v>29</v>
      </c>
      <c r="D45" s="2495" t="s">
        <v>2777</v>
      </c>
      <c r="E45" s="2509" t="s">
        <v>2778</v>
      </c>
      <c r="F45" s="2510" t="s">
        <v>2779</v>
      </c>
      <c r="G45" s="2498" t="s">
        <v>2780</v>
      </c>
      <c r="H45" s="2457" t="s">
        <v>2781</v>
      </c>
      <c r="I45" s="2452" t="s">
        <v>2782</v>
      </c>
      <c r="J45" s="2457" t="s">
        <v>2783</v>
      </c>
      <c r="K45" s="2452" t="s">
        <v>2784</v>
      </c>
      <c r="L45" s="2454" t="s">
        <v>2785</v>
      </c>
      <c r="M45" s="2452" t="s">
        <v>2786</v>
      </c>
      <c r="N45" s="2454" t="s">
        <v>2787</v>
      </c>
      <c r="O45" s="2452" t="s">
        <v>2788</v>
      </c>
      <c r="P45" s="2454" t="s">
        <v>2789</v>
      </c>
      <c r="Q45" s="2452" t="s">
        <v>2790</v>
      </c>
      <c r="R45" s="2454" t="s">
        <v>2791</v>
      </c>
      <c r="S45" s="2452" t="s">
        <v>2792</v>
      </c>
      <c r="T45" s="2454" t="s">
        <v>2793</v>
      </c>
      <c r="U45" s="2452" t="s">
        <v>2794</v>
      </c>
      <c r="V45" s="2454" t="s">
        <v>2795</v>
      </c>
      <c r="W45" s="2452" t="s">
        <v>2796</v>
      </c>
      <c r="X45" s="2454" t="s">
        <v>2797</v>
      </c>
      <c r="Y45" s="2452" t="s">
        <v>2798</v>
      </c>
      <c r="Z45" s="2454" t="s">
        <v>2799</v>
      </c>
      <c r="AA45" s="2452" t="s">
        <v>2800</v>
      </c>
      <c r="AB45" s="2454" t="s">
        <v>2801</v>
      </c>
      <c r="AC45" s="2452" t="s">
        <v>2817</v>
      </c>
      <c r="AD45" s="2454" t="s">
        <v>2818</v>
      </c>
      <c r="AE45" s="2452" t="s">
        <v>2819</v>
      </c>
      <c r="AF45" s="2454" t="s">
        <v>2821</v>
      </c>
      <c r="AG45" s="2483" t="s">
        <v>2822</v>
      </c>
      <c r="AH45" s="2480" t="s">
        <v>2823</v>
      </c>
      <c r="AI45" s="2483" t="s">
        <v>2824</v>
      </c>
      <c r="AJ45" s="2480" t="s">
        <v>2825</v>
      </c>
      <c r="AK45" s="2483" t="s">
        <v>2826</v>
      </c>
      <c r="AL45" s="2480" t="s">
        <v>2827</v>
      </c>
      <c r="AM45" s="2483" t="s">
        <v>2831</v>
      </c>
      <c r="AN45" s="2480" t="s">
        <v>2832</v>
      </c>
      <c r="AO45" s="2455" t="s">
        <v>2833</v>
      </c>
      <c r="AP45" s="1057"/>
      <c r="AQ45" s="1058"/>
      <c r="AR45" s="1058"/>
      <c r="AS45" s="1058"/>
      <c r="AT45" s="1058"/>
      <c r="AU45" s="1058"/>
      <c r="AV45" s="1058"/>
      <c r="AW45" s="1058"/>
      <c r="AX45" s="1058"/>
      <c r="AY45" s="1058"/>
      <c r="AZ45" s="1058"/>
      <c r="BA45" s="1058"/>
      <c r="BB45" s="1058"/>
      <c r="BC45" s="94"/>
      <c r="BD45" s="94"/>
      <c r="BE45" s="94"/>
      <c r="CC45" s="890"/>
      <c r="CJ45" s="1017">
        <v>0</v>
      </c>
    </row>
    <row r="46" spans="1:105" ht="16.350000000000001" customHeight="1" x14ac:dyDescent="0.2">
      <c r="A46" s="2458" t="s">
        <v>2842</v>
      </c>
      <c r="B46" s="5104"/>
      <c r="C46" s="2426" t="s">
        <v>41</v>
      </c>
      <c r="D46" s="2504" t="s">
        <v>2777</v>
      </c>
      <c r="E46" s="2511" t="s">
        <v>2778</v>
      </c>
      <c r="F46" s="2512" t="s">
        <v>2779</v>
      </c>
      <c r="G46" s="599" t="s">
        <v>2780</v>
      </c>
      <c r="H46" s="169" t="s">
        <v>2781</v>
      </c>
      <c r="I46" s="101" t="s">
        <v>2782</v>
      </c>
      <c r="J46" s="169" t="s">
        <v>2783</v>
      </c>
      <c r="K46" s="101" t="s">
        <v>2784</v>
      </c>
      <c r="L46" s="104" t="s">
        <v>2785</v>
      </c>
      <c r="M46" s="101" t="s">
        <v>2786</v>
      </c>
      <c r="N46" s="104" t="s">
        <v>2787</v>
      </c>
      <c r="O46" s="101" t="s">
        <v>2788</v>
      </c>
      <c r="P46" s="104" t="s">
        <v>2789</v>
      </c>
      <c r="Q46" s="101" t="s">
        <v>2790</v>
      </c>
      <c r="R46" s="104" t="s">
        <v>2791</v>
      </c>
      <c r="S46" s="101" t="s">
        <v>2792</v>
      </c>
      <c r="T46" s="104" t="s">
        <v>2793</v>
      </c>
      <c r="U46" s="101" t="s">
        <v>2794</v>
      </c>
      <c r="V46" s="104" t="s">
        <v>2795</v>
      </c>
      <c r="W46" s="101" t="s">
        <v>2796</v>
      </c>
      <c r="X46" s="104" t="s">
        <v>2797</v>
      </c>
      <c r="Y46" s="101" t="s">
        <v>2798</v>
      </c>
      <c r="Z46" s="104" t="s">
        <v>2799</v>
      </c>
      <c r="AA46" s="101" t="s">
        <v>2800</v>
      </c>
      <c r="AB46" s="104" t="s">
        <v>2801</v>
      </c>
      <c r="AC46" s="101" t="s">
        <v>2817</v>
      </c>
      <c r="AD46" s="104" t="s">
        <v>2818</v>
      </c>
      <c r="AE46" s="101" t="s">
        <v>2819</v>
      </c>
      <c r="AF46" s="104" t="s">
        <v>2821</v>
      </c>
      <c r="AG46" s="166" t="s">
        <v>2822</v>
      </c>
      <c r="AH46" s="125" t="s">
        <v>2823</v>
      </c>
      <c r="AI46" s="166" t="s">
        <v>2824</v>
      </c>
      <c r="AJ46" s="125" t="s">
        <v>2825</v>
      </c>
      <c r="AK46" s="166" t="s">
        <v>2826</v>
      </c>
      <c r="AL46" s="125" t="s">
        <v>2827</v>
      </c>
      <c r="AM46" s="166" t="s">
        <v>2831</v>
      </c>
      <c r="AN46" s="125" t="s">
        <v>2832</v>
      </c>
      <c r="AO46" s="105" t="s">
        <v>2833</v>
      </c>
      <c r="AP46" s="1057"/>
      <c r="AQ46" s="1058"/>
      <c r="AR46" s="1058"/>
      <c r="AS46" s="1058"/>
      <c r="AT46" s="1058"/>
      <c r="AU46" s="1058"/>
      <c r="AV46" s="1058"/>
      <c r="AW46" s="1058"/>
      <c r="AX46" s="1058"/>
      <c r="AY46" s="1058"/>
      <c r="AZ46" s="1058"/>
      <c r="BA46" s="1058"/>
      <c r="BB46" s="1058"/>
      <c r="BC46" s="94"/>
      <c r="BD46" s="94"/>
      <c r="BE46" s="94"/>
      <c r="CC46" s="890"/>
      <c r="CJ46" s="1017">
        <v>0</v>
      </c>
    </row>
    <row r="47" spans="1:105" ht="16.350000000000001" customHeight="1" x14ac:dyDescent="0.2">
      <c r="A47" s="2458" t="s">
        <v>2843</v>
      </c>
      <c r="B47" s="5102" t="s">
        <v>72</v>
      </c>
      <c r="C47" s="2450" t="s">
        <v>29</v>
      </c>
      <c r="D47" s="2495" t="s">
        <v>2777</v>
      </c>
      <c r="E47" s="2509" t="s">
        <v>2778</v>
      </c>
      <c r="F47" s="2510" t="s">
        <v>2779</v>
      </c>
      <c r="G47" s="2498" t="s">
        <v>2780</v>
      </c>
      <c r="H47" s="2457" t="s">
        <v>2781</v>
      </c>
      <c r="I47" s="2452" t="s">
        <v>2782</v>
      </c>
      <c r="J47" s="2457" t="s">
        <v>2783</v>
      </c>
      <c r="K47" s="2452" t="s">
        <v>2784</v>
      </c>
      <c r="L47" s="2454" t="s">
        <v>2785</v>
      </c>
      <c r="M47" s="2452" t="s">
        <v>2786</v>
      </c>
      <c r="N47" s="2454" t="s">
        <v>2787</v>
      </c>
      <c r="O47" s="2452" t="s">
        <v>2788</v>
      </c>
      <c r="P47" s="2454" t="s">
        <v>2789</v>
      </c>
      <c r="Q47" s="2452" t="s">
        <v>2790</v>
      </c>
      <c r="R47" s="2454" t="s">
        <v>2791</v>
      </c>
      <c r="S47" s="2452" t="s">
        <v>2792</v>
      </c>
      <c r="T47" s="2454" t="s">
        <v>2793</v>
      </c>
      <c r="U47" s="2452" t="s">
        <v>2794</v>
      </c>
      <c r="V47" s="2454" t="s">
        <v>2795</v>
      </c>
      <c r="W47" s="2452" t="s">
        <v>2796</v>
      </c>
      <c r="X47" s="2454" t="s">
        <v>2797</v>
      </c>
      <c r="Y47" s="2452" t="s">
        <v>2798</v>
      </c>
      <c r="Z47" s="2454" t="s">
        <v>2799</v>
      </c>
      <c r="AA47" s="2452" t="s">
        <v>2800</v>
      </c>
      <c r="AB47" s="2454" t="s">
        <v>2801</v>
      </c>
      <c r="AC47" s="2452" t="s">
        <v>2817</v>
      </c>
      <c r="AD47" s="2454" t="s">
        <v>2818</v>
      </c>
      <c r="AE47" s="2452" t="s">
        <v>2819</v>
      </c>
      <c r="AF47" s="2454" t="s">
        <v>2821</v>
      </c>
      <c r="AG47" s="2483" t="s">
        <v>2822</v>
      </c>
      <c r="AH47" s="2480" t="s">
        <v>2823</v>
      </c>
      <c r="AI47" s="2483" t="s">
        <v>2824</v>
      </c>
      <c r="AJ47" s="2480" t="s">
        <v>2825</v>
      </c>
      <c r="AK47" s="2483" t="s">
        <v>2826</v>
      </c>
      <c r="AL47" s="2480" t="s">
        <v>2827</v>
      </c>
      <c r="AM47" s="2483" t="s">
        <v>2831</v>
      </c>
      <c r="AN47" s="2480" t="s">
        <v>2832</v>
      </c>
      <c r="AO47" s="2455" t="s">
        <v>2833</v>
      </c>
      <c r="AP47" s="1057"/>
      <c r="AQ47" s="1058"/>
      <c r="AR47" s="1058"/>
      <c r="AS47" s="1058"/>
      <c r="AT47" s="1058"/>
      <c r="AU47" s="1058"/>
      <c r="AV47" s="1058"/>
      <c r="AW47" s="1058"/>
      <c r="AX47" s="1058"/>
      <c r="AY47" s="1058"/>
      <c r="AZ47" s="1058"/>
      <c r="BA47" s="1058"/>
      <c r="BB47" s="1058"/>
      <c r="BC47" s="94"/>
      <c r="BD47" s="94"/>
      <c r="BE47" s="94"/>
      <c r="CC47" s="890"/>
      <c r="CJ47" s="1017">
        <v>0</v>
      </c>
    </row>
    <row r="48" spans="1:105" ht="16.350000000000001" customHeight="1" x14ac:dyDescent="0.2">
      <c r="A48" s="2458" t="s">
        <v>2844</v>
      </c>
      <c r="B48" s="5104"/>
      <c r="C48" s="2426" t="s">
        <v>41</v>
      </c>
      <c r="D48" s="2504" t="s">
        <v>2777</v>
      </c>
      <c r="E48" s="2511" t="s">
        <v>2778</v>
      </c>
      <c r="F48" s="2512" t="s">
        <v>2779</v>
      </c>
      <c r="G48" s="599" t="s">
        <v>2780</v>
      </c>
      <c r="H48" s="169" t="s">
        <v>2781</v>
      </c>
      <c r="I48" s="101" t="s">
        <v>2782</v>
      </c>
      <c r="J48" s="169" t="s">
        <v>2783</v>
      </c>
      <c r="K48" s="101" t="s">
        <v>2784</v>
      </c>
      <c r="L48" s="104" t="s">
        <v>2785</v>
      </c>
      <c r="M48" s="101" t="s">
        <v>2786</v>
      </c>
      <c r="N48" s="104" t="s">
        <v>2787</v>
      </c>
      <c r="O48" s="101" t="s">
        <v>2788</v>
      </c>
      <c r="P48" s="104" t="s">
        <v>2789</v>
      </c>
      <c r="Q48" s="101" t="s">
        <v>2790</v>
      </c>
      <c r="R48" s="104" t="s">
        <v>2791</v>
      </c>
      <c r="S48" s="101" t="s">
        <v>2792</v>
      </c>
      <c r="T48" s="104" t="s">
        <v>2793</v>
      </c>
      <c r="U48" s="101" t="s">
        <v>2794</v>
      </c>
      <c r="V48" s="104" t="s">
        <v>2795</v>
      </c>
      <c r="W48" s="101" t="s">
        <v>2796</v>
      </c>
      <c r="X48" s="104" t="s">
        <v>2797</v>
      </c>
      <c r="Y48" s="101" t="s">
        <v>2798</v>
      </c>
      <c r="Z48" s="104" t="s">
        <v>2799</v>
      </c>
      <c r="AA48" s="101" t="s">
        <v>2800</v>
      </c>
      <c r="AB48" s="104" t="s">
        <v>2801</v>
      </c>
      <c r="AC48" s="101" t="s">
        <v>2817</v>
      </c>
      <c r="AD48" s="104" t="s">
        <v>2818</v>
      </c>
      <c r="AE48" s="101" t="s">
        <v>2819</v>
      </c>
      <c r="AF48" s="104" t="s">
        <v>2821</v>
      </c>
      <c r="AG48" s="166" t="s">
        <v>2822</v>
      </c>
      <c r="AH48" s="125" t="s">
        <v>2823</v>
      </c>
      <c r="AI48" s="166" t="s">
        <v>2824</v>
      </c>
      <c r="AJ48" s="125" t="s">
        <v>2825</v>
      </c>
      <c r="AK48" s="166" t="s">
        <v>2826</v>
      </c>
      <c r="AL48" s="125" t="s">
        <v>2827</v>
      </c>
      <c r="AM48" s="166" t="s">
        <v>2831</v>
      </c>
      <c r="AN48" s="125" t="s">
        <v>2832</v>
      </c>
      <c r="AO48" s="105" t="s">
        <v>2833</v>
      </c>
      <c r="AP48" s="1057"/>
      <c r="AQ48" s="1058"/>
      <c r="AR48" s="1058"/>
      <c r="AS48" s="1058"/>
      <c r="AT48" s="1058"/>
      <c r="AU48" s="1058"/>
      <c r="AV48" s="1058"/>
      <c r="AW48" s="1058"/>
      <c r="AX48" s="1058"/>
      <c r="AY48" s="1058"/>
      <c r="AZ48" s="1058"/>
      <c r="BA48" s="1058"/>
      <c r="BB48" s="1058"/>
      <c r="BC48" s="94"/>
      <c r="BD48" s="94"/>
      <c r="BE48" s="94"/>
      <c r="CC48" s="890"/>
      <c r="CJ48" s="1017">
        <v>0</v>
      </c>
    </row>
    <row r="49" spans="1:88" ht="16.350000000000001" customHeight="1" x14ac:dyDescent="0.2">
      <c r="A49" s="2458" t="s">
        <v>2845</v>
      </c>
      <c r="B49" s="5102" t="s">
        <v>73</v>
      </c>
      <c r="C49" s="2450" t="s">
        <v>29</v>
      </c>
      <c r="D49" s="2495" t="s">
        <v>2777</v>
      </c>
      <c r="E49" s="2509" t="s">
        <v>2778</v>
      </c>
      <c r="F49" s="2510" t="s">
        <v>2779</v>
      </c>
      <c r="G49" s="2487" t="s">
        <v>2780</v>
      </c>
      <c r="H49" s="2480" t="s">
        <v>2781</v>
      </c>
      <c r="I49" s="2483" t="s">
        <v>2782</v>
      </c>
      <c r="J49" s="2480" t="s">
        <v>2783</v>
      </c>
      <c r="K49" s="2483" t="s">
        <v>2784</v>
      </c>
      <c r="L49" s="2480" t="s">
        <v>2785</v>
      </c>
      <c r="M49" s="2483" t="s">
        <v>2786</v>
      </c>
      <c r="N49" s="2480" t="s">
        <v>2787</v>
      </c>
      <c r="O49" s="2483" t="s">
        <v>2788</v>
      </c>
      <c r="P49" s="2480" t="s">
        <v>2789</v>
      </c>
      <c r="Q49" s="2483" t="s">
        <v>2790</v>
      </c>
      <c r="R49" s="2480" t="s">
        <v>2791</v>
      </c>
      <c r="S49" s="2483" t="s">
        <v>2792</v>
      </c>
      <c r="T49" s="2480" t="s">
        <v>2793</v>
      </c>
      <c r="U49" s="2483" t="s">
        <v>2794</v>
      </c>
      <c r="V49" s="2480" t="s">
        <v>2795</v>
      </c>
      <c r="W49" s="2483" t="s">
        <v>2796</v>
      </c>
      <c r="X49" s="2480" t="s">
        <v>2797</v>
      </c>
      <c r="Y49" s="2483" t="s">
        <v>2798</v>
      </c>
      <c r="Z49" s="2480" t="s">
        <v>2799</v>
      </c>
      <c r="AA49" s="2483" t="s">
        <v>2800</v>
      </c>
      <c r="AB49" s="2480" t="s">
        <v>2801</v>
      </c>
      <c r="AC49" s="2483" t="s">
        <v>2817</v>
      </c>
      <c r="AD49" s="2480" t="s">
        <v>2818</v>
      </c>
      <c r="AE49" s="2483" t="s">
        <v>2819</v>
      </c>
      <c r="AF49" s="2480" t="s">
        <v>2821</v>
      </c>
      <c r="AG49" s="2483" t="s">
        <v>2822</v>
      </c>
      <c r="AH49" s="2480" t="s">
        <v>2823</v>
      </c>
      <c r="AI49" s="2483" t="s">
        <v>2824</v>
      </c>
      <c r="AJ49" s="2480" t="s">
        <v>2825</v>
      </c>
      <c r="AK49" s="2483" t="s">
        <v>2826</v>
      </c>
      <c r="AL49" s="2480" t="s">
        <v>2827</v>
      </c>
      <c r="AM49" s="2483" t="s">
        <v>2831</v>
      </c>
      <c r="AN49" s="2480" t="s">
        <v>2832</v>
      </c>
      <c r="AO49" s="2455" t="s">
        <v>2833</v>
      </c>
      <c r="AP49" s="1057"/>
      <c r="AQ49" s="1058"/>
      <c r="AR49" s="1058"/>
      <c r="AS49" s="1058"/>
      <c r="AT49" s="1058"/>
      <c r="AU49" s="1058"/>
      <c r="AV49" s="1058"/>
      <c r="AW49" s="1058"/>
      <c r="AX49" s="1058"/>
      <c r="AY49" s="1058"/>
      <c r="AZ49" s="1058"/>
      <c r="BA49" s="1058"/>
      <c r="BB49" s="1058"/>
      <c r="BC49" s="94"/>
      <c r="BD49" s="94"/>
      <c r="BE49" s="94"/>
      <c r="CB49" s="890"/>
      <c r="CC49" s="890"/>
      <c r="CJ49" s="1017">
        <v>0</v>
      </c>
    </row>
    <row r="50" spans="1:88" ht="16.350000000000001" customHeight="1" x14ac:dyDescent="0.2">
      <c r="A50" s="2458" t="s">
        <v>2846</v>
      </c>
      <c r="B50" s="5103"/>
      <c r="C50" s="140" t="s">
        <v>41</v>
      </c>
      <c r="D50" s="2500" t="s">
        <v>2777</v>
      </c>
      <c r="E50" s="2513" t="s">
        <v>2778</v>
      </c>
      <c r="F50" s="2514" t="s">
        <v>2779</v>
      </c>
      <c r="G50" s="180" t="s">
        <v>2780</v>
      </c>
      <c r="H50" s="163" t="s">
        <v>2781</v>
      </c>
      <c r="I50" s="141" t="s">
        <v>2782</v>
      </c>
      <c r="J50" s="163" t="s">
        <v>2783</v>
      </c>
      <c r="K50" s="141" t="s">
        <v>2784</v>
      </c>
      <c r="L50" s="163" t="s">
        <v>2785</v>
      </c>
      <c r="M50" s="141" t="s">
        <v>2786</v>
      </c>
      <c r="N50" s="163" t="s">
        <v>2787</v>
      </c>
      <c r="O50" s="141" t="s">
        <v>2788</v>
      </c>
      <c r="P50" s="163" t="s">
        <v>2789</v>
      </c>
      <c r="Q50" s="141" t="s">
        <v>2790</v>
      </c>
      <c r="R50" s="163" t="s">
        <v>2791</v>
      </c>
      <c r="S50" s="141" t="s">
        <v>2792</v>
      </c>
      <c r="T50" s="163" t="s">
        <v>2793</v>
      </c>
      <c r="U50" s="141" t="s">
        <v>2794</v>
      </c>
      <c r="V50" s="163" t="s">
        <v>2795</v>
      </c>
      <c r="W50" s="141" t="s">
        <v>2796</v>
      </c>
      <c r="X50" s="163" t="s">
        <v>2797</v>
      </c>
      <c r="Y50" s="141" t="s">
        <v>2798</v>
      </c>
      <c r="Z50" s="163" t="s">
        <v>2799</v>
      </c>
      <c r="AA50" s="141" t="s">
        <v>2800</v>
      </c>
      <c r="AB50" s="163" t="s">
        <v>2801</v>
      </c>
      <c r="AC50" s="141" t="s">
        <v>2817</v>
      </c>
      <c r="AD50" s="163" t="s">
        <v>2818</v>
      </c>
      <c r="AE50" s="141" t="s">
        <v>2819</v>
      </c>
      <c r="AF50" s="163" t="s">
        <v>2821</v>
      </c>
      <c r="AG50" s="141" t="s">
        <v>2822</v>
      </c>
      <c r="AH50" s="163" t="s">
        <v>2823</v>
      </c>
      <c r="AI50" s="141" t="s">
        <v>2824</v>
      </c>
      <c r="AJ50" s="163" t="s">
        <v>2825</v>
      </c>
      <c r="AK50" s="141" t="s">
        <v>2826</v>
      </c>
      <c r="AL50" s="163" t="s">
        <v>2827</v>
      </c>
      <c r="AM50" s="141" t="s">
        <v>2831</v>
      </c>
      <c r="AN50" s="163" t="s">
        <v>2832</v>
      </c>
      <c r="AO50" s="164" t="s">
        <v>2833</v>
      </c>
      <c r="AP50" s="1057"/>
      <c r="AQ50" s="1058"/>
      <c r="AR50" s="1058"/>
      <c r="AS50" s="1058"/>
      <c r="AT50" s="1058"/>
      <c r="AU50" s="1058"/>
      <c r="AV50" s="1058"/>
      <c r="AW50" s="1058"/>
      <c r="AX50" s="1058"/>
      <c r="AY50" s="1058"/>
      <c r="AZ50" s="1058"/>
      <c r="BA50" s="1058"/>
      <c r="BB50" s="1058"/>
      <c r="BC50" s="94"/>
      <c r="BD50" s="94"/>
      <c r="BE50" s="94"/>
      <c r="CB50" s="890"/>
      <c r="CJ50" s="1017">
        <v>0</v>
      </c>
    </row>
    <row r="51" spans="1:88" ht="16.350000000000001" customHeight="1" x14ac:dyDescent="0.2">
      <c r="A51" s="2458" t="s">
        <v>2847</v>
      </c>
      <c r="B51" s="5104"/>
      <c r="C51" s="100" t="s">
        <v>30</v>
      </c>
      <c r="D51" s="2504" t="s">
        <v>2777</v>
      </c>
      <c r="E51" s="2511" t="s">
        <v>2778</v>
      </c>
      <c r="F51" s="2512" t="s">
        <v>2779</v>
      </c>
      <c r="G51" s="126" t="s">
        <v>2780</v>
      </c>
      <c r="H51" s="125" t="s">
        <v>2781</v>
      </c>
      <c r="I51" s="166" t="s">
        <v>2782</v>
      </c>
      <c r="J51" s="125" t="s">
        <v>2783</v>
      </c>
      <c r="K51" s="166" t="s">
        <v>2784</v>
      </c>
      <c r="L51" s="125" t="s">
        <v>2785</v>
      </c>
      <c r="M51" s="166" t="s">
        <v>2786</v>
      </c>
      <c r="N51" s="125" t="s">
        <v>2787</v>
      </c>
      <c r="O51" s="166" t="s">
        <v>2788</v>
      </c>
      <c r="P51" s="125" t="s">
        <v>2789</v>
      </c>
      <c r="Q51" s="166" t="s">
        <v>2790</v>
      </c>
      <c r="R51" s="125" t="s">
        <v>2791</v>
      </c>
      <c r="S51" s="166" t="s">
        <v>2792</v>
      </c>
      <c r="T51" s="125" t="s">
        <v>2793</v>
      </c>
      <c r="U51" s="166" t="s">
        <v>2794</v>
      </c>
      <c r="V51" s="125" t="s">
        <v>2795</v>
      </c>
      <c r="W51" s="166" t="s">
        <v>2796</v>
      </c>
      <c r="X51" s="125" t="s">
        <v>2797</v>
      </c>
      <c r="Y51" s="166" t="s">
        <v>2798</v>
      </c>
      <c r="Z51" s="125" t="s">
        <v>2799</v>
      </c>
      <c r="AA51" s="166" t="s">
        <v>2800</v>
      </c>
      <c r="AB51" s="125" t="s">
        <v>2801</v>
      </c>
      <c r="AC51" s="166" t="s">
        <v>2817</v>
      </c>
      <c r="AD51" s="125" t="s">
        <v>2818</v>
      </c>
      <c r="AE51" s="166" t="s">
        <v>2819</v>
      </c>
      <c r="AF51" s="125" t="s">
        <v>2821</v>
      </c>
      <c r="AG51" s="166" t="s">
        <v>2822</v>
      </c>
      <c r="AH51" s="125" t="s">
        <v>2823</v>
      </c>
      <c r="AI51" s="166" t="s">
        <v>2824</v>
      </c>
      <c r="AJ51" s="125" t="s">
        <v>2825</v>
      </c>
      <c r="AK51" s="166" t="s">
        <v>2826</v>
      </c>
      <c r="AL51" s="125" t="s">
        <v>2827</v>
      </c>
      <c r="AM51" s="166" t="s">
        <v>2831</v>
      </c>
      <c r="AN51" s="125" t="s">
        <v>2832</v>
      </c>
      <c r="AO51" s="105" t="s">
        <v>2833</v>
      </c>
      <c r="AP51" s="1057"/>
      <c r="AQ51" s="1058"/>
      <c r="AR51" s="1058"/>
      <c r="AS51" s="1058"/>
      <c r="AT51" s="1058"/>
      <c r="AU51" s="1058"/>
      <c r="AV51" s="1058"/>
      <c r="AW51" s="1058"/>
      <c r="AX51" s="1058"/>
      <c r="AY51" s="1058"/>
      <c r="AZ51" s="1058"/>
      <c r="BA51" s="1058"/>
      <c r="BB51" s="1058"/>
      <c r="BC51" s="94"/>
      <c r="BD51" s="94"/>
      <c r="BE51" s="94"/>
      <c r="CJ51" s="1017">
        <v>0</v>
      </c>
    </row>
    <row r="52" spans="1:88" ht="16.350000000000001" customHeight="1" x14ac:dyDescent="0.2">
      <c r="A52" s="2458" t="s">
        <v>2848</v>
      </c>
      <c r="B52" s="5103" t="s">
        <v>74</v>
      </c>
      <c r="C52" s="2450" t="s">
        <v>29</v>
      </c>
      <c r="D52" s="2495" t="s">
        <v>2777</v>
      </c>
      <c r="E52" s="2509" t="s">
        <v>2778</v>
      </c>
      <c r="F52" s="2510" t="s">
        <v>2779</v>
      </c>
      <c r="G52" s="2487" t="s">
        <v>2780</v>
      </c>
      <c r="H52" s="2480" t="s">
        <v>2781</v>
      </c>
      <c r="I52" s="2483" t="s">
        <v>2782</v>
      </c>
      <c r="J52" s="2480" t="s">
        <v>2783</v>
      </c>
      <c r="K52" s="2483" t="s">
        <v>2784</v>
      </c>
      <c r="L52" s="2480" t="s">
        <v>2785</v>
      </c>
      <c r="M52" s="2483" t="s">
        <v>2786</v>
      </c>
      <c r="N52" s="2480" t="s">
        <v>2787</v>
      </c>
      <c r="O52" s="2483" t="s">
        <v>2788</v>
      </c>
      <c r="P52" s="2480" t="s">
        <v>2789</v>
      </c>
      <c r="Q52" s="2483" t="s">
        <v>2790</v>
      </c>
      <c r="R52" s="2480" t="s">
        <v>2791</v>
      </c>
      <c r="S52" s="2483" t="s">
        <v>2792</v>
      </c>
      <c r="T52" s="2480" t="s">
        <v>2793</v>
      </c>
      <c r="U52" s="2483" t="s">
        <v>2794</v>
      </c>
      <c r="V52" s="2480" t="s">
        <v>2795</v>
      </c>
      <c r="W52" s="2483" t="s">
        <v>2796</v>
      </c>
      <c r="X52" s="2480" t="s">
        <v>2797</v>
      </c>
      <c r="Y52" s="2483" t="s">
        <v>2798</v>
      </c>
      <c r="Z52" s="2480" t="s">
        <v>2799</v>
      </c>
      <c r="AA52" s="2483" t="s">
        <v>2800</v>
      </c>
      <c r="AB52" s="2480" t="s">
        <v>2801</v>
      </c>
      <c r="AC52" s="2483" t="s">
        <v>2817</v>
      </c>
      <c r="AD52" s="2480" t="s">
        <v>2818</v>
      </c>
      <c r="AE52" s="2483" t="s">
        <v>2819</v>
      </c>
      <c r="AF52" s="2480" t="s">
        <v>2821</v>
      </c>
      <c r="AG52" s="2483" t="s">
        <v>2822</v>
      </c>
      <c r="AH52" s="2480" t="s">
        <v>2823</v>
      </c>
      <c r="AI52" s="2483" t="s">
        <v>2824</v>
      </c>
      <c r="AJ52" s="2480" t="s">
        <v>2825</v>
      </c>
      <c r="AK52" s="2483" t="s">
        <v>2826</v>
      </c>
      <c r="AL52" s="2480" t="s">
        <v>2827</v>
      </c>
      <c r="AM52" s="2483" t="s">
        <v>2831</v>
      </c>
      <c r="AN52" s="2480" t="s">
        <v>2832</v>
      </c>
      <c r="AO52" s="2455" t="s">
        <v>2833</v>
      </c>
      <c r="AP52" s="1057"/>
      <c r="AQ52" s="1058"/>
      <c r="AR52" s="1058"/>
      <c r="AS52" s="1058"/>
      <c r="AT52" s="1058"/>
      <c r="AU52" s="1058"/>
      <c r="AV52" s="1058"/>
      <c r="AW52" s="1058"/>
      <c r="AX52" s="1058"/>
      <c r="AY52" s="1058"/>
      <c r="AZ52" s="1058"/>
      <c r="BA52" s="1058"/>
      <c r="BB52" s="1058"/>
      <c r="BC52" s="94"/>
      <c r="BD52" s="94"/>
      <c r="BE52" s="94"/>
      <c r="CJ52" s="1017">
        <v>0</v>
      </c>
    </row>
    <row r="53" spans="1:88" ht="16.350000000000001" customHeight="1" x14ac:dyDescent="0.2">
      <c r="A53" s="2458" t="s">
        <v>2849</v>
      </c>
      <c r="B53" s="5103"/>
      <c r="C53" s="140" t="s">
        <v>41</v>
      </c>
      <c r="D53" s="2500" t="s">
        <v>2777</v>
      </c>
      <c r="E53" s="2513" t="s">
        <v>2778</v>
      </c>
      <c r="F53" s="2514" t="s">
        <v>2779</v>
      </c>
      <c r="G53" s="180" t="s">
        <v>2780</v>
      </c>
      <c r="H53" s="163" t="s">
        <v>2781</v>
      </c>
      <c r="I53" s="141" t="s">
        <v>2782</v>
      </c>
      <c r="J53" s="163" t="s">
        <v>2783</v>
      </c>
      <c r="K53" s="141" t="s">
        <v>2784</v>
      </c>
      <c r="L53" s="163" t="s">
        <v>2785</v>
      </c>
      <c r="M53" s="141" t="s">
        <v>2786</v>
      </c>
      <c r="N53" s="163" t="s">
        <v>2787</v>
      </c>
      <c r="O53" s="141" t="s">
        <v>2788</v>
      </c>
      <c r="P53" s="163" t="s">
        <v>2789</v>
      </c>
      <c r="Q53" s="141" t="s">
        <v>2790</v>
      </c>
      <c r="R53" s="163" t="s">
        <v>2791</v>
      </c>
      <c r="S53" s="141" t="s">
        <v>2792</v>
      </c>
      <c r="T53" s="163" t="s">
        <v>2793</v>
      </c>
      <c r="U53" s="141" t="s">
        <v>2794</v>
      </c>
      <c r="V53" s="163" t="s">
        <v>2795</v>
      </c>
      <c r="W53" s="141" t="s">
        <v>2796</v>
      </c>
      <c r="X53" s="163" t="s">
        <v>2797</v>
      </c>
      <c r="Y53" s="141" t="s">
        <v>2798</v>
      </c>
      <c r="Z53" s="163" t="s">
        <v>2799</v>
      </c>
      <c r="AA53" s="141" t="s">
        <v>2800</v>
      </c>
      <c r="AB53" s="163" t="s">
        <v>2801</v>
      </c>
      <c r="AC53" s="141" t="s">
        <v>2817</v>
      </c>
      <c r="AD53" s="163" t="s">
        <v>2818</v>
      </c>
      <c r="AE53" s="141" t="s">
        <v>2819</v>
      </c>
      <c r="AF53" s="163" t="s">
        <v>2821</v>
      </c>
      <c r="AG53" s="141" t="s">
        <v>2822</v>
      </c>
      <c r="AH53" s="163" t="s">
        <v>2823</v>
      </c>
      <c r="AI53" s="141" t="s">
        <v>2824</v>
      </c>
      <c r="AJ53" s="163" t="s">
        <v>2825</v>
      </c>
      <c r="AK53" s="141" t="s">
        <v>2826</v>
      </c>
      <c r="AL53" s="163" t="s">
        <v>2827</v>
      </c>
      <c r="AM53" s="141" t="s">
        <v>2831</v>
      </c>
      <c r="AN53" s="163" t="s">
        <v>2832</v>
      </c>
      <c r="AO53" s="164" t="s">
        <v>2833</v>
      </c>
      <c r="AP53" s="1057"/>
      <c r="AQ53" s="1058"/>
      <c r="AR53" s="1058"/>
      <c r="AS53" s="1058"/>
      <c r="AT53" s="1058"/>
      <c r="AU53" s="1058"/>
      <c r="AV53" s="1058"/>
      <c r="AW53" s="1058"/>
      <c r="AX53" s="1058"/>
      <c r="AY53" s="1058"/>
      <c r="AZ53" s="1058"/>
      <c r="BA53" s="1058"/>
      <c r="BB53" s="1058"/>
      <c r="BC53" s="94"/>
      <c r="BD53" s="94"/>
      <c r="BE53" s="94"/>
      <c r="CJ53" s="1017">
        <v>0</v>
      </c>
    </row>
    <row r="54" spans="1:88" ht="16.350000000000001" customHeight="1" x14ac:dyDescent="0.2">
      <c r="A54" s="2458" t="s">
        <v>2850</v>
      </c>
      <c r="B54" s="5103"/>
      <c r="C54" s="2465" t="s">
        <v>30</v>
      </c>
      <c r="D54" s="2500" t="s">
        <v>2777</v>
      </c>
      <c r="E54" s="2513" t="s">
        <v>2778</v>
      </c>
      <c r="F54" s="2514" t="s">
        <v>2779</v>
      </c>
      <c r="G54" s="180" t="s">
        <v>2780</v>
      </c>
      <c r="H54" s="163" t="s">
        <v>2781</v>
      </c>
      <c r="I54" s="141" t="s">
        <v>2782</v>
      </c>
      <c r="J54" s="163" t="s">
        <v>2783</v>
      </c>
      <c r="K54" s="141" t="s">
        <v>2784</v>
      </c>
      <c r="L54" s="163" t="s">
        <v>2785</v>
      </c>
      <c r="M54" s="141" t="s">
        <v>2786</v>
      </c>
      <c r="N54" s="163" t="s">
        <v>2787</v>
      </c>
      <c r="O54" s="141" t="s">
        <v>2788</v>
      </c>
      <c r="P54" s="163" t="s">
        <v>2789</v>
      </c>
      <c r="Q54" s="141" t="s">
        <v>2790</v>
      </c>
      <c r="R54" s="163" t="s">
        <v>2791</v>
      </c>
      <c r="S54" s="141" t="s">
        <v>2792</v>
      </c>
      <c r="T54" s="163" t="s">
        <v>2793</v>
      </c>
      <c r="U54" s="141" t="s">
        <v>2794</v>
      </c>
      <c r="V54" s="163" t="s">
        <v>2795</v>
      </c>
      <c r="W54" s="141" t="s">
        <v>2796</v>
      </c>
      <c r="X54" s="163" t="s">
        <v>2797</v>
      </c>
      <c r="Y54" s="141" t="s">
        <v>2798</v>
      </c>
      <c r="Z54" s="163" t="s">
        <v>2799</v>
      </c>
      <c r="AA54" s="141" t="s">
        <v>2800</v>
      </c>
      <c r="AB54" s="163" t="s">
        <v>2801</v>
      </c>
      <c r="AC54" s="141" t="s">
        <v>2817</v>
      </c>
      <c r="AD54" s="163" t="s">
        <v>2818</v>
      </c>
      <c r="AE54" s="141" t="s">
        <v>2819</v>
      </c>
      <c r="AF54" s="163" t="s">
        <v>2821</v>
      </c>
      <c r="AG54" s="141" t="s">
        <v>2822</v>
      </c>
      <c r="AH54" s="163" t="s">
        <v>2823</v>
      </c>
      <c r="AI54" s="141" t="s">
        <v>2824</v>
      </c>
      <c r="AJ54" s="163" t="s">
        <v>2825</v>
      </c>
      <c r="AK54" s="141" t="s">
        <v>2826</v>
      </c>
      <c r="AL54" s="163" t="s">
        <v>2827</v>
      </c>
      <c r="AM54" s="141" t="s">
        <v>2831</v>
      </c>
      <c r="AN54" s="163" t="s">
        <v>2832</v>
      </c>
      <c r="AO54" s="164" t="s">
        <v>2833</v>
      </c>
      <c r="AP54" s="1057"/>
      <c r="AQ54" s="1058"/>
      <c r="AR54" s="1058"/>
      <c r="AS54" s="1058"/>
      <c r="AT54" s="1058"/>
      <c r="AU54" s="1058"/>
      <c r="AV54" s="1058"/>
      <c r="AW54" s="1058"/>
      <c r="AX54" s="1058"/>
      <c r="AY54" s="1058"/>
      <c r="AZ54" s="1058"/>
      <c r="BA54" s="1058"/>
      <c r="BB54" s="1058"/>
      <c r="BC54" s="94"/>
      <c r="BD54" s="94"/>
      <c r="BE54" s="94"/>
      <c r="CJ54" s="1017">
        <v>0</v>
      </c>
    </row>
    <row r="55" spans="1:88" ht="16.350000000000001" customHeight="1" x14ac:dyDescent="0.2">
      <c r="A55" s="2458" t="s">
        <v>2851</v>
      </c>
      <c r="B55" s="5103"/>
      <c r="C55" s="140" t="s">
        <v>68</v>
      </c>
      <c r="D55" s="2500" t="s">
        <v>2777</v>
      </c>
      <c r="E55" s="2513" t="s">
        <v>2778</v>
      </c>
      <c r="F55" s="2514" t="s">
        <v>2779</v>
      </c>
      <c r="G55" s="180" t="s">
        <v>2780</v>
      </c>
      <c r="H55" s="163" t="s">
        <v>2781</v>
      </c>
      <c r="I55" s="141" t="s">
        <v>2782</v>
      </c>
      <c r="J55" s="163" t="s">
        <v>2783</v>
      </c>
      <c r="K55" s="141" t="s">
        <v>2784</v>
      </c>
      <c r="L55" s="163" t="s">
        <v>2785</v>
      </c>
      <c r="M55" s="141" t="s">
        <v>2786</v>
      </c>
      <c r="N55" s="163" t="s">
        <v>2787</v>
      </c>
      <c r="O55" s="141" t="s">
        <v>2788</v>
      </c>
      <c r="P55" s="163" t="s">
        <v>2789</v>
      </c>
      <c r="Q55" s="141" t="s">
        <v>2790</v>
      </c>
      <c r="R55" s="163" t="s">
        <v>2791</v>
      </c>
      <c r="S55" s="141" t="s">
        <v>2792</v>
      </c>
      <c r="T55" s="163" t="s">
        <v>2793</v>
      </c>
      <c r="U55" s="141" t="s">
        <v>2794</v>
      </c>
      <c r="V55" s="163" t="s">
        <v>2795</v>
      </c>
      <c r="W55" s="141" t="s">
        <v>2796</v>
      </c>
      <c r="X55" s="163" t="s">
        <v>2797</v>
      </c>
      <c r="Y55" s="141" t="s">
        <v>2798</v>
      </c>
      <c r="Z55" s="163" t="s">
        <v>2799</v>
      </c>
      <c r="AA55" s="141" t="s">
        <v>2800</v>
      </c>
      <c r="AB55" s="163" t="s">
        <v>2801</v>
      </c>
      <c r="AC55" s="141" t="s">
        <v>2817</v>
      </c>
      <c r="AD55" s="163" t="s">
        <v>2818</v>
      </c>
      <c r="AE55" s="141" t="s">
        <v>2819</v>
      </c>
      <c r="AF55" s="163" t="s">
        <v>2821</v>
      </c>
      <c r="AG55" s="141" t="s">
        <v>2822</v>
      </c>
      <c r="AH55" s="163" t="s">
        <v>2823</v>
      </c>
      <c r="AI55" s="141" t="s">
        <v>2824</v>
      </c>
      <c r="AJ55" s="163" t="s">
        <v>2825</v>
      </c>
      <c r="AK55" s="141" t="s">
        <v>2826</v>
      </c>
      <c r="AL55" s="163" t="s">
        <v>2827</v>
      </c>
      <c r="AM55" s="141" t="s">
        <v>2831</v>
      </c>
      <c r="AN55" s="163" t="s">
        <v>2832</v>
      </c>
      <c r="AO55" s="164" t="s">
        <v>2833</v>
      </c>
      <c r="AP55" s="1057"/>
      <c r="AQ55" s="1058"/>
      <c r="AR55" s="1058"/>
      <c r="AS55" s="1058"/>
      <c r="AT55" s="1058"/>
      <c r="AU55" s="1058"/>
      <c r="AV55" s="1058"/>
      <c r="AW55" s="1058"/>
      <c r="AX55" s="1058"/>
      <c r="AY55" s="1058"/>
      <c r="AZ55" s="1058"/>
      <c r="BA55" s="1058"/>
      <c r="BB55" s="1058"/>
      <c r="BC55" s="94"/>
      <c r="BD55" s="94"/>
      <c r="BE55" s="94"/>
      <c r="CJ55" s="1017">
        <v>0</v>
      </c>
    </row>
    <row r="56" spans="1:88" ht="16.350000000000001" customHeight="1" x14ac:dyDescent="0.2">
      <c r="A56" s="2458" t="s">
        <v>2852</v>
      </c>
      <c r="B56" s="5104"/>
      <c r="C56" s="100" t="s">
        <v>69</v>
      </c>
      <c r="D56" s="2504" t="s">
        <v>2777</v>
      </c>
      <c r="E56" s="2511" t="s">
        <v>2778</v>
      </c>
      <c r="F56" s="2512" t="s">
        <v>2779</v>
      </c>
      <c r="G56" s="126" t="s">
        <v>2780</v>
      </c>
      <c r="H56" s="125" t="s">
        <v>2781</v>
      </c>
      <c r="I56" s="166" t="s">
        <v>2782</v>
      </c>
      <c r="J56" s="125" t="s">
        <v>2783</v>
      </c>
      <c r="K56" s="166" t="s">
        <v>2784</v>
      </c>
      <c r="L56" s="125" t="s">
        <v>2785</v>
      </c>
      <c r="M56" s="166" t="s">
        <v>2786</v>
      </c>
      <c r="N56" s="125" t="s">
        <v>2787</v>
      </c>
      <c r="O56" s="166" t="s">
        <v>2788</v>
      </c>
      <c r="P56" s="125" t="s">
        <v>2789</v>
      </c>
      <c r="Q56" s="166" t="s">
        <v>2790</v>
      </c>
      <c r="R56" s="125" t="s">
        <v>2791</v>
      </c>
      <c r="S56" s="166" t="s">
        <v>2792</v>
      </c>
      <c r="T56" s="125" t="s">
        <v>2793</v>
      </c>
      <c r="U56" s="166" t="s">
        <v>2794</v>
      </c>
      <c r="V56" s="125" t="s">
        <v>2795</v>
      </c>
      <c r="W56" s="166" t="s">
        <v>2796</v>
      </c>
      <c r="X56" s="125" t="s">
        <v>2797</v>
      </c>
      <c r="Y56" s="166" t="s">
        <v>2798</v>
      </c>
      <c r="Z56" s="125" t="s">
        <v>2799</v>
      </c>
      <c r="AA56" s="166" t="s">
        <v>2800</v>
      </c>
      <c r="AB56" s="125" t="s">
        <v>2801</v>
      </c>
      <c r="AC56" s="166" t="s">
        <v>2817</v>
      </c>
      <c r="AD56" s="125" t="s">
        <v>2818</v>
      </c>
      <c r="AE56" s="166" t="s">
        <v>2819</v>
      </c>
      <c r="AF56" s="125" t="s">
        <v>2821</v>
      </c>
      <c r="AG56" s="166" t="s">
        <v>2822</v>
      </c>
      <c r="AH56" s="125" t="s">
        <v>2823</v>
      </c>
      <c r="AI56" s="166" t="s">
        <v>2824</v>
      </c>
      <c r="AJ56" s="125" t="s">
        <v>2825</v>
      </c>
      <c r="AK56" s="166" t="s">
        <v>2826</v>
      </c>
      <c r="AL56" s="125" t="s">
        <v>2827</v>
      </c>
      <c r="AM56" s="166" t="s">
        <v>2831</v>
      </c>
      <c r="AN56" s="125" t="s">
        <v>2832</v>
      </c>
      <c r="AO56" s="105" t="s">
        <v>2833</v>
      </c>
      <c r="AP56" s="1057"/>
      <c r="AQ56" s="1058"/>
      <c r="AR56" s="1058"/>
      <c r="AS56" s="1058"/>
      <c r="AT56" s="1058"/>
      <c r="AU56" s="1058"/>
      <c r="AV56" s="1058"/>
      <c r="AW56" s="1058"/>
      <c r="AX56" s="1058"/>
      <c r="AY56" s="1058"/>
      <c r="AZ56" s="1058"/>
      <c r="BA56" s="1058"/>
      <c r="BB56" s="1058"/>
      <c r="BC56" s="94"/>
      <c r="BD56" s="94"/>
      <c r="BE56" s="94"/>
      <c r="CJ56" s="1017">
        <v>0</v>
      </c>
    </row>
    <row r="57" spans="1:88" ht="16.350000000000001" customHeight="1" x14ac:dyDescent="0.2">
      <c r="A57" s="2458" t="s">
        <v>2853</v>
      </c>
      <c r="B57" s="5103" t="s">
        <v>885</v>
      </c>
      <c r="C57" s="2450" t="s">
        <v>29</v>
      </c>
      <c r="D57" s="2495" t="s">
        <v>2777</v>
      </c>
      <c r="E57" s="2509" t="s">
        <v>2778</v>
      </c>
      <c r="F57" s="2510" t="s">
        <v>2779</v>
      </c>
      <c r="G57" s="2271" t="s">
        <v>2780</v>
      </c>
      <c r="H57" s="2270" t="s">
        <v>2781</v>
      </c>
      <c r="I57" s="2391" t="s">
        <v>2782</v>
      </c>
      <c r="J57" s="2270" t="s">
        <v>2783</v>
      </c>
      <c r="K57" s="2391" t="s">
        <v>2784</v>
      </c>
      <c r="L57" s="2270" t="s">
        <v>2785</v>
      </c>
      <c r="M57" s="2391" t="s">
        <v>2786</v>
      </c>
      <c r="N57" s="2270" t="s">
        <v>2787</v>
      </c>
      <c r="O57" s="2391" t="s">
        <v>2788</v>
      </c>
      <c r="P57" s="2270" t="s">
        <v>2789</v>
      </c>
      <c r="Q57" s="2404" t="s">
        <v>2790</v>
      </c>
      <c r="R57" s="2405" t="s">
        <v>2791</v>
      </c>
      <c r="S57" s="2404" t="s">
        <v>2792</v>
      </c>
      <c r="T57" s="2308" t="s">
        <v>2793</v>
      </c>
      <c r="U57" s="2404" t="s">
        <v>2794</v>
      </c>
      <c r="V57" s="2308" t="s">
        <v>2795</v>
      </c>
      <c r="W57" s="2404" t="s">
        <v>2796</v>
      </c>
      <c r="X57" s="2308" t="s">
        <v>2797</v>
      </c>
      <c r="Y57" s="2404" t="s">
        <v>2798</v>
      </c>
      <c r="Z57" s="2308" t="s">
        <v>2799</v>
      </c>
      <c r="AA57" s="2404" t="s">
        <v>2800</v>
      </c>
      <c r="AB57" s="2308" t="s">
        <v>2801</v>
      </c>
      <c r="AC57" s="2404" t="s">
        <v>2817</v>
      </c>
      <c r="AD57" s="2308" t="s">
        <v>2818</v>
      </c>
      <c r="AE57" s="2404" t="s">
        <v>2819</v>
      </c>
      <c r="AF57" s="2308" t="s">
        <v>2821</v>
      </c>
      <c r="AG57" s="2404" t="s">
        <v>2822</v>
      </c>
      <c r="AH57" s="2308" t="s">
        <v>2823</v>
      </c>
      <c r="AI57" s="2404" t="s">
        <v>2824</v>
      </c>
      <c r="AJ57" s="2308" t="s">
        <v>2825</v>
      </c>
      <c r="AK57" s="2404" t="s">
        <v>2826</v>
      </c>
      <c r="AL57" s="2308" t="s">
        <v>2827</v>
      </c>
      <c r="AM57" s="2515" t="s">
        <v>2831</v>
      </c>
      <c r="AN57" s="2308" t="s">
        <v>2832</v>
      </c>
      <c r="AO57" s="2393" t="s">
        <v>2833</v>
      </c>
      <c r="AP57" s="1057"/>
      <c r="AQ57" s="1058"/>
      <c r="AR57" s="1058"/>
      <c r="AS57" s="1058"/>
      <c r="AT57" s="1058"/>
      <c r="AU57" s="1058"/>
      <c r="AV57" s="1058"/>
      <c r="AW57" s="1058"/>
      <c r="AX57" s="1058"/>
      <c r="AY57" s="1058"/>
      <c r="AZ57" s="1058"/>
      <c r="BA57" s="1058"/>
      <c r="BB57" s="1058"/>
      <c r="BC57" s="94"/>
      <c r="BD57" s="94"/>
      <c r="BE57" s="94"/>
      <c r="CJ57" s="1017">
        <v>0</v>
      </c>
    </row>
    <row r="58" spans="1:88" ht="16.350000000000001" customHeight="1" x14ac:dyDescent="0.2">
      <c r="A58" s="2458" t="s">
        <v>2854</v>
      </c>
      <c r="B58" s="5103"/>
      <c r="C58" s="140" t="s">
        <v>41</v>
      </c>
      <c r="D58" s="2500" t="s">
        <v>2777</v>
      </c>
      <c r="E58" s="2513" t="s">
        <v>2778</v>
      </c>
      <c r="F58" s="2514" t="s">
        <v>2779</v>
      </c>
      <c r="G58" s="180" t="s">
        <v>2780</v>
      </c>
      <c r="H58" s="163" t="s">
        <v>2781</v>
      </c>
      <c r="I58" s="141" t="s">
        <v>2782</v>
      </c>
      <c r="J58" s="163" t="s">
        <v>2783</v>
      </c>
      <c r="K58" s="141" t="s">
        <v>2784</v>
      </c>
      <c r="L58" s="163" t="s">
        <v>2785</v>
      </c>
      <c r="M58" s="141" t="s">
        <v>2786</v>
      </c>
      <c r="N58" s="163" t="s">
        <v>2787</v>
      </c>
      <c r="O58" s="141" t="s">
        <v>2788</v>
      </c>
      <c r="P58" s="163" t="s">
        <v>2789</v>
      </c>
      <c r="Q58" s="173" t="s">
        <v>2790</v>
      </c>
      <c r="R58" s="174" t="s">
        <v>2791</v>
      </c>
      <c r="S58" s="173" t="s">
        <v>2792</v>
      </c>
      <c r="T58" s="162" t="s">
        <v>2793</v>
      </c>
      <c r="U58" s="173" t="s">
        <v>2794</v>
      </c>
      <c r="V58" s="162" t="s">
        <v>2795</v>
      </c>
      <c r="W58" s="173" t="s">
        <v>2796</v>
      </c>
      <c r="X58" s="162" t="s">
        <v>2797</v>
      </c>
      <c r="Y58" s="173" t="s">
        <v>2798</v>
      </c>
      <c r="Z58" s="162" t="s">
        <v>2799</v>
      </c>
      <c r="AA58" s="173" t="s">
        <v>2800</v>
      </c>
      <c r="AB58" s="162" t="s">
        <v>2801</v>
      </c>
      <c r="AC58" s="173" t="s">
        <v>2817</v>
      </c>
      <c r="AD58" s="162" t="s">
        <v>2818</v>
      </c>
      <c r="AE58" s="173" t="s">
        <v>2819</v>
      </c>
      <c r="AF58" s="162" t="s">
        <v>2821</v>
      </c>
      <c r="AG58" s="173" t="s">
        <v>2822</v>
      </c>
      <c r="AH58" s="162" t="s">
        <v>2823</v>
      </c>
      <c r="AI58" s="173" t="s">
        <v>2824</v>
      </c>
      <c r="AJ58" s="162" t="s">
        <v>2825</v>
      </c>
      <c r="AK58" s="173" t="s">
        <v>2826</v>
      </c>
      <c r="AL58" s="162" t="s">
        <v>2827</v>
      </c>
      <c r="AM58" s="175" t="s">
        <v>2831</v>
      </c>
      <c r="AN58" s="162" t="s">
        <v>2832</v>
      </c>
      <c r="AO58" s="164" t="s">
        <v>2833</v>
      </c>
      <c r="AP58" s="1057"/>
      <c r="AQ58" s="1058"/>
      <c r="AR58" s="1058"/>
      <c r="AS58" s="1058"/>
      <c r="AT58" s="1058"/>
      <c r="AU58" s="1058"/>
      <c r="AV58" s="1058"/>
      <c r="AW58" s="1058"/>
      <c r="AX58" s="1058"/>
      <c r="AY58" s="1058"/>
      <c r="AZ58" s="1058"/>
      <c r="BA58" s="1058"/>
      <c r="BB58" s="1058"/>
      <c r="BC58" s="94"/>
      <c r="BD58" s="94"/>
      <c r="BE58" s="94"/>
      <c r="CJ58" s="1017">
        <v>0</v>
      </c>
    </row>
    <row r="59" spans="1:88" ht="16.350000000000001" customHeight="1" x14ac:dyDescent="0.2">
      <c r="A59" s="2458" t="s">
        <v>2855</v>
      </c>
      <c r="B59" s="5103"/>
      <c r="C59" s="2465" t="s">
        <v>30</v>
      </c>
      <c r="D59" s="2500" t="s">
        <v>2777</v>
      </c>
      <c r="E59" s="2513" t="s">
        <v>2778</v>
      </c>
      <c r="F59" s="2514" t="s">
        <v>2779</v>
      </c>
      <c r="G59" s="180" t="s">
        <v>2780</v>
      </c>
      <c r="H59" s="163" t="s">
        <v>2781</v>
      </c>
      <c r="I59" s="141" t="s">
        <v>2782</v>
      </c>
      <c r="J59" s="163" t="s">
        <v>2783</v>
      </c>
      <c r="K59" s="141" t="s">
        <v>2784</v>
      </c>
      <c r="L59" s="163" t="s">
        <v>2785</v>
      </c>
      <c r="M59" s="141" t="s">
        <v>2786</v>
      </c>
      <c r="N59" s="163" t="s">
        <v>2787</v>
      </c>
      <c r="O59" s="141" t="s">
        <v>2788</v>
      </c>
      <c r="P59" s="163" t="s">
        <v>2789</v>
      </c>
      <c r="Q59" s="173" t="s">
        <v>2790</v>
      </c>
      <c r="R59" s="174" t="s">
        <v>2791</v>
      </c>
      <c r="S59" s="173" t="s">
        <v>2792</v>
      </c>
      <c r="T59" s="162" t="s">
        <v>2793</v>
      </c>
      <c r="U59" s="173" t="s">
        <v>2794</v>
      </c>
      <c r="V59" s="162" t="s">
        <v>2795</v>
      </c>
      <c r="W59" s="173" t="s">
        <v>2796</v>
      </c>
      <c r="X59" s="162" t="s">
        <v>2797</v>
      </c>
      <c r="Y59" s="173" t="s">
        <v>2798</v>
      </c>
      <c r="Z59" s="162" t="s">
        <v>2799</v>
      </c>
      <c r="AA59" s="173" t="s">
        <v>2800</v>
      </c>
      <c r="AB59" s="162" t="s">
        <v>2801</v>
      </c>
      <c r="AC59" s="173" t="s">
        <v>2817</v>
      </c>
      <c r="AD59" s="162" t="s">
        <v>2818</v>
      </c>
      <c r="AE59" s="173" t="s">
        <v>2819</v>
      </c>
      <c r="AF59" s="162" t="s">
        <v>2821</v>
      </c>
      <c r="AG59" s="173" t="s">
        <v>2822</v>
      </c>
      <c r="AH59" s="162" t="s">
        <v>2823</v>
      </c>
      <c r="AI59" s="173" t="s">
        <v>2824</v>
      </c>
      <c r="AJ59" s="162" t="s">
        <v>2825</v>
      </c>
      <c r="AK59" s="173" t="s">
        <v>2826</v>
      </c>
      <c r="AL59" s="162" t="s">
        <v>2827</v>
      </c>
      <c r="AM59" s="175" t="s">
        <v>2831</v>
      </c>
      <c r="AN59" s="162" t="s">
        <v>2832</v>
      </c>
      <c r="AO59" s="164" t="s">
        <v>2833</v>
      </c>
      <c r="AP59" s="1057"/>
      <c r="AQ59" s="1058"/>
      <c r="AR59" s="1058"/>
      <c r="AS59" s="1058"/>
      <c r="AT59" s="1058"/>
      <c r="AU59" s="1058"/>
      <c r="AV59" s="1058"/>
      <c r="AW59" s="1058"/>
      <c r="AX59" s="1058"/>
      <c r="AY59" s="1058"/>
      <c r="AZ59" s="1058"/>
      <c r="BA59" s="1058"/>
      <c r="BB59" s="1058"/>
      <c r="BC59" s="94"/>
      <c r="BD59" s="94"/>
      <c r="BE59" s="94"/>
      <c r="CJ59" s="1017">
        <v>0</v>
      </c>
    </row>
    <row r="60" spans="1:88" ht="16.350000000000001" customHeight="1" x14ac:dyDescent="0.2">
      <c r="A60" s="2458" t="s">
        <v>2856</v>
      </c>
      <c r="B60" s="5103"/>
      <c r="C60" s="2465" t="s">
        <v>68</v>
      </c>
      <c r="D60" s="2500" t="s">
        <v>2777</v>
      </c>
      <c r="E60" s="2513" t="s">
        <v>2778</v>
      </c>
      <c r="F60" s="2514" t="s">
        <v>2779</v>
      </c>
      <c r="G60" s="180" t="s">
        <v>2780</v>
      </c>
      <c r="H60" s="163" t="s">
        <v>2781</v>
      </c>
      <c r="I60" s="141" t="s">
        <v>2782</v>
      </c>
      <c r="J60" s="163" t="s">
        <v>2783</v>
      </c>
      <c r="K60" s="141" t="s">
        <v>2784</v>
      </c>
      <c r="L60" s="163" t="s">
        <v>2785</v>
      </c>
      <c r="M60" s="141" t="s">
        <v>2786</v>
      </c>
      <c r="N60" s="163" t="s">
        <v>2787</v>
      </c>
      <c r="O60" s="141" t="s">
        <v>2788</v>
      </c>
      <c r="P60" s="163" t="s">
        <v>2789</v>
      </c>
      <c r="Q60" s="173" t="s">
        <v>2790</v>
      </c>
      <c r="R60" s="174" t="s">
        <v>2791</v>
      </c>
      <c r="S60" s="173" t="s">
        <v>2792</v>
      </c>
      <c r="T60" s="162" t="s">
        <v>2793</v>
      </c>
      <c r="U60" s="173" t="s">
        <v>2794</v>
      </c>
      <c r="V60" s="162" t="s">
        <v>2795</v>
      </c>
      <c r="W60" s="173" t="s">
        <v>2796</v>
      </c>
      <c r="X60" s="162" t="s">
        <v>2797</v>
      </c>
      <c r="Y60" s="173" t="s">
        <v>2798</v>
      </c>
      <c r="Z60" s="162" t="s">
        <v>2799</v>
      </c>
      <c r="AA60" s="173" t="s">
        <v>2800</v>
      </c>
      <c r="AB60" s="162" t="s">
        <v>2801</v>
      </c>
      <c r="AC60" s="173" t="s">
        <v>2817</v>
      </c>
      <c r="AD60" s="162" t="s">
        <v>2818</v>
      </c>
      <c r="AE60" s="173" t="s">
        <v>2819</v>
      </c>
      <c r="AF60" s="162" t="s">
        <v>2821</v>
      </c>
      <c r="AG60" s="173" t="s">
        <v>2822</v>
      </c>
      <c r="AH60" s="162" t="s">
        <v>2823</v>
      </c>
      <c r="AI60" s="173" t="s">
        <v>2824</v>
      </c>
      <c r="AJ60" s="162" t="s">
        <v>2825</v>
      </c>
      <c r="AK60" s="173" t="s">
        <v>2826</v>
      </c>
      <c r="AL60" s="162" t="s">
        <v>2827</v>
      </c>
      <c r="AM60" s="175" t="s">
        <v>2831</v>
      </c>
      <c r="AN60" s="162" t="s">
        <v>2832</v>
      </c>
      <c r="AO60" s="164" t="s">
        <v>2833</v>
      </c>
      <c r="AP60" s="1057"/>
      <c r="AQ60" s="1058"/>
      <c r="AR60" s="1058"/>
      <c r="AS60" s="1058"/>
      <c r="AT60" s="1058"/>
      <c r="AU60" s="1058"/>
      <c r="AV60" s="1058"/>
      <c r="AW60" s="1058"/>
      <c r="AX60" s="1058"/>
      <c r="AY60" s="1058"/>
      <c r="AZ60" s="1058"/>
      <c r="BA60" s="1058"/>
      <c r="BB60" s="1058"/>
      <c r="BC60" s="94"/>
      <c r="BD60" s="94"/>
      <c r="BE60" s="94"/>
      <c r="CJ60" s="1017">
        <v>0</v>
      </c>
    </row>
    <row r="61" spans="1:88" ht="16.350000000000001" customHeight="1" x14ac:dyDescent="0.2">
      <c r="A61" s="2458" t="s">
        <v>2857</v>
      </c>
      <c r="B61" s="5104"/>
      <c r="C61" s="2516" t="s">
        <v>69</v>
      </c>
      <c r="D61" s="2504" t="s">
        <v>2777</v>
      </c>
      <c r="E61" s="2511" t="s">
        <v>2778</v>
      </c>
      <c r="F61" s="2512" t="s">
        <v>2779</v>
      </c>
      <c r="G61" s="126" t="s">
        <v>2780</v>
      </c>
      <c r="H61" s="168" t="s">
        <v>2781</v>
      </c>
      <c r="I61" s="166" t="s">
        <v>2782</v>
      </c>
      <c r="J61" s="168" t="s">
        <v>2783</v>
      </c>
      <c r="K61" s="166" t="s">
        <v>2784</v>
      </c>
      <c r="L61" s="168" t="s">
        <v>2785</v>
      </c>
      <c r="M61" s="166" t="s">
        <v>2786</v>
      </c>
      <c r="N61" s="168" t="s">
        <v>2787</v>
      </c>
      <c r="O61" s="166" t="s">
        <v>2788</v>
      </c>
      <c r="P61" s="168" t="s">
        <v>2789</v>
      </c>
      <c r="Q61" s="101" t="s">
        <v>2790</v>
      </c>
      <c r="R61" s="169" t="s">
        <v>2791</v>
      </c>
      <c r="S61" s="101" t="s">
        <v>2792</v>
      </c>
      <c r="T61" s="104" t="s">
        <v>2793</v>
      </c>
      <c r="U61" s="101" t="s">
        <v>2794</v>
      </c>
      <c r="V61" s="104" t="s">
        <v>2795</v>
      </c>
      <c r="W61" s="101" t="s">
        <v>2796</v>
      </c>
      <c r="X61" s="104" t="s">
        <v>2797</v>
      </c>
      <c r="Y61" s="101" t="s">
        <v>2798</v>
      </c>
      <c r="Z61" s="104" t="s">
        <v>2799</v>
      </c>
      <c r="AA61" s="101" t="s">
        <v>2800</v>
      </c>
      <c r="AB61" s="104" t="s">
        <v>2801</v>
      </c>
      <c r="AC61" s="101" t="s">
        <v>2817</v>
      </c>
      <c r="AD61" s="104" t="s">
        <v>2818</v>
      </c>
      <c r="AE61" s="101" t="s">
        <v>2819</v>
      </c>
      <c r="AF61" s="104" t="s">
        <v>2821</v>
      </c>
      <c r="AG61" s="101" t="s">
        <v>2822</v>
      </c>
      <c r="AH61" s="104" t="s">
        <v>2823</v>
      </c>
      <c r="AI61" s="101" t="s">
        <v>2824</v>
      </c>
      <c r="AJ61" s="104" t="s">
        <v>2825</v>
      </c>
      <c r="AK61" s="101" t="s">
        <v>2826</v>
      </c>
      <c r="AL61" s="104" t="s">
        <v>2827</v>
      </c>
      <c r="AM61" s="176" t="s">
        <v>2831</v>
      </c>
      <c r="AN61" s="104" t="s">
        <v>2832</v>
      </c>
      <c r="AO61" s="105" t="s">
        <v>2833</v>
      </c>
      <c r="AP61" s="1057"/>
      <c r="AQ61" s="1058"/>
      <c r="AR61" s="1058"/>
      <c r="AS61" s="1058"/>
      <c r="AT61" s="1058"/>
      <c r="AU61" s="1058"/>
      <c r="AV61" s="1058"/>
      <c r="AW61" s="1058"/>
      <c r="AX61" s="1058"/>
      <c r="AY61" s="1058"/>
      <c r="AZ61" s="1058"/>
      <c r="BA61" s="1058"/>
      <c r="BB61" s="1058"/>
      <c r="BC61" s="94"/>
      <c r="BD61" s="94"/>
      <c r="BE61" s="94"/>
      <c r="CJ61" s="1017">
        <v>0</v>
      </c>
    </row>
    <row r="62" spans="1:88" ht="31.35" customHeight="1" x14ac:dyDescent="0.2">
      <c r="B62" s="152" t="s">
        <v>879</v>
      </c>
      <c r="C62" s="152"/>
      <c r="D62" s="152"/>
      <c r="E62" s="177"/>
      <c r="F62" s="903"/>
      <c r="G62" s="903"/>
      <c r="H62" s="903"/>
      <c r="I62" s="128"/>
      <c r="J62" s="128"/>
      <c r="K62" s="128"/>
      <c r="L62" s="81"/>
      <c r="M62" s="81"/>
      <c r="N62" s="81"/>
      <c r="O62" s="81"/>
      <c r="P62" s="81"/>
      <c r="Q62" s="81"/>
      <c r="R62" s="81"/>
      <c r="S62" s="81"/>
      <c r="T62" s="81"/>
      <c r="U62" s="81"/>
      <c r="V62" s="81"/>
      <c r="W62" s="81"/>
      <c r="X62" s="81"/>
      <c r="Y62" s="81"/>
      <c r="Z62" s="81"/>
      <c r="AA62" s="81"/>
      <c r="AB62" s="81"/>
      <c r="AC62" s="81"/>
      <c r="AD62" s="81"/>
      <c r="AE62" s="81"/>
      <c r="AF62" s="81"/>
      <c r="AG62" s="81"/>
      <c r="AH62" s="81"/>
      <c r="AI62" s="81"/>
      <c r="AJ62" s="81"/>
      <c r="AK62" s="81"/>
      <c r="AL62" s="81"/>
      <c r="AM62" s="81"/>
      <c r="AN62" s="81"/>
      <c r="AO62" s="81"/>
      <c r="AP62" s="128"/>
      <c r="AQ62" s="128"/>
      <c r="AR62" s="128"/>
      <c r="AS62" s="128"/>
      <c r="AT62" s="128"/>
      <c r="AU62" s="94"/>
      <c r="AV62" s="94"/>
      <c r="AW62" s="94"/>
      <c r="AX62" s="94"/>
      <c r="AY62" s="94"/>
      <c r="AZ62" s="94"/>
      <c r="BA62" s="94"/>
      <c r="BB62" s="94"/>
      <c r="BC62" s="94"/>
      <c r="BD62" s="94"/>
      <c r="BE62" s="94"/>
    </row>
    <row r="63" spans="1:88" ht="16.350000000000001" customHeight="1" x14ac:dyDescent="0.2">
      <c r="B63" s="5118" t="s">
        <v>75</v>
      </c>
      <c r="C63" s="5120"/>
      <c r="D63" s="5107" t="s">
        <v>76</v>
      </c>
      <c r="E63" s="5117"/>
      <c r="F63" s="5108"/>
      <c r="G63" s="5107" t="s">
        <v>77</v>
      </c>
      <c r="H63" s="5117"/>
      <c r="I63" s="5108"/>
      <c r="J63" s="81"/>
      <c r="K63" s="81"/>
      <c r="L63" s="81"/>
      <c r="M63" s="81"/>
      <c r="N63" s="81"/>
      <c r="O63" s="81"/>
      <c r="P63" s="81"/>
      <c r="Q63" s="81"/>
      <c r="R63" s="81"/>
      <c r="S63" s="81"/>
      <c r="T63" s="81"/>
      <c r="U63" s="81"/>
      <c r="V63" s="81"/>
      <c r="W63" s="81"/>
      <c r="X63" s="81"/>
      <c r="Y63" s="81"/>
      <c r="Z63" s="81"/>
      <c r="AA63" s="81"/>
      <c r="AB63" s="81"/>
      <c r="AC63" s="81"/>
      <c r="AD63" s="81"/>
      <c r="AE63" s="81"/>
      <c r="AF63" s="81"/>
      <c r="AG63" s="81"/>
      <c r="AH63" s="81"/>
      <c r="AI63" s="81"/>
      <c r="AJ63" s="81"/>
      <c r="AK63" s="81"/>
      <c r="AL63" s="81"/>
      <c r="AM63" s="81"/>
      <c r="AN63" s="81"/>
      <c r="AO63" s="81"/>
      <c r="AP63" s="128"/>
      <c r="AQ63" s="128"/>
      <c r="AR63" s="128"/>
      <c r="AS63" s="128"/>
      <c r="AT63" s="128"/>
      <c r="AU63" s="94"/>
      <c r="AV63" s="94"/>
      <c r="AW63" s="94"/>
      <c r="AX63" s="94"/>
      <c r="AY63" s="94"/>
      <c r="AZ63" s="94"/>
      <c r="BA63" s="94"/>
      <c r="BB63" s="94"/>
      <c r="BC63" s="94"/>
      <c r="BD63" s="94"/>
      <c r="BE63" s="94"/>
    </row>
    <row r="64" spans="1:88" ht="16.350000000000001" customHeight="1" x14ac:dyDescent="0.2">
      <c r="B64" s="5125"/>
      <c r="C64" s="5126"/>
      <c r="D64" s="158" t="s">
        <v>184</v>
      </c>
      <c r="E64" s="253" t="s">
        <v>24</v>
      </c>
      <c r="F64" s="131" t="s">
        <v>25</v>
      </c>
      <c r="G64" s="158" t="s">
        <v>184</v>
      </c>
      <c r="H64" s="253" t="s">
        <v>24</v>
      </c>
      <c r="I64" s="131" t="s">
        <v>25</v>
      </c>
      <c r="J64" s="81"/>
      <c r="K64" s="81"/>
      <c r="L64" s="81"/>
      <c r="M64" s="81"/>
      <c r="N64" s="81"/>
      <c r="O64" s="81"/>
      <c r="P64" s="81"/>
      <c r="Q64" s="81"/>
      <c r="R64" s="81"/>
      <c r="S64" s="81"/>
      <c r="T64" s="81"/>
      <c r="U64" s="81"/>
      <c r="V64" s="81"/>
      <c r="W64" s="81"/>
      <c r="X64" s="81"/>
      <c r="Y64" s="81"/>
      <c r="Z64" s="81"/>
      <c r="AA64" s="81"/>
      <c r="AB64" s="81"/>
      <c r="AC64" s="81"/>
      <c r="AD64" s="81"/>
      <c r="AE64" s="81"/>
      <c r="AF64" s="81"/>
      <c r="AG64" s="81"/>
      <c r="AH64" s="81"/>
      <c r="AI64" s="81"/>
      <c r="AJ64" s="81"/>
      <c r="AK64" s="81"/>
      <c r="AL64" s="81"/>
      <c r="AM64" s="81"/>
      <c r="AN64" s="81"/>
      <c r="AO64" s="81"/>
      <c r="AP64" s="128"/>
      <c r="AQ64" s="128"/>
      <c r="AR64" s="128"/>
      <c r="AS64" s="128"/>
      <c r="AT64" s="128"/>
      <c r="AU64" s="94"/>
      <c r="AV64" s="94"/>
      <c r="AW64" s="94"/>
      <c r="AX64" s="94"/>
      <c r="AY64" s="94"/>
      <c r="AZ64" s="94"/>
      <c r="BA64" s="94"/>
      <c r="BB64" s="94"/>
      <c r="BC64" s="94"/>
      <c r="BD64" s="94"/>
      <c r="BE64" s="94"/>
    </row>
    <row r="65" spans="1:57" ht="16.350000000000001" customHeight="1" x14ac:dyDescent="0.2">
      <c r="A65" s="2458" t="s">
        <v>2858</v>
      </c>
      <c r="B65" s="5124" t="s">
        <v>78</v>
      </c>
      <c r="C65" s="5124"/>
      <c r="D65" s="2476" t="s">
        <v>2777</v>
      </c>
      <c r="E65" s="2483" t="s">
        <v>2778</v>
      </c>
      <c r="F65" s="2480" t="s">
        <v>2779</v>
      </c>
      <c r="G65" s="2450" t="s">
        <v>2780</v>
      </c>
      <c r="H65" s="2487" t="s">
        <v>2781</v>
      </c>
      <c r="I65" s="2480" t="s">
        <v>2782</v>
      </c>
      <c r="J65" s="900"/>
      <c r="K65" s="81"/>
      <c r="L65" s="81"/>
      <c r="M65" s="81"/>
      <c r="N65" s="81"/>
      <c r="O65" s="81"/>
      <c r="P65" s="81"/>
      <c r="Q65" s="81"/>
      <c r="R65" s="81"/>
      <c r="S65" s="81"/>
      <c r="T65" s="81"/>
      <c r="U65" s="81"/>
      <c r="V65" s="81"/>
      <c r="W65" s="81"/>
      <c r="X65" s="81"/>
      <c r="Y65" s="81"/>
      <c r="Z65" s="81"/>
      <c r="AA65" s="81"/>
      <c r="AB65" s="81"/>
      <c r="AC65" s="81"/>
      <c r="AD65" s="81"/>
      <c r="AE65" s="81"/>
      <c r="AF65" s="81"/>
      <c r="AG65" s="81"/>
      <c r="AH65" s="81"/>
      <c r="AI65" s="81"/>
      <c r="AJ65" s="81"/>
      <c r="AK65" s="81"/>
      <c r="AL65" s="81"/>
      <c r="AM65" s="81"/>
      <c r="AN65" s="81"/>
      <c r="AO65" s="81"/>
      <c r="AP65" s="128"/>
      <c r="AQ65" s="128"/>
      <c r="AR65" s="128"/>
      <c r="AS65" s="128"/>
      <c r="AT65" s="128"/>
      <c r="AU65" s="94"/>
      <c r="AV65" s="94"/>
      <c r="AW65" s="94"/>
      <c r="AX65" s="94"/>
      <c r="AY65" s="94"/>
      <c r="AZ65" s="94"/>
      <c r="BA65" s="94"/>
      <c r="BB65" s="94"/>
      <c r="BC65" s="94"/>
      <c r="BD65" s="94"/>
      <c r="BE65" s="94"/>
    </row>
    <row r="66" spans="1:57" ht="16.350000000000001" customHeight="1" x14ac:dyDescent="0.2">
      <c r="A66" s="2458" t="s">
        <v>2859</v>
      </c>
      <c r="B66" s="5127" t="s">
        <v>79</v>
      </c>
      <c r="C66" s="5127"/>
      <c r="D66" s="179" t="s">
        <v>2777</v>
      </c>
      <c r="E66" s="141" t="s">
        <v>2778</v>
      </c>
      <c r="F66" s="163" t="s">
        <v>2779</v>
      </c>
      <c r="G66" s="140" t="s">
        <v>2780</v>
      </c>
      <c r="H66" s="180" t="s">
        <v>2781</v>
      </c>
      <c r="I66" s="163" t="s">
        <v>2782</v>
      </c>
      <c r="J66" s="900"/>
      <c r="K66" s="81"/>
      <c r="L66" s="81"/>
      <c r="M66" s="81"/>
      <c r="N66" s="81"/>
      <c r="O66" s="81"/>
      <c r="P66" s="81"/>
      <c r="Q66" s="81"/>
      <c r="R66" s="81"/>
      <c r="S66" s="81"/>
      <c r="T66" s="81"/>
      <c r="U66" s="81"/>
      <c r="V66" s="81"/>
      <c r="W66" s="81"/>
      <c r="X66" s="81"/>
      <c r="Y66" s="81"/>
      <c r="Z66" s="81"/>
      <c r="AA66" s="81"/>
      <c r="AB66" s="81"/>
      <c r="AC66" s="81"/>
      <c r="AD66" s="81"/>
      <c r="AE66" s="81"/>
      <c r="AF66" s="81"/>
      <c r="AG66" s="81"/>
      <c r="AH66" s="81"/>
      <c r="AI66" s="81"/>
      <c r="AJ66" s="81"/>
      <c r="AK66" s="81"/>
      <c r="AL66" s="81"/>
      <c r="AM66" s="81"/>
      <c r="AN66" s="81"/>
      <c r="AO66" s="81"/>
      <c r="AP66" s="128"/>
      <c r="AQ66" s="128"/>
      <c r="AR66" s="128"/>
      <c r="AS66" s="128"/>
      <c r="AT66" s="128"/>
      <c r="AU66" s="94"/>
      <c r="AV66" s="94"/>
      <c r="AW66" s="94"/>
      <c r="AX66" s="94"/>
      <c r="AY66" s="94"/>
      <c r="AZ66" s="94"/>
      <c r="BA66" s="94"/>
      <c r="BB66" s="94"/>
      <c r="BC66" s="94"/>
      <c r="BD66" s="94"/>
      <c r="BE66" s="94"/>
    </row>
    <row r="67" spans="1:57" ht="16.350000000000001" customHeight="1" x14ac:dyDescent="0.2">
      <c r="A67" s="2458" t="s">
        <v>2860</v>
      </c>
      <c r="B67" s="5127" t="s">
        <v>80</v>
      </c>
      <c r="C67" s="5127"/>
      <c r="D67" s="179" t="s">
        <v>2777</v>
      </c>
      <c r="E67" s="2391" t="s">
        <v>2778</v>
      </c>
      <c r="F67" s="2270" t="s">
        <v>2779</v>
      </c>
      <c r="G67" s="140" t="s">
        <v>2780</v>
      </c>
      <c r="H67" s="180" t="s">
        <v>2781</v>
      </c>
      <c r="I67" s="163" t="s">
        <v>2782</v>
      </c>
      <c r="J67" s="900"/>
      <c r="K67" s="81"/>
      <c r="L67" s="81"/>
      <c r="M67" s="81"/>
      <c r="N67" s="81"/>
      <c r="O67" s="81"/>
      <c r="P67" s="81"/>
      <c r="Q67" s="81"/>
      <c r="R67" s="81"/>
      <c r="S67" s="81"/>
      <c r="T67" s="81"/>
      <c r="U67" s="81"/>
      <c r="V67" s="81"/>
      <c r="W67" s="81"/>
      <c r="X67" s="81"/>
      <c r="Y67" s="81"/>
      <c r="Z67" s="81"/>
      <c r="AA67" s="81"/>
      <c r="AB67" s="81"/>
      <c r="AC67" s="81"/>
      <c r="AD67" s="81"/>
      <c r="AE67" s="81"/>
      <c r="AF67" s="81"/>
      <c r="AG67" s="81"/>
      <c r="AH67" s="81"/>
      <c r="AI67" s="81"/>
      <c r="AJ67" s="81"/>
      <c r="AK67" s="81"/>
      <c r="AL67" s="81"/>
      <c r="AM67" s="81"/>
      <c r="AN67" s="81"/>
      <c r="AO67" s="81"/>
      <c r="AP67" s="128"/>
      <c r="AQ67" s="128"/>
      <c r="AR67" s="128"/>
      <c r="AS67" s="128"/>
      <c r="AT67" s="128"/>
      <c r="AU67" s="94"/>
      <c r="AV67" s="94"/>
      <c r="AW67" s="94"/>
      <c r="AX67" s="94"/>
      <c r="AY67" s="94"/>
      <c r="AZ67" s="94"/>
      <c r="BA67" s="94"/>
      <c r="BB67" s="94"/>
      <c r="BC67" s="94"/>
      <c r="BD67" s="94"/>
      <c r="BE67" s="94"/>
    </row>
    <row r="68" spans="1:57" ht="16.350000000000001" customHeight="1" x14ac:dyDescent="0.2">
      <c r="A68" s="2458" t="s">
        <v>2861</v>
      </c>
      <c r="B68" s="5132" t="s">
        <v>81</v>
      </c>
      <c r="C68" s="5132"/>
      <c r="D68" s="2517" t="s">
        <v>2777</v>
      </c>
      <c r="E68" s="2245" t="s">
        <v>2778</v>
      </c>
      <c r="F68" s="183" t="s">
        <v>2779</v>
      </c>
      <c r="G68" s="100" t="s">
        <v>2780</v>
      </c>
      <c r="H68" s="144" t="s">
        <v>2781</v>
      </c>
      <c r="I68" s="125" t="s">
        <v>2782</v>
      </c>
      <c r="J68" s="900"/>
      <c r="K68" s="81"/>
      <c r="L68" s="81"/>
      <c r="M68" s="81"/>
      <c r="N68" s="81"/>
      <c r="O68" s="81"/>
      <c r="P68" s="81"/>
      <c r="Q68" s="81"/>
      <c r="R68" s="81"/>
      <c r="S68" s="81"/>
      <c r="T68" s="81"/>
      <c r="U68" s="81"/>
      <c r="V68" s="81"/>
      <c r="W68" s="81"/>
      <c r="X68" s="81"/>
      <c r="Y68" s="81"/>
      <c r="Z68" s="81"/>
      <c r="AA68" s="81"/>
      <c r="AB68" s="81"/>
      <c r="AC68" s="81"/>
      <c r="AD68" s="81"/>
      <c r="AE68" s="81"/>
      <c r="AF68" s="81"/>
      <c r="AG68" s="81"/>
      <c r="AH68" s="81"/>
      <c r="AI68" s="81"/>
      <c r="AJ68" s="81"/>
      <c r="AK68" s="81"/>
      <c r="AL68" s="81"/>
      <c r="AM68" s="81"/>
      <c r="AN68" s="81"/>
      <c r="AO68" s="81"/>
      <c r="AP68" s="128"/>
      <c r="AQ68" s="128"/>
      <c r="AR68" s="128"/>
      <c r="AS68" s="128"/>
      <c r="AT68" s="128"/>
      <c r="AU68" s="94"/>
      <c r="AV68" s="94"/>
      <c r="AW68" s="94"/>
      <c r="AX68" s="94"/>
      <c r="AY68" s="94"/>
      <c r="AZ68" s="94"/>
      <c r="BA68" s="94"/>
      <c r="BB68" s="94"/>
      <c r="BC68" s="94"/>
      <c r="BD68" s="94"/>
      <c r="BE68" s="94"/>
    </row>
    <row r="69" spans="1:57" ht="16.350000000000001" customHeight="1" x14ac:dyDescent="0.2">
      <c r="A69" s="2518"/>
      <c r="B69" s="5133" t="s">
        <v>42</v>
      </c>
      <c r="C69" s="5133"/>
      <c r="D69" s="2519">
        <f t="shared" ref="D69:I69" si="0">SUM(D65:D68)</f>
        <v>0</v>
      </c>
      <c r="E69" s="2520">
        <f t="shared" si="0"/>
        <v>0</v>
      </c>
      <c r="F69" s="2521">
        <f t="shared" si="0"/>
        <v>0</v>
      </c>
      <c r="G69" s="2522">
        <f t="shared" si="0"/>
        <v>0</v>
      </c>
      <c r="H69" s="2523">
        <f t="shared" si="0"/>
        <v>0</v>
      </c>
      <c r="I69" s="2524">
        <f t="shared" si="0"/>
        <v>0</v>
      </c>
      <c r="J69" s="901"/>
      <c r="K69" s="81"/>
      <c r="L69" s="81"/>
      <c r="M69" s="81"/>
      <c r="N69" s="81"/>
      <c r="O69" s="81"/>
      <c r="P69" s="81"/>
      <c r="Q69" s="81"/>
      <c r="R69" s="81"/>
      <c r="S69" s="81"/>
      <c r="T69" s="81"/>
      <c r="U69" s="81"/>
      <c r="V69" s="190"/>
      <c r="W69" s="190"/>
      <c r="X69" s="81"/>
      <c r="Y69" s="81"/>
      <c r="Z69" s="81"/>
      <c r="AA69" s="81"/>
      <c r="AB69" s="81"/>
      <c r="AC69" s="81"/>
      <c r="AD69" s="81"/>
      <c r="AE69" s="81"/>
      <c r="AF69" s="81"/>
      <c r="AG69" s="81"/>
      <c r="AH69" s="81"/>
      <c r="AI69" s="81"/>
      <c r="AJ69" s="81"/>
      <c r="AK69" s="81"/>
      <c r="AL69" s="81"/>
      <c r="AM69" s="81"/>
      <c r="AN69" s="81"/>
      <c r="AO69" s="81"/>
      <c r="AP69" s="128"/>
      <c r="AQ69" s="128"/>
      <c r="AR69" s="128"/>
      <c r="AS69" s="128"/>
      <c r="AT69" s="128"/>
      <c r="AU69" s="94"/>
      <c r="AV69" s="94"/>
      <c r="AW69" s="94"/>
      <c r="AX69" s="94"/>
      <c r="AY69" s="94"/>
      <c r="AZ69" s="94"/>
      <c r="BA69" s="94"/>
      <c r="BB69" s="94"/>
      <c r="BC69" s="94"/>
      <c r="BD69" s="94"/>
      <c r="BE69" s="94"/>
    </row>
    <row r="70" spans="1:57" ht="31.35" customHeight="1" x14ac:dyDescent="0.2">
      <c r="B70" s="153" t="s">
        <v>83</v>
      </c>
      <c r="C70" s="153"/>
      <c r="D70" s="153"/>
      <c r="E70" s="153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4"/>
      <c r="Q70" s="84"/>
      <c r="R70" s="84"/>
      <c r="S70" s="84"/>
      <c r="T70" s="84"/>
      <c r="U70" s="84"/>
      <c r="V70" s="84"/>
      <c r="W70" s="84"/>
      <c r="X70" s="84"/>
      <c r="Y70" s="84"/>
      <c r="Z70" s="84"/>
      <c r="AA70" s="84"/>
      <c r="AB70" s="84"/>
      <c r="AC70" s="84"/>
      <c r="AD70" s="84"/>
      <c r="AE70" s="84"/>
      <c r="AF70" s="84"/>
      <c r="AG70" s="84"/>
      <c r="AH70" s="84"/>
      <c r="AI70" s="84"/>
      <c r="AJ70" s="84"/>
      <c r="AK70" s="84"/>
      <c r="AL70" s="84"/>
      <c r="AM70" s="81"/>
      <c r="AN70" s="81"/>
      <c r="AO70" s="81"/>
      <c r="AP70" s="81"/>
      <c r="AQ70" s="81"/>
      <c r="AR70" s="81"/>
      <c r="AS70" s="81"/>
      <c r="AT70" s="81"/>
    </row>
    <row r="71" spans="1:57" ht="16.350000000000001" customHeight="1" x14ac:dyDescent="0.2">
      <c r="B71" s="5130" t="s">
        <v>84</v>
      </c>
      <c r="C71" s="5109" t="s">
        <v>85</v>
      </c>
      <c r="D71" s="5109" t="s">
        <v>86</v>
      </c>
      <c r="E71" s="5109" t="s">
        <v>87</v>
      </c>
      <c r="F71" s="5110" t="s">
        <v>40</v>
      </c>
      <c r="G71" s="5111"/>
      <c r="H71" s="81"/>
      <c r="I71" s="81"/>
      <c r="J71" s="81"/>
      <c r="K71" s="81"/>
      <c r="L71" s="81"/>
      <c r="M71" s="81"/>
      <c r="N71" s="81"/>
      <c r="O71" s="81"/>
      <c r="P71" s="81"/>
      <c r="Q71" s="81"/>
      <c r="R71" s="81"/>
      <c r="S71" s="81"/>
      <c r="T71" s="190"/>
      <c r="U71" s="190"/>
      <c r="V71" s="81"/>
      <c r="W71" s="81"/>
      <c r="X71" s="81"/>
      <c r="Y71" s="81"/>
      <c r="Z71" s="81"/>
      <c r="AA71" s="81"/>
      <c r="AB71" s="81"/>
      <c r="AC71" s="81"/>
      <c r="AD71" s="81"/>
      <c r="AE71" s="81"/>
      <c r="AF71" s="81"/>
      <c r="AG71" s="81"/>
      <c r="AH71" s="81"/>
      <c r="AI71" s="81"/>
      <c r="AJ71" s="81"/>
      <c r="AK71" s="81"/>
      <c r="AL71" s="81"/>
      <c r="AM71" s="81"/>
      <c r="AN71" s="81"/>
      <c r="AO71" s="81"/>
      <c r="AP71" s="81"/>
      <c r="AQ71" s="81"/>
      <c r="AR71" s="81"/>
      <c r="AS71" s="81"/>
      <c r="AT71" s="81"/>
    </row>
    <row r="72" spans="1:57" ht="16.350000000000001" customHeight="1" x14ac:dyDescent="0.2">
      <c r="B72" s="5131"/>
      <c r="C72" s="5104"/>
      <c r="D72" s="5104"/>
      <c r="E72" s="5104"/>
      <c r="F72" s="2525" t="s">
        <v>24</v>
      </c>
      <c r="G72" s="2526" t="s">
        <v>25</v>
      </c>
      <c r="H72" s="81"/>
      <c r="I72" s="81"/>
      <c r="J72" s="81"/>
      <c r="K72" s="81"/>
      <c r="L72" s="81"/>
      <c r="M72" s="81"/>
      <c r="N72" s="81"/>
      <c r="O72" s="81"/>
      <c r="P72" s="81"/>
      <c r="Q72" s="81"/>
      <c r="R72" s="81"/>
      <c r="S72" s="81"/>
      <c r="T72" s="190"/>
      <c r="U72" s="190"/>
      <c r="V72" s="81"/>
      <c r="W72" s="81"/>
      <c r="X72" s="81"/>
      <c r="Y72" s="81"/>
      <c r="Z72" s="81"/>
      <c r="AA72" s="81"/>
      <c r="AB72" s="81"/>
      <c r="AC72" s="81"/>
      <c r="AD72" s="81"/>
      <c r="AE72" s="81"/>
      <c r="AF72" s="81"/>
      <c r="AG72" s="81"/>
      <c r="AH72" s="81"/>
      <c r="AI72" s="81"/>
      <c r="AJ72" s="81"/>
      <c r="AK72" s="81"/>
      <c r="AL72" s="81"/>
      <c r="AM72" s="81"/>
      <c r="AN72" s="81"/>
      <c r="AO72" s="81"/>
      <c r="AP72" s="81"/>
      <c r="AQ72" s="81"/>
      <c r="AR72" s="81"/>
      <c r="AS72" s="81"/>
      <c r="AT72" s="81"/>
    </row>
    <row r="73" spans="1:57" ht="16.350000000000001" customHeight="1" x14ac:dyDescent="0.2">
      <c r="A73" s="2458" t="s">
        <v>2862</v>
      </c>
      <c r="B73" s="5109" t="s">
        <v>88</v>
      </c>
      <c r="C73" s="2416" t="s">
        <v>89</v>
      </c>
      <c r="D73" s="192" t="s">
        <v>2777</v>
      </c>
      <c r="E73" s="149" t="s">
        <v>2778</v>
      </c>
      <c r="F73" s="180" t="s">
        <v>2779</v>
      </c>
      <c r="G73" s="163" t="s">
        <v>2780</v>
      </c>
      <c r="H73" s="900"/>
      <c r="I73" s="81"/>
      <c r="J73" s="81"/>
      <c r="K73" s="81"/>
      <c r="L73" s="81"/>
      <c r="M73" s="81"/>
      <c r="N73" s="81"/>
      <c r="O73" s="81"/>
      <c r="P73" s="81"/>
      <c r="Q73" s="81"/>
      <c r="R73" s="81"/>
      <c r="S73" s="81"/>
      <c r="T73" s="190"/>
      <c r="U73" s="190"/>
      <c r="V73" s="81"/>
      <c r="W73" s="81"/>
      <c r="X73" s="81"/>
      <c r="Y73" s="81"/>
      <c r="Z73" s="81"/>
      <c r="AA73" s="81"/>
      <c r="AB73" s="81"/>
      <c r="AC73" s="81"/>
      <c r="AD73" s="81"/>
      <c r="AE73" s="81"/>
      <c r="AF73" s="81"/>
      <c r="AG73" s="81"/>
      <c r="AH73" s="81"/>
      <c r="AI73" s="81"/>
      <c r="AJ73" s="81"/>
      <c r="AK73" s="81"/>
      <c r="AL73" s="81"/>
      <c r="AM73" s="81"/>
      <c r="AN73" s="81"/>
      <c r="AO73" s="81"/>
      <c r="AP73" s="81"/>
      <c r="AQ73" s="81"/>
      <c r="AR73" s="81"/>
      <c r="AS73" s="81"/>
      <c r="AT73" s="81"/>
    </row>
    <row r="74" spans="1:57" ht="16.350000000000001" customHeight="1" x14ac:dyDescent="0.2">
      <c r="A74" s="2458" t="s">
        <v>2863</v>
      </c>
      <c r="B74" s="5103"/>
      <c r="C74" s="140" t="s">
        <v>90</v>
      </c>
      <c r="D74" s="192" t="s">
        <v>2777</v>
      </c>
      <c r="E74" s="149" t="s">
        <v>2778</v>
      </c>
      <c r="F74" s="180" t="s">
        <v>2779</v>
      </c>
      <c r="G74" s="163" t="s">
        <v>2780</v>
      </c>
      <c r="H74" s="900"/>
      <c r="I74" s="81"/>
      <c r="J74" s="81"/>
      <c r="K74" s="81"/>
      <c r="L74" s="81"/>
      <c r="M74" s="81"/>
      <c r="N74" s="81"/>
      <c r="O74" s="81"/>
      <c r="P74" s="81"/>
      <c r="Q74" s="81"/>
      <c r="R74" s="81"/>
      <c r="S74" s="81"/>
      <c r="T74" s="190"/>
      <c r="U74" s="190"/>
      <c r="V74" s="81"/>
      <c r="W74" s="81"/>
      <c r="X74" s="81"/>
      <c r="Y74" s="81"/>
      <c r="Z74" s="81"/>
      <c r="AA74" s="81"/>
      <c r="AB74" s="81"/>
      <c r="AC74" s="81"/>
      <c r="AD74" s="81"/>
      <c r="AE74" s="81"/>
      <c r="AF74" s="81"/>
      <c r="AG74" s="81"/>
      <c r="AH74" s="81"/>
      <c r="AI74" s="81"/>
      <c r="AJ74" s="81"/>
      <c r="AK74" s="81"/>
      <c r="AL74" s="81"/>
      <c r="AM74" s="81"/>
      <c r="AN74" s="81"/>
      <c r="AO74" s="81"/>
      <c r="AP74" s="81"/>
      <c r="AQ74" s="81"/>
      <c r="AR74" s="81"/>
      <c r="AS74" s="81"/>
      <c r="AT74" s="81"/>
    </row>
    <row r="75" spans="1:57" ht="16.350000000000001" customHeight="1" x14ac:dyDescent="0.2">
      <c r="A75" s="2458" t="s">
        <v>2864</v>
      </c>
      <c r="B75" s="5103"/>
      <c r="C75" s="140" t="s">
        <v>91</v>
      </c>
      <c r="D75" s="192" t="s">
        <v>2777</v>
      </c>
      <c r="E75" s="149" t="s">
        <v>2778</v>
      </c>
      <c r="F75" s="180" t="s">
        <v>2779</v>
      </c>
      <c r="G75" s="163" t="s">
        <v>2780</v>
      </c>
      <c r="H75" s="900"/>
      <c r="I75" s="81"/>
      <c r="J75" s="81"/>
      <c r="K75" s="81"/>
      <c r="L75" s="81"/>
      <c r="M75" s="81"/>
      <c r="N75" s="81"/>
      <c r="O75" s="81"/>
      <c r="P75" s="81"/>
      <c r="Q75" s="81"/>
      <c r="R75" s="81"/>
      <c r="S75" s="81"/>
      <c r="T75" s="190"/>
      <c r="U75" s="190"/>
      <c r="V75" s="81"/>
      <c r="W75" s="81"/>
      <c r="X75" s="81"/>
      <c r="Y75" s="81"/>
      <c r="Z75" s="81"/>
      <c r="AA75" s="81"/>
      <c r="AB75" s="81"/>
      <c r="AC75" s="81"/>
      <c r="AD75" s="81"/>
      <c r="AE75" s="81"/>
      <c r="AF75" s="81"/>
      <c r="AG75" s="81"/>
      <c r="AH75" s="81"/>
      <c r="AI75" s="81"/>
      <c r="AJ75" s="81"/>
      <c r="AK75" s="81"/>
      <c r="AL75" s="81"/>
      <c r="AM75" s="81"/>
      <c r="AN75" s="81"/>
      <c r="AO75" s="81"/>
      <c r="AP75" s="81"/>
      <c r="AQ75" s="81"/>
      <c r="AR75" s="81"/>
      <c r="AS75" s="81"/>
      <c r="AT75" s="81"/>
    </row>
    <row r="76" spans="1:57" ht="16.350000000000001" customHeight="1" x14ac:dyDescent="0.2">
      <c r="A76" s="2458" t="s">
        <v>2865</v>
      </c>
      <c r="B76" s="5103"/>
      <c r="C76" s="140" t="s">
        <v>92</v>
      </c>
      <c r="D76" s="192" t="s">
        <v>2777</v>
      </c>
      <c r="E76" s="149" t="s">
        <v>2778</v>
      </c>
      <c r="F76" s="180" t="s">
        <v>2779</v>
      </c>
      <c r="G76" s="163" t="s">
        <v>2780</v>
      </c>
      <c r="H76" s="900"/>
      <c r="I76" s="81"/>
      <c r="J76" s="81"/>
      <c r="K76" s="81"/>
      <c r="L76" s="81"/>
      <c r="M76" s="81"/>
      <c r="N76" s="81"/>
      <c r="O76" s="81"/>
      <c r="P76" s="81"/>
      <c r="Q76" s="81"/>
      <c r="R76" s="81"/>
      <c r="S76" s="81"/>
      <c r="T76" s="190"/>
      <c r="U76" s="190"/>
      <c r="V76" s="81"/>
      <c r="W76" s="81"/>
      <c r="X76" s="81"/>
      <c r="Y76" s="81"/>
      <c r="Z76" s="81"/>
      <c r="AA76" s="81"/>
      <c r="AB76" s="81"/>
      <c r="AC76" s="81"/>
      <c r="AD76" s="81"/>
      <c r="AE76" s="81"/>
      <c r="AF76" s="81"/>
      <c r="AG76" s="81"/>
      <c r="AH76" s="81"/>
      <c r="AI76" s="81"/>
      <c r="AJ76" s="81"/>
      <c r="AK76" s="81"/>
      <c r="AL76" s="81"/>
      <c r="AM76" s="81"/>
      <c r="AN76" s="81"/>
      <c r="AO76" s="81"/>
      <c r="AP76" s="81"/>
      <c r="AQ76" s="81"/>
      <c r="AR76" s="81"/>
      <c r="AS76" s="81"/>
      <c r="AT76" s="81"/>
    </row>
    <row r="77" spans="1:57" ht="16.350000000000001" customHeight="1" x14ac:dyDescent="0.2">
      <c r="A77" s="2458" t="s">
        <v>2866</v>
      </c>
      <c r="B77" s="5104"/>
      <c r="C77" s="100" t="s">
        <v>93</v>
      </c>
      <c r="D77" s="193" t="s">
        <v>2777</v>
      </c>
      <c r="E77" s="106" t="s">
        <v>2778</v>
      </c>
      <c r="F77" s="126" t="s">
        <v>2779</v>
      </c>
      <c r="G77" s="125" t="s">
        <v>2780</v>
      </c>
      <c r="H77" s="900"/>
      <c r="I77" s="81"/>
      <c r="J77" s="81"/>
      <c r="K77" s="81"/>
      <c r="L77" s="81"/>
      <c r="M77" s="81"/>
      <c r="N77" s="81"/>
      <c r="O77" s="81"/>
      <c r="P77" s="81"/>
      <c r="Q77" s="81"/>
      <c r="R77" s="81"/>
      <c r="S77" s="81"/>
      <c r="T77" s="190"/>
      <c r="U77" s="190"/>
      <c r="V77" s="81"/>
      <c r="W77" s="81"/>
      <c r="X77" s="81"/>
      <c r="Y77" s="81"/>
      <c r="Z77" s="81"/>
      <c r="AA77" s="81"/>
      <c r="AB77" s="81"/>
      <c r="AC77" s="81"/>
      <c r="AD77" s="81"/>
      <c r="AE77" s="81"/>
      <c r="AF77" s="81"/>
      <c r="AG77" s="81"/>
      <c r="AH77" s="81"/>
      <c r="AI77" s="81"/>
      <c r="AJ77" s="81"/>
      <c r="AK77" s="81"/>
      <c r="AL77" s="81"/>
      <c r="AM77" s="81"/>
      <c r="AN77" s="81"/>
      <c r="AO77" s="81"/>
      <c r="AP77" s="81"/>
      <c r="AQ77" s="81"/>
      <c r="AR77" s="81"/>
      <c r="AS77" s="81"/>
      <c r="AT77" s="81"/>
    </row>
    <row r="78" spans="1:57" ht="16.350000000000001" customHeight="1" x14ac:dyDescent="0.2">
      <c r="A78" s="2458" t="s">
        <v>2867</v>
      </c>
      <c r="B78" s="5109" t="s">
        <v>94</v>
      </c>
      <c r="C78" s="2416" t="s">
        <v>89</v>
      </c>
      <c r="D78" s="2393" t="s">
        <v>2777</v>
      </c>
      <c r="E78" s="192" t="s">
        <v>2778</v>
      </c>
      <c r="F78" s="2271" t="s">
        <v>2779</v>
      </c>
      <c r="G78" s="2270" t="s">
        <v>2780</v>
      </c>
      <c r="H78" s="900"/>
      <c r="I78" s="81"/>
      <c r="J78" s="81"/>
      <c r="K78" s="81"/>
      <c r="L78" s="81"/>
      <c r="M78" s="81"/>
      <c r="N78" s="81"/>
      <c r="O78" s="81"/>
      <c r="P78" s="81"/>
      <c r="Q78" s="81"/>
      <c r="R78" s="81"/>
      <c r="S78" s="81"/>
      <c r="T78" s="190"/>
      <c r="U78" s="190"/>
      <c r="V78" s="81"/>
      <c r="W78" s="81"/>
      <c r="X78" s="81"/>
      <c r="Y78" s="81"/>
      <c r="Z78" s="81"/>
      <c r="AA78" s="81"/>
      <c r="AB78" s="81"/>
      <c r="AC78" s="81"/>
      <c r="AD78" s="81"/>
      <c r="AE78" s="81"/>
      <c r="AF78" s="81"/>
      <c r="AG78" s="81"/>
      <c r="AH78" s="81"/>
      <c r="AI78" s="81"/>
      <c r="AJ78" s="81"/>
      <c r="AK78" s="81"/>
      <c r="AL78" s="81"/>
      <c r="AM78" s="81"/>
      <c r="AN78" s="81"/>
      <c r="AO78" s="81"/>
      <c r="AP78" s="81"/>
      <c r="AQ78" s="81"/>
      <c r="AR78" s="81"/>
      <c r="AS78" s="81"/>
      <c r="AT78" s="81"/>
    </row>
    <row r="79" spans="1:57" ht="16.350000000000001" customHeight="1" x14ac:dyDescent="0.2">
      <c r="A79" s="2458" t="s">
        <v>2868</v>
      </c>
      <c r="B79" s="5103"/>
      <c r="C79" s="140" t="s">
        <v>90</v>
      </c>
      <c r="D79" s="164" t="s">
        <v>2777</v>
      </c>
      <c r="E79" s="192" t="s">
        <v>2778</v>
      </c>
      <c r="F79" s="180" t="s">
        <v>2779</v>
      </c>
      <c r="G79" s="163" t="s">
        <v>2780</v>
      </c>
      <c r="H79" s="900"/>
      <c r="I79" s="81"/>
      <c r="J79" s="81"/>
      <c r="K79" s="81"/>
      <c r="L79" s="81"/>
      <c r="M79" s="81"/>
      <c r="N79" s="81"/>
      <c r="O79" s="81"/>
      <c r="P79" s="81"/>
      <c r="Q79" s="81"/>
      <c r="R79" s="81"/>
      <c r="S79" s="81"/>
      <c r="T79" s="190"/>
      <c r="U79" s="190"/>
      <c r="V79" s="81"/>
      <c r="W79" s="81"/>
      <c r="X79" s="81"/>
      <c r="Y79" s="81"/>
      <c r="Z79" s="81"/>
      <c r="AA79" s="81"/>
      <c r="AB79" s="81"/>
      <c r="AC79" s="81"/>
      <c r="AD79" s="81"/>
      <c r="AE79" s="81"/>
      <c r="AF79" s="81"/>
      <c r="AG79" s="81"/>
      <c r="AH79" s="81"/>
      <c r="AI79" s="81"/>
      <c r="AJ79" s="81"/>
      <c r="AK79" s="81"/>
      <c r="AL79" s="81"/>
      <c r="AM79" s="81"/>
      <c r="AN79" s="81"/>
      <c r="AO79" s="81"/>
      <c r="AP79" s="81"/>
      <c r="AQ79" s="81"/>
      <c r="AR79" s="81"/>
      <c r="AS79" s="81"/>
      <c r="AT79" s="81"/>
    </row>
    <row r="80" spans="1:57" ht="16.350000000000001" customHeight="1" x14ac:dyDescent="0.2">
      <c r="A80" s="2458" t="s">
        <v>2869</v>
      </c>
      <c r="B80" s="5103"/>
      <c r="C80" s="140" t="s">
        <v>91</v>
      </c>
      <c r="D80" s="164" t="s">
        <v>2777</v>
      </c>
      <c r="E80" s="192" t="s">
        <v>2778</v>
      </c>
      <c r="F80" s="180" t="s">
        <v>2779</v>
      </c>
      <c r="G80" s="163" t="s">
        <v>2780</v>
      </c>
      <c r="H80" s="900"/>
      <c r="I80" s="81"/>
      <c r="J80" s="81"/>
      <c r="K80" s="81"/>
      <c r="L80" s="81"/>
      <c r="M80" s="81"/>
      <c r="N80" s="81"/>
      <c r="O80" s="81"/>
      <c r="P80" s="81"/>
      <c r="Q80" s="81"/>
      <c r="R80" s="81"/>
      <c r="S80" s="81"/>
      <c r="T80" s="190"/>
      <c r="U80" s="190"/>
      <c r="V80" s="81"/>
      <c r="W80" s="81"/>
      <c r="X80" s="81"/>
      <c r="Y80" s="81"/>
      <c r="Z80" s="81"/>
      <c r="AA80" s="81"/>
      <c r="AB80" s="81"/>
      <c r="AC80" s="81"/>
      <c r="AD80" s="81"/>
      <c r="AE80" s="81"/>
      <c r="AF80" s="81"/>
      <c r="AG80" s="81"/>
      <c r="AH80" s="81"/>
      <c r="AI80" s="81"/>
      <c r="AJ80" s="81"/>
      <c r="AK80" s="81"/>
      <c r="AL80" s="81"/>
      <c r="AM80" s="81"/>
      <c r="AN80" s="81"/>
      <c r="AO80" s="81"/>
      <c r="AP80" s="81"/>
      <c r="AQ80" s="81"/>
      <c r="AR80" s="81"/>
      <c r="AS80" s="81"/>
      <c r="AT80" s="81"/>
    </row>
    <row r="81" spans="1:46" ht="16.350000000000001" customHeight="1" x14ac:dyDescent="0.2">
      <c r="A81" s="2458" t="s">
        <v>2870</v>
      </c>
      <c r="B81" s="5103"/>
      <c r="C81" s="140" t="s">
        <v>92</v>
      </c>
      <c r="D81" s="164" t="s">
        <v>2777</v>
      </c>
      <c r="E81" s="192" t="s">
        <v>2778</v>
      </c>
      <c r="F81" s="180" t="s">
        <v>2779</v>
      </c>
      <c r="G81" s="163" t="s">
        <v>2780</v>
      </c>
      <c r="H81" s="900"/>
      <c r="I81" s="81"/>
      <c r="J81" s="81"/>
      <c r="K81" s="81"/>
      <c r="L81" s="81"/>
      <c r="M81" s="81"/>
      <c r="N81" s="81"/>
      <c r="O81" s="81"/>
      <c r="P81" s="81"/>
      <c r="Q81" s="81"/>
      <c r="R81" s="81"/>
      <c r="S81" s="81"/>
      <c r="T81" s="190"/>
      <c r="U81" s="190"/>
      <c r="V81" s="81"/>
      <c r="W81" s="81"/>
      <c r="X81" s="81"/>
      <c r="Y81" s="81"/>
      <c r="Z81" s="81"/>
      <c r="AA81" s="81"/>
      <c r="AB81" s="81"/>
      <c r="AC81" s="81"/>
      <c r="AD81" s="81"/>
      <c r="AE81" s="81"/>
      <c r="AF81" s="81"/>
      <c r="AG81" s="81"/>
      <c r="AH81" s="81"/>
      <c r="AI81" s="81"/>
      <c r="AJ81" s="81"/>
      <c r="AK81" s="81"/>
      <c r="AL81" s="81"/>
      <c r="AM81" s="81"/>
      <c r="AN81" s="81"/>
      <c r="AO81" s="81"/>
      <c r="AP81" s="81"/>
      <c r="AQ81" s="81"/>
      <c r="AR81" s="81"/>
      <c r="AS81" s="81"/>
      <c r="AT81" s="81"/>
    </row>
    <row r="82" spans="1:46" ht="16.350000000000001" customHeight="1" x14ac:dyDescent="0.2">
      <c r="A82" s="2458" t="s">
        <v>2871</v>
      </c>
      <c r="B82" s="5104"/>
      <c r="C82" s="100" t="s">
        <v>93</v>
      </c>
      <c r="D82" s="105" t="s">
        <v>2777</v>
      </c>
      <c r="E82" s="193" t="s">
        <v>2778</v>
      </c>
      <c r="F82" s="126" t="s">
        <v>2779</v>
      </c>
      <c r="G82" s="125" t="s">
        <v>2780</v>
      </c>
      <c r="H82" s="900"/>
      <c r="I82" s="81"/>
      <c r="J82" s="81"/>
      <c r="K82" s="81"/>
      <c r="L82" s="81"/>
      <c r="M82" s="81"/>
      <c r="N82" s="81"/>
      <c r="O82" s="81"/>
      <c r="P82" s="81"/>
      <c r="Q82" s="81"/>
      <c r="R82" s="81"/>
      <c r="S82" s="81"/>
      <c r="T82" s="190"/>
      <c r="U82" s="190"/>
      <c r="V82" s="81"/>
      <c r="W82" s="81"/>
      <c r="X82" s="81"/>
      <c r="Y82" s="81"/>
      <c r="Z82" s="81"/>
      <c r="AA82" s="81"/>
      <c r="AB82" s="81"/>
      <c r="AC82" s="81"/>
      <c r="AD82" s="81"/>
      <c r="AE82" s="81"/>
      <c r="AF82" s="81"/>
      <c r="AG82" s="81"/>
      <c r="AH82" s="81"/>
      <c r="AI82" s="81"/>
      <c r="AJ82" s="81"/>
      <c r="AK82" s="81"/>
      <c r="AL82" s="81"/>
      <c r="AM82" s="81"/>
      <c r="AN82" s="81"/>
      <c r="AO82" s="81"/>
      <c r="AP82" s="81"/>
      <c r="AQ82" s="81"/>
      <c r="AR82" s="81"/>
      <c r="AS82" s="81"/>
      <c r="AT82" s="81"/>
    </row>
    <row r="83" spans="1:46" ht="14.45" customHeight="1" x14ac:dyDescent="0.2">
      <c r="B83" s="194" t="s">
        <v>95</v>
      </c>
      <c r="C83" s="81"/>
      <c r="D83" s="81"/>
      <c r="E83" s="81"/>
      <c r="F83" s="81"/>
      <c r="G83" s="81"/>
      <c r="H83" s="81"/>
      <c r="I83" s="81"/>
      <c r="J83" s="81"/>
      <c r="K83" s="81"/>
      <c r="L83" s="81"/>
      <c r="M83" s="81"/>
      <c r="N83" s="81"/>
      <c r="O83" s="81"/>
      <c r="P83" s="81"/>
      <c r="Q83" s="81"/>
      <c r="R83" s="81"/>
      <c r="S83" s="81"/>
      <c r="T83" s="81"/>
      <c r="U83" s="81"/>
      <c r="V83" s="81"/>
      <c r="W83" s="81"/>
      <c r="X83" s="81"/>
      <c r="Y83" s="190"/>
      <c r="Z83" s="190"/>
      <c r="AA83" s="81"/>
      <c r="AB83" s="81"/>
      <c r="AC83" s="81"/>
      <c r="AD83" s="81"/>
      <c r="AE83" s="81"/>
      <c r="AF83" s="81"/>
      <c r="AG83" s="81"/>
      <c r="AH83" s="81"/>
      <c r="AI83" s="81"/>
      <c r="AJ83" s="81"/>
      <c r="AK83" s="81"/>
      <c r="AL83" s="81"/>
      <c r="AM83" s="81"/>
      <c r="AN83" s="81"/>
      <c r="AO83" s="81"/>
      <c r="AP83" s="81"/>
      <c r="AQ83" s="81"/>
      <c r="AR83" s="81"/>
      <c r="AS83" s="81"/>
      <c r="AT83" s="81"/>
    </row>
    <row r="84" spans="1:46" ht="17.25" customHeight="1" x14ac:dyDescent="0.2">
      <c r="B84" s="4794" t="s">
        <v>2606</v>
      </c>
      <c r="C84" s="81"/>
      <c r="D84" s="81"/>
      <c r="E84" s="2251"/>
      <c r="F84" s="81"/>
      <c r="G84" s="81"/>
      <c r="H84" s="81"/>
      <c r="I84" s="81"/>
      <c r="J84" s="81"/>
      <c r="K84" s="81"/>
      <c r="L84" s="81"/>
      <c r="M84" s="81"/>
      <c r="N84" s="81"/>
      <c r="O84" s="81"/>
      <c r="P84" s="81"/>
      <c r="Q84" s="81"/>
      <c r="R84" s="81"/>
      <c r="S84" s="81"/>
      <c r="T84" s="81"/>
      <c r="U84" s="81"/>
      <c r="V84" s="81"/>
      <c r="W84" s="81"/>
      <c r="X84" s="81"/>
      <c r="Y84" s="190"/>
      <c r="Z84" s="190"/>
      <c r="AA84" s="81"/>
      <c r="AB84" s="81"/>
      <c r="AC84" s="81"/>
      <c r="AD84" s="81"/>
      <c r="AE84" s="81"/>
      <c r="AF84" s="81"/>
      <c r="AG84" s="81"/>
      <c r="AH84" s="81"/>
      <c r="AI84" s="81"/>
      <c r="AJ84" s="81"/>
    </row>
    <row r="85" spans="1:46" x14ac:dyDescent="0.2">
      <c r="B85" s="5145" t="s">
        <v>2</v>
      </c>
      <c r="C85" s="5150" t="s">
        <v>42</v>
      </c>
      <c r="D85" s="5151"/>
      <c r="E85" s="5152"/>
      <c r="F85" s="5155" t="s">
        <v>62</v>
      </c>
      <c r="G85" s="5155"/>
      <c r="H85" s="5155"/>
      <c r="I85" s="5155"/>
      <c r="J85" s="5155"/>
      <c r="K85" s="5155"/>
      <c r="L85" s="5155"/>
      <c r="M85" s="5155"/>
      <c r="N85" s="5155"/>
      <c r="O85" s="5155"/>
      <c r="P85" s="5155"/>
      <c r="Q85" s="5155"/>
      <c r="R85" s="5155"/>
      <c r="S85" s="5155"/>
      <c r="T85" s="5155"/>
      <c r="U85" s="5155"/>
      <c r="V85" s="5155"/>
      <c r="W85" s="5155"/>
      <c r="X85" s="5155"/>
      <c r="Y85" s="5155"/>
      <c r="Z85" s="5155"/>
      <c r="AA85" s="5155"/>
      <c r="AB85" s="5155"/>
      <c r="AC85" s="5155"/>
      <c r="AD85" s="5155"/>
      <c r="AE85" s="5155"/>
      <c r="AF85" s="5155"/>
      <c r="AG85" s="5156"/>
      <c r="AH85" s="5142" t="s">
        <v>1357</v>
      </c>
      <c r="AI85" s="5142" t="s">
        <v>1358</v>
      </c>
      <c r="AJ85" s="5142" t="s">
        <v>1359</v>
      </c>
    </row>
    <row r="86" spans="1:46" x14ac:dyDescent="0.2">
      <c r="B86" s="5146"/>
      <c r="C86" s="5153"/>
      <c r="D86" s="5154"/>
      <c r="E86" s="5143"/>
      <c r="F86" s="5155" t="s">
        <v>9</v>
      </c>
      <c r="G86" s="5156"/>
      <c r="H86" s="5157" t="s">
        <v>10</v>
      </c>
      <c r="I86" s="5141"/>
      <c r="J86" s="5157" t="s">
        <v>11</v>
      </c>
      <c r="K86" s="5141"/>
      <c r="L86" s="5140" t="s">
        <v>12</v>
      </c>
      <c r="M86" s="5141"/>
      <c r="N86" s="5157" t="s">
        <v>13</v>
      </c>
      <c r="O86" s="5141"/>
      <c r="P86" s="5157" t="s">
        <v>14</v>
      </c>
      <c r="Q86" s="5141"/>
      <c r="R86" s="5157" t="s">
        <v>15</v>
      </c>
      <c r="S86" s="5141"/>
      <c r="T86" s="5157" t="s">
        <v>16</v>
      </c>
      <c r="U86" s="5141"/>
      <c r="V86" s="5157" t="s">
        <v>17</v>
      </c>
      <c r="W86" s="5141"/>
      <c r="X86" s="5157" t="s">
        <v>18</v>
      </c>
      <c r="Y86" s="5141"/>
      <c r="Z86" s="5140" t="s">
        <v>19</v>
      </c>
      <c r="AA86" s="5141"/>
      <c r="AB86" s="5140" t="s">
        <v>20</v>
      </c>
      <c r="AC86" s="5141"/>
      <c r="AD86" s="5140" t="s">
        <v>21</v>
      </c>
      <c r="AE86" s="5141"/>
      <c r="AF86" s="5140" t="s">
        <v>22</v>
      </c>
      <c r="AG86" s="5141"/>
      <c r="AH86" s="5143"/>
      <c r="AI86" s="5143"/>
      <c r="AJ86" s="5143"/>
    </row>
    <row r="87" spans="1:46" x14ac:dyDescent="0.2">
      <c r="B87" s="5147"/>
      <c r="C87" s="4795" t="s">
        <v>184</v>
      </c>
      <c r="D87" s="4796" t="s">
        <v>24</v>
      </c>
      <c r="E87" s="4797" t="s">
        <v>25</v>
      </c>
      <c r="F87" s="4796" t="s">
        <v>24</v>
      </c>
      <c r="G87" s="4797" t="s">
        <v>25</v>
      </c>
      <c r="H87" s="4796" t="s">
        <v>24</v>
      </c>
      <c r="I87" s="4797" t="s">
        <v>25</v>
      </c>
      <c r="J87" s="4796" t="s">
        <v>24</v>
      </c>
      <c r="K87" s="4797" t="s">
        <v>25</v>
      </c>
      <c r="L87" s="4798" t="s">
        <v>24</v>
      </c>
      <c r="M87" s="4797" t="s">
        <v>25</v>
      </c>
      <c r="N87" s="4796" t="s">
        <v>24</v>
      </c>
      <c r="O87" s="4797" t="s">
        <v>25</v>
      </c>
      <c r="P87" s="4796" t="s">
        <v>24</v>
      </c>
      <c r="Q87" s="4797" t="s">
        <v>25</v>
      </c>
      <c r="R87" s="4796" t="s">
        <v>24</v>
      </c>
      <c r="S87" s="4797" t="s">
        <v>25</v>
      </c>
      <c r="T87" s="4796" t="s">
        <v>24</v>
      </c>
      <c r="U87" s="4797" t="s">
        <v>25</v>
      </c>
      <c r="V87" s="4796" t="s">
        <v>24</v>
      </c>
      <c r="W87" s="4797" t="s">
        <v>25</v>
      </c>
      <c r="X87" s="4796" t="s">
        <v>24</v>
      </c>
      <c r="Y87" s="4797" t="s">
        <v>25</v>
      </c>
      <c r="Z87" s="4798" t="s">
        <v>24</v>
      </c>
      <c r="AA87" s="4797" t="s">
        <v>25</v>
      </c>
      <c r="AB87" s="4798" t="s">
        <v>24</v>
      </c>
      <c r="AC87" s="4797" t="s">
        <v>25</v>
      </c>
      <c r="AD87" s="4798" t="s">
        <v>24</v>
      </c>
      <c r="AE87" s="4797" t="s">
        <v>25</v>
      </c>
      <c r="AF87" s="4798" t="s">
        <v>24</v>
      </c>
      <c r="AG87" s="4797" t="s">
        <v>25</v>
      </c>
      <c r="AH87" s="5144"/>
      <c r="AI87" s="5144"/>
      <c r="AJ87" s="5144"/>
    </row>
    <row r="88" spans="1:46" x14ac:dyDescent="0.2">
      <c r="A88" s="4631" t="s">
        <v>3750</v>
      </c>
      <c r="B88" s="4799" t="s">
        <v>3734</v>
      </c>
      <c r="C88" s="4800" t="s">
        <v>2777</v>
      </c>
      <c r="D88" s="4801" t="s">
        <v>2778</v>
      </c>
      <c r="E88" s="4802" t="s">
        <v>2779</v>
      </c>
      <c r="F88" s="4803" t="s">
        <v>2780</v>
      </c>
      <c r="G88" s="4804" t="s">
        <v>2781</v>
      </c>
      <c r="H88" s="4803" t="s">
        <v>2782</v>
      </c>
      <c r="I88" s="4804" t="s">
        <v>2783</v>
      </c>
      <c r="J88" s="4805" t="s">
        <v>2784</v>
      </c>
      <c r="K88" s="4806" t="s">
        <v>2785</v>
      </c>
      <c r="L88" s="4807" t="s">
        <v>2786</v>
      </c>
      <c r="M88" s="4806" t="s">
        <v>2787</v>
      </c>
      <c r="N88" s="4805" t="s">
        <v>2788</v>
      </c>
      <c r="O88" s="4806" t="s">
        <v>2789</v>
      </c>
      <c r="P88" s="4805" t="s">
        <v>2790</v>
      </c>
      <c r="Q88" s="4806" t="s">
        <v>2791</v>
      </c>
      <c r="R88" s="4805" t="s">
        <v>2792</v>
      </c>
      <c r="S88" s="4806" t="s">
        <v>2793</v>
      </c>
      <c r="T88" s="4805" t="s">
        <v>2794</v>
      </c>
      <c r="U88" s="4806" t="s">
        <v>2795</v>
      </c>
      <c r="V88" s="4805" t="s">
        <v>2796</v>
      </c>
      <c r="W88" s="4806" t="s">
        <v>2797</v>
      </c>
      <c r="X88" s="4805" t="s">
        <v>2798</v>
      </c>
      <c r="Y88" s="4808" t="s">
        <v>2799</v>
      </c>
      <c r="Z88" s="4808" t="s">
        <v>2800</v>
      </c>
      <c r="AA88" s="4808" t="s">
        <v>2801</v>
      </c>
      <c r="AB88" s="4808" t="s">
        <v>2817</v>
      </c>
      <c r="AC88" s="4808" t="s">
        <v>2818</v>
      </c>
      <c r="AD88" s="4808" t="s">
        <v>2819</v>
      </c>
      <c r="AE88" s="4808" t="s">
        <v>2821</v>
      </c>
      <c r="AF88" s="4808" t="s">
        <v>2822</v>
      </c>
      <c r="AG88" s="4806" t="s">
        <v>2823</v>
      </c>
      <c r="AH88" s="4809" t="s">
        <v>2824</v>
      </c>
      <c r="AI88" s="4809" t="s">
        <v>2825</v>
      </c>
      <c r="AJ88" s="4809" t="s">
        <v>2826</v>
      </c>
    </row>
    <row r="89" spans="1:46" x14ac:dyDescent="0.2">
      <c r="A89" s="4631" t="s">
        <v>3751</v>
      </c>
      <c r="B89" s="140" t="s">
        <v>3735</v>
      </c>
      <c r="C89" s="4810" t="s">
        <v>2777</v>
      </c>
      <c r="D89" s="2501" t="s">
        <v>2778</v>
      </c>
      <c r="E89" s="4811" t="s">
        <v>2779</v>
      </c>
      <c r="F89" s="180" t="s">
        <v>2780</v>
      </c>
      <c r="G89" s="163" t="s">
        <v>2781</v>
      </c>
      <c r="H89" s="180" t="s">
        <v>2782</v>
      </c>
      <c r="I89" s="163" t="s">
        <v>2783</v>
      </c>
      <c r="J89" s="4812" t="s">
        <v>2784</v>
      </c>
      <c r="K89" s="4813" t="s">
        <v>2785</v>
      </c>
      <c r="L89" s="4814" t="s">
        <v>2786</v>
      </c>
      <c r="M89" s="4813" t="s">
        <v>2787</v>
      </c>
      <c r="N89" s="4812" t="s">
        <v>2788</v>
      </c>
      <c r="O89" s="4813" t="s">
        <v>2789</v>
      </c>
      <c r="P89" s="4812" t="s">
        <v>2790</v>
      </c>
      <c r="Q89" s="4813" t="s">
        <v>2791</v>
      </c>
      <c r="R89" s="4812" t="s">
        <v>2792</v>
      </c>
      <c r="S89" s="4813" t="s">
        <v>2793</v>
      </c>
      <c r="T89" s="4812" t="s">
        <v>2794</v>
      </c>
      <c r="U89" s="4813" t="s">
        <v>2795</v>
      </c>
      <c r="V89" s="4812" t="s">
        <v>2796</v>
      </c>
      <c r="W89" s="4813" t="s">
        <v>2797</v>
      </c>
      <c r="X89" s="4812" t="s">
        <v>2798</v>
      </c>
      <c r="Y89" s="1606" t="s">
        <v>2799</v>
      </c>
      <c r="Z89" s="1606" t="s">
        <v>2800</v>
      </c>
      <c r="AA89" s="1606" t="s">
        <v>2801</v>
      </c>
      <c r="AB89" s="1606" t="s">
        <v>2817</v>
      </c>
      <c r="AC89" s="1606" t="s">
        <v>2818</v>
      </c>
      <c r="AD89" s="1606" t="s">
        <v>2819</v>
      </c>
      <c r="AE89" s="1606" t="s">
        <v>2821</v>
      </c>
      <c r="AF89" s="1606" t="s">
        <v>2822</v>
      </c>
      <c r="AG89" s="4813" t="s">
        <v>2823</v>
      </c>
      <c r="AH89" s="198" t="s">
        <v>2824</v>
      </c>
      <c r="AI89" s="198" t="s">
        <v>2825</v>
      </c>
      <c r="AJ89" s="198" t="s">
        <v>2826</v>
      </c>
    </row>
    <row r="90" spans="1:46" x14ac:dyDescent="0.2">
      <c r="A90" s="4631" t="s">
        <v>3752</v>
      </c>
      <c r="B90" s="140" t="s">
        <v>3736</v>
      </c>
      <c r="C90" s="4810" t="s">
        <v>2777</v>
      </c>
      <c r="D90" s="2501" t="s">
        <v>2778</v>
      </c>
      <c r="E90" s="4811" t="s">
        <v>2779</v>
      </c>
      <c r="F90" s="180" t="s">
        <v>2780</v>
      </c>
      <c r="G90" s="163" t="s">
        <v>2781</v>
      </c>
      <c r="H90" s="180" t="s">
        <v>2782</v>
      </c>
      <c r="I90" s="163" t="s">
        <v>2783</v>
      </c>
      <c r="J90" s="4812" t="s">
        <v>2784</v>
      </c>
      <c r="K90" s="4813" t="s">
        <v>2785</v>
      </c>
      <c r="L90" s="4814" t="s">
        <v>2786</v>
      </c>
      <c r="M90" s="4813" t="s">
        <v>2787</v>
      </c>
      <c r="N90" s="4812" t="s">
        <v>2788</v>
      </c>
      <c r="O90" s="4813" t="s">
        <v>2789</v>
      </c>
      <c r="P90" s="4812" t="s">
        <v>2790</v>
      </c>
      <c r="Q90" s="4813" t="s">
        <v>2791</v>
      </c>
      <c r="R90" s="4812" t="s">
        <v>2792</v>
      </c>
      <c r="S90" s="4813" t="s">
        <v>2793</v>
      </c>
      <c r="T90" s="4812" t="s">
        <v>2794</v>
      </c>
      <c r="U90" s="4813" t="s">
        <v>2795</v>
      </c>
      <c r="V90" s="4812" t="s">
        <v>2796</v>
      </c>
      <c r="W90" s="4813" t="s">
        <v>2797</v>
      </c>
      <c r="X90" s="4812" t="s">
        <v>2798</v>
      </c>
      <c r="Y90" s="1606" t="s">
        <v>2799</v>
      </c>
      <c r="Z90" s="1606" t="s">
        <v>2800</v>
      </c>
      <c r="AA90" s="1606" t="s">
        <v>2801</v>
      </c>
      <c r="AB90" s="1606" t="s">
        <v>2817</v>
      </c>
      <c r="AC90" s="1606" t="s">
        <v>2818</v>
      </c>
      <c r="AD90" s="1606" t="s">
        <v>2819</v>
      </c>
      <c r="AE90" s="1606" t="s">
        <v>2821</v>
      </c>
      <c r="AF90" s="1606" t="s">
        <v>2822</v>
      </c>
      <c r="AG90" s="4813" t="s">
        <v>2823</v>
      </c>
      <c r="AH90" s="198" t="s">
        <v>2824</v>
      </c>
      <c r="AI90" s="198" t="s">
        <v>2825</v>
      </c>
      <c r="AJ90" s="198" t="s">
        <v>2826</v>
      </c>
    </row>
    <row r="91" spans="1:46" ht="15.75" customHeight="1" x14ac:dyDescent="0.2">
      <c r="A91" s="4631" t="s">
        <v>3753</v>
      </c>
      <c r="B91" s="4765" t="s">
        <v>3737</v>
      </c>
      <c r="C91" s="4815" t="s">
        <v>2777</v>
      </c>
      <c r="D91" s="4816" t="s">
        <v>2778</v>
      </c>
      <c r="E91" s="4817" t="s">
        <v>2779</v>
      </c>
      <c r="F91" s="4818" t="s">
        <v>2780</v>
      </c>
      <c r="G91" s="2863" t="s">
        <v>2781</v>
      </c>
      <c r="H91" s="4818" t="s">
        <v>2782</v>
      </c>
      <c r="I91" s="2863" t="s">
        <v>2783</v>
      </c>
      <c r="J91" s="4819" t="s">
        <v>2784</v>
      </c>
      <c r="K91" s="4820" t="s">
        <v>2785</v>
      </c>
      <c r="L91" s="4821" t="s">
        <v>2786</v>
      </c>
      <c r="M91" s="4820" t="s">
        <v>2787</v>
      </c>
      <c r="N91" s="4819" t="s">
        <v>2788</v>
      </c>
      <c r="O91" s="4820" t="s">
        <v>2789</v>
      </c>
      <c r="P91" s="4819" t="s">
        <v>2790</v>
      </c>
      <c r="Q91" s="4820" t="s">
        <v>2791</v>
      </c>
      <c r="R91" s="4819" t="s">
        <v>2792</v>
      </c>
      <c r="S91" s="4820" t="s">
        <v>2793</v>
      </c>
      <c r="T91" s="4819" t="s">
        <v>2794</v>
      </c>
      <c r="U91" s="4820" t="s">
        <v>2795</v>
      </c>
      <c r="V91" s="4819" t="s">
        <v>2796</v>
      </c>
      <c r="W91" s="4820" t="s">
        <v>2797</v>
      </c>
      <c r="X91" s="4819" t="s">
        <v>2798</v>
      </c>
      <c r="Y91" s="4822" t="s">
        <v>2799</v>
      </c>
      <c r="Z91" s="4822" t="s">
        <v>2800</v>
      </c>
      <c r="AA91" s="4822" t="s">
        <v>2801</v>
      </c>
      <c r="AB91" s="4822" t="s">
        <v>2817</v>
      </c>
      <c r="AC91" s="4822" t="s">
        <v>2818</v>
      </c>
      <c r="AD91" s="4822" t="s">
        <v>2819</v>
      </c>
      <c r="AE91" s="4822" t="s">
        <v>2821</v>
      </c>
      <c r="AF91" s="4822" t="s">
        <v>2822</v>
      </c>
      <c r="AG91" s="4820" t="s">
        <v>2823</v>
      </c>
      <c r="AH91" s="4823" t="s">
        <v>2824</v>
      </c>
      <c r="AI91" s="4823" t="s">
        <v>2825</v>
      </c>
      <c r="AJ91" s="4823" t="s">
        <v>2826</v>
      </c>
    </row>
    <row r="97" spans="1:1" x14ac:dyDescent="0.2">
      <c r="A97" s="80" t="s">
        <v>3742</v>
      </c>
    </row>
    <row r="98" spans="1:1" x14ac:dyDescent="0.2">
      <c r="A98" s="4631" t="s">
        <v>3750</v>
      </c>
    </row>
    <row r="99" spans="1:1" x14ac:dyDescent="0.2">
      <c r="A99" s="4631" t="s">
        <v>3751</v>
      </c>
    </row>
    <row r="100" spans="1:1" x14ac:dyDescent="0.2">
      <c r="A100" s="4631" t="s">
        <v>3752</v>
      </c>
    </row>
    <row r="101" spans="1:1" x14ac:dyDescent="0.2">
      <c r="A101" s="4631" t="s">
        <v>3753</v>
      </c>
    </row>
    <row r="185" spans="2:105" ht="17.25" customHeight="1" x14ac:dyDescent="0.2"/>
    <row r="186" spans="2:105" s="206" customFormat="1" ht="19.5" hidden="1" customHeight="1" x14ac:dyDescent="0.2">
      <c r="B186" s="206">
        <f>SUM(D12:D27,W12:W27,U26:V27,Y18:AB21,X14:X15,D31:D34,E31:F34,AJ31:AJ34,D39:F61,D65:D69,G65:G69,D73:D77,E78:E82)</f>
        <v>0</v>
      </c>
      <c r="C186" s="206">
        <f>SUM(CH1:CV82)</f>
        <v>4</v>
      </c>
      <c r="CB186" s="1016"/>
      <c r="CC186" s="1016"/>
      <c r="CD186" s="1016"/>
      <c r="CE186" s="1016"/>
      <c r="CF186" s="1016"/>
      <c r="CG186" s="1016"/>
      <c r="CH186" s="1016"/>
      <c r="CI186" s="1016"/>
      <c r="CJ186" s="1016"/>
      <c r="CK186" s="1016"/>
      <c r="CL186" s="1016"/>
      <c r="CM186" s="1016"/>
      <c r="CN186" s="1016"/>
      <c r="CO186" s="1016"/>
      <c r="CP186" s="1016"/>
      <c r="CQ186" s="1016"/>
      <c r="CR186" s="1016"/>
      <c r="CS186" s="1016"/>
      <c r="CT186" s="1016"/>
      <c r="CU186" s="1016"/>
      <c r="CV186" s="1016"/>
      <c r="CW186" s="1016"/>
      <c r="CX186" s="1016"/>
      <c r="CY186" s="1016"/>
      <c r="CZ186" s="1016"/>
      <c r="DA186" s="1016"/>
    </row>
    <row r="187" spans="2:105" ht="19.5" customHeight="1" x14ac:dyDescent="0.2"/>
  </sheetData>
  <mergeCells count="90">
    <mergeCell ref="AF86:AG86"/>
    <mergeCell ref="C85:E86"/>
    <mergeCell ref="F85:AG85"/>
    <mergeCell ref="AH85:AH87"/>
    <mergeCell ref="F86:G86"/>
    <mergeCell ref="H86:I86"/>
    <mergeCell ref="J86:K86"/>
    <mergeCell ref="L86:M86"/>
    <mergeCell ref="N86:O86"/>
    <mergeCell ref="P86:Q86"/>
    <mergeCell ref="R86:S86"/>
    <mergeCell ref="T86:U86"/>
    <mergeCell ref="V86:W86"/>
    <mergeCell ref="X86:Y86"/>
    <mergeCell ref="Z86:AA86"/>
    <mergeCell ref="AB86:AC86"/>
    <mergeCell ref="AD86:AE86"/>
    <mergeCell ref="AJ85:AJ87"/>
    <mergeCell ref="B85:B87"/>
    <mergeCell ref="AI85:AI87"/>
    <mergeCell ref="B6:AL6"/>
    <mergeCell ref="B20:B21"/>
    <mergeCell ref="B22:B23"/>
    <mergeCell ref="B26:B27"/>
    <mergeCell ref="B29:B30"/>
    <mergeCell ref="Z10:AB10"/>
    <mergeCell ref="B12:B13"/>
    <mergeCell ref="B14:B15"/>
    <mergeCell ref="B16:B17"/>
    <mergeCell ref="B18:B19"/>
    <mergeCell ref="X10:X11"/>
    <mergeCell ref="Y10:Y11"/>
    <mergeCell ref="U10:V10"/>
    <mergeCell ref="B10:B11"/>
    <mergeCell ref="C10:C11"/>
    <mergeCell ref="D10:D11"/>
    <mergeCell ref="B24:B25"/>
    <mergeCell ref="E10:T10"/>
    <mergeCell ref="D29:F29"/>
    <mergeCell ref="C29:C30"/>
    <mergeCell ref="AK29:AL29"/>
    <mergeCell ref="G29:AI29"/>
    <mergeCell ref="AJ29:AJ30"/>
    <mergeCell ref="W10:W11"/>
    <mergeCell ref="B78:B82"/>
    <mergeCell ref="B71:B72"/>
    <mergeCell ref="C71:C72"/>
    <mergeCell ref="D71:D72"/>
    <mergeCell ref="B67:C67"/>
    <mergeCell ref="B68:C68"/>
    <mergeCell ref="B73:B77"/>
    <mergeCell ref="B69:C69"/>
    <mergeCell ref="B49:B51"/>
    <mergeCell ref="B36:B38"/>
    <mergeCell ref="C36:C38"/>
    <mergeCell ref="B43:B44"/>
    <mergeCell ref="B39:B42"/>
    <mergeCell ref="B45:B46"/>
    <mergeCell ref="B47:B48"/>
    <mergeCell ref="B65:C65"/>
    <mergeCell ref="B63:C64"/>
    <mergeCell ref="B66:C66"/>
    <mergeCell ref="B52:B56"/>
    <mergeCell ref="B57:B61"/>
    <mergeCell ref="E71:E72"/>
    <mergeCell ref="F71:G71"/>
    <mergeCell ref="AO36:AO38"/>
    <mergeCell ref="AM29:AM30"/>
    <mergeCell ref="AM37:AN37"/>
    <mergeCell ref="AI37:AJ37"/>
    <mergeCell ref="AK37:AL37"/>
    <mergeCell ref="D63:F63"/>
    <mergeCell ref="G63:I63"/>
    <mergeCell ref="M37:N37"/>
    <mergeCell ref="I37:J37"/>
    <mergeCell ref="K37:L37"/>
    <mergeCell ref="D36:F37"/>
    <mergeCell ref="G36:AN36"/>
    <mergeCell ref="W37:X37"/>
    <mergeCell ref="Y37:Z37"/>
    <mergeCell ref="B31:B34"/>
    <mergeCell ref="O37:P37"/>
    <mergeCell ref="Q37:R37"/>
    <mergeCell ref="AE37:AF37"/>
    <mergeCell ref="AG37:AH37"/>
    <mergeCell ref="AA37:AB37"/>
    <mergeCell ref="AC37:AD37"/>
    <mergeCell ref="S37:T37"/>
    <mergeCell ref="U37:V37"/>
    <mergeCell ref="G37:H37"/>
  </mergeCells>
  <phoneticPr fontId="87" type="noConversion"/>
  <dataValidations count="1">
    <dataValidation type="whole" allowBlank="1" showErrorMessage="1" errorTitle="Error de Ingreso" error="Ingrese solo Numeros" sqref="A69" xr:uid="{00000000-0002-0000-0100-000000000000}">
      <formula1>0</formula1>
      <formula2>1000000000</formula2>
    </dataValidation>
  </dataValidation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5">
    <tabColor theme="0"/>
  </sheetPr>
  <dimension ref="A1:DA196"/>
  <sheetViews>
    <sheetView topLeftCell="A22" zoomScaleNormal="100" workbookViewId="0"/>
  </sheetViews>
  <sheetFormatPr baseColWidth="10" defaultColWidth="11.42578125" defaultRowHeight="14.25" x14ac:dyDescent="0.2"/>
  <cols>
    <col min="1" max="1" width="13.42578125" style="80" customWidth="1"/>
    <col min="2" max="2" width="40.7109375" style="80" customWidth="1"/>
    <col min="3" max="3" width="13.42578125" style="80" customWidth="1"/>
    <col min="4" max="78" width="11.42578125" style="80"/>
    <col min="79" max="79" width="12" style="80" customWidth="1"/>
    <col min="80" max="91" width="12" style="889" hidden="1" customWidth="1"/>
    <col min="92" max="98" width="11.42578125" style="889" hidden="1" customWidth="1"/>
    <col min="99" max="102" width="0" style="889" hidden="1" customWidth="1"/>
    <col min="103" max="104" width="11.42578125" style="889" hidden="1" customWidth="1"/>
    <col min="105" max="105" width="0" style="889" hidden="1" customWidth="1"/>
    <col min="106" max="16384" width="11.42578125" style="80"/>
  </cols>
  <sheetData>
    <row r="1" spans="1:92" ht="16.350000000000001" customHeight="1" x14ac:dyDescent="0.2">
      <c r="B1" s="78" t="s">
        <v>910</v>
      </c>
    </row>
    <row r="2" spans="1:92" ht="16.350000000000001" customHeight="1" x14ac:dyDescent="0.2">
      <c r="B2" s="78" t="str">
        <f>CONCATENATE("COMUNA: ",NOMBRE!B2," - ","( ",NOMBRE!C2,NOMBRE!D2,NOMBRE!E2,NOMBRE!F2,NOMBRE!G2," )")</f>
        <v>COMUNA:  - (  )</v>
      </c>
    </row>
    <row r="3" spans="1:92" ht="16.350000000000001" customHeight="1" x14ac:dyDescent="0.2">
      <c r="B3" s="78" t="str">
        <f>CONCATENATE("ESTABLECIMIENTO/ESTRATEGIA: ",NOMBRE!B3," - ","( ",NOMBRE!C3,NOMBRE!D3,NOMBRE!E3,NOMBRE!F3,NOMBRE!G3,NOMBRE!H3," )")</f>
        <v>ESTABLECIMIENTO/ESTRATEGIA:  - (  )</v>
      </c>
    </row>
    <row r="4" spans="1:92" ht="16.350000000000001" customHeight="1" x14ac:dyDescent="0.2">
      <c r="B4" s="78" t="str">
        <f>CONCATENATE("MES: ",NOMBRE!B6," - ","( ",NOMBRE!C6,NOMBRE!D6," )")</f>
        <v>MES:  - (  )</v>
      </c>
    </row>
    <row r="5" spans="1:92" ht="16.350000000000001" customHeight="1" x14ac:dyDescent="0.2">
      <c r="B5" s="78" t="str">
        <f>CONCATENATE("AÑO: ",NOMBRE!B7)</f>
        <v>AÑO: 2020</v>
      </c>
      <c r="C5" s="1176"/>
    </row>
    <row r="6" spans="1:92" ht="19.5" x14ac:dyDescent="0.25">
      <c r="B6" s="5148" t="s">
        <v>2242</v>
      </c>
      <c r="C6" s="5148"/>
      <c r="D6" s="5148"/>
      <c r="E6" s="5148"/>
      <c r="F6" s="5148"/>
      <c r="G6" s="5148"/>
      <c r="H6" s="5148"/>
      <c r="I6" s="5148"/>
      <c r="J6" s="5148"/>
      <c r="K6" s="5148"/>
      <c r="L6" s="5148"/>
      <c r="M6" s="5148"/>
      <c r="N6" s="5148"/>
      <c r="O6" s="5148"/>
      <c r="P6" s="5148"/>
      <c r="Q6" s="5148"/>
      <c r="R6" s="5148"/>
      <c r="S6" s="5148"/>
      <c r="T6" s="5148"/>
      <c r="U6" s="5148"/>
      <c r="V6" s="5148"/>
      <c r="W6" s="5148"/>
      <c r="X6" s="5148"/>
      <c r="Y6" s="5148"/>
      <c r="Z6" s="5148"/>
      <c r="AA6" s="5148"/>
      <c r="AB6" s="5148"/>
      <c r="AC6" s="5148"/>
      <c r="AD6" s="5148"/>
      <c r="AE6" s="5148"/>
      <c r="AF6" s="2016"/>
      <c r="AG6" s="190"/>
    </row>
    <row r="7" spans="1:92" ht="19.5" x14ac:dyDescent="0.25">
      <c r="B7" s="1892"/>
      <c r="C7" s="1892"/>
      <c r="D7" s="1892"/>
      <c r="E7" s="1892"/>
      <c r="F7" s="1892"/>
      <c r="G7" s="1892"/>
      <c r="H7" s="1892"/>
      <c r="I7" s="1892"/>
      <c r="J7" s="1892"/>
      <c r="K7" s="1892"/>
      <c r="L7" s="1892"/>
      <c r="M7" s="1892"/>
      <c r="N7" s="1892"/>
      <c r="O7" s="1892"/>
      <c r="P7" s="1892"/>
      <c r="Q7" s="1892"/>
      <c r="R7" s="1892"/>
      <c r="S7" s="1892"/>
      <c r="T7" s="1892"/>
      <c r="U7" s="1892"/>
      <c r="V7" s="1892"/>
      <c r="W7" s="1892"/>
      <c r="X7" s="1892"/>
      <c r="Y7" s="1892"/>
      <c r="Z7" s="1892"/>
      <c r="AA7" s="1892"/>
      <c r="AB7" s="1892"/>
      <c r="AC7" s="1892"/>
      <c r="AD7" s="1892"/>
      <c r="AE7" s="1892"/>
      <c r="AF7" s="2016"/>
      <c r="AG7" s="190"/>
      <c r="CH7" s="1020"/>
      <c r="CI7" s="1020"/>
      <c r="CJ7" s="1020"/>
      <c r="CK7" s="1020"/>
      <c r="CL7" s="1020"/>
      <c r="CM7" s="1020"/>
      <c r="CN7" s="1020"/>
    </row>
    <row r="8" spans="1:92" ht="31.35" customHeight="1" x14ac:dyDescent="0.2">
      <c r="B8" s="85" t="s">
        <v>2243</v>
      </c>
      <c r="C8" s="86"/>
      <c r="D8" s="86"/>
      <c r="E8" s="86"/>
      <c r="F8" s="86"/>
      <c r="G8" s="86"/>
      <c r="H8" s="86"/>
      <c r="I8" s="86"/>
      <c r="J8" s="86"/>
      <c r="K8" s="86"/>
      <c r="L8" s="86"/>
      <c r="M8" s="86"/>
      <c r="N8" s="86"/>
      <c r="O8" s="86"/>
      <c r="P8" s="86"/>
      <c r="Q8" s="86"/>
      <c r="R8" s="84"/>
      <c r="S8" s="84"/>
      <c r="T8" s="84"/>
      <c r="U8" s="84"/>
      <c r="V8" s="84"/>
      <c r="W8" s="84"/>
      <c r="X8" s="84"/>
      <c r="Y8" s="84"/>
      <c r="Z8" s="84"/>
      <c r="AA8" s="84"/>
      <c r="AB8" s="84"/>
      <c r="AC8" s="84"/>
      <c r="AD8" s="84"/>
      <c r="AE8" s="84"/>
      <c r="AF8" s="84"/>
      <c r="AG8" s="190"/>
      <c r="CH8" s="1020"/>
      <c r="CI8" s="1020"/>
      <c r="CJ8" s="1020"/>
      <c r="CK8" s="1020"/>
      <c r="CL8" s="1020"/>
      <c r="CM8" s="1020"/>
      <c r="CN8" s="1020"/>
    </row>
    <row r="9" spans="1:92" ht="16.350000000000001" customHeight="1" x14ac:dyDescent="0.2">
      <c r="A9" s="5168" t="s">
        <v>2775</v>
      </c>
      <c r="B9" s="5158" t="s">
        <v>3</v>
      </c>
      <c r="C9" s="5160" t="s">
        <v>42</v>
      </c>
      <c r="D9" s="5161"/>
      <c r="E9" s="5162"/>
      <c r="F9" s="195"/>
      <c r="G9" s="190"/>
      <c r="H9" s="190"/>
      <c r="I9" s="190"/>
      <c r="J9" s="190"/>
      <c r="K9" s="190"/>
      <c r="L9" s="190"/>
      <c r="M9" s="190"/>
      <c r="N9" s="190"/>
      <c r="O9" s="190"/>
      <c r="P9" s="190"/>
      <c r="Q9" s="190"/>
      <c r="R9" s="190"/>
      <c r="S9" s="190"/>
      <c r="T9" s="190"/>
      <c r="U9" s="190"/>
      <c r="V9" s="190"/>
      <c r="W9" s="190"/>
      <c r="X9" s="190"/>
      <c r="Y9" s="190"/>
      <c r="Z9" s="190"/>
      <c r="AA9" s="190"/>
      <c r="AB9" s="190"/>
      <c r="AC9" s="190"/>
      <c r="AD9" s="190"/>
      <c r="AE9" s="190"/>
      <c r="CH9" s="1020"/>
      <c r="CI9" s="1020"/>
      <c r="CJ9" s="1020"/>
      <c r="CK9" s="1020"/>
      <c r="CL9" s="1020"/>
      <c r="CM9" s="1020"/>
      <c r="CN9" s="1020"/>
    </row>
    <row r="10" spans="1:92" ht="16.350000000000001" customHeight="1" x14ac:dyDescent="0.2">
      <c r="A10" s="5168"/>
      <c r="B10" s="5159"/>
      <c r="C10" s="1925" t="s">
        <v>184</v>
      </c>
      <c r="D10" s="1598" t="s">
        <v>24</v>
      </c>
      <c r="E10" s="1913" t="s">
        <v>25</v>
      </c>
      <c r="F10" s="195"/>
      <c r="G10" s="190"/>
      <c r="H10" s="190"/>
      <c r="I10" s="190"/>
      <c r="J10" s="190"/>
      <c r="K10" s="190"/>
      <c r="L10" s="190"/>
      <c r="M10" s="190"/>
      <c r="N10" s="190"/>
      <c r="O10" s="190"/>
      <c r="P10" s="190"/>
      <c r="Q10" s="190"/>
      <c r="R10" s="190"/>
      <c r="S10" s="190"/>
      <c r="T10" s="190"/>
      <c r="U10" s="190"/>
      <c r="V10" s="190"/>
      <c r="W10" s="190"/>
      <c r="X10" s="190"/>
      <c r="Y10" s="190"/>
      <c r="Z10" s="190"/>
      <c r="AA10" s="190"/>
      <c r="AB10" s="190"/>
      <c r="AC10" s="190"/>
      <c r="AD10" s="190"/>
      <c r="AE10" s="190"/>
      <c r="CH10" s="1020"/>
      <c r="CI10" s="1020"/>
      <c r="CJ10" s="1020"/>
      <c r="CK10" s="1020"/>
      <c r="CL10" s="1020"/>
      <c r="CM10" s="1020"/>
      <c r="CN10" s="1020"/>
    </row>
    <row r="11" spans="1:92" ht="16.350000000000001" customHeight="1" x14ac:dyDescent="0.2">
      <c r="A11" s="2527"/>
      <c r="B11" s="1930" t="s">
        <v>149</v>
      </c>
      <c r="C11" s="1808">
        <f>SUM(C12:C17)</f>
        <v>0</v>
      </c>
      <c r="D11" s="1810">
        <f>SUM(D12:D17)</f>
        <v>0</v>
      </c>
      <c r="E11" s="1807">
        <f>SUM(E12:E17)</f>
        <v>0</v>
      </c>
      <c r="F11" s="190"/>
      <c r="G11" s="190"/>
      <c r="H11" s="190"/>
      <c r="I11" s="190"/>
      <c r="J11" s="190"/>
      <c r="K11" s="190"/>
      <c r="L11" s="190"/>
      <c r="M11" s="190"/>
      <c r="N11" s="190"/>
      <c r="O11" s="190"/>
      <c r="P11" s="190"/>
      <c r="Q11" s="190"/>
      <c r="R11" s="190"/>
      <c r="S11" s="190"/>
      <c r="T11" s="190"/>
      <c r="U11" s="190"/>
      <c r="V11" s="190"/>
      <c r="W11" s="190"/>
      <c r="X11" s="190"/>
      <c r="Y11" s="81"/>
      <c r="Z11" s="81"/>
      <c r="AA11" s="81"/>
      <c r="AB11" s="81"/>
      <c r="AC11" s="81"/>
      <c r="AD11" s="81"/>
      <c r="AE11" s="190"/>
      <c r="CH11" s="1020"/>
      <c r="CI11" s="1020"/>
      <c r="CJ11" s="1020"/>
      <c r="CK11" s="1020"/>
      <c r="CL11" s="1020"/>
      <c r="CM11" s="1020"/>
      <c r="CN11" s="1020"/>
    </row>
    <row r="12" spans="1:92" ht="16.350000000000001" customHeight="1" x14ac:dyDescent="0.2">
      <c r="A12" s="2529" t="s">
        <v>2872</v>
      </c>
      <c r="B12" s="2401" t="s">
        <v>29</v>
      </c>
      <c r="C12" s="140" t="s">
        <v>2777</v>
      </c>
      <c r="D12" s="2530" t="s">
        <v>2778</v>
      </c>
      <c r="E12" s="2531" t="s">
        <v>2779</v>
      </c>
      <c r="F12" s="190"/>
      <c r="G12" s="190"/>
      <c r="H12" s="139"/>
      <c r="I12" s="190"/>
      <c r="J12" s="190"/>
      <c r="K12" s="190"/>
      <c r="L12" s="190"/>
      <c r="M12" s="190"/>
      <c r="N12" s="190"/>
      <c r="O12" s="190"/>
      <c r="P12" s="190"/>
      <c r="Q12" s="190"/>
      <c r="R12" s="190"/>
      <c r="S12" s="190"/>
      <c r="T12" s="190"/>
      <c r="U12" s="190"/>
      <c r="V12" s="190"/>
      <c r="W12" s="190"/>
      <c r="X12" s="190"/>
      <c r="Y12" s="190"/>
      <c r="Z12" s="190"/>
      <c r="AA12" s="190"/>
      <c r="AB12" s="190"/>
      <c r="AC12" s="190"/>
      <c r="AD12" s="190"/>
      <c r="AE12" s="190"/>
      <c r="CH12" s="1020"/>
      <c r="CI12" s="1020"/>
      <c r="CJ12" s="1020"/>
      <c r="CK12" s="1020"/>
      <c r="CL12" s="1020"/>
      <c r="CM12" s="1020"/>
      <c r="CN12" s="1020"/>
    </row>
    <row r="13" spans="1:92" ht="16.350000000000001" customHeight="1" x14ac:dyDescent="0.2">
      <c r="A13" s="2529" t="s">
        <v>2873</v>
      </c>
      <c r="B13" s="2431" t="s">
        <v>41</v>
      </c>
      <c r="C13" s="140" t="s">
        <v>2777</v>
      </c>
      <c r="D13" s="2532" t="s">
        <v>2778</v>
      </c>
      <c r="E13" s="2533" t="s">
        <v>2779</v>
      </c>
      <c r="F13" s="190"/>
      <c r="G13" s="190"/>
      <c r="H13" s="139"/>
      <c r="I13" s="190"/>
      <c r="J13" s="190"/>
      <c r="K13" s="190"/>
      <c r="L13" s="190"/>
      <c r="M13" s="190"/>
      <c r="N13" s="190"/>
      <c r="O13" s="190"/>
      <c r="P13" s="190"/>
      <c r="Q13" s="190"/>
      <c r="R13" s="190"/>
      <c r="S13" s="190"/>
      <c r="T13" s="190"/>
      <c r="U13" s="190"/>
      <c r="V13" s="190"/>
      <c r="W13" s="190"/>
      <c r="X13" s="190"/>
      <c r="Y13" s="190"/>
      <c r="Z13" s="190"/>
      <c r="AA13" s="190"/>
      <c r="AB13" s="190"/>
      <c r="AC13" s="190"/>
      <c r="AD13" s="190"/>
      <c r="AE13" s="190"/>
      <c r="AH13" s="94"/>
      <c r="AI13" s="94"/>
      <c r="AJ13" s="94"/>
      <c r="AK13" s="94"/>
      <c r="AL13" s="94"/>
      <c r="AM13" s="94"/>
      <c r="AN13" s="94"/>
      <c r="AO13" s="94"/>
      <c r="AP13" s="94"/>
      <c r="AQ13" s="94"/>
      <c r="AR13" s="94"/>
      <c r="AS13" s="94"/>
      <c r="AT13" s="94"/>
      <c r="AU13" s="94"/>
      <c r="AV13" s="94"/>
      <c r="AW13" s="94"/>
      <c r="AX13" s="94"/>
      <c r="AY13" s="94"/>
      <c r="AZ13" s="94"/>
      <c r="BA13" s="94"/>
      <c r="BB13" s="94"/>
      <c r="CH13" s="1020"/>
      <c r="CI13" s="1020"/>
      <c r="CJ13" s="1020"/>
      <c r="CK13" s="1020"/>
      <c r="CL13" s="1020"/>
      <c r="CM13" s="1020"/>
      <c r="CN13" s="1020"/>
    </row>
    <row r="14" spans="1:92" ht="16.350000000000001" customHeight="1" x14ac:dyDescent="0.2">
      <c r="A14" s="2529" t="s">
        <v>2874</v>
      </c>
      <c r="B14" s="2431" t="s">
        <v>30</v>
      </c>
      <c r="C14" s="140" t="s">
        <v>2777</v>
      </c>
      <c r="D14" s="2530" t="s">
        <v>2778</v>
      </c>
      <c r="E14" s="2531" t="s">
        <v>2779</v>
      </c>
      <c r="F14" s="190"/>
      <c r="G14" s="190"/>
      <c r="H14" s="139"/>
      <c r="I14" s="190"/>
      <c r="J14" s="190"/>
      <c r="K14" s="190"/>
      <c r="L14" s="190"/>
      <c r="M14" s="190"/>
      <c r="N14" s="190"/>
      <c r="O14" s="190"/>
      <c r="P14" s="190"/>
      <c r="Q14" s="190"/>
      <c r="R14" s="190"/>
      <c r="S14" s="190"/>
      <c r="T14" s="190"/>
      <c r="U14" s="190"/>
      <c r="V14" s="190"/>
      <c r="W14" s="190"/>
      <c r="X14" s="190"/>
      <c r="Y14" s="190"/>
      <c r="Z14" s="190"/>
      <c r="AA14" s="190"/>
      <c r="AB14" s="190"/>
      <c r="AC14" s="190"/>
      <c r="AD14" s="190"/>
      <c r="AE14" s="190"/>
      <c r="AH14" s="94"/>
      <c r="AI14" s="94"/>
      <c r="AJ14" s="94"/>
      <c r="AK14" s="94"/>
      <c r="AL14" s="94"/>
      <c r="AM14" s="94"/>
      <c r="AN14" s="94"/>
      <c r="AO14" s="94"/>
      <c r="AP14" s="94"/>
      <c r="AQ14" s="94"/>
      <c r="AR14" s="94"/>
      <c r="AS14" s="94"/>
      <c r="AT14" s="94"/>
      <c r="AU14" s="94"/>
      <c r="AV14" s="94"/>
      <c r="AW14" s="94"/>
      <c r="AX14" s="94"/>
      <c r="AY14" s="94"/>
      <c r="AZ14" s="94"/>
      <c r="BA14" s="94"/>
      <c r="BB14" s="94"/>
      <c r="CH14" s="1020"/>
      <c r="CI14" s="1020"/>
      <c r="CJ14" s="1020"/>
      <c r="CK14" s="1020"/>
      <c r="CL14" s="1020"/>
      <c r="CM14" s="1020"/>
      <c r="CN14" s="1020"/>
    </row>
    <row r="15" spans="1:92" ht="16.350000000000001" customHeight="1" x14ac:dyDescent="0.2">
      <c r="A15" s="2529" t="s">
        <v>2875</v>
      </c>
      <c r="B15" s="2431" t="s">
        <v>2244</v>
      </c>
      <c r="C15" s="140" t="s">
        <v>2777</v>
      </c>
      <c r="D15" s="2532" t="s">
        <v>2778</v>
      </c>
      <c r="E15" s="2533" t="s">
        <v>2779</v>
      </c>
      <c r="F15" s="190"/>
      <c r="G15" s="190"/>
      <c r="H15" s="139"/>
      <c r="I15" s="190"/>
      <c r="J15" s="190"/>
      <c r="K15" s="190"/>
      <c r="L15" s="190"/>
      <c r="M15" s="190"/>
      <c r="N15" s="190"/>
      <c r="O15" s="190"/>
      <c r="P15" s="190"/>
      <c r="Q15" s="190"/>
      <c r="R15" s="190"/>
      <c r="S15" s="190"/>
      <c r="T15" s="190"/>
      <c r="U15" s="190"/>
      <c r="V15" s="190"/>
      <c r="W15" s="190"/>
      <c r="X15" s="190"/>
      <c r="Y15" s="190"/>
      <c r="Z15" s="190"/>
      <c r="AA15" s="190"/>
      <c r="AB15" s="190"/>
      <c r="AC15" s="190"/>
      <c r="AD15" s="190"/>
      <c r="AE15" s="190"/>
      <c r="AH15" s="94"/>
      <c r="AI15" s="94"/>
      <c r="AJ15" s="94"/>
      <c r="AK15" s="94"/>
      <c r="AL15" s="94"/>
      <c r="AM15" s="94"/>
      <c r="AN15" s="94"/>
      <c r="AO15" s="94"/>
      <c r="AP15" s="94"/>
      <c r="AQ15" s="94"/>
      <c r="AR15" s="94"/>
      <c r="AS15" s="94"/>
      <c r="AT15" s="94"/>
      <c r="AU15" s="94"/>
      <c r="AV15" s="94"/>
      <c r="AW15" s="94"/>
      <c r="AX15" s="94"/>
      <c r="AY15" s="94"/>
      <c r="AZ15" s="94"/>
      <c r="BA15" s="94"/>
      <c r="BB15" s="94"/>
      <c r="CH15" s="1020"/>
      <c r="CI15" s="1020"/>
      <c r="CJ15" s="1020"/>
      <c r="CK15" s="1020"/>
      <c r="CL15" s="1020"/>
      <c r="CM15" s="1020"/>
      <c r="CN15" s="1020"/>
    </row>
    <row r="16" spans="1:92" ht="16.350000000000001" customHeight="1" x14ac:dyDescent="0.2">
      <c r="A16" s="2529" t="s">
        <v>2876</v>
      </c>
      <c r="B16" s="2528" t="s">
        <v>2046</v>
      </c>
      <c r="C16" s="140" t="s">
        <v>2777</v>
      </c>
      <c r="D16" s="2530" t="s">
        <v>2778</v>
      </c>
      <c r="E16" s="2531" t="s">
        <v>2779</v>
      </c>
      <c r="F16" s="190"/>
      <c r="G16" s="190"/>
      <c r="H16" s="139"/>
      <c r="I16" s="190"/>
      <c r="J16" s="190"/>
      <c r="K16" s="190"/>
      <c r="L16" s="190"/>
      <c r="M16" s="190"/>
      <c r="N16" s="190"/>
      <c r="O16" s="190"/>
      <c r="P16" s="190"/>
      <c r="Q16" s="190"/>
      <c r="R16" s="190"/>
      <c r="S16" s="190"/>
      <c r="T16" s="190"/>
      <c r="U16" s="190"/>
      <c r="V16" s="190"/>
      <c r="W16" s="190"/>
      <c r="X16" s="190"/>
      <c r="Y16" s="190"/>
      <c r="Z16" s="190"/>
      <c r="AA16" s="190"/>
      <c r="AB16" s="190"/>
      <c r="AC16" s="190"/>
      <c r="AD16" s="190"/>
      <c r="AE16" s="190"/>
      <c r="AH16" s="94"/>
      <c r="AI16" s="94"/>
      <c r="AJ16" s="94"/>
      <c r="AK16" s="94"/>
      <c r="AL16" s="94"/>
      <c r="AM16" s="94"/>
      <c r="AN16" s="94"/>
      <c r="AO16" s="94"/>
      <c r="AP16" s="94"/>
      <c r="AQ16" s="94"/>
      <c r="AR16" s="94"/>
      <c r="AS16" s="94"/>
      <c r="AT16" s="94"/>
      <c r="AU16" s="94"/>
      <c r="AV16" s="94"/>
      <c r="AW16" s="94"/>
      <c r="AX16" s="94"/>
      <c r="AY16" s="94"/>
      <c r="AZ16" s="94"/>
      <c r="BA16" s="94"/>
      <c r="BB16" s="94"/>
      <c r="CH16" s="1020"/>
      <c r="CI16" s="1020"/>
      <c r="CJ16" s="1020"/>
      <c r="CK16" s="1020"/>
      <c r="CL16" s="1020"/>
      <c r="CM16" s="1020"/>
      <c r="CN16" s="1020"/>
    </row>
    <row r="17" spans="1:92" ht="16.350000000000001" customHeight="1" x14ac:dyDescent="0.2">
      <c r="A17" s="2529" t="s">
        <v>2877</v>
      </c>
      <c r="B17" s="2534" t="s">
        <v>69</v>
      </c>
      <c r="C17" s="100" t="s">
        <v>2777</v>
      </c>
      <c r="D17" s="2535" t="s">
        <v>2778</v>
      </c>
      <c r="E17" s="2536" t="s">
        <v>2779</v>
      </c>
      <c r="F17" s="190"/>
      <c r="G17" s="190"/>
      <c r="H17" s="139"/>
      <c r="I17" s="190"/>
      <c r="J17" s="190"/>
      <c r="K17" s="190"/>
      <c r="L17" s="190"/>
      <c r="M17" s="190"/>
      <c r="N17" s="190"/>
      <c r="O17" s="190"/>
      <c r="P17" s="190"/>
      <c r="Q17" s="190"/>
      <c r="R17" s="190"/>
      <c r="S17" s="190"/>
      <c r="T17" s="190"/>
      <c r="U17" s="190"/>
      <c r="V17" s="190"/>
      <c r="W17" s="190"/>
      <c r="X17" s="190"/>
      <c r="Y17" s="190"/>
      <c r="Z17" s="190"/>
      <c r="AA17" s="190"/>
      <c r="AB17" s="190"/>
      <c r="AC17" s="190"/>
      <c r="AD17" s="190"/>
      <c r="AE17" s="190"/>
      <c r="AH17" s="94"/>
      <c r="AI17" s="94"/>
      <c r="AJ17" s="94"/>
      <c r="AK17" s="94"/>
      <c r="AL17" s="94"/>
      <c r="AM17" s="94"/>
      <c r="AN17" s="94"/>
      <c r="AO17" s="94"/>
      <c r="AP17" s="94"/>
      <c r="AQ17" s="94"/>
      <c r="AR17" s="94"/>
      <c r="AS17" s="94"/>
      <c r="AT17" s="94"/>
      <c r="AU17" s="94"/>
      <c r="AV17" s="94"/>
      <c r="AW17" s="94"/>
      <c r="AX17" s="94"/>
      <c r="AY17" s="94"/>
      <c r="AZ17" s="94"/>
      <c r="BA17" s="94"/>
      <c r="BB17" s="94"/>
      <c r="CH17" s="1020"/>
      <c r="CI17" s="1020"/>
      <c r="CJ17" s="1020"/>
      <c r="CK17" s="1020"/>
      <c r="CL17" s="1020"/>
      <c r="CM17" s="1020"/>
      <c r="CN17" s="1020"/>
    </row>
    <row r="18" spans="1:92" ht="31.35" customHeight="1" x14ac:dyDescent="0.2">
      <c r="B18" s="85" t="s">
        <v>2245</v>
      </c>
      <c r="C18" s="86"/>
      <c r="D18" s="86"/>
      <c r="E18" s="86"/>
      <c r="F18" s="86"/>
      <c r="G18" s="86"/>
      <c r="H18" s="86"/>
      <c r="I18" s="86"/>
      <c r="J18" s="86"/>
      <c r="K18" s="86"/>
      <c r="L18" s="86"/>
      <c r="M18" s="86"/>
      <c r="N18" s="86"/>
      <c r="O18" s="86"/>
      <c r="P18" s="86"/>
      <c r="Q18" s="86"/>
      <c r="R18" s="84"/>
      <c r="S18" s="84"/>
      <c r="T18" s="84"/>
      <c r="U18" s="84"/>
      <c r="V18" s="84"/>
      <c r="W18" s="84"/>
      <c r="X18" s="84"/>
      <c r="Y18" s="84"/>
      <c r="Z18" s="84"/>
      <c r="AA18" s="84"/>
      <c r="AB18" s="84"/>
      <c r="AC18" s="84"/>
      <c r="AD18" s="84"/>
      <c r="AE18" s="84"/>
      <c r="AF18" s="84"/>
      <c r="AG18" s="190"/>
      <c r="AH18" s="94"/>
      <c r="AI18" s="94"/>
      <c r="AJ18" s="94"/>
      <c r="AK18" s="94"/>
      <c r="AL18" s="94"/>
      <c r="AM18" s="94"/>
      <c r="AN18" s="94"/>
      <c r="AO18" s="94"/>
      <c r="AP18" s="94"/>
      <c r="AQ18" s="94"/>
      <c r="AR18" s="94"/>
      <c r="AS18" s="94"/>
      <c r="AT18" s="94"/>
      <c r="AU18" s="94"/>
      <c r="AV18" s="94"/>
      <c r="AW18" s="94"/>
      <c r="AX18" s="94"/>
      <c r="AY18" s="94"/>
      <c r="AZ18" s="94"/>
      <c r="BA18" s="94"/>
      <c r="BB18" s="94"/>
      <c r="CH18" s="1020"/>
      <c r="CI18" s="1020"/>
      <c r="CJ18" s="1020"/>
      <c r="CK18" s="1020"/>
      <c r="CL18" s="1020"/>
      <c r="CM18" s="1020"/>
      <c r="CN18" s="1020"/>
    </row>
    <row r="19" spans="1:92" ht="16.350000000000001" customHeight="1" x14ac:dyDescent="0.2">
      <c r="B19" s="5163" t="s">
        <v>150</v>
      </c>
      <c r="C19" s="5160" t="s">
        <v>42</v>
      </c>
      <c r="D19" s="5161"/>
      <c r="E19" s="5162"/>
      <c r="F19" s="5165" t="s">
        <v>9</v>
      </c>
      <c r="G19" s="5166"/>
      <c r="H19" s="5165" t="s">
        <v>1762</v>
      </c>
      <c r="I19" s="5167"/>
      <c r="J19" s="5165" t="s">
        <v>151</v>
      </c>
      <c r="K19" s="5167"/>
      <c r="L19" s="5165" t="s">
        <v>152</v>
      </c>
      <c r="M19" s="5167"/>
      <c r="N19" s="5165" t="s">
        <v>153</v>
      </c>
      <c r="O19" s="5167"/>
      <c r="P19" s="5165" t="s">
        <v>154</v>
      </c>
      <c r="Q19" s="5167"/>
      <c r="R19" s="5165" t="s">
        <v>155</v>
      </c>
      <c r="S19" s="5167"/>
      <c r="T19" s="5165" t="s">
        <v>156</v>
      </c>
      <c r="U19" s="5167"/>
      <c r="V19" s="5165" t="s">
        <v>157</v>
      </c>
      <c r="W19" s="5167"/>
      <c r="X19" s="5165" t="s">
        <v>158</v>
      </c>
      <c r="Y19" s="5167"/>
      <c r="Z19" s="5165" t="s">
        <v>159</v>
      </c>
      <c r="AA19" s="5167"/>
      <c r="AB19" s="5165" t="s">
        <v>160</v>
      </c>
      <c r="AC19" s="5167"/>
      <c r="AD19" s="5165" t="s">
        <v>161</v>
      </c>
      <c r="AE19" s="5167"/>
      <c r="AF19" s="5165" t="s">
        <v>162</v>
      </c>
      <c r="AG19" s="5167"/>
      <c r="AH19" s="1061"/>
      <c r="AI19" s="94"/>
      <c r="AJ19" s="94"/>
      <c r="AK19" s="94"/>
      <c r="AL19" s="94"/>
      <c r="AM19" s="94"/>
      <c r="AN19" s="94"/>
      <c r="AO19" s="94"/>
      <c r="AP19" s="94"/>
      <c r="AQ19" s="94"/>
      <c r="AR19" s="94"/>
      <c r="AS19" s="94"/>
      <c r="AT19" s="94"/>
      <c r="AU19" s="94"/>
      <c r="AV19" s="94"/>
      <c r="AW19" s="94"/>
      <c r="AX19" s="94"/>
      <c r="AY19" s="94"/>
      <c r="AZ19" s="94"/>
      <c r="BA19" s="94"/>
      <c r="BB19" s="94"/>
      <c r="CH19" s="1020"/>
      <c r="CI19" s="1020"/>
      <c r="CJ19" s="1020"/>
      <c r="CK19" s="1020"/>
      <c r="CL19" s="1020"/>
      <c r="CM19" s="1020"/>
      <c r="CN19" s="1020"/>
    </row>
    <row r="20" spans="1:92" ht="16.350000000000001" customHeight="1" x14ac:dyDescent="0.2">
      <c r="B20" s="5164"/>
      <c r="C20" s="1925" t="s">
        <v>184</v>
      </c>
      <c r="D20" s="1598" t="s">
        <v>24</v>
      </c>
      <c r="E20" s="1913" t="s">
        <v>25</v>
      </c>
      <c r="F20" s="1598" t="s">
        <v>24</v>
      </c>
      <c r="G20" s="2017" t="s">
        <v>25</v>
      </c>
      <c r="H20" s="1598" t="s">
        <v>24</v>
      </c>
      <c r="I20" s="2017" t="s">
        <v>25</v>
      </c>
      <c r="J20" s="1598" t="s">
        <v>24</v>
      </c>
      <c r="K20" s="2017" t="s">
        <v>25</v>
      </c>
      <c r="L20" s="1598" t="s">
        <v>24</v>
      </c>
      <c r="M20" s="2017" t="s">
        <v>25</v>
      </c>
      <c r="N20" s="1598" t="s">
        <v>24</v>
      </c>
      <c r="O20" s="2017" t="s">
        <v>25</v>
      </c>
      <c r="P20" s="1598" t="s">
        <v>24</v>
      </c>
      <c r="Q20" s="2017" t="s">
        <v>25</v>
      </c>
      <c r="R20" s="1598" t="s">
        <v>24</v>
      </c>
      <c r="S20" s="2017" t="s">
        <v>25</v>
      </c>
      <c r="T20" s="1598" t="s">
        <v>24</v>
      </c>
      <c r="U20" s="2017" t="s">
        <v>25</v>
      </c>
      <c r="V20" s="1598" t="s">
        <v>24</v>
      </c>
      <c r="W20" s="2017" t="s">
        <v>25</v>
      </c>
      <c r="X20" s="1598" t="s">
        <v>24</v>
      </c>
      <c r="Y20" s="2017" t="s">
        <v>25</v>
      </c>
      <c r="Z20" s="1598" t="s">
        <v>24</v>
      </c>
      <c r="AA20" s="2017" t="s">
        <v>25</v>
      </c>
      <c r="AB20" s="1598" t="s">
        <v>24</v>
      </c>
      <c r="AC20" s="2017" t="s">
        <v>25</v>
      </c>
      <c r="AD20" s="1598" t="s">
        <v>24</v>
      </c>
      <c r="AE20" s="2017" t="s">
        <v>25</v>
      </c>
      <c r="AF20" s="1598" t="s">
        <v>24</v>
      </c>
      <c r="AG20" s="2017" t="s">
        <v>25</v>
      </c>
      <c r="AH20" s="1061"/>
      <c r="AI20" s="94"/>
      <c r="AJ20" s="94"/>
      <c r="AK20" s="94"/>
      <c r="AL20" s="94"/>
      <c r="AM20" s="94"/>
      <c r="AN20" s="94"/>
      <c r="AO20" s="94"/>
      <c r="AP20" s="94"/>
      <c r="AQ20" s="94"/>
      <c r="AR20" s="94"/>
      <c r="AS20" s="94"/>
      <c r="AT20" s="94"/>
      <c r="AU20" s="94"/>
      <c r="AV20" s="94"/>
      <c r="AW20" s="94"/>
      <c r="AX20" s="94"/>
      <c r="AY20" s="94"/>
      <c r="AZ20" s="94"/>
      <c r="BA20" s="94"/>
      <c r="BB20" s="94"/>
      <c r="CH20" s="1020"/>
      <c r="CI20" s="1020"/>
      <c r="CJ20" s="1020"/>
      <c r="CK20" s="1020"/>
      <c r="CL20" s="1020"/>
      <c r="CM20" s="1020"/>
      <c r="CN20" s="1020"/>
    </row>
    <row r="21" spans="1:92" ht="16.350000000000001" customHeight="1" x14ac:dyDescent="0.2">
      <c r="A21" s="2527"/>
      <c r="B21" s="1930" t="s">
        <v>42</v>
      </c>
      <c r="C21" s="1808">
        <f t="shared" ref="C21:AG21" si="0">SUM(C22:C25)</f>
        <v>0</v>
      </c>
      <c r="D21" s="1810">
        <f t="shared" si="0"/>
        <v>0</v>
      </c>
      <c r="E21" s="1807">
        <f t="shared" si="0"/>
        <v>0</v>
      </c>
      <c r="F21" s="1810">
        <f t="shared" si="0"/>
        <v>0</v>
      </c>
      <c r="G21" s="2018">
        <f t="shared" si="0"/>
        <v>0</v>
      </c>
      <c r="H21" s="1810">
        <f t="shared" si="0"/>
        <v>0</v>
      </c>
      <c r="I21" s="2018">
        <f t="shared" si="0"/>
        <v>0</v>
      </c>
      <c r="J21" s="1810">
        <f t="shared" si="0"/>
        <v>0</v>
      </c>
      <c r="K21" s="2018">
        <f t="shared" si="0"/>
        <v>0</v>
      </c>
      <c r="L21" s="1810">
        <f t="shared" si="0"/>
        <v>0</v>
      </c>
      <c r="M21" s="2018">
        <f t="shared" si="0"/>
        <v>0</v>
      </c>
      <c r="N21" s="1810">
        <f t="shared" si="0"/>
        <v>0</v>
      </c>
      <c r="O21" s="2018">
        <f t="shared" si="0"/>
        <v>0</v>
      </c>
      <c r="P21" s="1810">
        <f t="shared" si="0"/>
        <v>0</v>
      </c>
      <c r="Q21" s="2018">
        <f t="shared" si="0"/>
        <v>0</v>
      </c>
      <c r="R21" s="1810">
        <f t="shared" si="0"/>
        <v>0</v>
      </c>
      <c r="S21" s="2018">
        <f t="shared" si="0"/>
        <v>0</v>
      </c>
      <c r="T21" s="1810">
        <f t="shared" si="0"/>
        <v>0</v>
      </c>
      <c r="U21" s="2018">
        <f t="shared" si="0"/>
        <v>0</v>
      </c>
      <c r="V21" s="1810">
        <f t="shared" si="0"/>
        <v>0</v>
      </c>
      <c r="W21" s="2018">
        <f t="shared" si="0"/>
        <v>0</v>
      </c>
      <c r="X21" s="1810">
        <f t="shared" si="0"/>
        <v>0</v>
      </c>
      <c r="Y21" s="2018">
        <f t="shared" si="0"/>
        <v>0</v>
      </c>
      <c r="Z21" s="1810">
        <f t="shared" si="0"/>
        <v>0</v>
      </c>
      <c r="AA21" s="2018">
        <f t="shared" si="0"/>
        <v>0</v>
      </c>
      <c r="AB21" s="1810">
        <f t="shared" si="0"/>
        <v>0</v>
      </c>
      <c r="AC21" s="2018">
        <f t="shared" si="0"/>
        <v>0</v>
      </c>
      <c r="AD21" s="1810">
        <f t="shared" si="0"/>
        <v>0</v>
      </c>
      <c r="AE21" s="2018">
        <f t="shared" si="0"/>
        <v>0</v>
      </c>
      <c r="AF21" s="1810">
        <f t="shared" si="0"/>
        <v>0</v>
      </c>
      <c r="AG21" s="2018">
        <f t="shared" si="0"/>
        <v>0</v>
      </c>
      <c r="AH21" s="1057"/>
      <c r="AI21" s="1058"/>
      <c r="AJ21" s="1058"/>
      <c r="AK21" s="1058"/>
      <c r="AL21" s="1058"/>
      <c r="AM21" s="1058"/>
      <c r="AN21" s="1058"/>
      <c r="AO21" s="1058"/>
      <c r="AP21" s="1058"/>
      <c r="AQ21" s="1058"/>
      <c r="AR21" s="1058"/>
      <c r="AS21" s="1058"/>
      <c r="AT21" s="1058"/>
      <c r="AU21" s="94"/>
      <c r="AV21" s="94"/>
      <c r="AW21" s="94"/>
      <c r="AX21" s="94"/>
      <c r="AY21" s="94"/>
      <c r="AZ21" s="94"/>
      <c r="BA21" s="94"/>
      <c r="BB21" s="94"/>
      <c r="CH21" s="1020"/>
      <c r="CI21" s="1020"/>
      <c r="CJ21" s="1020">
        <v>0</v>
      </c>
      <c r="CK21" s="1020"/>
      <c r="CL21" s="1020"/>
      <c r="CM21" s="1020"/>
      <c r="CN21" s="1020"/>
    </row>
    <row r="22" spans="1:92" ht="16.350000000000001" customHeight="1" x14ac:dyDescent="0.2">
      <c r="A22" s="2458" t="s">
        <v>2878</v>
      </c>
      <c r="B22" s="2401" t="s">
        <v>163</v>
      </c>
      <c r="C22" s="140" t="s">
        <v>2777</v>
      </c>
      <c r="D22" s="2442" t="s">
        <v>2778</v>
      </c>
      <c r="E22" s="200" t="s">
        <v>2779</v>
      </c>
      <c r="F22" s="2391" t="s">
        <v>2780</v>
      </c>
      <c r="G22" s="2270" t="s">
        <v>2781</v>
      </c>
      <c r="H22" s="2391" t="s">
        <v>2782</v>
      </c>
      <c r="I22" s="2270" t="s">
        <v>2783</v>
      </c>
      <c r="J22" s="2391" t="s">
        <v>2784</v>
      </c>
      <c r="K22" s="2270" t="s">
        <v>2785</v>
      </c>
      <c r="L22" s="2391" t="s">
        <v>2786</v>
      </c>
      <c r="M22" s="2270" t="s">
        <v>2787</v>
      </c>
      <c r="N22" s="2391" t="s">
        <v>2788</v>
      </c>
      <c r="O22" s="2270" t="s">
        <v>2789</v>
      </c>
      <c r="P22" s="2391" t="s">
        <v>2790</v>
      </c>
      <c r="Q22" s="2270" t="s">
        <v>2791</v>
      </c>
      <c r="R22" s="2391" t="s">
        <v>2792</v>
      </c>
      <c r="S22" s="2270" t="s">
        <v>2793</v>
      </c>
      <c r="T22" s="2391" t="s">
        <v>2794</v>
      </c>
      <c r="U22" s="2270" t="s">
        <v>2795</v>
      </c>
      <c r="V22" s="2391" t="s">
        <v>2796</v>
      </c>
      <c r="W22" s="2270" t="s">
        <v>2797</v>
      </c>
      <c r="X22" s="2391" t="s">
        <v>2798</v>
      </c>
      <c r="Y22" s="2270" t="s">
        <v>2799</v>
      </c>
      <c r="Z22" s="2391" t="s">
        <v>2800</v>
      </c>
      <c r="AA22" s="2270" t="s">
        <v>2801</v>
      </c>
      <c r="AB22" s="2391" t="s">
        <v>2817</v>
      </c>
      <c r="AC22" s="2270" t="s">
        <v>2818</v>
      </c>
      <c r="AD22" s="2391" t="s">
        <v>2819</v>
      </c>
      <c r="AE22" s="2270" t="s">
        <v>2821</v>
      </c>
      <c r="AF22" s="2391" t="s">
        <v>2822</v>
      </c>
      <c r="AG22" s="2270" t="s">
        <v>2823</v>
      </c>
      <c r="AH22" s="947"/>
      <c r="AI22" s="94"/>
      <c r="AJ22" s="94"/>
      <c r="AK22" s="94"/>
      <c r="AL22" s="94"/>
      <c r="AM22" s="94"/>
      <c r="AN22" s="94"/>
      <c r="AO22" s="94"/>
      <c r="AP22" s="94"/>
      <c r="AQ22" s="94"/>
      <c r="AR22" s="94"/>
      <c r="AS22" s="94"/>
      <c r="AT22" s="94"/>
      <c r="AU22" s="94"/>
      <c r="AV22" s="94"/>
      <c r="AW22" s="94"/>
      <c r="AX22" s="94"/>
      <c r="AY22" s="94"/>
      <c r="AZ22" s="94"/>
      <c r="BA22" s="94"/>
      <c r="BB22" s="94"/>
      <c r="CH22" s="1020"/>
      <c r="CI22" s="1020"/>
      <c r="CJ22" s="1020"/>
      <c r="CK22" s="1020"/>
      <c r="CL22" s="1020"/>
      <c r="CM22" s="1020"/>
      <c r="CN22" s="1020"/>
    </row>
    <row r="23" spans="1:92" ht="16.350000000000001" customHeight="1" x14ac:dyDescent="0.2">
      <c r="A23" s="2458" t="s">
        <v>2879</v>
      </c>
      <c r="B23" s="2431" t="s">
        <v>164</v>
      </c>
      <c r="C23" s="140" t="s">
        <v>2777</v>
      </c>
      <c r="D23" s="2442" t="s">
        <v>2778</v>
      </c>
      <c r="E23" s="200" t="s">
        <v>2779</v>
      </c>
      <c r="F23" s="141" t="s">
        <v>2780</v>
      </c>
      <c r="G23" s="163" t="s">
        <v>2781</v>
      </c>
      <c r="H23" s="141" t="s">
        <v>2782</v>
      </c>
      <c r="I23" s="163" t="s">
        <v>2783</v>
      </c>
      <c r="J23" s="141" t="s">
        <v>2784</v>
      </c>
      <c r="K23" s="163" t="s">
        <v>2785</v>
      </c>
      <c r="L23" s="141" t="s">
        <v>2786</v>
      </c>
      <c r="M23" s="163" t="s">
        <v>2787</v>
      </c>
      <c r="N23" s="141" t="s">
        <v>2788</v>
      </c>
      <c r="O23" s="163" t="s">
        <v>2789</v>
      </c>
      <c r="P23" s="141" t="s">
        <v>2790</v>
      </c>
      <c r="Q23" s="163" t="s">
        <v>2791</v>
      </c>
      <c r="R23" s="141" t="s">
        <v>2792</v>
      </c>
      <c r="S23" s="163" t="s">
        <v>2793</v>
      </c>
      <c r="T23" s="141" t="s">
        <v>2794</v>
      </c>
      <c r="U23" s="163" t="s">
        <v>2795</v>
      </c>
      <c r="V23" s="141" t="s">
        <v>2796</v>
      </c>
      <c r="W23" s="163" t="s">
        <v>2797</v>
      </c>
      <c r="X23" s="141" t="s">
        <v>2798</v>
      </c>
      <c r="Y23" s="163" t="s">
        <v>2799</v>
      </c>
      <c r="Z23" s="141" t="s">
        <v>2800</v>
      </c>
      <c r="AA23" s="163" t="s">
        <v>2801</v>
      </c>
      <c r="AB23" s="141" t="s">
        <v>2817</v>
      </c>
      <c r="AC23" s="163" t="s">
        <v>2818</v>
      </c>
      <c r="AD23" s="141" t="s">
        <v>2819</v>
      </c>
      <c r="AE23" s="163" t="s">
        <v>2821</v>
      </c>
      <c r="AF23" s="141" t="s">
        <v>2822</v>
      </c>
      <c r="AG23" s="163" t="s">
        <v>2823</v>
      </c>
      <c r="AH23" s="947"/>
      <c r="AI23" s="94"/>
      <c r="AJ23" s="94"/>
      <c r="AK23" s="94"/>
      <c r="AL23" s="94"/>
      <c r="AM23" s="94"/>
      <c r="AN23" s="94"/>
      <c r="AO23" s="94"/>
      <c r="AP23" s="94"/>
      <c r="AQ23" s="94"/>
      <c r="AR23" s="94"/>
      <c r="AS23" s="94"/>
      <c r="AT23" s="94"/>
      <c r="AU23" s="94"/>
      <c r="AV23" s="94"/>
      <c r="AW23" s="94"/>
      <c r="AX23" s="94"/>
      <c r="AY23" s="94"/>
      <c r="AZ23" s="94"/>
      <c r="BA23" s="94"/>
      <c r="BB23" s="94"/>
      <c r="CH23" s="1020"/>
      <c r="CI23" s="1020"/>
      <c r="CJ23" s="1020"/>
      <c r="CK23" s="1020"/>
      <c r="CL23" s="1020"/>
      <c r="CM23" s="1020"/>
      <c r="CN23" s="1020"/>
    </row>
    <row r="24" spans="1:92" ht="16.350000000000001" customHeight="1" x14ac:dyDescent="0.2">
      <c r="A24" s="2458" t="s">
        <v>2880</v>
      </c>
      <c r="B24" s="2431" t="s">
        <v>217</v>
      </c>
      <c r="C24" s="140" t="s">
        <v>2777</v>
      </c>
      <c r="D24" s="2442" t="s">
        <v>2778</v>
      </c>
      <c r="E24" s="200" t="s">
        <v>2779</v>
      </c>
      <c r="F24" s="2391" t="s">
        <v>2780</v>
      </c>
      <c r="G24" s="2270" t="s">
        <v>2781</v>
      </c>
      <c r="H24" s="2391" t="s">
        <v>2782</v>
      </c>
      <c r="I24" s="2270" t="s">
        <v>2783</v>
      </c>
      <c r="J24" s="2391" t="s">
        <v>2784</v>
      </c>
      <c r="K24" s="2270" t="s">
        <v>2785</v>
      </c>
      <c r="L24" s="2391" t="s">
        <v>2786</v>
      </c>
      <c r="M24" s="2270" t="s">
        <v>2787</v>
      </c>
      <c r="N24" s="2391" t="s">
        <v>2788</v>
      </c>
      <c r="O24" s="2270" t="s">
        <v>2789</v>
      </c>
      <c r="P24" s="2391" t="s">
        <v>2790</v>
      </c>
      <c r="Q24" s="2270" t="s">
        <v>2791</v>
      </c>
      <c r="R24" s="2391" t="s">
        <v>2792</v>
      </c>
      <c r="S24" s="2270" t="s">
        <v>2793</v>
      </c>
      <c r="T24" s="2391" t="s">
        <v>2794</v>
      </c>
      <c r="U24" s="2270" t="s">
        <v>2795</v>
      </c>
      <c r="V24" s="2391" t="s">
        <v>2796</v>
      </c>
      <c r="W24" s="2270" t="s">
        <v>2797</v>
      </c>
      <c r="X24" s="2391" t="s">
        <v>2798</v>
      </c>
      <c r="Y24" s="2270" t="s">
        <v>2799</v>
      </c>
      <c r="Z24" s="2391" t="s">
        <v>2800</v>
      </c>
      <c r="AA24" s="2270" t="s">
        <v>2801</v>
      </c>
      <c r="AB24" s="2391" t="s">
        <v>2817</v>
      </c>
      <c r="AC24" s="2270" t="s">
        <v>2818</v>
      </c>
      <c r="AD24" s="2391" t="s">
        <v>2819</v>
      </c>
      <c r="AE24" s="2270" t="s">
        <v>2821</v>
      </c>
      <c r="AF24" s="2391" t="s">
        <v>2822</v>
      </c>
      <c r="AG24" s="2270" t="s">
        <v>2823</v>
      </c>
      <c r="AH24" s="947"/>
      <c r="AI24" s="94"/>
      <c r="AJ24" s="94"/>
      <c r="AK24" s="94"/>
      <c r="AL24" s="94"/>
      <c r="AM24" s="94"/>
      <c r="AN24" s="94"/>
      <c r="AO24" s="94"/>
      <c r="AP24" s="94"/>
      <c r="AQ24" s="94"/>
      <c r="AR24" s="94"/>
      <c r="AS24" s="94"/>
      <c r="AT24" s="94"/>
      <c r="AU24" s="94"/>
      <c r="AV24" s="94"/>
      <c r="AW24" s="94"/>
      <c r="AX24" s="94"/>
      <c r="AY24" s="94"/>
      <c r="AZ24" s="94"/>
      <c r="BA24" s="94"/>
      <c r="BB24" s="94"/>
      <c r="CH24" s="1020"/>
      <c r="CI24" s="1020"/>
      <c r="CJ24" s="1020"/>
      <c r="CK24" s="1020"/>
      <c r="CL24" s="1020"/>
      <c r="CM24" s="1020"/>
      <c r="CN24" s="1020"/>
    </row>
    <row r="25" spans="1:92" ht="16.350000000000001" customHeight="1" x14ac:dyDescent="0.2">
      <c r="A25" s="2458" t="s">
        <v>2881</v>
      </c>
      <c r="B25" s="201" t="s">
        <v>165</v>
      </c>
      <c r="C25" s="100" t="s">
        <v>2777</v>
      </c>
      <c r="D25" s="2444" t="s">
        <v>2778</v>
      </c>
      <c r="E25" s="202" t="s">
        <v>2779</v>
      </c>
      <c r="F25" s="166" t="s">
        <v>2780</v>
      </c>
      <c r="G25" s="125" t="s">
        <v>2781</v>
      </c>
      <c r="H25" s="166" t="s">
        <v>2782</v>
      </c>
      <c r="I25" s="125" t="s">
        <v>2783</v>
      </c>
      <c r="J25" s="166" t="s">
        <v>2784</v>
      </c>
      <c r="K25" s="125" t="s">
        <v>2785</v>
      </c>
      <c r="L25" s="166" t="s">
        <v>2786</v>
      </c>
      <c r="M25" s="125" t="s">
        <v>2787</v>
      </c>
      <c r="N25" s="166" t="s">
        <v>2788</v>
      </c>
      <c r="O25" s="125" t="s">
        <v>2789</v>
      </c>
      <c r="P25" s="166" t="s">
        <v>2790</v>
      </c>
      <c r="Q25" s="125" t="s">
        <v>2791</v>
      </c>
      <c r="R25" s="166" t="s">
        <v>2792</v>
      </c>
      <c r="S25" s="125" t="s">
        <v>2793</v>
      </c>
      <c r="T25" s="166" t="s">
        <v>2794</v>
      </c>
      <c r="U25" s="125" t="s">
        <v>2795</v>
      </c>
      <c r="V25" s="166" t="s">
        <v>2796</v>
      </c>
      <c r="W25" s="125" t="s">
        <v>2797</v>
      </c>
      <c r="X25" s="166" t="s">
        <v>2798</v>
      </c>
      <c r="Y25" s="125" t="s">
        <v>2799</v>
      </c>
      <c r="Z25" s="166" t="s">
        <v>2800</v>
      </c>
      <c r="AA25" s="125" t="s">
        <v>2801</v>
      </c>
      <c r="AB25" s="166" t="s">
        <v>2817</v>
      </c>
      <c r="AC25" s="125" t="s">
        <v>2818</v>
      </c>
      <c r="AD25" s="166" t="s">
        <v>2819</v>
      </c>
      <c r="AE25" s="125" t="s">
        <v>2821</v>
      </c>
      <c r="AF25" s="166" t="s">
        <v>2822</v>
      </c>
      <c r="AG25" s="125" t="s">
        <v>2823</v>
      </c>
      <c r="AH25" s="947"/>
      <c r="AI25" s="94"/>
      <c r="AJ25" s="94"/>
      <c r="AK25" s="94"/>
      <c r="AL25" s="94"/>
      <c r="AM25" s="94"/>
      <c r="AN25" s="94"/>
      <c r="AO25" s="94"/>
      <c r="AP25" s="94"/>
      <c r="AQ25" s="94"/>
      <c r="AR25" s="94"/>
      <c r="AS25" s="94"/>
      <c r="AT25" s="94"/>
      <c r="AU25" s="94"/>
      <c r="AV25" s="94"/>
      <c r="AW25" s="94"/>
      <c r="AX25" s="94"/>
      <c r="AY25" s="94"/>
      <c r="AZ25" s="94"/>
      <c r="BA25" s="94"/>
      <c r="BB25" s="94"/>
      <c r="CH25" s="1020"/>
      <c r="CI25" s="1020"/>
      <c r="CJ25" s="1020"/>
      <c r="CK25" s="1020"/>
      <c r="CL25" s="1020"/>
      <c r="CM25" s="1020"/>
      <c r="CN25" s="1020"/>
    </row>
    <row r="26" spans="1:92" ht="31.35" customHeight="1" x14ac:dyDescent="0.2">
      <c r="B26" s="85" t="s">
        <v>2246</v>
      </c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  <c r="P26" s="84"/>
      <c r="Q26" s="84"/>
      <c r="R26" s="84"/>
      <c r="S26" s="84"/>
      <c r="T26" s="84"/>
      <c r="U26" s="84"/>
      <c r="V26" s="84"/>
      <c r="W26" s="84"/>
      <c r="X26" s="84"/>
      <c r="Y26" s="84"/>
      <c r="Z26" s="84"/>
      <c r="AA26" s="84"/>
      <c r="AB26" s="84"/>
      <c r="AC26" s="84"/>
      <c r="AD26" s="84"/>
      <c r="AE26" s="84"/>
      <c r="AF26" s="84"/>
      <c r="AG26" s="84"/>
      <c r="AH26" s="927"/>
      <c r="AI26" s="94"/>
      <c r="AJ26" s="94"/>
      <c r="AK26" s="94"/>
      <c r="AL26" s="94"/>
      <c r="AM26" s="94"/>
      <c r="AN26" s="94"/>
      <c r="AO26" s="94"/>
      <c r="AP26" s="94"/>
      <c r="AQ26" s="94"/>
      <c r="AR26" s="94"/>
      <c r="AS26" s="94"/>
      <c r="AT26" s="94"/>
      <c r="AU26" s="94"/>
      <c r="AV26" s="94"/>
      <c r="AW26" s="94"/>
      <c r="AX26" s="94"/>
      <c r="AY26" s="94"/>
      <c r="AZ26" s="94"/>
      <c r="BA26" s="94"/>
      <c r="BB26" s="94"/>
      <c r="CH26" s="1020"/>
      <c r="CI26" s="1020"/>
      <c r="CJ26" s="1020"/>
      <c r="CK26" s="1020"/>
      <c r="CL26" s="1020"/>
      <c r="CM26" s="1020"/>
      <c r="CN26" s="1020"/>
    </row>
    <row r="27" spans="1:92" ht="16.350000000000001" customHeight="1" x14ac:dyDescent="0.2">
      <c r="B27" s="5158" t="s">
        <v>2247</v>
      </c>
      <c r="C27" s="5160" t="s">
        <v>42</v>
      </c>
      <c r="D27" s="5161"/>
      <c r="E27" s="5162"/>
      <c r="F27" s="5165" t="s">
        <v>9</v>
      </c>
      <c r="G27" s="5166"/>
      <c r="H27" s="5165" t="s">
        <v>1762</v>
      </c>
      <c r="I27" s="5167"/>
      <c r="J27" s="5165" t="s">
        <v>151</v>
      </c>
      <c r="K27" s="5167"/>
      <c r="L27" s="5165" t="s">
        <v>152</v>
      </c>
      <c r="M27" s="5167"/>
      <c r="N27" s="5165" t="s">
        <v>153</v>
      </c>
      <c r="O27" s="5167"/>
      <c r="P27" s="5165" t="s">
        <v>154</v>
      </c>
      <c r="Q27" s="5167"/>
      <c r="R27" s="5165" t="s">
        <v>155</v>
      </c>
      <c r="S27" s="5167"/>
      <c r="T27" s="5165" t="s">
        <v>156</v>
      </c>
      <c r="U27" s="5167"/>
      <c r="V27" s="5165" t="s">
        <v>157</v>
      </c>
      <c r="W27" s="5167"/>
      <c r="X27" s="5165" t="s">
        <v>158</v>
      </c>
      <c r="Y27" s="5167"/>
      <c r="Z27" s="5165" t="s">
        <v>159</v>
      </c>
      <c r="AA27" s="5167"/>
      <c r="AB27" s="5165" t="s">
        <v>160</v>
      </c>
      <c r="AC27" s="5167"/>
      <c r="AD27" s="5165" t="s">
        <v>161</v>
      </c>
      <c r="AE27" s="5167"/>
      <c r="AF27" s="5165" t="s">
        <v>162</v>
      </c>
      <c r="AG27" s="5167"/>
      <c r="AH27" s="2019"/>
      <c r="AI27" s="94"/>
      <c r="AJ27" s="94"/>
      <c r="AK27" s="94"/>
      <c r="AL27" s="94"/>
      <c r="AM27" s="94"/>
      <c r="AN27" s="94"/>
      <c r="AO27" s="94"/>
      <c r="AP27" s="94"/>
      <c r="AQ27" s="94"/>
      <c r="AR27" s="94"/>
      <c r="AS27" s="94"/>
      <c r="AT27" s="94"/>
      <c r="AU27" s="94"/>
      <c r="AV27" s="94"/>
      <c r="AW27" s="94"/>
      <c r="AX27" s="94"/>
      <c r="AY27" s="94"/>
      <c r="AZ27" s="94"/>
      <c r="BA27" s="94"/>
      <c r="BB27" s="94"/>
      <c r="CH27" s="1020"/>
      <c r="CI27" s="1020"/>
      <c r="CJ27" s="1020"/>
      <c r="CK27" s="1020"/>
      <c r="CL27" s="1020"/>
      <c r="CM27" s="1020"/>
      <c r="CN27" s="1020"/>
    </row>
    <row r="28" spans="1:92" ht="16.350000000000001" customHeight="1" x14ac:dyDescent="0.2">
      <c r="B28" s="5159"/>
      <c r="C28" s="1925" t="s">
        <v>184</v>
      </c>
      <c r="D28" s="1598" t="s">
        <v>24</v>
      </c>
      <c r="E28" s="1913" t="s">
        <v>25</v>
      </c>
      <c r="F28" s="1598" t="s">
        <v>24</v>
      </c>
      <c r="G28" s="2017" t="s">
        <v>25</v>
      </c>
      <c r="H28" s="1598" t="s">
        <v>24</v>
      </c>
      <c r="I28" s="2017" t="s">
        <v>25</v>
      </c>
      <c r="J28" s="1598" t="s">
        <v>24</v>
      </c>
      <c r="K28" s="2017" t="s">
        <v>25</v>
      </c>
      <c r="L28" s="1598" t="s">
        <v>24</v>
      </c>
      <c r="M28" s="2017" t="s">
        <v>25</v>
      </c>
      <c r="N28" s="1598" t="s">
        <v>24</v>
      </c>
      <c r="O28" s="2017" t="s">
        <v>25</v>
      </c>
      <c r="P28" s="1598" t="s">
        <v>24</v>
      </c>
      <c r="Q28" s="2017" t="s">
        <v>25</v>
      </c>
      <c r="R28" s="1598" t="s">
        <v>24</v>
      </c>
      <c r="S28" s="2017" t="s">
        <v>25</v>
      </c>
      <c r="T28" s="1598" t="s">
        <v>24</v>
      </c>
      <c r="U28" s="2017" t="s">
        <v>25</v>
      </c>
      <c r="V28" s="1598" t="s">
        <v>24</v>
      </c>
      <c r="W28" s="2017" t="s">
        <v>25</v>
      </c>
      <c r="X28" s="1598" t="s">
        <v>24</v>
      </c>
      <c r="Y28" s="2017" t="s">
        <v>25</v>
      </c>
      <c r="Z28" s="1598" t="s">
        <v>24</v>
      </c>
      <c r="AA28" s="2017" t="s">
        <v>25</v>
      </c>
      <c r="AB28" s="1598" t="s">
        <v>24</v>
      </c>
      <c r="AC28" s="2017" t="s">
        <v>25</v>
      </c>
      <c r="AD28" s="1598" t="s">
        <v>24</v>
      </c>
      <c r="AE28" s="2017" t="s">
        <v>25</v>
      </c>
      <c r="AF28" s="1598" t="s">
        <v>24</v>
      </c>
      <c r="AG28" s="2017" t="s">
        <v>25</v>
      </c>
      <c r="AH28" s="2019"/>
      <c r="AI28" s="94"/>
      <c r="AJ28" s="94"/>
      <c r="AK28" s="94"/>
      <c r="AL28" s="94"/>
      <c r="AM28" s="94"/>
      <c r="AN28" s="94"/>
      <c r="AO28" s="94"/>
      <c r="AP28" s="94"/>
      <c r="AQ28" s="94"/>
      <c r="AR28" s="94"/>
      <c r="AS28" s="94"/>
      <c r="AT28" s="94"/>
      <c r="AU28" s="94"/>
      <c r="AV28" s="94"/>
      <c r="AW28" s="94"/>
      <c r="AX28" s="94"/>
      <c r="AY28" s="94"/>
      <c r="AZ28" s="94"/>
      <c r="BA28" s="94"/>
      <c r="BB28" s="94"/>
      <c r="CH28" s="1020"/>
      <c r="CI28" s="1020"/>
      <c r="CJ28" s="1020"/>
      <c r="CK28" s="1020"/>
      <c r="CL28" s="1020"/>
      <c r="CM28" s="1020"/>
      <c r="CN28" s="1020"/>
    </row>
    <row r="29" spans="1:92" ht="16.350000000000001" customHeight="1" x14ac:dyDescent="0.2">
      <c r="A29" s="2458" t="s">
        <v>2882</v>
      </c>
      <c r="B29" s="2537" t="s">
        <v>166</v>
      </c>
      <c r="C29" s="2416" t="s">
        <v>2777</v>
      </c>
      <c r="D29" s="2538" t="s">
        <v>2778</v>
      </c>
      <c r="E29" s="2539" t="s">
        <v>2779</v>
      </c>
      <c r="F29" s="2483" t="s">
        <v>2780</v>
      </c>
      <c r="G29" s="2480" t="s">
        <v>2781</v>
      </c>
      <c r="H29" s="2483" t="s">
        <v>2782</v>
      </c>
      <c r="I29" s="2480" t="s">
        <v>2783</v>
      </c>
      <c r="J29" s="2483" t="s">
        <v>2784</v>
      </c>
      <c r="K29" s="2480" t="s">
        <v>2785</v>
      </c>
      <c r="L29" s="2483" t="s">
        <v>2786</v>
      </c>
      <c r="M29" s="2480" t="s">
        <v>2787</v>
      </c>
      <c r="N29" s="2483" t="s">
        <v>2788</v>
      </c>
      <c r="O29" s="2480" t="s">
        <v>2789</v>
      </c>
      <c r="P29" s="2483" t="s">
        <v>2790</v>
      </c>
      <c r="Q29" s="2480" t="s">
        <v>2791</v>
      </c>
      <c r="R29" s="2483" t="s">
        <v>2792</v>
      </c>
      <c r="S29" s="2480" t="s">
        <v>2793</v>
      </c>
      <c r="T29" s="2483" t="s">
        <v>2794</v>
      </c>
      <c r="U29" s="2480" t="s">
        <v>2795</v>
      </c>
      <c r="V29" s="2483" t="s">
        <v>2796</v>
      </c>
      <c r="W29" s="2480" t="s">
        <v>2797</v>
      </c>
      <c r="X29" s="2483" t="s">
        <v>2798</v>
      </c>
      <c r="Y29" s="2480" t="s">
        <v>2799</v>
      </c>
      <c r="Z29" s="2483" t="s">
        <v>2800</v>
      </c>
      <c r="AA29" s="2480" t="s">
        <v>2801</v>
      </c>
      <c r="AB29" s="2483" t="s">
        <v>2817</v>
      </c>
      <c r="AC29" s="2480" t="s">
        <v>2818</v>
      </c>
      <c r="AD29" s="2483" t="s">
        <v>2819</v>
      </c>
      <c r="AE29" s="2480" t="s">
        <v>2821</v>
      </c>
      <c r="AF29" s="2483" t="s">
        <v>2822</v>
      </c>
      <c r="AG29" s="2480" t="s">
        <v>2823</v>
      </c>
      <c r="AH29" s="1057"/>
      <c r="AI29" s="1058"/>
      <c r="AJ29" s="1058"/>
      <c r="AK29" s="1058"/>
      <c r="AL29" s="1058"/>
      <c r="AM29" s="1058"/>
      <c r="AN29" s="1058"/>
      <c r="AO29" s="1058"/>
      <c r="AP29" s="1058"/>
      <c r="AQ29" s="1058"/>
      <c r="AR29" s="1058"/>
      <c r="AS29" s="1058"/>
      <c r="AT29" s="1058"/>
      <c r="AU29" s="94"/>
      <c r="AV29" s="94"/>
      <c r="AW29" s="94"/>
      <c r="AX29" s="94"/>
      <c r="AY29" s="94"/>
      <c r="AZ29" s="94"/>
      <c r="BA29" s="94"/>
      <c r="BB29" s="94"/>
      <c r="CH29" s="1020">
        <v>0</v>
      </c>
      <c r="CI29" s="1020"/>
      <c r="CJ29" s="1020"/>
      <c r="CK29" s="1020"/>
      <c r="CL29" s="1020"/>
      <c r="CM29" s="1020"/>
      <c r="CN29" s="1020"/>
    </row>
    <row r="30" spans="1:92" ht="22.5" customHeight="1" x14ac:dyDescent="0.2">
      <c r="A30" s="2458" t="s">
        <v>2883</v>
      </c>
      <c r="B30" s="2432" t="s">
        <v>2248</v>
      </c>
      <c r="C30" s="100" t="s">
        <v>2777</v>
      </c>
      <c r="D30" s="2444" t="s">
        <v>2778</v>
      </c>
      <c r="E30" s="202" t="s">
        <v>2779</v>
      </c>
      <c r="F30" s="2540" t="s">
        <v>2780</v>
      </c>
      <c r="G30" s="2541" t="s">
        <v>2781</v>
      </c>
      <c r="H30" s="2540" t="s">
        <v>2782</v>
      </c>
      <c r="I30" s="2541" t="s">
        <v>2783</v>
      </c>
      <c r="J30" s="2540" t="s">
        <v>2784</v>
      </c>
      <c r="K30" s="2541" t="s">
        <v>2785</v>
      </c>
      <c r="L30" s="2540" t="s">
        <v>2786</v>
      </c>
      <c r="M30" s="2541" t="s">
        <v>2787</v>
      </c>
      <c r="N30" s="2540" t="s">
        <v>2788</v>
      </c>
      <c r="O30" s="2541" t="s">
        <v>2789</v>
      </c>
      <c r="P30" s="2540" t="s">
        <v>2790</v>
      </c>
      <c r="Q30" s="2541" t="s">
        <v>2791</v>
      </c>
      <c r="R30" s="2540" t="s">
        <v>2792</v>
      </c>
      <c r="S30" s="2541" t="s">
        <v>2793</v>
      </c>
      <c r="T30" s="2540" t="s">
        <v>2794</v>
      </c>
      <c r="U30" s="2541" t="s">
        <v>2795</v>
      </c>
      <c r="V30" s="2540" t="s">
        <v>2796</v>
      </c>
      <c r="W30" s="2541" t="s">
        <v>2797</v>
      </c>
      <c r="X30" s="2540" t="s">
        <v>2798</v>
      </c>
      <c r="Y30" s="2541" t="s">
        <v>2799</v>
      </c>
      <c r="Z30" s="2540" t="s">
        <v>2800</v>
      </c>
      <c r="AA30" s="2541" t="s">
        <v>2801</v>
      </c>
      <c r="AB30" s="2540" t="s">
        <v>2817</v>
      </c>
      <c r="AC30" s="2541" t="s">
        <v>2818</v>
      </c>
      <c r="AD30" s="2540" t="s">
        <v>2819</v>
      </c>
      <c r="AE30" s="2541" t="s">
        <v>2821</v>
      </c>
      <c r="AF30" s="2540" t="s">
        <v>2822</v>
      </c>
      <c r="AG30" s="2541" t="s">
        <v>2823</v>
      </c>
      <c r="AH30" s="1057"/>
      <c r="AI30" s="1058"/>
      <c r="AJ30" s="1058"/>
      <c r="AK30" s="1058"/>
      <c r="AL30" s="1058"/>
      <c r="AM30" s="1058"/>
      <c r="AN30" s="1058"/>
      <c r="AO30" s="1058"/>
      <c r="AP30" s="1058"/>
      <c r="AQ30" s="1058"/>
      <c r="AR30" s="1058"/>
      <c r="AS30" s="1058"/>
      <c r="AT30" s="1058"/>
      <c r="AU30" s="94"/>
      <c r="AV30" s="94"/>
      <c r="AW30" s="94"/>
      <c r="AX30" s="94"/>
      <c r="AY30" s="94"/>
      <c r="AZ30" s="94"/>
      <c r="BA30" s="94"/>
      <c r="BB30" s="94"/>
      <c r="CH30" s="1020">
        <v>0</v>
      </c>
      <c r="CI30" s="1020"/>
      <c r="CJ30" s="1020"/>
      <c r="CK30" s="1020"/>
      <c r="CL30" s="1020"/>
      <c r="CM30" s="1020"/>
      <c r="CN30" s="1020"/>
    </row>
    <row r="31" spans="1:92" ht="31.35" customHeight="1" x14ac:dyDescent="0.2">
      <c r="B31" s="85" t="s">
        <v>2249</v>
      </c>
      <c r="C31" s="86"/>
      <c r="D31" s="86"/>
      <c r="E31" s="86"/>
      <c r="F31" s="86"/>
      <c r="G31" s="86"/>
      <c r="H31" s="86"/>
      <c r="I31" s="86"/>
      <c r="J31" s="86"/>
      <c r="K31" s="86"/>
      <c r="L31" s="86"/>
      <c r="M31" s="86"/>
      <c r="N31" s="86"/>
      <c r="O31" s="86"/>
      <c r="P31" s="205"/>
      <c r="Q31" s="86"/>
      <c r="R31" s="84"/>
      <c r="S31" s="84"/>
      <c r="T31" s="84"/>
      <c r="U31" s="84"/>
      <c r="V31" s="84"/>
      <c r="W31" s="84"/>
      <c r="X31" s="84"/>
      <c r="Y31" s="84"/>
      <c r="Z31" s="84"/>
      <c r="AA31" s="84"/>
      <c r="AB31" s="84"/>
      <c r="AC31" s="84"/>
      <c r="AD31" s="84"/>
      <c r="AE31" s="84"/>
      <c r="AF31" s="84"/>
      <c r="AG31" s="190"/>
      <c r="AH31" s="927"/>
      <c r="AI31" s="94"/>
      <c r="AJ31" s="94"/>
      <c r="AK31" s="94"/>
      <c r="AL31" s="94"/>
      <c r="AM31" s="94"/>
      <c r="AN31" s="94"/>
      <c r="AO31" s="94"/>
      <c r="AP31" s="94"/>
      <c r="AQ31" s="94"/>
      <c r="AR31" s="94"/>
      <c r="AS31" s="94"/>
      <c r="AT31" s="94"/>
      <c r="AU31" s="94"/>
      <c r="AV31" s="94"/>
      <c r="AW31" s="94"/>
      <c r="AX31" s="94"/>
      <c r="AY31" s="94"/>
      <c r="AZ31" s="94"/>
      <c r="BA31" s="94"/>
      <c r="BB31" s="94"/>
      <c r="CH31" s="1020"/>
      <c r="CI31" s="1020"/>
      <c r="CJ31" s="1020"/>
      <c r="CK31" s="1020"/>
      <c r="CL31" s="1020"/>
      <c r="CM31" s="1020"/>
      <c r="CN31" s="1020"/>
    </row>
    <row r="32" spans="1:92" ht="16.350000000000001" customHeight="1" x14ac:dyDescent="0.2">
      <c r="B32" s="5158" t="s">
        <v>2247</v>
      </c>
      <c r="C32" s="5160" t="s">
        <v>42</v>
      </c>
      <c r="D32" s="5161"/>
      <c r="E32" s="5162"/>
      <c r="F32" s="5165" t="s">
        <v>126</v>
      </c>
      <c r="G32" s="5166"/>
      <c r="H32" s="5165" t="s">
        <v>167</v>
      </c>
      <c r="I32" s="5167"/>
      <c r="J32" s="5165" t="s">
        <v>151</v>
      </c>
      <c r="K32" s="5167"/>
      <c r="L32" s="5165" t="s">
        <v>152</v>
      </c>
      <c r="M32" s="5167"/>
      <c r="N32" s="5165" t="s">
        <v>153</v>
      </c>
      <c r="O32" s="5167"/>
      <c r="P32" s="5165" t="s">
        <v>154</v>
      </c>
      <c r="Q32" s="5167"/>
      <c r="R32" s="5165" t="s">
        <v>155</v>
      </c>
      <c r="S32" s="5167"/>
      <c r="T32" s="5165" t="s">
        <v>156</v>
      </c>
      <c r="U32" s="5167"/>
      <c r="V32" s="5165" t="s">
        <v>157</v>
      </c>
      <c r="W32" s="5167"/>
      <c r="X32" s="5165" t="s">
        <v>158</v>
      </c>
      <c r="Y32" s="5167"/>
      <c r="Z32" s="5165" t="s">
        <v>159</v>
      </c>
      <c r="AA32" s="5167"/>
      <c r="AB32" s="5165" t="s">
        <v>160</v>
      </c>
      <c r="AC32" s="5167"/>
      <c r="AD32" s="5165" t="s">
        <v>161</v>
      </c>
      <c r="AE32" s="5167"/>
      <c r="AF32" s="5165" t="s">
        <v>162</v>
      </c>
      <c r="AG32" s="5167"/>
      <c r="AH32" s="2019"/>
      <c r="AI32" s="94"/>
      <c r="AJ32" s="94"/>
      <c r="AK32" s="94"/>
      <c r="AL32" s="94"/>
      <c r="AM32" s="94"/>
      <c r="AN32" s="94"/>
      <c r="AO32" s="94"/>
      <c r="AP32" s="94"/>
      <c r="AQ32" s="94"/>
      <c r="AR32" s="94"/>
      <c r="AS32" s="94"/>
      <c r="AT32" s="94"/>
      <c r="AU32" s="94"/>
      <c r="AV32" s="94"/>
      <c r="AW32" s="94"/>
      <c r="AX32" s="94"/>
      <c r="AY32" s="94"/>
      <c r="AZ32" s="94"/>
      <c r="BA32" s="94"/>
      <c r="BB32" s="94"/>
      <c r="CH32" s="1020"/>
      <c r="CI32" s="1020"/>
      <c r="CJ32" s="1020"/>
      <c r="CK32" s="1020"/>
      <c r="CL32" s="1020"/>
      <c r="CM32" s="1020"/>
      <c r="CN32" s="1020"/>
    </row>
    <row r="33" spans="1:92" ht="16.350000000000001" customHeight="1" x14ac:dyDescent="0.2">
      <c r="B33" s="5159"/>
      <c r="C33" s="1925" t="s">
        <v>184</v>
      </c>
      <c r="D33" s="1598" t="s">
        <v>24</v>
      </c>
      <c r="E33" s="1913" t="s">
        <v>25</v>
      </c>
      <c r="F33" s="1598" t="s">
        <v>24</v>
      </c>
      <c r="G33" s="2017" t="s">
        <v>25</v>
      </c>
      <c r="H33" s="1598" t="s">
        <v>24</v>
      </c>
      <c r="I33" s="2017" t="s">
        <v>25</v>
      </c>
      <c r="J33" s="1598" t="s">
        <v>24</v>
      </c>
      <c r="K33" s="2017" t="s">
        <v>25</v>
      </c>
      <c r="L33" s="1598" t="s">
        <v>24</v>
      </c>
      <c r="M33" s="2017" t="s">
        <v>25</v>
      </c>
      <c r="N33" s="1598" t="s">
        <v>24</v>
      </c>
      <c r="O33" s="2017" t="s">
        <v>25</v>
      </c>
      <c r="P33" s="1598" t="s">
        <v>24</v>
      </c>
      <c r="Q33" s="2017" t="s">
        <v>25</v>
      </c>
      <c r="R33" s="1598" t="s">
        <v>24</v>
      </c>
      <c r="S33" s="2017" t="s">
        <v>25</v>
      </c>
      <c r="T33" s="1598" t="s">
        <v>24</v>
      </c>
      <c r="U33" s="2017" t="s">
        <v>25</v>
      </c>
      <c r="V33" s="1598" t="s">
        <v>24</v>
      </c>
      <c r="W33" s="2017" t="s">
        <v>25</v>
      </c>
      <c r="X33" s="1598" t="s">
        <v>24</v>
      </c>
      <c r="Y33" s="2017" t="s">
        <v>25</v>
      </c>
      <c r="Z33" s="1598" t="s">
        <v>24</v>
      </c>
      <c r="AA33" s="2017" t="s">
        <v>25</v>
      </c>
      <c r="AB33" s="1598" t="s">
        <v>24</v>
      </c>
      <c r="AC33" s="2017" t="s">
        <v>25</v>
      </c>
      <c r="AD33" s="1598" t="s">
        <v>24</v>
      </c>
      <c r="AE33" s="2017" t="s">
        <v>25</v>
      </c>
      <c r="AF33" s="1598" t="s">
        <v>24</v>
      </c>
      <c r="AG33" s="2017" t="s">
        <v>25</v>
      </c>
      <c r="AH33" s="2019"/>
      <c r="AI33" s="94"/>
      <c r="AJ33" s="94"/>
      <c r="AK33" s="94"/>
      <c r="AL33" s="94"/>
      <c r="AM33" s="94"/>
      <c r="AN33" s="94"/>
      <c r="AO33" s="94"/>
      <c r="AP33" s="94"/>
      <c r="AQ33" s="94"/>
      <c r="AR33" s="94"/>
      <c r="AS33" s="94"/>
      <c r="AT33" s="94"/>
      <c r="AU33" s="94"/>
      <c r="AV33" s="94"/>
      <c r="AW33" s="94"/>
      <c r="AX33" s="94"/>
      <c r="AY33" s="94"/>
      <c r="AZ33" s="94"/>
      <c r="BA33" s="94"/>
      <c r="BB33" s="94"/>
      <c r="CH33" s="1020"/>
      <c r="CI33" s="1020"/>
      <c r="CJ33" s="1020"/>
      <c r="CK33" s="1020"/>
      <c r="CL33" s="1020"/>
      <c r="CM33" s="1020"/>
      <c r="CN33" s="1020"/>
    </row>
    <row r="34" spans="1:92" ht="16.350000000000001" customHeight="1" x14ac:dyDescent="0.2">
      <c r="A34" s="2458" t="s">
        <v>2884</v>
      </c>
      <c r="B34" s="2542" t="s">
        <v>2250</v>
      </c>
      <c r="C34" s="140" t="s">
        <v>2777</v>
      </c>
      <c r="D34" s="2442" t="s">
        <v>2778</v>
      </c>
      <c r="E34" s="200" t="s">
        <v>2779</v>
      </c>
      <c r="F34" s="2391" t="s">
        <v>2780</v>
      </c>
      <c r="G34" s="2270" t="s">
        <v>2781</v>
      </c>
      <c r="H34" s="2391" t="s">
        <v>2782</v>
      </c>
      <c r="I34" s="2270" t="s">
        <v>2783</v>
      </c>
      <c r="J34" s="2391" t="s">
        <v>2784</v>
      </c>
      <c r="K34" s="2270" t="s">
        <v>2785</v>
      </c>
      <c r="L34" s="2391" t="s">
        <v>2786</v>
      </c>
      <c r="M34" s="2270" t="s">
        <v>2787</v>
      </c>
      <c r="N34" s="2391" t="s">
        <v>2788</v>
      </c>
      <c r="O34" s="2270" t="s">
        <v>2789</v>
      </c>
      <c r="P34" s="2391" t="s">
        <v>2790</v>
      </c>
      <c r="Q34" s="2270" t="s">
        <v>2791</v>
      </c>
      <c r="R34" s="2391" t="s">
        <v>2792</v>
      </c>
      <c r="S34" s="2270" t="s">
        <v>2793</v>
      </c>
      <c r="T34" s="2391" t="s">
        <v>2794</v>
      </c>
      <c r="U34" s="2270" t="s">
        <v>2795</v>
      </c>
      <c r="V34" s="2391" t="s">
        <v>2796</v>
      </c>
      <c r="W34" s="2270" t="s">
        <v>2797</v>
      </c>
      <c r="X34" s="2391" t="s">
        <v>2798</v>
      </c>
      <c r="Y34" s="2270" t="s">
        <v>2799</v>
      </c>
      <c r="Z34" s="2391" t="s">
        <v>2800</v>
      </c>
      <c r="AA34" s="2270" t="s">
        <v>2801</v>
      </c>
      <c r="AB34" s="2391" t="s">
        <v>2817</v>
      </c>
      <c r="AC34" s="2270" t="s">
        <v>2818</v>
      </c>
      <c r="AD34" s="2391" t="s">
        <v>2819</v>
      </c>
      <c r="AE34" s="2270" t="s">
        <v>2821</v>
      </c>
      <c r="AF34" s="2391" t="s">
        <v>2822</v>
      </c>
      <c r="AG34" s="2270" t="s">
        <v>2823</v>
      </c>
      <c r="AH34" s="947"/>
      <c r="AI34" s="94"/>
      <c r="AJ34" s="94"/>
      <c r="AK34" s="94"/>
      <c r="AL34" s="94"/>
      <c r="AM34" s="94"/>
      <c r="AN34" s="94"/>
      <c r="AO34" s="94"/>
      <c r="AP34" s="94"/>
      <c r="AQ34" s="94"/>
      <c r="AR34" s="94"/>
      <c r="AS34" s="94"/>
      <c r="AT34" s="94"/>
      <c r="AU34" s="94"/>
      <c r="AV34" s="94"/>
      <c r="AW34" s="94"/>
      <c r="AX34" s="94"/>
      <c r="AY34" s="94"/>
      <c r="AZ34" s="94"/>
      <c r="BA34" s="94"/>
      <c r="BB34" s="94"/>
      <c r="CH34" s="1020"/>
      <c r="CI34" s="1020"/>
      <c r="CJ34" s="1020"/>
      <c r="CK34" s="1020"/>
      <c r="CL34" s="1020"/>
      <c r="CM34" s="1020"/>
      <c r="CN34" s="1020"/>
    </row>
    <row r="35" spans="1:92" ht="16.350000000000001" customHeight="1" x14ac:dyDescent="0.2">
      <c r="A35" s="2458" t="s">
        <v>2885</v>
      </c>
      <c r="B35" s="2543" t="s">
        <v>2251</v>
      </c>
      <c r="C35" s="100" t="s">
        <v>2777</v>
      </c>
      <c r="D35" s="2444" t="s">
        <v>2778</v>
      </c>
      <c r="E35" s="202" t="s">
        <v>2779</v>
      </c>
      <c r="F35" s="166" t="s">
        <v>2780</v>
      </c>
      <c r="G35" s="125" t="s">
        <v>2781</v>
      </c>
      <c r="H35" s="166" t="s">
        <v>2782</v>
      </c>
      <c r="I35" s="125" t="s">
        <v>2783</v>
      </c>
      <c r="J35" s="166" t="s">
        <v>2784</v>
      </c>
      <c r="K35" s="125" t="s">
        <v>2785</v>
      </c>
      <c r="L35" s="166" t="s">
        <v>2786</v>
      </c>
      <c r="M35" s="125" t="s">
        <v>2787</v>
      </c>
      <c r="N35" s="166" t="s">
        <v>2788</v>
      </c>
      <c r="O35" s="125" t="s">
        <v>2789</v>
      </c>
      <c r="P35" s="166" t="s">
        <v>2790</v>
      </c>
      <c r="Q35" s="125" t="s">
        <v>2791</v>
      </c>
      <c r="R35" s="166" t="s">
        <v>2792</v>
      </c>
      <c r="S35" s="125" t="s">
        <v>2793</v>
      </c>
      <c r="T35" s="166" t="s">
        <v>2794</v>
      </c>
      <c r="U35" s="125" t="s">
        <v>2795</v>
      </c>
      <c r="V35" s="166" t="s">
        <v>2796</v>
      </c>
      <c r="W35" s="125" t="s">
        <v>2797</v>
      </c>
      <c r="X35" s="166" t="s">
        <v>2798</v>
      </c>
      <c r="Y35" s="125" t="s">
        <v>2799</v>
      </c>
      <c r="Z35" s="166" t="s">
        <v>2800</v>
      </c>
      <c r="AA35" s="125" t="s">
        <v>2801</v>
      </c>
      <c r="AB35" s="166" t="s">
        <v>2817</v>
      </c>
      <c r="AC35" s="125" t="s">
        <v>2818</v>
      </c>
      <c r="AD35" s="166" t="s">
        <v>2819</v>
      </c>
      <c r="AE35" s="125" t="s">
        <v>2821</v>
      </c>
      <c r="AF35" s="166" t="s">
        <v>2822</v>
      </c>
      <c r="AG35" s="125" t="s">
        <v>2823</v>
      </c>
      <c r="AH35" s="947"/>
      <c r="AI35" s="94"/>
      <c r="AJ35" s="94"/>
      <c r="AK35" s="94"/>
      <c r="AL35" s="94"/>
      <c r="AM35" s="94"/>
      <c r="AN35" s="94"/>
      <c r="AO35" s="94"/>
      <c r="AP35" s="94"/>
      <c r="AQ35" s="94"/>
      <c r="AR35" s="94"/>
      <c r="AS35" s="94"/>
      <c r="AT35" s="94"/>
      <c r="AU35" s="94"/>
      <c r="AV35" s="94"/>
      <c r="AW35" s="94"/>
      <c r="AX35" s="94"/>
      <c r="AY35" s="94"/>
      <c r="AZ35" s="94"/>
      <c r="BA35" s="94"/>
      <c r="BB35" s="94"/>
      <c r="CH35" s="1020"/>
      <c r="CI35" s="1020"/>
      <c r="CJ35" s="1020"/>
      <c r="CK35" s="1020"/>
      <c r="CL35" s="1020"/>
      <c r="CM35" s="1020"/>
      <c r="CN35" s="1020"/>
    </row>
    <row r="36" spans="1:92" x14ac:dyDescent="0.2">
      <c r="AH36" s="94"/>
      <c r="AI36" s="94"/>
      <c r="AJ36" s="94"/>
      <c r="AK36" s="94"/>
      <c r="AL36" s="94"/>
      <c r="AM36" s="94"/>
      <c r="AN36" s="94"/>
      <c r="AO36" s="94"/>
      <c r="AP36" s="94"/>
      <c r="AQ36" s="94"/>
      <c r="AR36" s="94"/>
      <c r="AS36" s="94"/>
      <c r="AT36" s="94"/>
      <c r="AU36" s="94"/>
      <c r="AV36" s="94"/>
      <c r="AW36" s="94"/>
      <c r="AX36" s="94"/>
      <c r="AY36" s="94"/>
      <c r="AZ36" s="94"/>
      <c r="BA36" s="94"/>
      <c r="BB36" s="94"/>
      <c r="CH36" s="1020"/>
      <c r="CI36" s="1020"/>
      <c r="CJ36" s="1020"/>
      <c r="CK36" s="1020"/>
      <c r="CL36" s="1020"/>
      <c r="CM36" s="1020"/>
      <c r="CN36" s="1020"/>
    </row>
    <row r="37" spans="1:92" x14ac:dyDescent="0.2">
      <c r="AH37" s="94"/>
      <c r="AI37" s="94"/>
      <c r="AJ37" s="94"/>
      <c r="AK37" s="94"/>
      <c r="AL37" s="94"/>
      <c r="AM37" s="94"/>
      <c r="AN37" s="94"/>
      <c r="AO37" s="94"/>
      <c r="AP37" s="94"/>
      <c r="AQ37" s="94"/>
      <c r="AR37" s="94"/>
      <c r="AS37" s="94"/>
      <c r="AT37" s="94"/>
      <c r="AU37" s="94"/>
      <c r="AV37" s="94"/>
      <c r="AW37" s="94"/>
      <c r="AX37" s="94"/>
      <c r="AY37" s="94"/>
      <c r="AZ37" s="94"/>
      <c r="BA37" s="94"/>
      <c r="BB37" s="94"/>
      <c r="CH37" s="1020"/>
      <c r="CI37" s="1020"/>
      <c r="CJ37" s="1020"/>
      <c r="CK37" s="1020"/>
      <c r="CL37" s="1020"/>
      <c r="CM37" s="1020"/>
      <c r="CN37" s="1020"/>
    </row>
    <row r="38" spans="1:92" x14ac:dyDescent="0.2">
      <c r="AH38" s="94"/>
      <c r="AI38" s="94"/>
      <c r="AJ38" s="94"/>
      <c r="AK38" s="94"/>
      <c r="AL38" s="94"/>
      <c r="AM38" s="94"/>
      <c r="AN38" s="94"/>
      <c r="AO38" s="94"/>
      <c r="AP38" s="94"/>
      <c r="AQ38" s="94"/>
      <c r="AR38" s="94"/>
      <c r="AS38" s="94"/>
      <c r="AT38" s="94"/>
      <c r="AU38" s="94"/>
      <c r="AV38" s="94"/>
      <c r="AW38" s="94"/>
      <c r="AX38" s="94"/>
      <c r="AY38" s="94"/>
      <c r="AZ38" s="94"/>
      <c r="BA38" s="94"/>
      <c r="BB38" s="94"/>
      <c r="CH38" s="1020"/>
      <c r="CI38" s="1020"/>
      <c r="CJ38" s="1020"/>
      <c r="CK38" s="1020"/>
      <c r="CL38" s="1020"/>
      <c r="CM38" s="1020"/>
      <c r="CN38" s="1020"/>
    </row>
    <row r="39" spans="1:92" x14ac:dyDescent="0.2">
      <c r="AH39" s="94"/>
      <c r="AI39" s="94"/>
      <c r="AJ39" s="94"/>
      <c r="AK39" s="94"/>
      <c r="AL39" s="94"/>
      <c r="AM39" s="94"/>
      <c r="AN39" s="94"/>
      <c r="AO39" s="94"/>
      <c r="AP39" s="94"/>
      <c r="AQ39" s="94"/>
      <c r="AR39" s="94"/>
      <c r="AS39" s="94"/>
      <c r="AT39" s="94"/>
      <c r="AU39" s="94"/>
      <c r="AV39" s="94"/>
      <c r="AW39" s="94"/>
      <c r="AX39" s="94"/>
      <c r="AY39" s="94"/>
      <c r="AZ39" s="94"/>
      <c r="BA39" s="94"/>
      <c r="BB39" s="94"/>
      <c r="CH39" s="1020"/>
      <c r="CI39" s="1020"/>
      <c r="CJ39" s="1020"/>
      <c r="CK39" s="1020"/>
      <c r="CL39" s="1020"/>
      <c r="CM39" s="1020"/>
      <c r="CN39" s="1020"/>
    </row>
    <row r="40" spans="1:92" x14ac:dyDescent="0.2">
      <c r="AH40" s="94"/>
      <c r="AI40" s="94"/>
      <c r="AJ40" s="94"/>
      <c r="AK40" s="94"/>
      <c r="AL40" s="94"/>
      <c r="AM40" s="94"/>
      <c r="AN40" s="94"/>
      <c r="AO40" s="94"/>
      <c r="AP40" s="94"/>
      <c r="AQ40" s="94"/>
      <c r="AR40" s="94"/>
      <c r="AS40" s="94"/>
      <c r="AT40" s="94"/>
      <c r="AU40" s="94"/>
      <c r="AV40" s="94"/>
      <c r="AW40" s="94"/>
      <c r="AX40" s="94"/>
      <c r="AY40" s="94"/>
      <c r="AZ40" s="94"/>
      <c r="BA40" s="94"/>
      <c r="BB40" s="94"/>
      <c r="CH40" s="1020"/>
      <c r="CI40" s="1020"/>
      <c r="CJ40" s="1020"/>
      <c r="CK40" s="1020"/>
      <c r="CL40" s="1020"/>
      <c r="CM40" s="1020"/>
      <c r="CN40" s="1020"/>
    </row>
    <row r="41" spans="1:92" x14ac:dyDescent="0.2">
      <c r="AH41" s="94"/>
      <c r="AI41" s="94"/>
      <c r="AJ41" s="94"/>
      <c r="AK41" s="94"/>
      <c r="AL41" s="94"/>
      <c r="AM41" s="94"/>
      <c r="AN41" s="94"/>
      <c r="AO41" s="94"/>
      <c r="AP41" s="94"/>
      <c r="AQ41" s="94"/>
      <c r="AR41" s="94"/>
      <c r="AS41" s="94"/>
      <c r="AT41" s="94"/>
      <c r="AU41" s="94"/>
      <c r="AV41" s="94"/>
      <c r="AW41" s="94"/>
      <c r="AX41" s="94"/>
      <c r="AY41" s="94"/>
      <c r="AZ41" s="94"/>
      <c r="BA41" s="94"/>
      <c r="BB41" s="94"/>
      <c r="CH41" s="1020"/>
      <c r="CI41" s="1020"/>
      <c r="CJ41" s="1020"/>
      <c r="CK41" s="1020"/>
      <c r="CL41" s="1020"/>
      <c r="CM41" s="1020"/>
      <c r="CN41" s="1020"/>
    </row>
    <row r="42" spans="1:92" x14ac:dyDescent="0.2">
      <c r="AH42" s="94"/>
      <c r="AI42" s="94"/>
      <c r="AJ42" s="94"/>
      <c r="AK42" s="94"/>
      <c r="AL42" s="94"/>
      <c r="AM42" s="94"/>
      <c r="AN42" s="94"/>
      <c r="AO42" s="94"/>
      <c r="AP42" s="94"/>
      <c r="AQ42" s="94"/>
      <c r="AR42" s="94"/>
      <c r="AS42" s="94"/>
      <c r="AT42" s="94"/>
      <c r="AU42" s="94"/>
      <c r="AV42" s="94"/>
      <c r="AW42" s="94"/>
      <c r="AX42" s="94"/>
      <c r="AY42" s="94"/>
      <c r="AZ42" s="94"/>
      <c r="BA42" s="94"/>
      <c r="BB42" s="94"/>
      <c r="CH42" s="1020"/>
      <c r="CI42" s="1020"/>
      <c r="CJ42" s="1020"/>
      <c r="CK42" s="1020"/>
      <c r="CL42" s="1020"/>
      <c r="CM42" s="1020"/>
      <c r="CN42" s="1020"/>
    </row>
    <row r="43" spans="1:92" x14ac:dyDescent="0.2">
      <c r="AH43" s="94"/>
      <c r="AI43" s="94"/>
      <c r="AJ43" s="94"/>
      <c r="AK43" s="94"/>
      <c r="AL43" s="94"/>
      <c r="AM43" s="94"/>
      <c r="AN43" s="94"/>
      <c r="AO43" s="94"/>
      <c r="AP43" s="94"/>
      <c r="AQ43" s="94"/>
      <c r="AR43" s="94"/>
      <c r="AS43" s="94"/>
      <c r="AT43" s="94"/>
      <c r="AU43" s="94"/>
      <c r="AV43" s="94"/>
      <c r="AW43" s="94"/>
      <c r="AX43" s="94"/>
      <c r="AY43" s="94"/>
      <c r="AZ43" s="94"/>
      <c r="BA43" s="94"/>
      <c r="BB43" s="94"/>
      <c r="CH43" s="1020"/>
      <c r="CI43" s="1020"/>
      <c r="CJ43" s="1020"/>
      <c r="CK43" s="1020"/>
      <c r="CL43" s="1020"/>
      <c r="CM43" s="1020"/>
      <c r="CN43" s="1020"/>
    </row>
    <row r="44" spans="1:92" x14ac:dyDescent="0.2">
      <c r="AH44" s="94"/>
      <c r="AI44" s="94"/>
      <c r="AJ44" s="94"/>
      <c r="AK44" s="94"/>
      <c r="AL44" s="94"/>
      <c r="AM44" s="94"/>
      <c r="AN44" s="94"/>
      <c r="AO44" s="94"/>
      <c r="AP44" s="94"/>
      <c r="AQ44" s="94"/>
      <c r="AR44" s="94"/>
      <c r="AS44" s="94"/>
      <c r="AT44" s="94"/>
      <c r="AU44" s="94"/>
      <c r="AV44" s="94"/>
      <c r="AW44" s="94"/>
      <c r="AX44" s="94"/>
      <c r="AY44" s="94"/>
      <c r="AZ44" s="94"/>
      <c r="BA44" s="94"/>
      <c r="BB44" s="94"/>
      <c r="CH44" s="1020"/>
      <c r="CI44" s="1020"/>
      <c r="CJ44" s="1020"/>
      <c r="CK44" s="1020"/>
      <c r="CL44" s="1020"/>
      <c r="CM44" s="1020"/>
      <c r="CN44" s="1020"/>
    </row>
    <row r="45" spans="1:92" x14ac:dyDescent="0.2">
      <c r="AH45" s="94"/>
      <c r="AI45" s="94"/>
      <c r="AJ45" s="94"/>
      <c r="AK45" s="94"/>
      <c r="AL45" s="94"/>
      <c r="AM45" s="94"/>
      <c r="AN45" s="94"/>
      <c r="AO45" s="94"/>
      <c r="AP45" s="94"/>
      <c r="AQ45" s="94"/>
      <c r="AR45" s="94"/>
      <c r="AS45" s="94"/>
      <c r="AT45" s="94"/>
      <c r="AU45" s="94"/>
      <c r="AV45" s="94"/>
      <c r="AW45" s="94"/>
      <c r="AX45" s="94"/>
      <c r="AY45" s="94"/>
      <c r="AZ45" s="94"/>
      <c r="BA45" s="94"/>
      <c r="BB45" s="94"/>
      <c r="CH45" s="1020"/>
      <c r="CI45" s="1020"/>
      <c r="CJ45" s="1020"/>
      <c r="CK45" s="1020"/>
      <c r="CL45" s="1020"/>
      <c r="CM45" s="1020"/>
      <c r="CN45" s="1020"/>
    </row>
    <row r="46" spans="1:92" x14ac:dyDescent="0.2">
      <c r="AH46" s="94"/>
      <c r="AI46" s="94"/>
      <c r="AJ46" s="94"/>
      <c r="AK46" s="94"/>
      <c r="AL46" s="94"/>
      <c r="AM46" s="94"/>
      <c r="AN46" s="94"/>
      <c r="AO46" s="94"/>
      <c r="AP46" s="94"/>
      <c r="AQ46" s="94"/>
      <c r="AR46" s="94"/>
      <c r="AS46" s="94"/>
      <c r="AT46" s="94"/>
      <c r="AU46" s="94"/>
      <c r="AV46" s="94"/>
      <c r="AW46" s="94"/>
      <c r="AX46" s="94"/>
      <c r="AY46" s="94"/>
      <c r="AZ46" s="94"/>
      <c r="BA46" s="94"/>
      <c r="BB46" s="94"/>
      <c r="CH46" s="1020"/>
      <c r="CI46" s="1020"/>
      <c r="CJ46" s="1020"/>
      <c r="CK46" s="1020"/>
      <c r="CL46" s="1020"/>
      <c r="CM46" s="1020"/>
      <c r="CN46" s="1020"/>
    </row>
    <row r="47" spans="1:92" x14ac:dyDescent="0.2">
      <c r="AH47" s="94"/>
      <c r="AI47" s="94"/>
      <c r="AJ47" s="94"/>
      <c r="AK47" s="94"/>
      <c r="AL47" s="94"/>
      <c r="AM47" s="94"/>
      <c r="AN47" s="94"/>
      <c r="AO47" s="94"/>
      <c r="AP47" s="94"/>
      <c r="AQ47" s="94"/>
      <c r="AR47" s="94"/>
      <c r="AS47" s="94"/>
      <c r="AT47" s="94"/>
      <c r="AU47" s="94"/>
      <c r="AV47" s="94"/>
      <c r="AW47" s="94"/>
      <c r="AX47" s="94"/>
      <c r="AY47" s="94"/>
      <c r="AZ47" s="94"/>
      <c r="BA47" s="94"/>
      <c r="BB47" s="94"/>
      <c r="CH47" s="1020"/>
      <c r="CI47" s="1020"/>
      <c r="CJ47" s="1020"/>
      <c r="CK47" s="1020"/>
      <c r="CL47" s="1020"/>
      <c r="CM47" s="1020"/>
      <c r="CN47" s="1020"/>
    </row>
    <row r="48" spans="1:92" x14ac:dyDescent="0.2">
      <c r="AH48" s="94"/>
      <c r="AI48" s="94"/>
      <c r="AJ48" s="94"/>
      <c r="AK48" s="94"/>
      <c r="AL48" s="94"/>
      <c r="AM48" s="94"/>
      <c r="AN48" s="94"/>
      <c r="AO48" s="94"/>
      <c r="AP48" s="94"/>
      <c r="AQ48" s="94"/>
      <c r="AR48" s="94"/>
      <c r="AS48" s="94"/>
      <c r="AT48" s="94"/>
      <c r="AU48" s="94"/>
      <c r="AV48" s="94"/>
      <c r="AW48" s="94"/>
      <c r="AX48" s="94"/>
      <c r="AY48" s="94"/>
      <c r="AZ48" s="94"/>
      <c r="BA48" s="94"/>
      <c r="BB48" s="94"/>
      <c r="CH48" s="1020"/>
      <c r="CI48" s="1020"/>
      <c r="CJ48" s="1020"/>
      <c r="CK48" s="1020"/>
      <c r="CL48" s="1020"/>
      <c r="CM48" s="1020"/>
      <c r="CN48" s="1020"/>
    </row>
    <row r="49" spans="34:92" x14ac:dyDescent="0.2">
      <c r="AH49" s="94"/>
      <c r="AI49" s="94"/>
      <c r="AJ49" s="94"/>
      <c r="AK49" s="94"/>
      <c r="AL49" s="94"/>
      <c r="AM49" s="94"/>
      <c r="AN49" s="94"/>
      <c r="AO49" s="94"/>
      <c r="AP49" s="94"/>
      <c r="AQ49" s="94"/>
      <c r="AR49" s="94"/>
      <c r="AS49" s="94"/>
      <c r="AT49" s="94"/>
      <c r="AU49" s="94"/>
      <c r="AV49" s="94"/>
      <c r="AW49" s="94"/>
      <c r="AX49" s="94"/>
      <c r="AY49" s="94"/>
      <c r="AZ49" s="94"/>
      <c r="BA49" s="94"/>
      <c r="BB49" s="94"/>
      <c r="CH49" s="1020"/>
      <c r="CI49" s="1020"/>
      <c r="CJ49" s="1020"/>
      <c r="CK49" s="1020"/>
      <c r="CL49" s="1020"/>
      <c r="CM49" s="1020"/>
      <c r="CN49" s="1020"/>
    </row>
    <row r="50" spans="34:92" x14ac:dyDescent="0.2">
      <c r="AH50" s="94"/>
      <c r="AI50" s="94"/>
      <c r="AJ50" s="94"/>
      <c r="AK50" s="94"/>
      <c r="AL50" s="94"/>
      <c r="AM50" s="94"/>
      <c r="AN50" s="94"/>
      <c r="AO50" s="94"/>
      <c r="AP50" s="94"/>
      <c r="AQ50" s="94"/>
      <c r="AR50" s="94"/>
      <c r="AS50" s="94"/>
      <c r="AT50" s="94"/>
      <c r="AU50" s="94"/>
      <c r="AV50" s="94"/>
      <c r="AW50" s="94"/>
      <c r="AX50" s="94"/>
      <c r="AY50" s="94"/>
      <c r="AZ50" s="94"/>
      <c r="BA50" s="94"/>
      <c r="BB50" s="94"/>
      <c r="CH50" s="1020"/>
      <c r="CI50" s="1020"/>
      <c r="CJ50" s="1020"/>
      <c r="CK50" s="1020"/>
      <c r="CL50" s="1020"/>
      <c r="CM50" s="1020"/>
      <c r="CN50" s="1020"/>
    </row>
    <row r="51" spans="34:92" x14ac:dyDescent="0.2">
      <c r="AH51" s="94"/>
      <c r="AI51" s="94"/>
      <c r="AJ51" s="94"/>
      <c r="AK51" s="94"/>
      <c r="AL51" s="94"/>
      <c r="AM51" s="94"/>
      <c r="AN51" s="94"/>
      <c r="AO51" s="94"/>
      <c r="AP51" s="94"/>
      <c r="AQ51" s="94"/>
      <c r="AR51" s="94"/>
      <c r="AS51" s="94"/>
      <c r="AT51" s="94"/>
      <c r="AU51" s="94"/>
      <c r="AV51" s="94"/>
      <c r="AW51" s="94"/>
      <c r="AX51" s="94"/>
      <c r="AY51" s="94"/>
      <c r="AZ51" s="94"/>
      <c r="BA51" s="94"/>
      <c r="BB51" s="94"/>
      <c r="CH51" s="1020"/>
      <c r="CI51" s="1020"/>
      <c r="CJ51" s="1020"/>
      <c r="CK51" s="1020"/>
      <c r="CL51" s="1020"/>
      <c r="CM51" s="1020"/>
      <c r="CN51" s="1020"/>
    </row>
    <row r="52" spans="34:92" x14ac:dyDescent="0.2">
      <c r="AH52" s="94"/>
      <c r="AI52" s="94"/>
      <c r="AJ52" s="94"/>
      <c r="AK52" s="94"/>
      <c r="AL52" s="94"/>
      <c r="AM52" s="94"/>
      <c r="AN52" s="94"/>
      <c r="AO52" s="94"/>
      <c r="AP52" s="94"/>
      <c r="AQ52" s="94"/>
      <c r="AR52" s="94"/>
      <c r="AS52" s="94"/>
      <c r="AT52" s="94"/>
      <c r="AU52" s="94"/>
      <c r="AV52" s="94"/>
      <c r="AW52" s="94"/>
      <c r="AX52" s="94"/>
      <c r="AY52" s="94"/>
      <c r="AZ52" s="94"/>
      <c r="BA52" s="94"/>
      <c r="BB52" s="94"/>
      <c r="CH52" s="1020"/>
      <c r="CI52" s="1020"/>
      <c r="CJ52" s="1020"/>
      <c r="CK52" s="1020"/>
      <c r="CL52" s="1020"/>
      <c r="CM52" s="1020"/>
      <c r="CN52" s="1020"/>
    </row>
    <row r="194" spans="2:105" ht="15.75" customHeight="1" x14ac:dyDescent="0.2"/>
    <row r="195" spans="2:105" s="206" customFormat="1" ht="16.5" hidden="1" customHeight="1" x14ac:dyDescent="0.2">
      <c r="B195" s="206">
        <f>SUM(C12:C17,C21:C25,C29:C30,C34:C35)</f>
        <v>0</v>
      </c>
      <c r="C195" s="206">
        <f>SUM(CH7:CN52)</f>
        <v>0</v>
      </c>
      <c r="CB195" s="1016"/>
      <c r="CC195" s="1016"/>
      <c r="CD195" s="1016"/>
      <c r="CE195" s="1016"/>
      <c r="CF195" s="1016"/>
      <c r="CG195" s="1016"/>
      <c r="CH195" s="1016"/>
      <c r="CI195" s="1016"/>
      <c r="CJ195" s="1016"/>
      <c r="CK195" s="1016"/>
      <c r="CL195" s="1016"/>
      <c r="CM195" s="1016"/>
      <c r="CN195" s="1016"/>
      <c r="CO195" s="1016"/>
      <c r="CP195" s="1016"/>
      <c r="CQ195" s="1016"/>
      <c r="CR195" s="1016"/>
      <c r="CS195" s="1016"/>
      <c r="CT195" s="1016"/>
      <c r="CU195" s="1016"/>
      <c r="CV195" s="1016"/>
      <c r="CW195" s="1016"/>
      <c r="CX195" s="1016"/>
      <c r="CY195" s="1016"/>
      <c r="CZ195" s="1016"/>
      <c r="DA195" s="1016"/>
    </row>
    <row r="196" spans="2:105" ht="16.5" customHeight="1" x14ac:dyDescent="0.2"/>
  </sheetData>
  <mergeCells count="52">
    <mergeCell ref="V32:W32"/>
    <mergeCell ref="X32:Y32"/>
    <mergeCell ref="Z32:AA32"/>
    <mergeCell ref="R27:S27"/>
    <mergeCell ref="X27:Y27"/>
    <mergeCell ref="Z27:AA27"/>
    <mergeCell ref="T27:U27"/>
    <mergeCell ref="V27:W27"/>
    <mergeCell ref="A9:A10"/>
    <mergeCell ref="AB32:AC32"/>
    <mergeCell ref="AB27:AC27"/>
    <mergeCell ref="AF27:AG27"/>
    <mergeCell ref="B32:B33"/>
    <mergeCell ref="C32:E32"/>
    <mergeCell ref="F32:G32"/>
    <mergeCell ref="H32:I32"/>
    <mergeCell ref="J32:K32"/>
    <mergeCell ref="L32:M32"/>
    <mergeCell ref="N32:O32"/>
    <mergeCell ref="AF32:AG32"/>
    <mergeCell ref="P32:Q32"/>
    <mergeCell ref="R32:S32"/>
    <mergeCell ref="T32:U32"/>
    <mergeCell ref="AD32:AE32"/>
    <mergeCell ref="AF19:AG19"/>
    <mergeCell ref="B27:B28"/>
    <mergeCell ref="C27:E27"/>
    <mergeCell ref="F27:G27"/>
    <mergeCell ref="H27:I27"/>
    <mergeCell ref="J27:K27"/>
    <mergeCell ref="L27:M27"/>
    <mergeCell ref="N27:O27"/>
    <mergeCell ref="P19:Q19"/>
    <mergeCell ref="R19:S19"/>
    <mergeCell ref="T19:U19"/>
    <mergeCell ref="V19:W19"/>
    <mergeCell ref="X19:Y19"/>
    <mergeCell ref="P27:Q27"/>
    <mergeCell ref="Z19:AA19"/>
    <mergeCell ref="AD27:AE27"/>
    <mergeCell ref="B6:AE6"/>
    <mergeCell ref="B9:B10"/>
    <mergeCell ref="C9:E9"/>
    <mergeCell ref="B19:B20"/>
    <mergeCell ref="C19:E19"/>
    <mergeCell ref="F19:G19"/>
    <mergeCell ref="H19:I19"/>
    <mergeCell ref="J19:K19"/>
    <mergeCell ref="L19:M19"/>
    <mergeCell ref="N19:O19"/>
    <mergeCell ref="AB19:AC19"/>
    <mergeCell ref="AD19:AE19"/>
  </mergeCells>
  <dataValidations count="1">
    <dataValidation operator="greaterThanOrEqual" allowBlank="1" showInputMessage="1" showErrorMessage="1" error="Valor no Permitido" sqref="B12:E17 B22:AG25 B29:AG30 B34:AG35" xr:uid="{00000000-0002-0000-0200-000000000000}"/>
  </dataValidation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>
    <tabColor theme="0"/>
  </sheetPr>
  <dimension ref="A1:EA251"/>
  <sheetViews>
    <sheetView showGridLines="0" zoomScaleNormal="100" workbookViewId="0"/>
  </sheetViews>
  <sheetFormatPr baseColWidth="10" defaultColWidth="11.42578125" defaultRowHeight="15" x14ac:dyDescent="0.25"/>
  <cols>
    <col min="1" max="1" width="13.85546875" style="210" customWidth="1"/>
    <col min="2" max="2" width="33.28515625" style="210" customWidth="1"/>
    <col min="3" max="3" width="30.7109375" style="210" customWidth="1"/>
    <col min="4" max="4" width="18.85546875" style="3857" customWidth="1"/>
    <col min="5" max="5" width="17.28515625" style="3857" customWidth="1"/>
    <col min="6" max="6" width="18.42578125" style="3857" customWidth="1"/>
    <col min="7" max="7" width="16.140625" style="210" customWidth="1"/>
    <col min="8" max="8" width="16" style="210" customWidth="1"/>
    <col min="9" max="9" width="15" style="210" customWidth="1"/>
    <col min="10" max="23" width="11.42578125" style="210"/>
    <col min="24" max="24" width="13.140625" style="210" customWidth="1"/>
    <col min="25" max="26" width="11.42578125" style="210"/>
    <col min="27" max="53" width="11.42578125" style="884"/>
    <col min="54" max="76" width="11.42578125" style="885"/>
    <col min="77" max="79" width="16" style="885" customWidth="1"/>
    <col min="80" max="103" width="16" style="887" customWidth="1"/>
    <col min="104" max="105" width="11.42578125" style="887" customWidth="1"/>
    <col min="106" max="131" width="11.42578125" style="211" customWidth="1"/>
    <col min="132" max="16384" width="11.42578125" style="210"/>
  </cols>
  <sheetData>
    <row r="1" spans="1:131" s="208" customFormat="1" ht="16.350000000000001" customHeight="1" x14ac:dyDescent="0.15">
      <c r="B1" s="207" t="s">
        <v>910</v>
      </c>
      <c r="D1" s="3757"/>
      <c r="E1" s="3757"/>
      <c r="F1" s="3757"/>
      <c r="AA1" s="894"/>
      <c r="AB1" s="894"/>
      <c r="AC1" s="894"/>
      <c r="AD1" s="894"/>
      <c r="AE1" s="894"/>
      <c r="AF1" s="894"/>
      <c r="AG1" s="894"/>
      <c r="AH1" s="894"/>
      <c r="AI1" s="894"/>
      <c r="AJ1" s="894"/>
      <c r="AK1" s="894"/>
      <c r="AL1" s="894"/>
      <c r="AM1" s="894"/>
      <c r="AN1" s="894"/>
      <c r="AO1" s="894"/>
      <c r="AP1" s="894"/>
      <c r="AQ1" s="894"/>
      <c r="AR1" s="894"/>
      <c r="AS1" s="894"/>
      <c r="AT1" s="894"/>
      <c r="AU1" s="894"/>
      <c r="AV1" s="894"/>
      <c r="AW1" s="894"/>
      <c r="AX1" s="894"/>
      <c r="AY1" s="894"/>
      <c r="AZ1" s="894"/>
      <c r="BA1" s="894"/>
      <c r="BB1" s="895"/>
      <c r="BC1" s="895"/>
      <c r="BD1" s="895"/>
      <c r="BE1" s="895"/>
      <c r="BF1" s="895"/>
      <c r="BG1" s="895"/>
      <c r="BH1" s="895"/>
      <c r="BI1" s="895"/>
      <c r="BJ1" s="895"/>
      <c r="BK1" s="895"/>
      <c r="BL1" s="895"/>
      <c r="BM1" s="895"/>
      <c r="BN1" s="895"/>
      <c r="BO1" s="895"/>
      <c r="BP1" s="895"/>
      <c r="BQ1" s="895"/>
      <c r="BR1" s="895"/>
      <c r="BS1" s="895"/>
      <c r="BT1" s="895"/>
      <c r="BU1" s="895"/>
      <c r="BV1" s="895"/>
      <c r="BW1" s="895"/>
      <c r="BX1" s="895"/>
      <c r="BY1" s="895"/>
      <c r="BZ1" s="895"/>
      <c r="CA1" s="895"/>
      <c r="CB1" s="886"/>
      <c r="CC1" s="886"/>
      <c r="CD1" s="886"/>
      <c r="CE1" s="886"/>
      <c r="CF1" s="886"/>
      <c r="CG1" s="886"/>
      <c r="CH1" s="886"/>
      <c r="CI1" s="886"/>
      <c r="CJ1" s="886"/>
      <c r="CK1" s="886"/>
      <c r="CL1" s="886"/>
      <c r="CM1" s="886"/>
      <c r="CN1" s="886"/>
      <c r="CO1" s="886"/>
      <c r="CP1" s="886"/>
      <c r="CQ1" s="886"/>
      <c r="CR1" s="886"/>
      <c r="CS1" s="886"/>
      <c r="CT1" s="886"/>
      <c r="CU1" s="886"/>
      <c r="CV1" s="886"/>
      <c r="CW1" s="886"/>
      <c r="CX1" s="886"/>
      <c r="CY1" s="886"/>
      <c r="CZ1" s="886"/>
      <c r="DA1" s="886"/>
      <c r="DB1" s="209"/>
      <c r="DC1" s="209"/>
      <c r="DD1" s="209"/>
      <c r="DE1" s="209"/>
      <c r="DF1" s="209"/>
      <c r="DG1" s="209"/>
      <c r="DH1" s="209"/>
      <c r="DI1" s="209"/>
      <c r="DJ1" s="209"/>
      <c r="DK1" s="209"/>
      <c r="DL1" s="209"/>
      <c r="DM1" s="209"/>
      <c r="DN1" s="209"/>
      <c r="DO1" s="209"/>
      <c r="DP1" s="209"/>
      <c r="DQ1" s="209"/>
      <c r="DR1" s="209"/>
      <c r="DS1" s="209"/>
      <c r="DT1" s="209"/>
      <c r="DU1" s="209"/>
      <c r="DV1" s="209"/>
      <c r="DW1" s="209"/>
      <c r="DX1" s="209"/>
      <c r="DY1" s="209"/>
      <c r="DZ1" s="209"/>
      <c r="EA1" s="209"/>
    </row>
    <row r="2" spans="1:131" s="208" customFormat="1" ht="16.350000000000001" customHeight="1" x14ac:dyDescent="0.15">
      <c r="B2" s="207" t="str">
        <f>CONCATENATE("COMUNA:",NOMBRE!B2," - ","( ",NOMBRE!C2,NOMBRE!D2,NOMBRE!E2,NOMBRE!F2,NOMBRE!G2," )")</f>
        <v>COMUNA: - (  )</v>
      </c>
      <c r="D2" s="3757"/>
      <c r="E2" s="3757"/>
      <c r="F2" s="3757"/>
      <c r="AA2" s="894"/>
      <c r="AB2" s="894"/>
      <c r="AC2" s="894"/>
      <c r="AD2" s="894"/>
      <c r="AE2" s="894"/>
      <c r="AF2" s="894"/>
      <c r="AG2" s="894"/>
      <c r="AH2" s="894"/>
      <c r="AI2" s="894"/>
      <c r="AJ2" s="894"/>
      <c r="AK2" s="894"/>
      <c r="AL2" s="894"/>
      <c r="AM2" s="894"/>
      <c r="AN2" s="894"/>
      <c r="AO2" s="894"/>
      <c r="AP2" s="894"/>
      <c r="AQ2" s="894"/>
      <c r="AR2" s="894"/>
      <c r="AS2" s="894"/>
      <c r="AT2" s="894"/>
      <c r="AU2" s="894"/>
      <c r="AV2" s="894"/>
      <c r="AW2" s="894"/>
      <c r="AX2" s="894"/>
      <c r="AY2" s="894"/>
      <c r="AZ2" s="894"/>
      <c r="BA2" s="894"/>
      <c r="BB2" s="895"/>
      <c r="BC2" s="895"/>
      <c r="BD2" s="895"/>
      <c r="BE2" s="895"/>
      <c r="BF2" s="895"/>
      <c r="BG2" s="895"/>
      <c r="BH2" s="895"/>
      <c r="BI2" s="895"/>
      <c r="BJ2" s="895"/>
      <c r="BK2" s="895"/>
      <c r="BL2" s="895"/>
      <c r="BM2" s="895"/>
      <c r="BN2" s="895"/>
      <c r="BO2" s="895"/>
      <c r="BP2" s="895"/>
      <c r="BQ2" s="895"/>
      <c r="BR2" s="895"/>
      <c r="BS2" s="895"/>
      <c r="BT2" s="895"/>
      <c r="BU2" s="895"/>
      <c r="BV2" s="895"/>
      <c r="BW2" s="895"/>
      <c r="BX2" s="895"/>
      <c r="BY2" s="895"/>
      <c r="BZ2" s="895"/>
      <c r="CA2" s="895"/>
      <c r="CB2" s="886"/>
      <c r="CC2" s="886"/>
      <c r="CD2" s="886"/>
      <c r="CE2" s="886"/>
      <c r="CF2" s="886"/>
      <c r="CG2" s="886"/>
      <c r="CH2" s="886"/>
      <c r="CI2" s="886"/>
      <c r="CJ2" s="886"/>
      <c r="CK2" s="886"/>
      <c r="CL2" s="886"/>
      <c r="CM2" s="886"/>
      <c r="CN2" s="886"/>
      <c r="CO2" s="886"/>
      <c r="CP2" s="886"/>
      <c r="CQ2" s="886"/>
      <c r="CR2" s="886"/>
      <c r="CS2" s="886"/>
      <c r="CT2" s="886"/>
      <c r="CU2" s="886"/>
      <c r="CV2" s="886"/>
      <c r="CW2" s="886"/>
      <c r="CX2" s="886"/>
      <c r="CY2" s="886"/>
      <c r="CZ2" s="886"/>
      <c r="DA2" s="886"/>
      <c r="DB2" s="209"/>
      <c r="DC2" s="209"/>
      <c r="DD2" s="209"/>
      <c r="DE2" s="209"/>
      <c r="DF2" s="209"/>
      <c r="DG2" s="209"/>
      <c r="DH2" s="209"/>
      <c r="DI2" s="209"/>
      <c r="DJ2" s="209"/>
      <c r="DK2" s="209"/>
      <c r="DL2" s="209"/>
      <c r="DM2" s="209"/>
      <c r="DN2" s="209"/>
      <c r="DO2" s="209"/>
      <c r="DP2" s="209"/>
      <c r="DQ2" s="209"/>
      <c r="DR2" s="209"/>
      <c r="DS2" s="209"/>
      <c r="DT2" s="209"/>
      <c r="DU2" s="209"/>
      <c r="DV2" s="209"/>
      <c r="DW2" s="209"/>
      <c r="DX2" s="209"/>
      <c r="DY2" s="209"/>
      <c r="DZ2" s="209"/>
      <c r="EA2" s="209"/>
    </row>
    <row r="3" spans="1:131" s="208" customFormat="1" ht="16.350000000000001" customHeight="1" x14ac:dyDescent="0.15">
      <c r="B3" s="207" t="str">
        <f>CONCATENATE("ESTABLECIMIENTO/ESTRATEGIA: ",NOMBRE!B3," - ","( ",NOMBRE!C3,NOMBRE!D3,NOMBRE!E3,NOMBRE!F3,NOMBRE!G3,NOMBRE!H3," )")</f>
        <v>ESTABLECIMIENTO/ESTRATEGIA:  - (  )</v>
      </c>
      <c r="D3" s="3757"/>
      <c r="E3" s="3757"/>
      <c r="F3" s="3757"/>
      <c r="AA3" s="894"/>
      <c r="AB3" s="894"/>
      <c r="AC3" s="894"/>
      <c r="AD3" s="894"/>
      <c r="AE3" s="894"/>
      <c r="AF3" s="894"/>
      <c r="AG3" s="894"/>
      <c r="AH3" s="894"/>
      <c r="AI3" s="894"/>
      <c r="AJ3" s="894"/>
      <c r="AK3" s="894"/>
      <c r="AL3" s="894"/>
      <c r="AM3" s="894"/>
      <c r="AN3" s="894"/>
      <c r="AO3" s="894"/>
      <c r="AP3" s="894"/>
      <c r="AQ3" s="894"/>
      <c r="AR3" s="894"/>
      <c r="AS3" s="894"/>
      <c r="AT3" s="894"/>
      <c r="AU3" s="894"/>
      <c r="AV3" s="894"/>
      <c r="AW3" s="894"/>
      <c r="AX3" s="894"/>
      <c r="AY3" s="894"/>
      <c r="AZ3" s="894"/>
      <c r="BA3" s="894"/>
      <c r="BB3" s="895"/>
      <c r="BC3" s="895"/>
      <c r="BD3" s="895"/>
      <c r="BE3" s="895"/>
      <c r="BF3" s="895"/>
      <c r="BG3" s="895"/>
      <c r="BH3" s="895"/>
      <c r="BI3" s="895"/>
      <c r="BJ3" s="895"/>
      <c r="BK3" s="895"/>
      <c r="BL3" s="895"/>
      <c r="BM3" s="895"/>
      <c r="BN3" s="895"/>
      <c r="BO3" s="895"/>
      <c r="BP3" s="895"/>
      <c r="BQ3" s="895"/>
      <c r="BR3" s="895"/>
      <c r="BS3" s="895"/>
      <c r="BT3" s="895"/>
      <c r="BU3" s="895"/>
      <c r="BV3" s="895"/>
      <c r="BW3" s="895"/>
      <c r="BX3" s="895"/>
      <c r="BY3" s="895"/>
      <c r="BZ3" s="895"/>
      <c r="CA3" s="895"/>
      <c r="CB3" s="886"/>
      <c r="CC3" s="886"/>
      <c r="CD3" s="886"/>
      <c r="CE3" s="886"/>
      <c r="CF3" s="886"/>
      <c r="CG3" s="886"/>
      <c r="CH3" s="886"/>
      <c r="CI3" s="886"/>
      <c r="CJ3" s="886"/>
      <c r="CK3" s="886"/>
      <c r="CL3" s="886"/>
      <c r="CM3" s="886"/>
      <c r="CN3" s="886"/>
      <c r="CO3" s="886"/>
      <c r="CP3" s="886"/>
      <c r="CQ3" s="886"/>
      <c r="CR3" s="886"/>
      <c r="CS3" s="886"/>
      <c r="CT3" s="886"/>
      <c r="CU3" s="886"/>
      <c r="CV3" s="886"/>
      <c r="CW3" s="886"/>
      <c r="CX3" s="886"/>
      <c r="CY3" s="886"/>
      <c r="CZ3" s="886"/>
      <c r="DA3" s="886"/>
      <c r="DB3" s="209"/>
      <c r="DC3" s="209"/>
      <c r="DD3" s="209"/>
      <c r="DE3" s="209"/>
      <c r="DF3" s="209"/>
      <c r="DG3" s="209"/>
      <c r="DH3" s="209"/>
      <c r="DI3" s="209"/>
      <c r="DJ3" s="209"/>
      <c r="DK3" s="209"/>
      <c r="DL3" s="209"/>
      <c r="DM3" s="209"/>
      <c r="DN3" s="209"/>
      <c r="DO3" s="209"/>
      <c r="DP3" s="209"/>
      <c r="DQ3" s="209"/>
      <c r="DR3" s="209"/>
      <c r="DS3" s="209"/>
      <c r="DT3" s="209"/>
      <c r="DU3" s="209"/>
      <c r="DV3" s="209"/>
      <c r="DW3" s="209"/>
      <c r="DX3" s="209"/>
      <c r="DY3" s="209"/>
      <c r="DZ3" s="209"/>
      <c r="EA3" s="209"/>
    </row>
    <row r="4" spans="1:131" s="208" customFormat="1" ht="16.350000000000001" customHeight="1" x14ac:dyDescent="0.15">
      <c r="B4" s="207" t="str">
        <f>CONCATENATE("MES: ",NOMBRE!B6," - ","( ",NOMBRE!C6,NOMBRE!D6," )")</f>
        <v>MES:  - (  )</v>
      </c>
      <c r="D4" s="3757"/>
      <c r="E4" s="3757"/>
      <c r="F4" s="3757"/>
      <c r="AA4" s="894"/>
      <c r="AB4" s="894"/>
      <c r="AC4" s="894"/>
      <c r="AD4" s="894"/>
      <c r="AE4" s="894"/>
      <c r="AF4" s="894"/>
      <c r="AG4" s="894"/>
      <c r="AH4" s="894"/>
      <c r="AI4" s="894"/>
      <c r="AJ4" s="894"/>
      <c r="AK4" s="894"/>
      <c r="AL4" s="894"/>
      <c r="AM4" s="894"/>
      <c r="AN4" s="894"/>
      <c r="AO4" s="894"/>
      <c r="AP4" s="894"/>
      <c r="AQ4" s="894"/>
      <c r="AR4" s="894"/>
      <c r="AS4" s="894"/>
      <c r="AT4" s="894"/>
      <c r="AU4" s="894"/>
      <c r="AV4" s="894"/>
      <c r="AW4" s="894"/>
      <c r="AX4" s="894"/>
      <c r="AY4" s="894"/>
      <c r="AZ4" s="894"/>
      <c r="BA4" s="894"/>
      <c r="BB4" s="895"/>
      <c r="BC4" s="895"/>
      <c r="BD4" s="895"/>
      <c r="BE4" s="895"/>
      <c r="BF4" s="895"/>
      <c r="BG4" s="895"/>
      <c r="BH4" s="895"/>
      <c r="BI4" s="895"/>
      <c r="BJ4" s="895"/>
      <c r="BK4" s="895"/>
      <c r="BL4" s="895"/>
      <c r="BM4" s="895"/>
      <c r="BN4" s="895"/>
      <c r="BO4" s="895"/>
      <c r="BP4" s="895"/>
      <c r="BQ4" s="895"/>
      <c r="BR4" s="895"/>
      <c r="BS4" s="895"/>
      <c r="BT4" s="895"/>
      <c r="BU4" s="895"/>
      <c r="BV4" s="895"/>
      <c r="BW4" s="895"/>
      <c r="BX4" s="895"/>
      <c r="BY4" s="895"/>
      <c r="BZ4" s="895"/>
      <c r="CA4" s="895"/>
      <c r="CB4" s="886"/>
      <c r="CC4" s="886"/>
      <c r="CD4" s="886"/>
      <c r="CE4" s="886"/>
      <c r="CF4" s="886"/>
      <c r="CG4" s="886"/>
      <c r="CH4" s="886"/>
      <c r="CI4" s="886"/>
      <c r="CJ4" s="886"/>
      <c r="CK4" s="886"/>
      <c r="CL4" s="886"/>
      <c r="CM4" s="886"/>
      <c r="CN4" s="886"/>
      <c r="CO4" s="886"/>
      <c r="CP4" s="886"/>
      <c r="CQ4" s="886"/>
      <c r="CR4" s="886"/>
      <c r="CS4" s="886"/>
      <c r="CT4" s="886"/>
      <c r="CU4" s="886"/>
      <c r="CV4" s="886"/>
      <c r="CW4" s="886"/>
      <c r="CX4" s="886"/>
      <c r="CY4" s="886"/>
      <c r="CZ4" s="886"/>
      <c r="DA4" s="886"/>
      <c r="DB4" s="209"/>
      <c r="DC4" s="209"/>
      <c r="DD4" s="209"/>
      <c r="DE4" s="209"/>
      <c r="DF4" s="209"/>
      <c r="DG4" s="209"/>
      <c r="DH4" s="209"/>
      <c r="DI4" s="209"/>
      <c r="DJ4" s="209"/>
      <c r="DK4" s="209"/>
      <c r="DL4" s="209"/>
      <c r="DM4" s="209"/>
      <c r="DN4" s="209"/>
      <c r="DO4" s="209"/>
      <c r="DP4" s="209"/>
      <c r="DQ4" s="209"/>
      <c r="DR4" s="209"/>
      <c r="DS4" s="209"/>
      <c r="DT4" s="209"/>
      <c r="DU4" s="209"/>
      <c r="DV4" s="209"/>
      <c r="DW4" s="209"/>
      <c r="DX4" s="209"/>
      <c r="DY4" s="209"/>
      <c r="DZ4" s="209"/>
      <c r="EA4" s="209"/>
    </row>
    <row r="5" spans="1:131" s="208" customFormat="1" ht="16.350000000000001" customHeight="1" x14ac:dyDescent="0.15">
      <c r="B5" s="207" t="str">
        <f>CONCATENATE("AÑO: ",NOMBRE!B7)</f>
        <v>AÑO: 2020</v>
      </c>
      <c r="D5" s="3757"/>
      <c r="E5" s="3757"/>
      <c r="F5" s="3757"/>
      <c r="AA5" s="894"/>
      <c r="AB5" s="894"/>
      <c r="AC5" s="894"/>
      <c r="AD5" s="894"/>
      <c r="AE5" s="894"/>
      <c r="AF5" s="894"/>
      <c r="AG5" s="894"/>
      <c r="AH5" s="894"/>
      <c r="AI5" s="894"/>
      <c r="AJ5" s="894"/>
      <c r="AK5" s="894"/>
      <c r="AL5" s="894"/>
      <c r="AM5" s="894"/>
      <c r="AN5" s="894"/>
      <c r="AO5" s="894"/>
      <c r="AP5" s="894"/>
      <c r="AQ5" s="894"/>
      <c r="AR5" s="894"/>
      <c r="AS5" s="894"/>
      <c r="AT5" s="894"/>
      <c r="AU5" s="894"/>
      <c r="AV5" s="894"/>
      <c r="AW5" s="894"/>
      <c r="AX5" s="894"/>
      <c r="AY5" s="894"/>
      <c r="AZ5" s="894"/>
      <c r="BA5" s="894"/>
      <c r="BB5" s="895"/>
      <c r="BC5" s="895"/>
      <c r="BD5" s="895"/>
      <c r="BE5" s="895"/>
      <c r="BF5" s="895"/>
      <c r="BG5" s="895"/>
      <c r="BH5" s="895"/>
      <c r="BI5" s="895"/>
      <c r="BJ5" s="895"/>
      <c r="BK5" s="895"/>
      <c r="BL5" s="895"/>
      <c r="BM5" s="895"/>
      <c r="BN5" s="895"/>
      <c r="BO5" s="895"/>
      <c r="BP5" s="895"/>
      <c r="BQ5" s="895"/>
      <c r="BR5" s="895"/>
      <c r="BS5" s="895"/>
      <c r="BT5" s="895"/>
      <c r="BU5" s="895"/>
      <c r="BV5" s="895"/>
      <c r="BW5" s="895"/>
      <c r="BX5" s="895"/>
      <c r="BY5" s="895"/>
      <c r="BZ5" s="895"/>
      <c r="CA5" s="895"/>
      <c r="CB5" s="886"/>
      <c r="CC5" s="886"/>
      <c r="CD5" s="886"/>
      <c r="CE5" s="886"/>
      <c r="CF5" s="886"/>
      <c r="CG5" s="886"/>
      <c r="CH5" s="886"/>
      <c r="CI5" s="886"/>
      <c r="CJ5" s="886"/>
      <c r="CK5" s="886"/>
      <c r="CL5" s="886"/>
      <c r="CM5" s="886"/>
      <c r="CN5" s="886"/>
      <c r="CO5" s="886"/>
      <c r="CP5" s="886"/>
      <c r="CQ5" s="886"/>
      <c r="CR5" s="886"/>
      <c r="CS5" s="886"/>
      <c r="CT5" s="886"/>
      <c r="CU5" s="886"/>
      <c r="CV5" s="886"/>
      <c r="CW5" s="886"/>
      <c r="CX5" s="886"/>
      <c r="CY5" s="886"/>
      <c r="CZ5" s="886"/>
      <c r="DA5" s="886"/>
      <c r="DB5" s="209"/>
      <c r="DC5" s="209"/>
      <c r="DD5" s="209"/>
      <c r="DE5" s="209"/>
      <c r="DF5" s="209"/>
      <c r="DG5" s="209"/>
      <c r="DH5" s="209"/>
      <c r="DI5" s="209"/>
      <c r="DJ5" s="209"/>
      <c r="DK5" s="209"/>
      <c r="DL5" s="209"/>
      <c r="DM5" s="209"/>
      <c r="DN5" s="209"/>
      <c r="DO5" s="209"/>
      <c r="DP5" s="209"/>
      <c r="DQ5" s="209"/>
      <c r="DR5" s="209"/>
      <c r="DS5" s="209"/>
      <c r="DT5" s="209"/>
      <c r="DU5" s="209"/>
      <c r="DV5" s="209"/>
      <c r="DW5" s="209"/>
      <c r="DX5" s="209"/>
      <c r="DY5" s="209"/>
      <c r="DZ5" s="209"/>
      <c r="EA5" s="209"/>
    </row>
    <row r="6" spans="1:131" ht="15.75" customHeight="1" x14ac:dyDescent="0.25">
      <c r="B6" s="5148" t="s">
        <v>168</v>
      </c>
      <c r="C6" s="5148"/>
      <c r="D6" s="5148"/>
      <c r="E6" s="5148"/>
      <c r="F6" s="5148"/>
      <c r="G6" s="5148"/>
      <c r="H6" s="5148"/>
      <c r="I6" s="5148"/>
      <c r="J6" s="5148"/>
      <c r="K6" s="5148"/>
      <c r="L6" s="5148"/>
      <c r="M6" s="5148"/>
      <c r="N6" s="5148"/>
      <c r="O6" s="5148"/>
      <c r="P6" s="5148"/>
      <c r="Q6" s="5148"/>
      <c r="R6" s="5148"/>
      <c r="S6" s="5148"/>
      <c r="T6" s="5148"/>
      <c r="U6" s="5148"/>
      <c r="V6" s="5148"/>
      <c r="W6" s="5148"/>
      <c r="X6" s="5148"/>
      <c r="Y6" s="5148"/>
      <c r="Z6" s="5225"/>
      <c r="AA6" s="892"/>
      <c r="AB6" s="892"/>
    </row>
    <row r="7" spans="1:131" ht="31.35" customHeight="1" x14ac:dyDescent="0.25">
      <c r="B7" s="86" t="s">
        <v>2611</v>
      </c>
      <c r="C7" s="2240"/>
      <c r="D7" s="3498"/>
      <c r="E7" s="3498"/>
      <c r="F7" s="3498"/>
      <c r="G7" s="2240"/>
      <c r="H7" s="2240"/>
      <c r="I7" s="2240"/>
      <c r="J7" s="2240"/>
      <c r="K7" s="2240"/>
      <c r="L7" s="2240"/>
      <c r="M7" s="2240"/>
      <c r="N7" s="2240"/>
      <c r="O7" s="2240"/>
      <c r="P7" s="2240"/>
      <c r="Q7" s="212"/>
      <c r="R7" s="213"/>
      <c r="S7" s="892"/>
      <c r="T7" s="892"/>
      <c r="U7" s="892"/>
      <c r="V7" s="892"/>
      <c r="W7" s="892"/>
      <c r="X7" s="892"/>
      <c r="Y7" s="892"/>
      <c r="Z7" s="892"/>
      <c r="AA7" s="892"/>
      <c r="AB7" s="892"/>
      <c r="BB7" s="884"/>
      <c r="BC7" s="884"/>
      <c r="BD7" s="884"/>
      <c r="BE7" s="884"/>
      <c r="BF7" s="884"/>
      <c r="BG7" s="884"/>
      <c r="BH7" s="884"/>
      <c r="BI7" s="884"/>
      <c r="BJ7" s="884"/>
      <c r="BK7" s="884"/>
      <c r="BL7" s="884"/>
      <c r="BM7" s="884"/>
      <c r="BN7" s="884"/>
      <c r="BO7" s="884"/>
      <c r="BP7" s="884"/>
      <c r="BQ7" s="884"/>
      <c r="BR7" s="884"/>
      <c r="BS7" s="884"/>
      <c r="BT7" s="884"/>
      <c r="BU7" s="884"/>
      <c r="BV7" s="884"/>
      <c r="BW7" s="884"/>
      <c r="BX7" s="884"/>
      <c r="BY7" s="884"/>
      <c r="BZ7" s="884"/>
      <c r="CA7" s="884"/>
      <c r="DB7" s="210"/>
      <c r="DC7" s="210"/>
      <c r="DD7" s="210"/>
      <c r="DE7" s="210"/>
      <c r="DF7" s="210"/>
      <c r="DG7" s="210"/>
      <c r="DH7" s="210"/>
      <c r="DI7" s="210"/>
      <c r="DJ7" s="210"/>
      <c r="DK7" s="210"/>
      <c r="DL7" s="210"/>
      <c r="DM7" s="210"/>
      <c r="DN7" s="210"/>
      <c r="DO7" s="210"/>
      <c r="DP7" s="210"/>
      <c r="DQ7" s="210"/>
      <c r="DR7" s="210"/>
      <c r="DS7" s="210"/>
      <c r="DT7" s="210"/>
      <c r="DU7" s="210"/>
      <c r="DV7" s="210"/>
      <c r="DW7" s="210"/>
      <c r="DX7" s="210"/>
      <c r="DY7" s="210"/>
      <c r="DZ7" s="210"/>
      <c r="EA7" s="210"/>
    </row>
    <row r="8" spans="1:131" ht="31.35" customHeight="1" x14ac:dyDescent="0.25">
      <c r="B8" s="2260" t="s">
        <v>2219</v>
      </c>
      <c r="C8" s="2261"/>
      <c r="D8" s="3758"/>
      <c r="E8" s="3758"/>
      <c r="F8" s="3758"/>
      <c r="G8" s="85"/>
      <c r="H8" s="953"/>
      <c r="I8" s="2262"/>
      <c r="J8" s="2263"/>
      <c r="K8" s="953"/>
      <c r="L8" s="2264"/>
      <c r="M8" s="953"/>
      <c r="N8" s="2262"/>
      <c r="O8" s="2263"/>
      <c r="P8" s="2263"/>
      <c r="Q8" s="954"/>
      <c r="R8" s="953"/>
      <c r="S8" s="2262"/>
      <c r="T8" s="2262"/>
      <c r="U8" s="2262"/>
      <c r="V8" s="2262"/>
      <c r="W8" s="2262"/>
      <c r="X8" s="2262"/>
      <c r="Y8" s="2262"/>
      <c r="Z8" s="2263"/>
      <c r="AA8" s="955"/>
      <c r="BB8" s="884"/>
      <c r="BC8" s="884"/>
      <c r="BD8" s="884"/>
      <c r="BE8" s="884"/>
      <c r="BF8" s="884"/>
      <c r="BG8" s="884"/>
      <c r="BH8" s="884"/>
      <c r="BI8" s="884"/>
      <c r="BJ8" s="884"/>
      <c r="BK8" s="884"/>
      <c r="BL8" s="884"/>
      <c r="BM8" s="884"/>
      <c r="BN8" s="884"/>
      <c r="BO8" s="884"/>
      <c r="BP8" s="884"/>
      <c r="BQ8" s="884"/>
      <c r="BR8" s="884"/>
      <c r="BS8" s="884"/>
      <c r="BT8" s="884"/>
      <c r="BU8" s="884"/>
      <c r="BV8" s="884"/>
      <c r="BW8" s="884"/>
      <c r="BX8" s="884"/>
      <c r="BY8" s="884"/>
      <c r="BZ8" s="884"/>
      <c r="CA8" s="884"/>
      <c r="DB8" s="210"/>
      <c r="DC8" s="210"/>
      <c r="DD8" s="210"/>
      <c r="DE8" s="210"/>
      <c r="DF8" s="210"/>
      <c r="DG8" s="210"/>
      <c r="DH8" s="210"/>
      <c r="DI8" s="210"/>
      <c r="DJ8" s="210"/>
      <c r="DK8" s="210"/>
      <c r="DL8" s="210"/>
      <c r="DM8" s="210"/>
      <c r="DN8" s="210"/>
      <c r="DO8" s="210"/>
      <c r="DP8" s="210"/>
      <c r="DQ8" s="210"/>
      <c r="DR8" s="210"/>
      <c r="DS8" s="210"/>
      <c r="DT8" s="210"/>
      <c r="DU8" s="210"/>
      <c r="DV8" s="210"/>
      <c r="DW8" s="210"/>
      <c r="DX8" s="210"/>
      <c r="DY8" s="210"/>
      <c r="DZ8" s="210"/>
      <c r="EA8" s="210"/>
    </row>
    <row r="9" spans="1:131" ht="16.350000000000001" customHeight="1" x14ac:dyDescent="0.25">
      <c r="A9" s="5370" t="s">
        <v>2775</v>
      </c>
      <c r="B9" s="5325" t="s">
        <v>169</v>
      </c>
      <c r="C9" s="5325"/>
      <c r="D9" s="5326" t="s">
        <v>170</v>
      </c>
      <c r="E9" s="5327"/>
      <c r="F9" s="5328"/>
      <c r="G9" s="5323" t="s">
        <v>39</v>
      </c>
      <c r="H9" s="5110"/>
      <c r="I9" s="5110"/>
      <c r="J9" s="5110"/>
      <c r="K9" s="5110"/>
      <c r="L9" s="5110"/>
      <c r="M9" s="5110"/>
      <c r="N9" s="5110"/>
      <c r="O9" s="5110"/>
      <c r="P9" s="5110"/>
      <c r="Q9" s="5110"/>
      <c r="R9" s="5110"/>
      <c r="S9" s="5110"/>
      <c r="T9" s="5110"/>
      <c r="U9" s="5110"/>
      <c r="V9" s="5110"/>
      <c r="W9" s="5110"/>
      <c r="X9" s="5110"/>
      <c r="Y9" s="5110"/>
      <c r="Z9" s="5111"/>
      <c r="AA9" s="2265"/>
      <c r="AB9" s="2266"/>
    </row>
    <row r="10" spans="1:131" ht="16.350000000000001" customHeight="1" x14ac:dyDescent="0.25">
      <c r="A10" s="5370"/>
      <c r="B10" s="5325"/>
      <c r="C10" s="5325"/>
      <c r="D10" s="5182"/>
      <c r="E10" s="5183"/>
      <c r="F10" s="5321"/>
      <c r="G10" s="5323" t="s">
        <v>43</v>
      </c>
      <c r="H10" s="5111"/>
      <c r="I10" s="5323" t="s">
        <v>44</v>
      </c>
      <c r="J10" s="5111"/>
      <c r="K10" s="5323" t="s">
        <v>45</v>
      </c>
      <c r="L10" s="5111"/>
      <c r="M10" s="5323" t="s">
        <v>46</v>
      </c>
      <c r="N10" s="5111"/>
      <c r="O10" s="5323" t="s">
        <v>47</v>
      </c>
      <c r="P10" s="5111"/>
      <c r="Q10" s="5323" t="s">
        <v>48</v>
      </c>
      <c r="R10" s="5111"/>
      <c r="S10" s="5323" t="s">
        <v>49</v>
      </c>
      <c r="T10" s="5111"/>
      <c r="U10" s="5323" t="s">
        <v>171</v>
      </c>
      <c r="V10" s="5111"/>
      <c r="W10" s="5323" t="s">
        <v>172</v>
      </c>
      <c r="X10" s="5111"/>
      <c r="Y10" s="5323" t="s">
        <v>1261</v>
      </c>
      <c r="Z10" s="5111"/>
      <c r="AA10" s="893"/>
      <c r="AB10" s="892"/>
    </row>
    <row r="11" spans="1:131" ht="16.350000000000001" customHeight="1" x14ac:dyDescent="0.25">
      <c r="B11" s="5325"/>
      <c r="C11" s="5325"/>
      <c r="D11" s="3759" t="s">
        <v>184</v>
      </c>
      <c r="E11" s="3760" t="s">
        <v>24</v>
      </c>
      <c r="F11" s="3492" t="s">
        <v>25</v>
      </c>
      <c r="G11" s="2544" t="s">
        <v>24</v>
      </c>
      <c r="H11" s="2526" t="s">
        <v>25</v>
      </c>
      <c r="I11" s="2544" t="s">
        <v>24</v>
      </c>
      <c r="J11" s="2526" t="s">
        <v>25</v>
      </c>
      <c r="K11" s="2544" t="s">
        <v>24</v>
      </c>
      <c r="L11" s="2526" t="s">
        <v>25</v>
      </c>
      <c r="M11" s="2545" t="s">
        <v>24</v>
      </c>
      <c r="N11" s="2526" t="s">
        <v>25</v>
      </c>
      <c r="O11" s="2544" t="s">
        <v>24</v>
      </c>
      <c r="P11" s="2526" t="s">
        <v>25</v>
      </c>
      <c r="Q11" s="2544" t="s">
        <v>24</v>
      </c>
      <c r="R11" s="2526" t="s">
        <v>25</v>
      </c>
      <c r="S11" s="2544" t="s">
        <v>24</v>
      </c>
      <c r="T11" s="2526" t="s">
        <v>25</v>
      </c>
      <c r="U11" s="2544" t="s">
        <v>24</v>
      </c>
      <c r="V11" s="2526" t="s">
        <v>25</v>
      </c>
      <c r="W11" s="2544" t="s">
        <v>24</v>
      </c>
      <c r="X11" s="2526" t="s">
        <v>25</v>
      </c>
      <c r="Y11" s="2544" t="s">
        <v>24</v>
      </c>
      <c r="Z11" s="2526" t="s">
        <v>25</v>
      </c>
      <c r="AA11" s="2267"/>
      <c r="AB11" s="2268"/>
    </row>
    <row r="12" spans="1:131" ht="16.350000000000001" customHeight="1" x14ac:dyDescent="0.25">
      <c r="A12" s="2549" t="s">
        <v>2886</v>
      </c>
      <c r="B12" s="5324" t="s">
        <v>174</v>
      </c>
      <c r="C12" s="5324"/>
      <c r="D12" s="3761" t="s">
        <v>2777</v>
      </c>
      <c r="E12" s="3762" t="s">
        <v>2778</v>
      </c>
      <c r="F12" s="2879" t="s">
        <v>2779</v>
      </c>
      <c r="G12" s="2551" t="s">
        <v>2780</v>
      </c>
      <c r="H12" s="2552" t="s">
        <v>2781</v>
      </c>
      <c r="I12" s="2551" t="s">
        <v>2782</v>
      </c>
      <c r="J12" s="2552" t="s">
        <v>2783</v>
      </c>
      <c r="K12" s="2551" t="s">
        <v>2784</v>
      </c>
      <c r="L12" s="2552" t="s">
        <v>2785</v>
      </c>
      <c r="M12" s="2551" t="s">
        <v>2786</v>
      </c>
      <c r="N12" s="2552" t="s">
        <v>2787</v>
      </c>
      <c r="O12" s="2553" t="s">
        <v>2788</v>
      </c>
      <c r="P12" s="2552" t="s">
        <v>2789</v>
      </c>
      <c r="Q12" s="2551" t="s">
        <v>2790</v>
      </c>
      <c r="R12" s="2552" t="s">
        <v>2791</v>
      </c>
      <c r="S12" s="2551" t="s">
        <v>2792</v>
      </c>
      <c r="T12" s="2552" t="s">
        <v>2793</v>
      </c>
      <c r="U12" s="2551" t="s">
        <v>2794</v>
      </c>
      <c r="V12" s="2552" t="s">
        <v>2795</v>
      </c>
      <c r="W12" s="2551" t="s">
        <v>2796</v>
      </c>
      <c r="X12" s="2552" t="s">
        <v>2797</v>
      </c>
      <c r="Y12" s="2551" t="s">
        <v>2798</v>
      </c>
      <c r="Z12" s="2552" t="s">
        <v>2799</v>
      </c>
      <c r="AA12" s="2269"/>
      <c r="AB12" s="1062"/>
      <c r="AC12" s="1062"/>
      <c r="AD12" s="1062"/>
      <c r="AE12" s="1062"/>
      <c r="AF12" s="1062"/>
      <c r="AG12" s="1062"/>
      <c r="AH12" s="1062"/>
      <c r="AI12" s="1062"/>
      <c r="AJ12" s="1062"/>
      <c r="AK12" s="1062"/>
      <c r="AL12" s="1062"/>
    </row>
    <row r="13" spans="1:131" ht="16.350000000000001" customHeight="1" x14ac:dyDescent="0.25">
      <c r="A13" s="2549" t="s">
        <v>2887</v>
      </c>
      <c r="B13" s="5288" t="s">
        <v>175</v>
      </c>
      <c r="C13" s="2548" t="s">
        <v>163</v>
      </c>
      <c r="D13" s="3763" t="s">
        <v>2777</v>
      </c>
      <c r="E13" s="3764" t="s">
        <v>2778</v>
      </c>
      <c r="F13" s="3765" t="s">
        <v>2779</v>
      </c>
      <c r="G13" s="2391" t="s">
        <v>2780</v>
      </c>
      <c r="H13" s="2270" t="s">
        <v>2781</v>
      </c>
      <c r="I13" s="2483" t="s">
        <v>2782</v>
      </c>
      <c r="J13" s="2271" t="s">
        <v>2783</v>
      </c>
      <c r="K13" s="2462" t="s">
        <v>2784</v>
      </c>
      <c r="L13" s="2271" t="s">
        <v>2785</v>
      </c>
      <c r="M13" s="2391" t="s">
        <v>2786</v>
      </c>
      <c r="N13" s="2270" t="s">
        <v>2787</v>
      </c>
      <c r="O13" s="2483" t="s">
        <v>2788</v>
      </c>
      <c r="P13" s="2271" t="s">
        <v>2789</v>
      </c>
      <c r="Q13" s="2462" t="s">
        <v>2790</v>
      </c>
      <c r="R13" s="2271" t="s">
        <v>2791</v>
      </c>
      <c r="S13" s="2391" t="s">
        <v>2792</v>
      </c>
      <c r="T13" s="2270" t="s">
        <v>2793</v>
      </c>
      <c r="U13" s="2483" t="s">
        <v>2794</v>
      </c>
      <c r="V13" s="2271" t="s">
        <v>2795</v>
      </c>
      <c r="W13" s="2462" t="s">
        <v>2796</v>
      </c>
      <c r="X13" s="2271" t="s">
        <v>2797</v>
      </c>
      <c r="Y13" s="2391" t="s">
        <v>2798</v>
      </c>
      <c r="Z13" s="2270" t="s">
        <v>2799</v>
      </c>
      <c r="AA13" s="2269"/>
      <c r="AB13" s="2272"/>
      <c r="DG13" s="211">
        <v>0</v>
      </c>
      <c r="DH13" s="211">
        <v>0</v>
      </c>
      <c r="DI13" s="211">
        <v>0</v>
      </c>
      <c r="DJ13" s="211">
        <v>0</v>
      </c>
      <c r="DK13" s="211">
        <v>0</v>
      </c>
      <c r="DL13" s="211">
        <v>0</v>
      </c>
      <c r="DM13" s="211">
        <v>0</v>
      </c>
      <c r="DN13" s="211">
        <v>0</v>
      </c>
      <c r="DO13" s="211">
        <v>0</v>
      </c>
      <c r="DP13" s="211">
        <v>0</v>
      </c>
      <c r="DQ13" s="211">
        <v>0</v>
      </c>
      <c r="DR13" s="211">
        <v>0</v>
      </c>
      <c r="DS13" s="211">
        <v>0</v>
      </c>
      <c r="DT13" s="211">
        <v>0</v>
      </c>
      <c r="DU13" s="211">
        <v>0</v>
      </c>
      <c r="DV13" s="211">
        <v>0</v>
      </c>
      <c r="DW13" s="211">
        <v>0</v>
      </c>
      <c r="DX13" s="211">
        <v>0</v>
      </c>
      <c r="DY13" s="211">
        <v>0</v>
      </c>
      <c r="DZ13" s="211">
        <v>0</v>
      </c>
    </row>
    <row r="14" spans="1:131" ht="16.350000000000001" customHeight="1" x14ac:dyDescent="0.25">
      <c r="A14" s="2549" t="s">
        <v>2888</v>
      </c>
      <c r="B14" s="5297"/>
      <c r="C14" s="2430" t="s">
        <v>176</v>
      </c>
      <c r="D14" s="716" t="s">
        <v>2777</v>
      </c>
      <c r="E14" s="3766" t="s">
        <v>2778</v>
      </c>
      <c r="F14" s="3767" t="s">
        <v>2779</v>
      </c>
      <c r="G14" s="218" t="s">
        <v>2780</v>
      </c>
      <c r="H14" s="218" t="s">
        <v>2781</v>
      </c>
      <c r="I14" s="166" t="s">
        <v>2782</v>
      </c>
      <c r="J14" s="125" t="s">
        <v>2783</v>
      </c>
      <c r="K14" s="166" t="s">
        <v>2784</v>
      </c>
      <c r="L14" s="125" t="s">
        <v>2785</v>
      </c>
      <c r="M14" s="2273" t="s">
        <v>2786</v>
      </c>
      <c r="N14" s="2274" t="s">
        <v>2787</v>
      </c>
      <c r="O14" s="2275" t="s">
        <v>2788</v>
      </c>
      <c r="P14" s="2274" t="s">
        <v>2789</v>
      </c>
      <c r="Q14" s="2275" t="s">
        <v>2790</v>
      </c>
      <c r="R14" s="2274" t="s">
        <v>2791</v>
      </c>
      <c r="S14" s="2273" t="s">
        <v>2792</v>
      </c>
      <c r="T14" s="2274" t="s">
        <v>2793</v>
      </c>
      <c r="U14" s="2276" t="s">
        <v>2794</v>
      </c>
      <c r="V14" s="2277" t="s">
        <v>2795</v>
      </c>
      <c r="W14" s="2273" t="s">
        <v>2796</v>
      </c>
      <c r="X14" s="2277" t="s">
        <v>2797</v>
      </c>
      <c r="Y14" s="2273" t="s">
        <v>2798</v>
      </c>
      <c r="Z14" s="218" t="s">
        <v>2799</v>
      </c>
      <c r="AA14" s="2269"/>
      <c r="AB14" s="2278"/>
    </row>
    <row r="15" spans="1:131" ht="15" customHeight="1" x14ac:dyDescent="0.25">
      <c r="B15" s="2279"/>
      <c r="C15" s="2280"/>
      <c r="D15" s="3768"/>
      <c r="E15" s="3769"/>
      <c r="F15" s="3770"/>
      <c r="G15" s="2282"/>
      <c r="H15" s="2283"/>
      <c r="I15" s="2283"/>
      <c r="J15" s="2281"/>
      <c r="K15" s="2283"/>
      <c r="L15" s="2282"/>
      <c r="M15" s="219"/>
      <c r="N15" s="2284"/>
      <c r="O15" s="2285"/>
      <c r="P15" s="2286"/>
      <c r="Q15" s="2286"/>
      <c r="R15" s="2282"/>
      <c r="S15" s="219"/>
      <c r="T15" s="2282"/>
      <c r="U15" s="2282"/>
      <c r="V15" s="2282"/>
      <c r="W15" s="2282"/>
      <c r="X15" s="2287"/>
      <c r="Y15" s="2282"/>
      <c r="Z15" s="2282"/>
      <c r="AA15" s="2288"/>
      <c r="AB15" s="2289"/>
    </row>
    <row r="16" spans="1:131" ht="31.35" customHeight="1" x14ac:dyDescent="0.25">
      <c r="B16" s="2290" t="s">
        <v>2218</v>
      </c>
      <c r="C16" s="2261"/>
      <c r="D16" s="3758"/>
      <c r="E16" s="3758"/>
      <c r="F16" s="3758"/>
      <c r="G16" s="2261"/>
      <c r="H16" s="2261"/>
      <c r="I16" s="2261"/>
      <c r="J16" s="2261"/>
      <c r="K16" s="2261"/>
      <c r="L16" s="2261"/>
      <c r="M16" s="2261"/>
      <c r="N16" s="2261"/>
      <c r="O16" s="2261"/>
      <c r="P16" s="2261"/>
      <c r="Q16" s="85"/>
      <c r="R16" s="2238"/>
      <c r="S16" s="929"/>
      <c r="T16" s="929"/>
      <c r="U16" s="929"/>
      <c r="V16" s="929"/>
      <c r="W16" s="929"/>
      <c r="X16" s="892"/>
      <c r="Y16" s="892"/>
      <c r="Z16" s="892"/>
      <c r="AA16" s="892"/>
      <c r="AB16" s="892"/>
      <c r="BB16" s="884"/>
      <c r="BC16" s="884"/>
      <c r="BD16" s="884"/>
      <c r="BE16" s="884"/>
      <c r="BF16" s="884"/>
      <c r="BG16" s="884"/>
      <c r="BH16" s="884"/>
      <c r="BI16" s="884"/>
      <c r="BJ16" s="884"/>
      <c r="BK16" s="884"/>
      <c r="BL16" s="884"/>
      <c r="BM16" s="884"/>
      <c r="BN16" s="884"/>
      <c r="BO16" s="884"/>
      <c r="BP16" s="884"/>
      <c r="BQ16" s="884"/>
      <c r="BR16" s="884"/>
      <c r="BS16" s="884"/>
      <c r="BT16" s="884"/>
      <c r="BU16" s="884"/>
      <c r="BV16" s="884"/>
      <c r="BW16" s="884"/>
      <c r="BX16" s="884"/>
      <c r="BY16" s="884"/>
      <c r="BZ16" s="884"/>
      <c r="CA16" s="884"/>
      <c r="DB16" s="210"/>
      <c r="DC16" s="210"/>
      <c r="DD16" s="210"/>
      <c r="DE16" s="210"/>
      <c r="DF16" s="210"/>
      <c r="DG16" s="210"/>
      <c r="DH16" s="210"/>
      <c r="DI16" s="210"/>
      <c r="DJ16" s="210"/>
      <c r="DK16" s="210"/>
      <c r="DL16" s="210"/>
      <c r="DM16" s="210"/>
      <c r="DN16" s="210"/>
      <c r="DO16" s="210"/>
      <c r="DP16" s="210"/>
      <c r="DQ16" s="210"/>
      <c r="DR16" s="210"/>
      <c r="DS16" s="210"/>
      <c r="DT16" s="210"/>
      <c r="DU16" s="210"/>
      <c r="DV16" s="210"/>
      <c r="DW16" s="210"/>
      <c r="DX16" s="210"/>
      <c r="DY16" s="210"/>
      <c r="DZ16" s="210"/>
      <c r="EA16" s="210"/>
    </row>
    <row r="17" spans="1:93" ht="16.350000000000001" customHeight="1" x14ac:dyDescent="0.25">
      <c r="B17" s="5177" t="s">
        <v>177</v>
      </c>
      <c r="C17" s="5177" t="s">
        <v>178</v>
      </c>
      <c r="D17" s="5179" t="s">
        <v>179</v>
      </c>
      <c r="E17" s="5180"/>
      <c r="F17" s="5181"/>
      <c r="G17" s="5329" t="s">
        <v>5</v>
      </c>
      <c r="H17" s="5330"/>
      <c r="I17" s="5330"/>
      <c r="J17" s="5330"/>
      <c r="K17" s="5330"/>
      <c r="L17" s="5330"/>
      <c r="M17" s="5330"/>
      <c r="N17" s="5330"/>
      <c r="O17" s="5330"/>
      <c r="P17" s="5330"/>
      <c r="Q17" s="5330"/>
      <c r="R17" s="5344"/>
      <c r="S17" s="5214" t="s">
        <v>23</v>
      </c>
      <c r="T17" s="892"/>
      <c r="U17" s="892"/>
      <c r="V17" s="892"/>
      <c r="W17" s="892"/>
      <c r="X17" s="892"/>
      <c r="Y17" s="892"/>
      <c r="Z17" s="892"/>
      <c r="AA17" s="892"/>
      <c r="AB17" s="892"/>
    </row>
    <row r="18" spans="1:93" ht="16.350000000000001" customHeight="1" x14ac:dyDescent="0.25">
      <c r="B18" s="5103"/>
      <c r="C18" s="5103"/>
      <c r="D18" s="5182"/>
      <c r="E18" s="5183"/>
      <c r="F18" s="5184"/>
      <c r="G18" s="5269" t="s">
        <v>180</v>
      </c>
      <c r="H18" s="5270"/>
      <c r="I18" s="5269" t="s">
        <v>181</v>
      </c>
      <c r="J18" s="5270"/>
      <c r="K18" s="5269" t="s">
        <v>172</v>
      </c>
      <c r="L18" s="5270"/>
      <c r="M18" s="5269" t="s">
        <v>173</v>
      </c>
      <c r="N18" s="5270"/>
      <c r="O18" s="5269" t="s">
        <v>182</v>
      </c>
      <c r="P18" s="5270"/>
      <c r="Q18" s="5269" t="s">
        <v>183</v>
      </c>
      <c r="R18" s="5345"/>
      <c r="S18" s="5216"/>
      <c r="T18" s="892"/>
      <c r="U18" s="892"/>
      <c r="V18" s="892"/>
      <c r="W18" s="892"/>
      <c r="X18" s="892"/>
      <c r="Y18" s="892"/>
      <c r="Z18" s="892"/>
      <c r="AA18" s="892"/>
      <c r="AB18" s="892"/>
    </row>
    <row r="19" spans="1:93" ht="16.350000000000001" customHeight="1" x14ac:dyDescent="0.25">
      <c r="B19" s="5178"/>
      <c r="C19" s="5178"/>
      <c r="D19" s="3771" t="s">
        <v>184</v>
      </c>
      <c r="E19" s="3772" t="s">
        <v>24</v>
      </c>
      <c r="F19" s="3773" t="s">
        <v>25</v>
      </c>
      <c r="G19" s="2292" t="s">
        <v>24</v>
      </c>
      <c r="H19" s="2291" t="s">
        <v>25</v>
      </c>
      <c r="I19" s="2292" t="s">
        <v>24</v>
      </c>
      <c r="J19" s="2291" t="s">
        <v>25</v>
      </c>
      <c r="K19" s="2292" t="s">
        <v>24</v>
      </c>
      <c r="L19" s="2291" t="s">
        <v>25</v>
      </c>
      <c r="M19" s="2292" t="s">
        <v>24</v>
      </c>
      <c r="N19" s="2291" t="s">
        <v>25</v>
      </c>
      <c r="O19" s="2292" t="s">
        <v>24</v>
      </c>
      <c r="P19" s="2291" t="s">
        <v>25</v>
      </c>
      <c r="Q19" s="2292" t="s">
        <v>24</v>
      </c>
      <c r="R19" s="2293" t="s">
        <v>25</v>
      </c>
      <c r="S19" s="5218"/>
      <c r="T19" s="892"/>
      <c r="U19" s="892"/>
      <c r="V19" s="892"/>
      <c r="W19" s="881"/>
      <c r="X19" s="881"/>
      <c r="Y19" s="881"/>
      <c r="Z19" s="881"/>
      <c r="AA19" s="881"/>
      <c r="AB19" s="892"/>
    </row>
    <row r="20" spans="1:93" ht="15.95" customHeight="1" x14ac:dyDescent="0.25">
      <c r="A20" s="2458" t="s">
        <v>2889</v>
      </c>
      <c r="B20" s="5340" t="s">
        <v>185</v>
      </c>
      <c r="C20" s="5341"/>
      <c r="D20" s="3774" t="s">
        <v>2777</v>
      </c>
      <c r="E20" s="3775" t="s">
        <v>2778</v>
      </c>
      <c r="F20" s="3776" t="s">
        <v>2779</v>
      </c>
      <c r="G20" s="2551" t="s">
        <v>2780</v>
      </c>
      <c r="H20" s="2552" t="s">
        <v>2781</v>
      </c>
      <c r="I20" s="2551" t="s">
        <v>2782</v>
      </c>
      <c r="J20" s="2552" t="s">
        <v>2783</v>
      </c>
      <c r="K20" s="2551" t="s">
        <v>2784</v>
      </c>
      <c r="L20" s="2552" t="s">
        <v>2785</v>
      </c>
      <c r="M20" s="2551" t="s">
        <v>2786</v>
      </c>
      <c r="N20" s="2552" t="s">
        <v>2787</v>
      </c>
      <c r="O20" s="2554" t="s">
        <v>2788</v>
      </c>
      <c r="P20" s="2552" t="s">
        <v>2789</v>
      </c>
      <c r="Q20" s="2554" t="s">
        <v>2790</v>
      </c>
      <c r="R20" s="2555" t="s">
        <v>2791</v>
      </c>
      <c r="S20" s="2556" t="s">
        <v>2792</v>
      </c>
      <c r="T20" s="1168"/>
      <c r="U20" s="1062"/>
      <c r="V20" s="1062"/>
      <c r="W20" s="1062"/>
      <c r="X20" s="1062"/>
      <c r="Y20" s="1062"/>
      <c r="Z20" s="1062"/>
      <c r="AA20" s="1062"/>
      <c r="AB20" s="1062"/>
      <c r="AC20" s="1062"/>
      <c r="AD20" s="1062"/>
      <c r="CH20" s="887">
        <v>0</v>
      </c>
      <c r="CI20" s="887">
        <v>0</v>
      </c>
      <c r="CJ20" s="887">
        <v>0</v>
      </c>
      <c r="CK20" s="887">
        <v>0</v>
      </c>
      <c r="CL20" s="887">
        <v>0</v>
      </c>
      <c r="CM20" s="887">
        <v>0</v>
      </c>
      <c r="CN20" s="887">
        <v>0</v>
      </c>
      <c r="CO20" s="887">
        <v>0</v>
      </c>
    </row>
    <row r="21" spans="1:93" ht="15.95" customHeight="1" x14ac:dyDescent="0.25">
      <c r="A21" s="2458" t="s">
        <v>2890</v>
      </c>
      <c r="B21" s="5342" t="s">
        <v>186</v>
      </c>
      <c r="C21" s="4224" t="s">
        <v>163</v>
      </c>
      <c r="D21" s="2765" t="s">
        <v>2777</v>
      </c>
      <c r="E21" s="2766" t="s">
        <v>2778</v>
      </c>
      <c r="F21" s="3777" t="s">
        <v>2779</v>
      </c>
      <c r="G21" s="2391" t="s">
        <v>2780</v>
      </c>
      <c r="H21" s="2270" t="s">
        <v>2781</v>
      </c>
      <c r="I21" s="2391" t="s">
        <v>2782</v>
      </c>
      <c r="J21" s="2270" t="s">
        <v>2783</v>
      </c>
      <c r="K21" s="2391" t="s">
        <v>2784</v>
      </c>
      <c r="L21" s="2270" t="s">
        <v>2785</v>
      </c>
      <c r="M21" s="2391" t="s">
        <v>2786</v>
      </c>
      <c r="N21" s="2270" t="s">
        <v>2787</v>
      </c>
      <c r="O21" s="2392" t="s">
        <v>2788</v>
      </c>
      <c r="P21" s="2270" t="s">
        <v>2789</v>
      </c>
      <c r="Q21" s="2392" t="s">
        <v>2790</v>
      </c>
      <c r="R21" s="2294" t="s">
        <v>2791</v>
      </c>
      <c r="S21" s="2295" t="s">
        <v>2792</v>
      </c>
      <c r="T21" s="1169"/>
      <c r="U21" s="892"/>
      <c r="V21" s="892"/>
      <c r="W21" s="881"/>
      <c r="X21" s="881"/>
      <c r="Y21" s="881"/>
      <c r="Z21" s="881"/>
      <c r="AA21" s="881"/>
      <c r="AB21" s="892"/>
    </row>
    <row r="22" spans="1:93" ht="15.95" customHeight="1" x14ac:dyDescent="0.25">
      <c r="A22" s="2458" t="s">
        <v>2891</v>
      </c>
      <c r="B22" s="5103"/>
      <c r="C22" s="3955" t="s">
        <v>187</v>
      </c>
      <c r="D22" s="3763" t="s">
        <v>2777</v>
      </c>
      <c r="E22" s="2783" t="s">
        <v>2778</v>
      </c>
      <c r="F22" s="3765" t="s">
        <v>2779</v>
      </c>
      <c r="G22" s="141" t="s">
        <v>2780</v>
      </c>
      <c r="H22" s="163" t="s">
        <v>2781</v>
      </c>
      <c r="I22" s="141" t="s">
        <v>2782</v>
      </c>
      <c r="J22" s="163" t="s">
        <v>2783</v>
      </c>
      <c r="K22" s="141" t="s">
        <v>2784</v>
      </c>
      <c r="L22" s="163" t="s">
        <v>2785</v>
      </c>
      <c r="M22" s="141" t="s">
        <v>2786</v>
      </c>
      <c r="N22" s="163" t="s">
        <v>2787</v>
      </c>
      <c r="O22" s="224" t="s">
        <v>2788</v>
      </c>
      <c r="P22" s="163" t="s">
        <v>2789</v>
      </c>
      <c r="Q22" s="224" t="s">
        <v>2790</v>
      </c>
      <c r="R22" s="318" t="s">
        <v>2791</v>
      </c>
      <c r="S22" s="198" t="s">
        <v>2792</v>
      </c>
      <c r="T22" s="1169"/>
      <c r="U22" s="892"/>
      <c r="V22" s="892"/>
      <c r="W22" s="881"/>
      <c r="X22" s="881"/>
      <c r="Y22" s="881"/>
      <c r="Z22" s="881"/>
      <c r="AA22" s="881"/>
      <c r="AB22" s="892"/>
    </row>
    <row r="23" spans="1:93" ht="15.95" customHeight="1" x14ac:dyDescent="0.25">
      <c r="A23" s="2458" t="s">
        <v>2892</v>
      </c>
      <c r="B23" s="5103"/>
      <c r="C23" s="3954" t="s">
        <v>188</v>
      </c>
      <c r="D23" s="714" t="s">
        <v>2777</v>
      </c>
      <c r="E23" s="715" t="s">
        <v>2778</v>
      </c>
      <c r="F23" s="3778" t="s">
        <v>2779</v>
      </c>
      <c r="G23" s="141" t="s">
        <v>2780</v>
      </c>
      <c r="H23" s="163" t="s">
        <v>2781</v>
      </c>
      <c r="I23" s="141" t="s">
        <v>2782</v>
      </c>
      <c r="J23" s="163" t="s">
        <v>2783</v>
      </c>
      <c r="K23" s="141" t="s">
        <v>2784</v>
      </c>
      <c r="L23" s="163" t="s">
        <v>2785</v>
      </c>
      <c r="M23" s="141" t="s">
        <v>2786</v>
      </c>
      <c r="N23" s="163" t="s">
        <v>2787</v>
      </c>
      <c r="O23" s="224" t="s">
        <v>2788</v>
      </c>
      <c r="P23" s="163" t="s">
        <v>2789</v>
      </c>
      <c r="Q23" s="224" t="s">
        <v>2790</v>
      </c>
      <c r="R23" s="318" t="s">
        <v>2791</v>
      </c>
      <c r="S23" s="198" t="s">
        <v>2792</v>
      </c>
      <c r="T23" s="1169"/>
      <c r="U23" s="892"/>
      <c r="V23" s="892"/>
      <c r="W23" s="881"/>
      <c r="X23" s="881"/>
      <c r="Y23" s="881"/>
      <c r="Z23" s="881"/>
      <c r="AA23" s="881"/>
      <c r="AB23" s="892"/>
    </row>
    <row r="24" spans="1:93" ht="15.95" customHeight="1" x14ac:dyDescent="0.25">
      <c r="A24" s="2458" t="s">
        <v>2893</v>
      </c>
      <c r="B24" s="5343"/>
      <c r="C24" s="3956" t="s">
        <v>189</v>
      </c>
      <c r="D24" s="716" t="s">
        <v>2777</v>
      </c>
      <c r="E24" s="717" t="s">
        <v>2778</v>
      </c>
      <c r="F24" s="3767" t="s">
        <v>2779</v>
      </c>
      <c r="G24" s="166" t="s">
        <v>2780</v>
      </c>
      <c r="H24" s="125" t="s">
        <v>2781</v>
      </c>
      <c r="I24" s="166" t="s">
        <v>2782</v>
      </c>
      <c r="J24" s="125" t="s">
        <v>2783</v>
      </c>
      <c r="K24" s="166" t="s">
        <v>2784</v>
      </c>
      <c r="L24" s="125" t="s">
        <v>2785</v>
      </c>
      <c r="M24" s="166" t="s">
        <v>2786</v>
      </c>
      <c r="N24" s="125" t="s">
        <v>2787</v>
      </c>
      <c r="O24" s="227" t="s">
        <v>2788</v>
      </c>
      <c r="P24" s="125" t="s">
        <v>2789</v>
      </c>
      <c r="Q24" s="227" t="s">
        <v>2790</v>
      </c>
      <c r="R24" s="319" t="s">
        <v>2791</v>
      </c>
      <c r="S24" s="168" t="s">
        <v>2792</v>
      </c>
      <c r="T24" s="1169"/>
      <c r="U24" s="892"/>
      <c r="V24" s="892"/>
      <c r="W24" s="892"/>
      <c r="X24" s="892"/>
      <c r="Y24" s="881"/>
      <c r="Z24" s="881"/>
      <c r="AA24" s="881"/>
      <c r="AB24" s="881"/>
    </row>
    <row r="25" spans="1:93" ht="15.95" customHeight="1" x14ac:dyDescent="0.25">
      <c r="A25" s="2458" t="s">
        <v>2894</v>
      </c>
      <c r="B25" s="5342" t="s">
        <v>190</v>
      </c>
      <c r="C25" s="4225" t="s">
        <v>1590</v>
      </c>
      <c r="D25" s="2765" t="s">
        <v>2777</v>
      </c>
      <c r="E25" s="2766" t="s">
        <v>2778</v>
      </c>
      <c r="F25" s="3777" t="s">
        <v>2779</v>
      </c>
      <c r="G25" s="2483" t="s">
        <v>2780</v>
      </c>
      <c r="H25" s="2480" t="s">
        <v>2781</v>
      </c>
      <c r="I25" s="2483" t="s">
        <v>2782</v>
      </c>
      <c r="J25" s="2480" t="s">
        <v>2783</v>
      </c>
      <c r="K25" s="2483" t="s">
        <v>2784</v>
      </c>
      <c r="L25" s="2480" t="s">
        <v>2785</v>
      </c>
      <c r="M25" s="2483" t="s">
        <v>2786</v>
      </c>
      <c r="N25" s="2480" t="s">
        <v>2787</v>
      </c>
      <c r="O25" s="2560" t="s">
        <v>2788</v>
      </c>
      <c r="P25" s="2480" t="s">
        <v>2789</v>
      </c>
      <c r="Q25" s="2560" t="s">
        <v>2790</v>
      </c>
      <c r="R25" s="2561" t="s">
        <v>2791</v>
      </c>
      <c r="S25" s="2499" t="s">
        <v>2792</v>
      </c>
      <c r="T25" s="1169"/>
      <c r="U25" s="892"/>
      <c r="V25" s="892"/>
      <c r="W25" s="892"/>
      <c r="X25" s="892"/>
      <c r="Y25" s="881"/>
      <c r="Z25" s="881"/>
      <c r="AA25" s="881"/>
      <c r="AB25" s="881"/>
    </row>
    <row r="26" spans="1:93" ht="15.95" customHeight="1" x14ac:dyDescent="0.25">
      <c r="A26" s="2458" t="s">
        <v>2895</v>
      </c>
      <c r="B26" s="5103"/>
      <c r="C26" s="2810" t="s">
        <v>1591</v>
      </c>
      <c r="D26" s="3763" t="s">
        <v>2777</v>
      </c>
      <c r="E26" s="2783" t="s">
        <v>2778</v>
      </c>
      <c r="F26" s="3765" t="s">
        <v>2779</v>
      </c>
      <c r="G26" s="2391" t="s">
        <v>2780</v>
      </c>
      <c r="H26" s="2270" t="s">
        <v>2781</v>
      </c>
      <c r="I26" s="2391" t="s">
        <v>2782</v>
      </c>
      <c r="J26" s="2270" t="s">
        <v>2783</v>
      </c>
      <c r="K26" s="2391" t="s">
        <v>2784</v>
      </c>
      <c r="L26" s="2270" t="s">
        <v>2785</v>
      </c>
      <c r="M26" s="2391" t="s">
        <v>2786</v>
      </c>
      <c r="N26" s="2270" t="s">
        <v>2787</v>
      </c>
      <c r="O26" s="2392" t="s">
        <v>2788</v>
      </c>
      <c r="P26" s="2270" t="s">
        <v>2789</v>
      </c>
      <c r="Q26" s="2392" t="s">
        <v>2790</v>
      </c>
      <c r="R26" s="2294" t="s">
        <v>2791</v>
      </c>
      <c r="S26" s="2295" t="s">
        <v>2792</v>
      </c>
      <c r="T26" s="1169"/>
      <c r="U26" s="892"/>
      <c r="V26" s="892"/>
      <c r="W26" s="892"/>
      <c r="X26" s="892"/>
      <c r="Y26" s="881"/>
      <c r="Z26" s="881"/>
      <c r="AA26" s="881"/>
      <c r="AB26" s="881"/>
    </row>
    <row r="27" spans="1:93" ht="15.95" customHeight="1" x14ac:dyDescent="0.25">
      <c r="A27" s="2458" t="s">
        <v>2896</v>
      </c>
      <c r="B27" s="5103"/>
      <c r="C27" s="4766" t="s">
        <v>1592</v>
      </c>
      <c r="D27" s="3763" t="s">
        <v>2777</v>
      </c>
      <c r="E27" s="2783" t="s">
        <v>2778</v>
      </c>
      <c r="F27" s="3765" t="s">
        <v>2779</v>
      </c>
      <c r="G27" s="2391" t="s">
        <v>2780</v>
      </c>
      <c r="H27" s="2270" t="s">
        <v>2781</v>
      </c>
      <c r="I27" s="2391" t="s">
        <v>2782</v>
      </c>
      <c r="J27" s="2270" t="s">
        <v>2783</v>
      </c>
      <c r="K27" s="2391" t="s">
        <v>2784</v>
      </c>
      <c r="L27" s="2270" t="s">
        <v>2785</v>
      </c>
      <c r="M27" s="2391" t="s">
        <v>2786</v>
      </c>
      <c r="N27" s="2270" t="s">
        <v>2787</v>
      </c>
      <c r="O27" s="2392" t="s">
        <v>2788</v>
      </c>
      <c r="P27" s="2270" t="s">
        <v>2789</v>
      </c>
      <c r="Q27" s="2392" t="s">
        <v>2790</v>
      </c>
      <c r="R27" s="2294" t="s">
        <v>2791</v>
      </c>
      <c r="S27" s="2295" t="s">
        <v>2792</v>
      </c>
      <c r="T27" s="1169"/>
      <c r="U27" s="892"/>
      <c r="V27" s="884"/>
      <c r="W27" s="892"/>
      <c r="X27" s="892"/>
      <c r="Y27" s="881"/>
      <c r="Z27" s="881"/>
      <c r="AA27" s="881"/>
      <c r="AB27" s="881"/>
    </row>
    <row r="28" spans="1:93" ht="26.25" customHeight="1" x14ac:dyDescent="0.25">
      <c r="A28" s="2458" t="s">
        <v>2897</v>
      </c>
      <c r="B28" s="5103"/>
      <c r="C28" s="5075" t="s">
        <v>1593</v>
      </c>
      <c r="D28" s="3779" t="s">
        <v>2777</v>
      </c>
      <c r="E28" s="3780" t="s">
        <v>2778</v>
      </c>
      <c r="F28" s="3781" t="s">
        <v>2779</v>
      </c>
      <c r="G28" s="2391" t="s">
        <v>2780</v>
      </c>
      <c r="H28" s="2270" t="s">
        <v>2781</v>
      </c>
      <c r="I28" s="2391" t="s">
        <v>2782</v>
      </c>
      <c r="J28" s="2270" t="s">
        <v>2783</v>
      </c>
      <c r="K28" s="2391" t="s">
        <v>2784</v>
      </c>
      <c r="L28" s="2270" t="s">
        <v>2785</v>
      </c>
      <c r="M28" s="2391" t="s">
        <v>2786</v>
      </c>
      <c r="N28" s="2270" t="s">
        <v>2787</v>
      </c>
      <c r="O28" s="2392" t="s">
        <v>2788</v>
      </c>
      <c r="P28" s="2270" t="s">
        <v>2789</v>
      </c>
      <c r="Q28" s="2392" t="s">
        <v>2790</v>
      </c>
      <c r="R28" s="2294" t="s">
        <v>2791</v>
      </c>
      <c r="S28" s="2295" t="s">
        <v>2792</v>
      </c>
      <c r="T28" s="1169"/>
      <c r="U28" s="892"/>
      <c r="V28" s="884"/>
      <c r="W28" s="892"/>
      <c r="X28" s="892"/>
      <c r="Y28" s="881"/>
      <c r="Z28" s="881"/>
      <c r="AA28" s="881"/>
      <c r="AB28" s="881"/>
    </row>
    <row r="29" spans="1:93" ht="22.5" customHeight="1" x14ac:dyDescent="0.25">
      <c r="A29" s="2458" t="s">
        <v>2898</v>
      </c>
      <c r="B29" s="5103"/>
      <c r="C29" s="5075" t="s">
        <v>1594</v>
      </c>
      <c r="D29" s="3779" t="s">
        <v>2777</v>
      </c>
      <c r="E29" s="3780" t="s">
        <v>2778</v>
      </c>
      <c r="F29" s="3781" t="s">
        <v>2779</v>
      </c>
      <c r="G29" s="2391" t="s">
        <v>2780</v>
      </c>
      <c r="H29" s="2270" t="s">
        <v>2781</v>
      </c>
      <c r="I29" s="2391" t="s">
        <v>2782</v>
      </c>
      <c r="J29" s="2270" t="s">
        <v>2783</v>
      </c>
      <c r="K29" s="2391" t="s">
        <v>2784</v>
      </c>
      <c r="L29" s="2270" t="s">
        <v>2785</v>
      </c>
      <c r="M29" s="2391" t="s">
        <v>2786</v>
      </c>
      <c r="N29" s="2270" t="s">
        <v>2787</v>
      </c>
      <c r="O29" s="2392" t="s">
        <v>2788</v>
      </c>
      <c r="P29" s="2270" t="s">
        <v>2789</v>
      </c>
      <c r="Q29" s="2392" t="s">
        <v>2790</v>
      </c>
      <c r="R29" s="2294" t="s">
        <v>2791</v>
      </c>
      <c r="S29" s="2295" t="s">
        <v>2792</v>
      </c>
      <c r="T29" s="1169"/>
      <c r="U29" s="892"/>
      <c r="V29" s="884"/>
      <c r="W29" s="892"/>
      <c r="X29" s="892"/>
      <c r="Y29" s="881"/>
      <c r="Z29" s="881"/>
      <c r="AA29" s="881"/>
      <c r="AB29" s="881"/>
    </row>
    <row r="30" spans="1:93" ht="15.95" customHeight="1" x14ac:dyDescent="0.25">
      <c r="A30" s="2458" t="s">
        <v>2899</v>
      </c>
      <c r="B30" s="5103"/>
      <c r="C30" s="5075" t="s">
        <v>1595</v>
      </c>
      <c r="D30" s="3779" t="s">
        <v>2777</v>
      </c>
      <c r="E30" s="3780" t="s">
        <v>2778</v>
      </c>
      <c r="F30" s="3781" t="s">
        <v>2779</v>
      </c>
      <c r="G30" s="2391" t="s">
        <v>2780</v>
      </c>
      <c r="H30" s="2270" t="s">
        <v>2781</v>
      </c>
      <c r="I30" s="2391" t="s">
        <v>2782</v>
      </c>
      <c r="J30" s="2270" t="s">
        <v>2783</v>
      </c>
      <c r="K30" s="2391" t="s">
        <v>2784</v>
      </c>
      <c r="L30" s="2270" t="s">
        <v>2785</v>
      </c>
      <c r="M30" s="2391" t="s">
        <v>2786</v>
      </c>
      <c r="N30" s="2270" t="s">
        <v>2787</v>
      </c>
      <c r="O30" s="2392" t="s">
        <v>2788</v>
      </c>
      <c r="P30" s="2270" t="s">
        <v>2789</v>
      </c>
      <c r="Q30" s="2392" t="s">
        <v>2790</v>
      </c>
      <c r="R30" s="2294" t="s">
        <v>2791</v>
      </c>
      <c r="S30" s="2295" t="s">
        <v>2792</v>
      </c>
      <c r="T30" s="1169"/>
      <c r="U30" s="892"/>
      <c r="V30" s="884"/>
      <c r="W30" s="892"/>
      <c r="X30" s="892"/>
      <c r="Y30" s="881"/>
      <c r="Z30" s="881"/>
      <c r="AA30" s="881"/>
      <c r="AB30" s="881"/>
    </row>
    <row r="31" spans="1:93" ht="24" customHeight="1" x14ac:dyDescent="0.25">
      <c r="A31" s="2458" t="s">
        <v>2900</v>
      </c>
      <c r="B31" s="5103"/>
      <c r="C31" s="4747" t="s">
        <v>3981</v>
      </c>
      <c r="D31" s="3779" t="s">
        <v>2777</v>
      </c>
      <c r="E31" s="2783" t="s">
        <v>2778</v>
      </c>
      <c r="F31" s="3765" t="s">
        <v>2779</v>
      </c>
      <c r="G31" s="2391" t="s">
        <v>2780</v>
      </c>
      <c r="H31" s="2270" t="s">
        <v>2781</v>
      </c>
      <c r="I31" s="2391" t="s">
        <v>2782</v>
      </c>
      <c r="J31" s="2270" t="s">
        <v>2783</v>
      </c>
      <c r="K31" s="2391" t="s">
        <v>2784</v>
      </c>
      <c r="L31" s="2270" t="s">
        <v>2785</v>
      </c>
      <c r="M31" s="2391" t="s">
        <v>2786</v>
      </c>
      <c r="N31" s="2270" t="s">
        <v>2787</v>
      </c>
      <c r="O31" s="2392" t="s">
        <v>2788</v>
      </c>
      <c r="P31" s="2270" t="s">
        <v>2789</v>
      </c>
      <c r="Q31" s="2392" t="s">
        <v>2790</v>
      </c>
      <c r="R31" s="2294" t="s">
        <v>2791</v>
      </c>
      <c r="S31" s="2295" t="s">
        <v>2792</v>
      </c>
      <c r="T31" s="1169"/>
      <c r="U31" s="892"/>
      <c r="V31" s="884"/>
      <c r="W31" s="892"/>
      <c r="X31" s="892"/>
      <c r="Y31" s="881"/>
      <c r="Z31" s="881"/>
      <c r="AA31" s="881"/>
      <c r="AB31" s="881"/>
    </row>
    <row r="32" spans="1:93" ht="15.95" customHeight="1" x14ac:dyDescent="0.25">
      <c r="A32" s="2458" t="s">
        <v>2901</v>
      </c>
      <c r="B32" s="5103"/>
      <c r="C32" s="4745" t="s">
        <v>3982</v>
      </c>
      <c r="D32" s="3763" t="s">
        <v>2777</v>
      </c>
      <c r="E32" s="2783" t="s">
        <v>2778</v>
      </c>
      <c r="F32" s="3765" t="s">
        <v>2779</v>
      </c>
      <c r="G32" s="141" t="s">
        <v>2780</v>
      </c>
      <c r="H32" s="163" t="s">
        <v>2781</v>
      </c>
      <c r="I32" s="141" t="s">
        <v>2782</v>
      </c>
      <c r="J32" s="163" t="s">
        <v>2783</v>
      </c>
      <c r="K32" s="141" t="s">
        <v>2784</v>
      </c>
      <c r="L32" s="163" t="s">
        <v>2785</v>
      </c>
      <c r="M32" s="141" t="s">
        <v>2786</v>
      </c>
      <c r="N32" s="163" t="s">
        <v>2787</v>
      </c>
      <c r="O32" s="224" t="s">
        <v>2788</v>
      </c>
      <c r="P32" s="163" t="s">
        <v>2789</v>
      </c>
      <c r="Q32" s="224" t="s">
        <v>2790</v>
      </c>
      <c r="R32" s="318" t="s">
        <v>2791</v>
      </c>
      <c r="S32" s="198" t="s">
        <v>2792</v>
      </c>
      <c r="T32" s="1169"/>
      <c r="U32" s="892"/>
      <c r="V32" s="884"/>
      <c r="W32" s="892"/>
      <c r="X32" s="892"/>
      <c r="Y32" s="881"/>
      <c r="Z32" s="881"/>
      <c r="AA32" s="881"/>
      <c r="AB32" s="881"/>
    </row>
    <row r="33" spans="1:131" ht="15.95" customHeight="1" thickBot="1" x14ac:dyDescent="0.3">
      <c r="A33" s="2458" t="s">
        <v>2902</v>
      </c>
      <c r="B33" s="5103"/>
      <c r="C33" s="4736" t="s">
        <v>3983</v>
      </c>
      <c r="D33" s="2369" t="s">
        <v>2777</v>
      </c>
      <c r="E33" s="713" t="s">
        <v>2778</v>
      </c>
      <c r="F33" s="3782" t="s">
        <v>2779</v>
      </c>
      <c r="G33" s="2245" t="s">
        <v>2780</v>
      </c>
      <c r="H33" s="183" t="s">
        <v>2781</v>
      </c>
      <c r="I33" s="2245" t="s">
        <v>2782</v>
      </c>
      <c r="J33" s="183" t="s">
        <v>2783</v>
      </c>
      <c r="K33" s="2245" t="s">
        <v>2784</v>
      </c>
      <c r="L33" s="183" t="s">
        <v>2785</v>
      </c>
      <c r="M33" s="2245" t="s">
        <v>2786</v>
      </c>
      <c r="N33" s="183" t="s">
        <v>2787</v>
      </c>
      <c r="O33" s="2246" t="s">
        <v>2788</v>
      </c>
      <c r="P33" s="183" t="s">
        <v>2789</v>
      </c>
      <c r="Q33" s="2246" t="s">
        <v>2790</v>
      </c>
      <c r="R33" s="593" t="s">
        <v>2791</v>
      </c>
      <c r="S33" s="240" t="s">
        <v>2792</v>
      </c>
      <c r="T33" s="1169"/>
      <c r="U33" s="892"/>
      <c r="V33" s="884"/>
      <c r="W33" s="892"/>
      <c r="X33" s="892"/>
      <c r="Y33" s="881"/>
      <c r="Z33" s="881"/>
      <c r="AA33" s="881"/>
      <c r="AB33" s="881"/>
    </row>
    <row r="34" spans="1:131" ht="15.95" customHeight="1" thickTop="1" x14ac:dyDescent="0.25">
      <c r="A34" s="2458" t="s">
        <v>2903</v>
      </c>
      <c r="B34" s="5248" t="s">
        <v>191</v>
      </c>
      <c r="C34" s="230" t="s">
        <v>188</v>
      </c>
      <c r="D34" s="3783" t="s">
        <v>2777</v>
      </c>
      <c r="E34" s="3784" t="s">
        <v>2778</v>
      </c>
      <c r="F34" s="3785" t="s">
        <v>2779</v>
      </c>
      <c r="G34" s="231" t="s">
        <v>2780</v>
      </c>
      <c r="H34" s="232" t="s">
        <v>2781</v>
      </c>
      <c r="I34" s="231" t="s">
        <v>2782</v>
      </c>
      <c r="J34" s="232" t="s">
        <v>2783</v>
      </c>
      <c r="K34" s="231" t="s">
        <v>2784</v>
      </c>
      <c r="L34" s="232" t="s">
        <v>2785</v>
      </c>
      <c r="M34" s="231" t="s">
        <v>2786</v>
      </c>
      <c r="N34" s="232" t="s">
        <v>2787</v>
      </c>
      <c r="O34" s="231" t="s">
        <v>2788</v>
      </c>
      <c r="P34" s="232" t="s">
        <v>2789</v>
      </c>
      <c r="Q34" s="233" t="s">
        <v>2790</v>
      </c>
      <c r="R34" s="1126" t="s">
        <v>2791</v>
      </c>
      <c r="S34" s="649" t="s">
        <v>2792</v>
      </c>
      <c r="T34" s="1169"/>
      <c r="U34" s="892"/>
      <c r="V34" s="892"/>
      <c r="W34" s="892"/>
      <c r="X34" s="892"/>
      <c r="Y34" s="881"/>
      <c r="Z34" s="881"/>
      <c r="AA34" s="881"/>
      <c r="AB34" s="881"/>
    </row>
    <row r="35" spans="1:131" ht="15.95" customHeight="1" x14ac:dyDescent="0.25">
      <c r="A35" s="2458" t="s">
        <v>2904</v>
      </c>
      <c r="B35" s="5153"/>
      <c r="C35" s="4736" t="s">
        <v>189</v>
      </c>
      <c r="D35" s="2369" t="s">
        <v>2777</v>
      </c>
      <c r="E35" s="713" t="s">
        <v>2778</v>
      </c>
      <c r="F35" s="3782" t="s">
        <v>2779</v>
      </c>
      <c r="G35" s="2245" t="s">
        <v>2780</v>
      </c>
      <c r="H35" s="183" t="s">
        <v>2781</v>
      </c>
      <c r="I35" s="2245" t="s">
        <v>2782</v>
      </c>
      <c r="J35" s="183" t="s">
        <v>2783</v>
      </c>
      <c r="K35" s="2245" t="s">
        <v>2784</v>
      </c>
      <c r="L35" s="183" t="s">
        <v>2785</v>
      </c>
      <c r="M35" s="2245" t="s">
        <v>2786</v>
      </c>
      <c r="N35" s="183" t="s">
        <v>2787</v>
      </c>
      <c r="O35" s="2245" t="s">
        <v>2788</v>
      </c>
      <c r="P35" s="183" t="s">
        <v>2789</v>
      </c>
      <c r="Q35" s="2246" t="s">
        <v>2790</v>
      </c>
      <c r="R35" s="593" t="s">
        <v>2791</v>
      </c>
      <c r="S35" s="240" t="s">
        <v>2792</v>
      </c>
      <c r="T35" s="1169"/>
      <c r="U35" s="892"/>
      <c r="V35" s="892"/>
      <c r="W35" s="892"/>
      <c r="X35" s="892"/>
      <c r="Y35" s="881"/>
      <c r="Z35" s="881"/>
      <c r="AA35" s="881"/>
      <c r="AB35" s="881"/>
    </row>
    <row r="36" spans="1:131" ht="15.95" customHeight="1" x14ac:dyDescent="0.25">
      <c r="A36" s="2458" t="s">
        <v>2905</v>
      </c>
      <c r="B36" s="5342" t="s">
        <v>192</v>
      </c>
      <c r="C36" s="5076" t="s">
        <v>187</v>
      </c>
      <c r="D36" s="3774" t="s">
        <v>2777</v>
      </c>
      <c r="E36" s="3775" t="s">
        <v>2778</v>
      </c>
      <c r="F36" s="3777" t="s">
        <v>2779</v>
      </c>
      <c r="G36" s="2483" t="s">
        <v>2780</v>
      </c>
      <c r="H36" s="2480" t="s">
        <v>2781</v>
      </c>
      <c r="I36" s="2483" t="s">
        <v>2782</v>
      </c>
      <c r="J36" s="2480" t="s">
        <v>2783</v>
      </c>
      <c r="K36" s="2483" t="s">
        <v>2784</v>
      </c>
      <c r="L36" s="2480" t="s">
        <v>2785</v>
      </c>
      <c r="M36" s="2483" t="s">
        <v>2786</v>
      </c>
      <c r="N36" s="2480" t="s">
        <v>2787</v>
      </c>
      <c r="O36" s="2483" t="s">
        <v>2788</v>
      </c>
      <c r="P36" s="2480" t="s">
        <v>2789</v>
      </c>
      <c r="Q36" s="2560" t="s">
        <v>2790</v>
      </c>
      <c r="R36" s="2561" t="s">
        <v>2791</v>
      </c>
      <c r="S36" s="2499" t="s">
        <v>2792</v>
      </c>
      <c r="T36" s="1169"/>
      <c r="U36" s="892"/>
      <c r="V36" s="892"/>
      <c r="W36" s="892"/>
      <c r="X36" s="892"/>
      <c r="Y36" s="881"/>
      <c r="Z36" s="881"/>
      <c r="AA36" s="881"/>
      <c r="AB36" s="881"/>
    </row>
    <row r="37" spans="1:131" ht="15.95" customHeight="1" x14ac:dyDescent="0.25">
      <c r="A37" s="2458" t="s">
        <v>2906</v>
      </c>
      <c r="B37" s="5103"/>
      <c r="C37" s="4735" t="s">
        <v>188</v>
      </c>
      <c r="D37" s="714" t="s">
        <v>2777</v>
      </c>
      <c r="E37" s="715" t="s">
        <v>2778</v>
      </c>
      <c r="F37" s="3778" t="s">
        <v>2779</v>
      </c>
      <c r="G37" s="141" t="s">
        <v>2780</v>
      </c>
      <c r="H37" s="163" t="s">
        <v>2781</v>
      </c>
      <c r="I37" s="141" t="s">
        <v>2782</v>
      </c>
      <c r="J37" s="163" t="s">
        <v>2783</v>
      </c>
      <c r="K37" s="141" t="s">
        <v>2784</v>
      </c>
      <c r="L37" s="163" t="s">
        <v>2785</v>
      </c>
      <c r="M37" s="141" t="s">
        <v>2786</v>
      </c>
      <c r="N37" s="163" t="s">
        <v>2787</v>
      </c>
      <c r="O37" s="141" t="s">
        <v>2788</v>
      </c>
      <c r="P37" s="163" t="s">
        <v>2789</v>
      </c>
      <c r="Q37" s="224" t="s">
        <v>2790</v>
      </c>
      <c r="R37" s="318" t="s">
        <v>2791</v>
      </c>
      <c r="S37" s="198" t="s">
        <v>2792</v>
      </c>
      <c r="T37" s="1169"/>
      <c r="U37" s="892"/>
      <c r="V37" s="892"/>
      <c r="W37" s="892"/>
      <c r="X37" s="892"/>
      <c r="Y37" s="881"/>
      <c r="Z37" s="881"/>
      <c r="AA37" s="881"/>
      <c r="AB37" s="881"/>
    </row>
    <row r="38" spans="1:131" ht="15.95" customHeight="1" x14ac:dyDescent="0.25">
      <c r="A38" s="2458" t="s">
        <v>2907</v>
      </c>
      <c r="B38" s="5343"/>
      <c r="C38" s="3956" t="s">
        <v>189</v>
      </c>
      <c r="D38" s="716" t="s">
        <v>2777</v>
      </c>
      <c r="E38" s="717" t="s">
        <v>2778</v>
      </c>
      <c r="F38" s="3767" t="s">
        <v>2779</v>
      </c>
      <c r="G38" s="166" t="s">
        <v>2780</v>
      </c>
      <c r="H38" s="125" t="s">
        <v>2781</v>
      </c>
      <c r="I38" s="166" t="s">
        <v>2782</v>
      </c>
      <c r="J38" s="125" t="s">
        <v>2783</v>
      </c>
      <c r="K38" s="166" t="s">
        <v>2784</v>
      </c>
      <c r="L38" s="125" t="s">
        <v>2785</v>
      </c>
      <c r="M38" s="166" t="s">
        <v>2786</v>
      </c>
      <c r="N38" s="125" t="s">
        <v>2787</v>
      </c>
      <c r="O38" s="166" t="s">
        <v>2788</v>
      </c>
      <c r="P38" s="125" t="s">
        <v>2789</v>
      </c>
      <c r="Q38" s="227" t="s">
        <v>2790</v>
      </c>
      <c r="R38" s="319" t="s">
        <v>2791</v>
      </c>
      <c r="S38" s="168" t="s">
        <v>2792</v>
      </c>
      <c r="T38" s="1169"/>
      <c r="U38" s="892"/>
      <c r="V38" s="892"/>
      <c r="W38" s="892"/>
      <c r="X38" s="892"/>
      <c r="Y38" s="892"/>
      <c r="Z38" s="892"/>
      <c r="AA38" s="892"/>
      <c r="AB38" s="892"/>
    </row>
    <row r="39" spans="1:131" ht="31.35" customHeight="1" x14ac:dyDescent="0.25">
      <c r="B39" s="2297" t="s">
        <v>2217</v>
      </c>
      <c r="C39" s="2297"/>
      <c r="D39" s="3786"/>
      <c r="E39" s="3786"/>
      <c r="F39" s="3786"/>
      <c r="G39" s="2297"/>
      <c r="H39" s="2297"/>
      <c r="I39" s="2297"/>
      <c r="J39" s="2297"/>
      <c r="K39" s="2297"/>
      <c r="L39" s="2297"/>
      <c r="M39" s="2297"/>
      <c r="N39" s="2297"/>
      <c r="O39" s="2297"/>
      <c r="P39" s="2297"/>
      <c r="Q39" s="2297"/>
      <c r="R39" s="2297"/>
      <c r="S39" s="892"/>
      <c r="T39" s="892"/>
      <c r="U39" s="892"/>
      <c r="V39" s="892"/>
      <c r="W39" s="892"/>
      <c r="X39" s="892"/>
      <c r="Y39" s="892"/>
      <c r="Z39" s="892"/>
      <c r="AA39" s="892"/>
      <c r="AB39" s="892"/>
      <c r="BB39" s="884"/>
      <c r="BC39" s="884"/>
      <c r="BD39" s="884"/>
      <c r="BE39" s="884"/>
      <c r="BF39" s="884"/>
      <c r="BG39" s="884"/>
      <c r="BH39" s="884"/>
      <c r="BI39" s="884"/>
      <c r="BJ39" s="884"/>
      <c r="BK39" s="884"/>
      <c r="BL39" s="884"/>
      <c r="BM39" s="884"/>
      <c r="BN39" s="884"/>
      <c r="BO39" s="884"/>
      <c r="BP39" s="884"/>
      <c r="BQ39" s="884"/>
      <c r="BR39" s="884"/>
      <c r="BS39" s="884"/>
      <c r="BT39" s="884"/>
      <c r="BU39" s="884"/>
      <c r="BV39" s="884"/>
      <c r="BW39" s="884"/>
      <c r="BX39" s="884"/>
      <c r="BY39" s="884"/>
      <c r="BZ39" s="884"/>
      <c r="CA39" s="884"/>
      <c r="DB39" s="210"/>
      <c r="DC39" s="210"/>
      <c r="DD39" s="210"/>
      <c r="DE39" s="210"/>
      <c r="DF39" s="210"/>
      <c r="DG39" s="210"/>
      <c r="DH39" s="210"/>
      <c r="DI39" s="210"/>
      <c r="DJ39" s="210"/>
      <c r="DK39" s="210"/>
      <c r="DL39" s="210"/>
      <c r="DM39" s="210"/>
      <c r="DN39" s="210"/>
      <c r="DO39" s="210"/>
      <c r="DP39" s="210"/>
      <c r="DQ39" s="210"/>
      <c r="DR39" s="210"/>
      <c r="DS39" s="210"/>
      <c r="DT39" s="210"/>
      <c r="DU39" s="210"/>
      <c r="DV39" s="210"/>
      <c r="DW39" s="210"/>
      <c r="DX39" s="210"/>
      <c r="DY39" s="210"/>
      <c r="DZ39" s="210"/>
      <c r="EA39" s="210"/>
    </row>
    <row r="40" spans="1:131" ht="16.350000000000001" customHeight="1" x14ac:dyDescent="0.25">
      <c r="B40" s="5197" t="s">
        <v>193</v>
      </c>
      <c r="C40" s="5198"/>
      <c r="D40" s="5179" t="s">
        <v>179</v>
      </c>
      <c r="E40" s="5180"/>
      <c r="F40" s="5181"/>
      <c r="G40" s="5329" t="s">
        <v>5</v>
      </c>
      <c r="H40" s="5330"/>
      <c r="I40" s="5330"/>
      <c r="J40" s="5330"/>
      <c r="K40" s="5330"/>
      <c r="L40" s="5330"/>
      <c r="M40" s="5330"/>
      <c r="N40" s="5330"/>
      <c r="O40" s="5330"/>
      <c r="P40" s="5330"/>
      <c r="Q40" s="5330"/>
      <c r="R40" s="5331"/>
      <c r="S40" s="892"/>
      <c r="T40" s="892"/>
      <c r="U40" s="892"/>
      <c r="V40" s="892"/>
      <c r="W40" s="892"/>
      <c r="X40" s="892"/>
      <c r="Y40" s="892"/>
      <c r="Z40" s="892"/>
      <c r="AA40" s="892"/>
      <c r="AB40" s="892"/>
    </row>
    <row r="41" spans="1:131" ht="16.350000000000001" customHeight="1" x14ac:dyDescent="0.25">
      <c r="B41" s="5153"/>
      <c r="C41" s="5143"/>
      <c r="D41" s="5182"/>
      <c r="E41" s="5183"/>
      <c r="F41" s="5184"/>
      <c r="G41" s="5269" t="s">
        <v>180</v>
      </c>
      <c r="H41" s="5270"/>
      <c r="I41" s="5269" t="s">
        <v>181</v>
      </c>
      <c r="J41" s="5270"/>
      <c r="K41" s="5269" t="s">
        <v>172</v>
      </c>
      <c r="L41" s="5270"/>
      <c r="M41" s="5269" t="s">
        <v>173</v>
      </c>
      <c r="N41" s="5270"/>
      <c r="O41" s="5269" t="s">
        <v>182</v>
      </c>
      <c r="P41" s="5270"/>
      <c r="Q41" s="5269" t="s">
        <v>183</v>
      </c>
      <c r="R41" s="5270"/>
      <c r="S41" s="892"/>
      <c r="T41" s="892"/>
      <c r="U41" s="892"/>
      <c r="V41" s="892"/>
      <c r="W41" s="892"/>
      <c r="X41" s="892"/>
      <c r="Y41" s="892"/>
      <c r="Z41" s="892"/>
      <c r="AA41" s="892"/>
      <c r="AB41" s="892"/>
    </row>
    <row r="42" spans="1:131" ht="16.350000000000001" customHeight="1" x14ac:dyDescent="0.25">
      <c r="B42" s="5131"/>
      <c r="C42" s="5199"/>
      <c r="D42" s="3771" t="s">
        <v>184</v>
      </c>
      <c r="E42" s="3772" t="s">
        <v>24</v>
      </c>
      <c r="F42" s="3787" t="s">
        <v>25</v>
      </c>
      <c r="G42" s="2298" t="s">
        <v>24</v>
      </c>
      <c r="H42" s="2299" t="s">
        <v>25</v>
      </c>
      <c r="I42" s="2298" t="s">
        <v>24</v>
      </c>
      <c r="J42" s="2299" t="s">
        <v>25</v>
      </c>
      <c r="K42" s="2298" t="s">
        <v>24</v>
      </c>
      <c r="L42" s="2299" t="s">
        <v>25</v>
      </c>
      <c r="M42" s="2298" t="s">
        <v>24</v>
      </c>
      <c r="N42" s="2299" t="s">
        <v>25</v>
      </c>
      <c r="O42" s="2298" t="s">
        <v>24</v>
      </c>
      <c r="P42" s="2299" t="s">
        <v>25</v>
      </c>
      <c r="Q42" s="2298" t="s">
        <v>24</v>
      </c>
      <c r="R42" s="2299" t="s">
        <v>25</v>
      </c>
      <c r="S42" s="892"/>
      <c r="T42" s="892"/>
      <c r="U42" s="892"/>
      <c r="V42" s="892"/>
      <c r="W42" s="892"/>
      <c r="X42" s="892"/>
      <c r="Y42" s="892"/>
      <c r="Z42" s="892"/>
      <c r="AA42" s="892"/>
      <c r="AB42" s="892"/>
    </row>
    <row r="43" spans="1:131" ht="16.350000000000001" customHeight="1" x14ac:dyDescent="0.25">
      <c r="A43" s="2458" t="s">
        <v>2908</v>
      </c>
      <c r="B43" s="5332" t="s">
        <v>187</v>
      </c>
      <c r="C43" s="5333"/>
      <c r="D43" s="2562" t="s">
        <v>2777</v>
      </c>
      <c r="E43" s="2563" t="s">
        <v>2778</v>
      </c>
      <c r="F43" s="3777" t="s">
        <v>2779</v>
      </c>
      <c r="G43" s="2483" t="s">
        <v>2780</v>
      </c>
      <c r="H43" s="2499" t="s">
        <v>2781</v>
      </c>
      <c r="I43" s="2483" t="s">
        <v>2782</v>
      </c>
      <c r="J43" s="2499" t="s">
        <v>2783</v>
      </c>
      <c r="K43" s="2483" t="s">
        <v>2784</v>
      </c>
      <c r="L43" s="2480" t="s">
        <v>2785</v>
      </c>
      <c r="M43" s="2483" t="s">
        <v>2786</v>
      </c>
      <c r="N43" s="2480" t="s">
        <v>2787</v>
      </c>
      <c r="O43" s="2560" t="s">
        <v>2788</v>
      </c>
      <c r="P43" s="2480" t="s">
        <v>2789</v>
      </c>
      <c r="Q43" s="2560" t="s">
        <v>2790</v>
      </c>
      <c r="R43" s="2480" t="s">
        <v>2791</v>
      </c>
      <c r="S43" s="2300" t="str">
        <f>CB43</f>
        <v/>
      </c>
      <c r="T43" s="1062"/>
      <c r="U43" s="1062"/>
      <c r="V43" s="1062"/>
      <c r="W43" s="1062"/>
      <c r="X43" s="1062"/>
      <c r="Y43" s="1062"/>
      <c r="Z43" s="1062"/>
      <c r="AA43" s="1062"/>
      <c r="AB43" s="1062"/>
      <c r="AC43" s="1062"/>
      <c r="AD43" s="1062"/>
      <c r="CB43" s="887" t="str">
        <f>IF(D43&lt;&gt;'A05'!D63,"* Niños derivados deben ser iguales al ingreso de niños(as) Normal con Rezago a salas de estimulación REM A05 sección F. ","")</f>
        <v/>
      </c>
    </row>
    <row r="44" spans="1:131" ht="16.350000000000001" customHeight="1" x14ac:dyDescent="0.25">
      <c r="A44" s="2458" t="s">
        <v>2909</v>
      </c>
      <c r="B44" s="5334" t="s">
        <v>188</v>
      </c>
      <c r="C44" s="5335"/>
      <c r="D44" s="2565" t="s">
        <v>2777</v>
      </c>
      <c r="E44" s="2301" t="s">
        <v>2778</v>
      </c>
      <c r="F44" s="3765" t="s">
        <v>2779</v>
      </c>
      <c r="G44" s="141" t="s">
        <v>2780</v>
      </c>
      <c r="H44" s="2295" t="s">
        <v>2781</v>
      </c>
      <c r="I44" s="2391" t="s">
        <v>2782</v>
      </c>
      <c r="J44" s="2295" t="s">
        <v>2783</v>
      </c>
      <c r="K44" s="2391" t="s">
        <v>2784</v>
      </c>
      <c r="L44" s="2270" t="s">
        <v>2785</v>
      </c>
      <c r="M44" s="2391" t="s">
        <v>2786</v>
      </c>
      <c r="N44" s="2270" t="s">
        <v>2787</v>
      </c>
      <c r="O44" s="2392" t="s">
        <v>2788</v>
      </c>
      <c r="P44" s="2270" t="s">
        <v>2789</v>
      </c>
      <c r="Q44" s="2392" t="s">
        <v>2790</v>
      </c>
      <c r="R44" s="2270" t="s">
        <v>2791</v>
      </c>
      <c r="S44" s="2300" t="str">
        <f>CB44</f>
        <v/>
      </c>
      <c r="T44" s="1062"/>
      <c r="U44" s="1062"/>
      <c r="V44" s="1062"/>
      <c r="W44" s="1062"/>
      <c r="X44" s="1062"/>
      <c r="Y44" s="1062"/>
      <c r="Z44" s="1062"/>
      <c r="AA44" s="1062"/>
      <c r="AB44" s="1062"/>
      <c r="AC44" s="1062"/>
      <c r="AD44" s="1062"/>
      <c r="CB44" s="887" t="str">
        <f>IF(D44&lt;&gt;'A05'!D64,"* Niños derivados deben ser iguales al ingreso de niños(as) con Riesgo a salas de estimulación REM A05 sección F. ","")</f>
        <v/>
      </c>
    </row>
    <row r="45" spans="1:131" ht="16.350000000000001" customHeight="1" x14ac:dyDescent="0.25">
      <c r="A45" s="2458" t="s">
        <v>2910</v>
      </c>
      <c r="B45" s="5336" t="s">
        <v>189</v>
      </c>
      <c r="C45" s="5337"/>
      <c r="D45" s="267" t="s">
        <v>2777</v>
      </c>
      <c r="E45" s="699" t="s">
        <v>2778</v>
      </c>
      <c r="F45" s="3767" t="s">
        <v>2779</v>
      </c>
      <c r="G45" s="2245" t="s">
        <v>2780</v>
      </c>
      <c r="H45" s="240" t="s">
        <v>2781</v>
      </c>
      <c r="I45" s="166" t="s">
        <v>2782</v>
      </c>
      <c r="J45" s="168" t="s">
        <v>2783</v>
      </c>
      <c r="K45" s="166" t="s">
        <v>2784</v>
      </c>
      <c r="L45" s="125" t="s">
        <v>2785</v>
      </c>
      <c r="M45" s="166" t="s">
        <v>2786</v>
      </c>
      <c r="N45" s="125" t="s">
        <v>2787</v>
      </c>
      <c r="O45" s="227" t="s">
        <v>2788</v>
      </c>
      <c r="P45" s="125" t="s">
        <v>2789</v>
      </c>
      <c r="Q45" s="227" t="s">
        <v>2790</v>
      </c>
      <c r="R45" s="125" t="s">
        <v>2791</v>
      </c>
      <c r="S45" s="2300" t="str">
        <f>CB45</f>
        <v/>
      </c>
      <c r="T45" s="1062"/>
      <c r="U45" s="1062"/>
      <c r="V45" s="1062"/>
      <c r="W45" s="1062"/>
      <c r="X45" s="1062"/>
      <c r="Y45" s="1062"/>
      <c r="Z45" s="1062"/>
      <c r="AA45" s="1062"/>
      <c r="AB45" s="1062"/>
      <c r="AC45" s="1062"/>
      <c r="AD45" s="1062"/>
      <c r="CB45" s="887" t="str">
        <f>IF(D45&lt;&gt;'A05'!D65,"* Niños derivados deben ser iguales al ingreso de niños(as) con Retraso a salas de estimulación REM A05 sección F. ","")</f>
        <v/>
      </c>
    </row>
    <row r="46" spans="1:131" ht="16.350000000000001" customHeight="1" x14ac:dyDescent="0.25">
      <c r="A46" s="2458" t="s">
        <v>2911</v>
      </c>
      <c r="B46" s="5290" t="s">
        <v>194</v>
      </c>
      <c r="C46" s="5292"/>
      <c r="D46" s="2566" t="s">
        <v>2777</v>
      </c>
      <c r="E46" s="2567" t="s">
        <v>2778</v>
      </c>
      <c r="F46" s="2879" t="s">
        <v>2779</v>
      </c>
      <c r="G46" s="2551" t="s">
        <v>2780</v>
      </c>
      <c r="H46" s="2556" t="s">
        <v>2781</v>
      </c>
      <c r="I46" s="2551" t="s">
        <v>2782</v>
      </c>
      <c r="J46" s="2556" t="s">
        <v>2783</v>
      </c>
      <c r="K46" s="2551" t="s">
        <v>2784</v>
      </c>
      <c r="L46" s="2552" t="s">
        <v>2785</v>
      </c>
      <c r="M46" s="2551" t="s">
        <v>2786</v>
      </c>
      <c r="N46" s="2552" t="s">
        <v>2787</v>
      </c>
      <c r="O46" s="2554" t="s">
        <v>2788</v>
      </c>
      <c r="P46" s="2552" t="s">
        <v>2789</v>
      </c>
      <c r="Q46" s="2554" t="s">
        <v>2790</v>
      </c>
      <c r="R46" s="2552" t="s">
        <v>2791</v>
      </c>
      <c r="S46" s="2300" t="str">
        <f>CB46</f>
        <v/>
      </c>
      <c r="T46" s="1062"/>
      <c r="U46" s="1062"/>
      <c r="V46" s="1062"/>
      <c r="W46" s="1062"/>
      <c r="X46" s="1062"/>
      <c r="Y46" s="1062"/>
      <c r="Z46" s="1062"/>
      <c r="AA46" s="1062"/>
      <c r="AB46" s="1062"/>
      <c r="AC46" s="1062"/>
      <c r="AD46" s="1062"/>
      <c r="CB46" s="887" t="str">
        <f>IF(D46&lt;&gt;'A05'!D66,"* Niños derivados deben ser iguales al ingreso de niños(as) con Otras Vulnerabilidad a salas de estimulación REM A05 sección F. ","")</f>
        <v/>
      </c>
    </row>
    <row r="47" spans="1:131" ht="31.35" customHeight="1" x14ac:dyDescent="0.25">
      <c r="B47" s="2260" t="s">
        <v>196</v>
      </c>
      <c r="C47" s="2261"/>
      <c r="D47" s="3758"/>
      <c r="E47" s="3758"/>
      <c r="F47" s="3758"/>
      <c r="G47" s="2261"/>
      <c r="H47" s="2261"/>
      <c r="I47" s="2261"/>
      <c r="J47" s="2261"/>
      <c r="K47" s="881"/>
      <c r="L47" s="881"/>
      <c r="M47" s="881"/>
      <c r="N47" s="881"/>
      <c r="O47" s="881"/>
      <c r="P47" s="881"/>
      <c r="Q47" s="881"/>
      <c r="R47" s="881"/>
      <c r="S47" s="881"/>
      <c r="T47" s="881"/>
      <c r="U47" s="881"/>
      <c r="V47" s="881"/>
      <c r="W47" s="881"/>
      <c r="X47" s="881"/>
      <c r="Y47" s="881"/>
      <c r="Z47" s="881"/>
      <c r="AA47" s="881"/>
      <c r="AB47" s="881"/>
      <c r="BB47" s="884"/>
      <c r="BC47" s="884"/>
      <c r="BD47" s="884"/>
      <c r="BE47" s="884"/>
      <c r="BF47" s="884"/>
      <c r="BG47" s="884"/>
      <c r="BH47" s="884"/>
      <c r="BI47" s="884"/>
      <c r="BJ47" s="884"/>
      <c r="BK47" s="884"/>
      <c r="BL47" s="884"/>
      <c r="BM47" s="884"/>
      <c r="BN47" s="884"/>
      <c r="BO47" s="884"/>
      <c r="BP47" s="884"/>
      <c r="BQ47" s="884"/>
      <c r="BR47" s="884"/>
      <c r="BS47" s="884"/>
      <c r="BT47" s="884"/>
      <c r="BU47" s="884"/>
      <c r="BV47" s="884"/>
      <c r="BW47" s="884"/>
      <c r="BX47" s="884"/>
      <c r="BY47" s="884"/>
      <c r="BZ47" s="884"/>
      <c r="CA47" s="884"/>
      <c r="DB47" s="210"/>
      <c r="DC47" s="210"/>
      <c r="DD47" s="210"/>
      <c r="DE47" s="210"/>
      <c r="DF47" s="210"/>
      <c r="DG47" s="210"/>
      <c r="DH47" s="210"/>
      <c r="DI47" s="210"/>
      <c r="DJ47" s="210"/>
      <c r="DK47" s="210"/>
      <c r="DL47" s="210"/>
      <c r="DM47" s="210"/>
      <c r="DN47" s="210"/>
      <c r="DO47" s="210"/>
      <c r="DP47" s="210"/>
      <c r="DQ47" s="210"/>
      <c r="DR47" s="210"/>
      <c r="DS47" s="210"/>
      <c r="DT47" s="210"/>
      <c r="DU47" s="210"/>
      <c r="DV47" s="210"/>
      <c r="DW47" s="210"/>
      <c r="DX47" s="210"/>
      <c r="DY47" s="210"/>
      <c r="DZ47" s="210"/>
      <c r="EA47" s="210"/>
    </row>
    <row r="48" spans="1:131" ht="16.350000000000001" customHeight="1" x14ac:dyDescent="0.25">
      <c r="B48" s="5255" t="s">
        <v>175</v>
      </c>
      <c r="C48" s="5256"/>
      <c r="D48" s="5179" t="s">
        <v>170</v>
      </c>
      <c r="E48" s="5180"/>
      <c r="F48" s="5181"/>
      <c r="G48" s="5308" t="s">
        <v>5</v>
      </c>
      <c r="H48" s="5308"/>
      <c r="I48" s="5308"/>
      <c r="J48" s="5308"/>
      <c r="K48" s="881"/>
      <c r="L48" s="881"/>
      <c r="M48" s="881"/>
      <c r="N48" s="881"/>
      <c r="O48" s="881"/>
      <c r="P48" s="881"/>
      <c r="Q48" s="881"/>
      <c r="R48" s="881"/>
      <c r="S48" s="881"/>
      <c r="T48" s="881"/>
      <c r="U48" s="881"/>
      <c r="V48" s="881"/>
      <c r="W48" s="881"/>
      <c r="X48" s="881"/>
      <c r="Y48" s="881"/>
      <c r="Z48" s="881"/>
      <c r="AA48" s="881"/>
      <c r="AB48" s="881"/>
    </row>
    <row r="49" spans="1:131" ht="16.350000000000001" customHeight="1" x14ac:dyDescent="0.25">
      <c r="B49" s="5338"/>
      <c r="C49" s="5258"/>
      <c r="D49" s="5182"/>
      <c r="E49" s="5183"/>
      <c r="F49" s="5184"/>
      <c r="G49" s="5269" t="s">
        <v>44</v>
      </c>
      <c r="H49" s="5270"/>
      <c r="I49" s="5269" t="s">
        <v>45</v>
      </c>
      <c r="J49" s="5270"/>
      <c r="K49" s="881"/>
      <c r="L49" s="881"/>
      <c r="M49" s="881"/>
      <c r="N49" s="881"/>
      <c r="O49" s="881"/>
      <c r="P49" s="881"/>
      <c r="Q49" s="881"/>
      <c r="R49" s="881"/>
      <c r="S49" s="881"/>
      <c r="T49" s="881"/>
      <c r="U49" s="881"/>
      <c r="V49" s="881"/>
      <c r="W49" s="881"/>
      <c r="X49" s="881"/>
      <c r="Y49" s="881"/>
      <c r="Z49" s="881"/>
      <c r="AA49" s="881"/>
      <c r="AB49" s="881"/>
    </row>
    <row r="50" spans="1:131" ht="16.350000000000001" customHeight="1" x14ac:dyDescent="0.25">
      <c r="B50" s="5339"/>
      <c r="C50" s="5260"/>
      <c r="D50" s="3771" t="s">
        <v>184</v>
      </c>
      <c r="E50" s="3772" t="s">
        <v>24</v>
      </c>
      <c r="F50" s="3787" t="s">
        <v>25</v>
      </c>
      <c r="G50" s="2302" t="s">
        <v>24</v>
      </c>
      <c r="H50" s="2291" t="s">
        <v>25</v>
      </c>
      <c r="I50" s="2302" t="s">
        <v>24</v>
      </c>
      <c r="J50" s="2291" t="s">
        <v>25</v>
      </c>
      <c r="K50" s="881"/>
      <c r="L50" s="881"/>
      <c r="M50" s="881"/>
      <c r="N50" s="881"/>
      <c r="O50" s="881"/>
      <c r="P50" s="881"/>
      <c r="Q50" s="881"/>
      <c r="R50" s="881"/>
      <c r="S50" s="881"/>
      <c r="T50" s="881"/>
      <c r="U50" s="881"/>
      <c r="V50" s="881"/>
      <c r="W50" s="881"/>
      <c r="X50" s="881"/>
      <c r="Y50" s="881"/>
      <c r="Z50" s="881"/>
      <c r="AA50" s="881"/>
      <c r="AB50" s="881"/>
    </row>
    <row r="51" spans="1:131" ht="16.350000000000001" customHeight="1" x14ac:dyDescent="0.25">
      <c r="A51" s="2458" t="s">
        <v>2912</v>
      </c>
      <c r="B51" s="5309" t="s">
        <v>197</v>
      </c>
      <c r="C51" s="5310"/>
      <c r="D51" s="2758">
        <f>SUM(E51+F51)</f>
        <v>0</v>
      </c>
      <c r="E51" s="2759">
        <f>SUM(G51+I51)</f>
        <v>0</v>
      </c>
      <c r="F51" s="3776">
        <f>SUM(H51+J51)</f>
        <v>0</v>
      </c>
      <c r="G51" s="2520">
        <f>SUM(G52:G54)</f>
        <v>0</v>
      </c>
      <c r="H51" s="2521">
        <f>SUM(H52:H54)</f>
        <v>0</v>
      </c>
      <c r="I51" s="2519">
        <f>SUM(I52:I54)</f>
        <v>0</v>
      </c>
      <c r="J51" s="2568">
        <f>SUM(J52:J54)</f>
        <v>0</v>
      </c>
      <c r="K51" s="138"/>
      <c r="L51" s="881"/>
      <c r="M51" s="881"/>
      <c r="N51" s="881"/>
      <c r="O51" s="881"/>
      <c r="P51" s="881"/>
      <c r="Q51" s="881"/>
      <c r="R51" s="881"/>
      <c r="S51" s="881"/>
      <c r="T51" s="881"/>
      <c r="U51" s="881"/>
      <c r="V51" s="881"/>
      <c r="W51" s="881"/>
      <c r="X51" s="881"/>
      <c r="Y51" s="881"/>
      <c r="Z51" s="881"/>
      <c r="AA51" s="881"/>
      <c r="AB51" s="881"/>
    </row>
    <row r="52" spans="1:131" ht="16.350000000000001" customHeight="1" x14ac:dyDescent="0.25">
      <c r="A52" s="2458" t="s">
        <v>2913</v>
      </c>
      <c r="B52" s="5311" t="s">
        <v>163</v>
      </c>
      <c r="C52" s="5312"/>
      <c r="D52" s="3788" t="s">
        <v>2777</v>
      </c>
      <c r="E52" s="3789" t="s">
        <v>2778</v>
      </c>
      <c r="F52" s="3765" t="s">
        <v>2779</v>
      </c>
      <c r="G52" s="2391" t="s">
        <v>2780</v>
      </c>
      <c r="H52" s="2295" t="s">
        <v>2781</v>
      </c>
      <c r="I52" s="2392" t="s">
        <v>2782</v>
      </c>
      <c r="J52" s="2270" t="s">
        <v>2783</v>
      </c>
      <c r="K52" s="138"/>
      <c r="L52" s="881"/>
      <c r="M52" s="881"/>
      <c r="N52" s="881"/>
      <c r="O52" s="881"/>
      <c r="P52" s="881"/>
      <c r="Q52" s="881"/>
      <c r="R52" s="881"/>
      <c r="S52" s="881"/>
      <c r="T52" s="881"/>
      <c r="U52" s="881"/>
      <c r="V52" s="881"/>
      <c r="W52" s="881"/>
      <c r="X52" s="881"/>
      <c r="Y52" s="881"/>
      <c r="Z52" s="881"/>
      <c r="AA52" s="881"/>
      <c r="AB52" s="881"/>
    </row>
    <row r="53" spans="1:131" ht="16.350000000000001" customHeight="1" x14ac:dyDescent="0.25">
      <c r="A53" s="2458" t="s">
        <v>2914</v>
      </c>
      <c r="B53" s="5313" t="s">
        <v>198</v>
      </c>
      <c r="C53" s="5303"/>
      <c r="D53" s="714" t="s">
        <v>2777</v>
      </c>
      <c r="E53" s="715" t="s">
        <v>2778</v>
      </c>
      <c r="F53" s="3778" t="s">
        <v>2779</v>
      </c>
      <c r="G53" s="141" t="s">
        <v>2780</v>
      </c>
      <c r="H53" s="198" t="s">
        <v>2781</v>
      </c>
      <c r="I53" s="224" t="s">
        <v>2782</v>
      </c>
      <c r="J53" s="163" t="s">
        <v>2783</v>
      </c>
      <c r="K53" s="138"/>
      <c r="L53" s="881"/>
      <c r="M53" s="881"/>
      <c r="N53" s="881"/>
      <c r="O53" s="881"/>
      <c r="P53" s="881"/>
      <c r="Q53" s="881"/>
      <c r="R53" s="881"/>
      <c r="S53" s="881"/>
      <c r="T53" s="881"/>
      <c r="U53" s="881"/>
      <c r="V53" s="881"/>
      <c r="W53" s="881"/>
      <c r="X53" s="881"/>
      <c r="Y53" s="881"/>
      <c r="Z53" s="881"/>
      <c r="AA53" s="881"/>
      <c r="AB53" s="881"/>
    </row>
    <row r="54" spans="1:131" ht="16.350000000000001" customHeight="1" x14ac:dyDescent="0.25">
      <c r="A54" s="2458" t="s">
        <v>2915</v>
      </c>
      <c r="B54" s="5314" t="s">
        <v>199</v>
      </c>
      <c r="C54" s="5315"/>
      <c r="D54" s="716" t="s">
        <v>2777</v>
      </c>
      <c r="E54" s="717" t="s">
        <v>2778</v>
      </c>
      <c r="F54" s="3767" t="s">
        <v>2779</v>
      </c>
      <c r="G54" s="166" t="s">
        <v>2780</v>
      </c>
      <c r="H54" s="168" t="s">
        <v>2781</v>
      </c>
      <c r="I54" s="227" t="s">
        <v>2782</v>
      </c>
      <c r="J54" s="125" t="s">
        <v>2783</v>
      </c>
      <c r="K54" s="138"/>
      <c r="L54" s="881"/>
      <c r="M54" s="881"/>
      <c r="N54" s="881"/>
      <c r="O54" s="881"/>
      <c r="P54" s="881"/>
      <c r="Q54" s="881"/>
      <c r="R54" s="881"/>
      <c r="S54" s="881"/>
      <c r="T54" s="881"/>
      <c r="U54" s="881"/>
      <c r="V54" s="881"/>
      <c r="W54" s="881"/>
      <c r="X54" s="881"/>
      <c r="Y54" s="881"/>
      <c r="Z54" s="881"/>
      <c r="AA54" s="881"/>
      <c r="AB54" s="881"/>
    </row>
    <row r="55" spans="1:131" ht="31.35" customHeight="1" x14ac:dyDescent="0.25">
      <c r="B55" s="2260" t="s">
        <v>200</v>
      </c>
      <c r="C55" s="2261"/>
      <c r="D55" s="3758"/>
      <c r="E55" s="3758"/>
      <c r="F55" s="3758"/>
      <c r="G55" s="2261"/>
      <c r="H55" s="2261"/>
      <c r="I55" s="2261"/>
      <c r="J55" s="2261"/>
      <c r="K55" s="85"/>
      <c r="L55" s="85"/>
      <c r="M55" s="243"/>
      <c r="N55" s="881"/>
      <c r="O55" s="881"/>
      <c r="P55" s="881"/>
      <c r="Q55" s="881"/>
      <c r="R55" s="881"/>
      <c r="S55" s="881"/>
      <c r="T55" s="881"/>
      <c r="U55" s="881"/>
      <c r="V55" s="881"/>
      <c r="W55" s="881"/>
      <c r="X55" s="881"/>
      <c r="Y55" s="881"/>
      <c r="Z55" s="881"/>
      <c r="AA55" s="881"/>
      <c r="AB55" s="881"/>
      <c r="BB55" s="884"/>
      <c r="BC55" s="884"/>
      <c r="BD55" s="884"/>
      <c r="BE55" s="884"/>
      <c r="BF55" s="884"/>
      <c r="BG55" s="884"/>
      <c r="BH55" s="884"/>
      <c r="BI55" s="884"/>
      <c r="BJ55" s="884"/>
      <c r="BK55" s="884"/>
      <c r="BL55" s="884"/>
      <c r="BM55" s="884"/>
      <c r="BN55" s="884"/>
      <c r="BO55" s="884"/>
      <c r="BP55" s="884"/>
      <c r="BQ55" s="884"/>
      <c r="BR55" s="884"/>
      <c r="BS55" s="884"/>
      <c r="BT55" s="884"/>
      <c r="BU55" s="884"/>
      <c r="BV55" s="884"/>
      <c r="BW55" s="884"/>
      <c r="BX55" s="884"/>
      <c r="BY55" s="884"/>
      <c r="BZ55" s="884"/>
      <c r="CA55" s="884"/>
      <c r="DB55" s="210"/>
      <c r="DC55" s="210"/>
      <c r="DD55" s="210"/>
      <c r="DE55" s="210"/>
      <c r="DF55" s="210"/>
      <c r="DG55" s="210"/>
      <c r="DH55" s="210"/>
      <c r="DI55" s="210"/>
      <c r="DJ55" s="210"/>
      <c r="DK55" s="210"/>
      <c r="DL55" s="210"/>
      <c r="DM55" s="210"/>
      <c r="DN55" s="210"/>
      <c r="DO55" s="210"/>
      <c r="DP55" s="210"/>
      <c r="DQ55" s="210"/>
      <c r="DR55" s="210"/>
      <c r="DS55" s="210"/>
      <c r="DT55" s="210"/>
      <c r="DU55" s="210"/>
      <c r="DV55" s="210"/>
      <c r="DW55" s="210"/>
      <c r="DX55" s="210"/>
      <c r="DY55" s="210"/>
      <c r="DZ55" s="210"/>
      <c r="EA55" s="210"/>
    </row>
    <row r="56" spans="1:131" ht="16.350000000000001" customHeight="1" x14ac:dyDescent="0.25">
      <c r="B56" s="5249" t="s">
        <v>201</v>
      </c>
      <c r="C56" s="5316"/>
      <c r="D56" s="5318" t="s">
        <v>42</v>
      </c>
      <c r="E56" s="5319"/>
      <c r="F56" s="5320"/>
      <c r="G56" s="5322" t="s">
        <v>202</v>
      </c>
      <c r="H56" s="5322"/>
      <c r="I56" s="5322"/>
      <c r="J56" s="5322"/>
      <c r="K56" s="5322"/>
      <c r="L56" s="5322"/>
      <c r="M56" s="5322"/>
      <c r="N56" s="5322"/>
      <c r="O56" s="5322"/>
      <c r="P56" s="5210"/>
      <c r="Q56" s="881"/>
      <c r="R56" s="881"/>
      <c r="S56" s="881"/>
      <c r="T56" s="881"/>
      <c r="U56" s="881"/>
      <c r="V56" s="881"/>
      <c r="W56" s="881"/>
      <c r="X56" s="881"/>
      <c r="Y56" s="881"/>
      <c r="Z56" s="881"/>
      <c r="AA56" s="881"/>
      <c r="AB56" s="881"/>
    </row>
    <row r="57" spans="1:131" ht="16.350000000000001" customHeight="1" x14ac:dyDescent="0.25">
      <c r="B57" s="5153"/>
      <c r="C57" s="5154"/>
      <c r="D57" s="5182"/>
      <c r="E57" s="5183"/>
      <c r="F57" s="5321"/>
      <c r="G57" s="5322" t="s">
        <v>203</v>
      </c>
      <c r="H57" s="5210"/>
      <c r="I57" s="5322" t="s">
        <v>204</v>
      </c>
      <c r="J57" s="5210"/>
      <c r="K57" s="5322" t="s">
        <v>205</v>
      </c>
      <c r="L57" s="5322"/>
      <c r="M57" s="5209" t="s">
        <v>206</v>
      </c>
      <c r="N57" s="5210"/>
      <c r="O57" s="5209" t="s">
        <v>207</v>
      </c>
      <c r="P57" s="5210"/>
      <c r="Q57" s="881"/>
      <c r="R57" s="881"/>
      <c r="S57" s="881"/>
      <c r="T57" s="881"/>
      <c r="U57" s="881"/>
      <c r="V57" s="881"/>
      <c r="W57" s="881"/>
      <c r="X57" s="881"/>
      <c r="Y57" s="881"/>
      <c r="Z57" s="881"/>
      <c r="AA57" s="881"/>
      <c r="AB57" s="881"/>
    </row>
    <row r="58" spans="1:131" ht="16.350000000000001" customHeight="1" x14ac:dyDescent="0.25">
      <c r="B58" s="5131"/>
      <c r="C58" s="5317"/>
      <c r="D58" s="2566" t="s">
        <v>184</v>
      </c>
      <c r="E58" s="2567" t="s">
        <v>24</v>
      </c>
      <c r="F58" s="3487" t="s">
        <v>25</v>
      </c>
      <c r="G58" s="2569" t="s">
        <v>24</v>
      </c>
      <c r="H58" s="2570" t="s">
        <v>25</v>
      </c>
      <c r="I58" s="2569" t="s">
        <v>24</v>
      </c>
      <c r="J58" s="2570" t="s">
        <v>25</v>
      </c>
      <c r="K58" s="2569" t="s">
        <v>24</v>
      </c>
      <c r="L58" s="2571" t="s">
        <v>25</v>
      </c>
      <c r="M58" s="2569" t="s">
        <v>24</v>
      </c>
      <c r="N58" s="2570" t="s">
        <v>25</v>
      </c>
      <c r="O58" s="2569" t="s">
        <v>24</v>
      </c>
      <c r="P58" s="2570" t="s">
        <v>25</v>
      </c>
      <c r="Q58" s="881"/>
      <c r="R58" s="881"/>
      <c r="S58" s="881"/>
      <c r="T58" s="881"/>
      <c r="U58" s="881"/>
      <c r="V58" s="881"/>
      <c r="W58" s="881"/>
      <c r="X58" s="881"/>
      <c r="Y58" s="881"/>
      <c r="Z58" s="881"/>
      <c r="AA58" s="881"/>
      <c r="AB58" s="2304"/>
      <c r="AC58" s="2305"/>
    </row>
    <row r="59" spans="1:131" ht="16.350000000000001" customHeight="1" x14ac:dyDescent="0.25">
      <c r="A59" s="2458" t="s">
        <v>2916</v>
      </c>
      <c r="B59" s="5290" t="s">
        <v>208</v>
      </c>
      <c r="C59" s="5292"/>
      <c r="D59" s="2758" t="s">
        <v>2777</v>
      </c>
      <c r="E59" s="2759" t="s">
        <v>2778</v>
      </c>
      <c r="F59" s="3776" t="s">
        <v>2779</v>
      </c>
      <c r="G59" s="2553" t="s">
        <v>2780</v>
      </c>
      <c r="H59" s="2552" t="s">
        <v>2781</v>
      </c>
      <c r="I59" s="2553" t="s">
        <v>2782</v>
      </c>
      <c r="J59" s="2552" t="s">
        <v>2783</v>
      </c>
      <c r="K59" s="2553" t="s">
        <v>2784</v>
      </c>
      <c r="L59" s="2572" t="s">
        <v>2785</v>
      </c>
      <c r="M59" s="2551" t="s">
        <v>2786</v>
      </c>
      <c r="N59" s="2552" t="s">
        <v>2787</v>
      </c>
      <c r="O59" s="2551" t="s">
        <v>2788</v>
      </c>
      <c r="P59" s="2552" t="s">
        <v>2789</v>
      </c>
      <c r="Q59" s="2269"/>
      <c r="R59" s="1062"/>
      <c r="S59" s="1062"/>
      <c r="T59" s="1062"/>
      <c r="U59" s="1062"/>
      <c r="V59" s="1062"/>
      <c r="W59" s="1062"/>
      <c r="X59" s="1062"/>
      <c r="Y59" s="1062"/>
      <c r="Z59" s="1062"/>
      <c r="AA59" s="1062"/>
      <c r="AB59" s="1062"/>
      <c r="AC59" s="2305"/>
      <c r="CH59" s="887">
        <v>0</v>
      </c>
      <c r="CI59" s="887">
        <v>0</v>
      </c>
      <c r="CJ59" s="887">
        <v>0</v>
      </c>
      <c r="CK59" s="887">
        <v>0</v>
      </c>
      <c r="CL59" s="887">
        <v>0</v>
      </c>
    </row>
    <row r="60" spans="1:131" ht="16.350000000000001" customHeight="1" x14ac:dyDescent="0.25">
      <c r="A60" s="2458" t="s">
        <v>2917</v>
      </c>
      <c r="B60" s="5300" t="s">
        <v>26</v>
      </c>
      <c r="C60" s="5300"/>
      <c r="D60" s="2782" t="s">
        <v>2777</v>
      </c>
      <c r="E60" s="2779" t="s">
        <v>2778</v>
      </c>
      <c r="F60" s="2829" t="s">
        <v>2779</v>
      </c>
      <c r="G60" s="2577" t="s">
        <v>2780</v>
      </c>
      <c r="H60" s="2270" t="s">
        <v>2781</v>
      </c>
      <c r="I60" s="2271" t="s">
        <v>2782</v>
      </c>
      <c r="J60" s="2270" t="s">
        <v>2783</v>
      </c>
      <c r="K60" s="2271" t="s">
        <v>2784</v>
      </c>
      <c r="L60" s="2307" t="s">
        <v>2785</v>
      </c>
      <c r="M60" s="2578" t="s">
        <v>2786</v>
      </c>
      <c r="N60" s="2308" t="s">
        <v>2787</v>
      </c>
      <c r="O60" s="2578" t="s">
        <v>2788</v>
      </c>
      <c r="P60" s="2308" t="s">
        <v>2789</v>
      </c>
      <c r="Q60" s="881"/>
      <c r="R60" s="881"/>
      <c r="S60" s="881"/>
      <c r="T60" s="881"/>
      <c r="U60" s="881"/>
      <c r="V60" s="881"/>
      <c r="W60" s="881"/>
      <c r="X60" s="881"/>
      <c r="Y60" s="881"/>
      <c r="Z60" s="881"/>
      <c r="AA60" s="881"/>
      <c r="AB60" s="2304"/>
      <c r="AC60" s="2305"/>
    </row>
    <row r="61" spans="1:131" ht="16.350000000000001" customHeight="1" x14ac:dyDescent="0.25">
      <c r="A61" s="2549" t="s">
        <v>2918</v>
      </c>
      <c r="B61" s="5302" t="s">
        <v>2919</v>
      </c>
      <c r="C61" s="5303"/>
      <c r="D61" s="714" t="s">
        <v>2777</v>
      </c>
      <c r="E61" s="713" t="s">
        <v>2778</v>
      </c>
      <c r="F61" s="2760" t="s">
        <v>2779</v>
      </c>
      <c r="G61" s="224" t="s">
        <v>2780</v>
      </c>
      <c r="H61" s="163" t="s">
        <v>2781</v>
      </c>
      <c r="I61" s="180" t="s">
        <v>2782</v>
      </c>
      <c r="J61" s="163" t="s">
        <v>2783</v>
      </c>
      <c r="K61" s="180" t="s">
        <v>2784</v>
      </c>
      <c r="L61" s="247" t="s">
        <v>2785</v>
      </c>
      <c r="M61" s="173" t="s">
        <v>2786</v>
      </c>
      <c r="N61" s="174" t="s">
        <v>2787</v>
      </c>
      <c r="O61" s="175" t="s">
        <v>2788</v>
      </c>
      <c r="P61" s="162" t="s">
        <v>2789</v>
      </c>
      <c r="Q61" s="881"/>
      <c r="R61" s="881"/>
      <c r="S61" s="881"/>
      <c r="T61" s="881"/>
      <c r="U61" s="881"/>
      <c r="V61" s="881"/>
      <c r="W61" s="881"/>
      <c r="X61" s="881"/>
      <c r="Y61" s="881"/>
      <c r="Z61" s="881"/>
      <c r="AA61" s="881"/>
      <c r="AB61" s="2304"/>
      <c r="AC61" s="2305"/>
    </row>
    <row r="62" spans="1:131" ht="16.350000000000001" customHeight="1" x14ac:dyDescent="0.25">
      <c r="A62" s="2458" t="s">
        <v>2920</v>
      </c>
      <c r="B62" s="5127" t="s">
        <v>2921</v>
      </c>
      <c r="C62" s="5127"/>
      <c r="D62" s="2782" t="s">
        <v>2777</v>
      </c>
      <c r="E62" s="715" t="s">
        <v>2778</v>
      </c>
      <c r="F62" s="2829" t="s">
        <v>2779</v>
      </c>
      <c r="G62" s="2573" t="s">
        <v>2780</v>
      </c>
      <c r="H62" s="2574" t="s">
        <v>2781</v>
      </c>
      <c r="I62" s="2310" t="s">
        <v>2782</v>
      </c>
      <c r="J62" s="2574" t="s">
        <v>2783</v>
      </c>
      <c r="K62" s="2310" t="s">
        <v>2784</v>
      </c>
      <c r="L62" s="2575" t="s">
        <v>2785</v>
      </c>
      <c r="M62" s="173" t="s">
        <v>2786</v>
      </c>
      <c r="N62" s="174" t="s">
        <v>2787</v>
      </c>
      <c r="O62" s="175" t="s">
        <v>2788</v>
      </c>
      <c r="P62" s="162" t="s">
        <v>2789</v>
      </c>
      <c r="Q62" s="929"/>
      <c r="R62" s="930"/>
      <c r="S62" s="930"/>
      <c r="T62" s="930"/>
      <c r="U62" s="930"/>
      <c r="V62" s="892"/>
      <c r="W62" s="892"/>
      <c r="X62" s="892"/>
      <c r="Y62" s="892"/>
      <c r="Z62" s="892"/>
      <c r="AA62" s="892"/>
      <c r="AB62" s="2311"/>
      <c r="AC62" s="2305"/>
    </row>
    <row r="63" spans="1:131" ht="16.350000000000001" customHeight="1" x14ac:dyDescent="0.25">
      <c r="A63" s="2458" t="s">
        <v>2922</v>
      </c>
      <c r="B63" s="5301" t="s">
        <v>209</v>
      </c>
      <c r="C63" s="5301"/>
      <c r="D63" s="2611" t="s">
        <v>2777</v>
      </c>
      <c r="E63" s="2770" t="s">
        <v>2778</v>
      </c>
      <c r="F63" s="384" t="s">
        <v>2779</v>
      </c>
      <c r="G63" s="2312" t="s">
        <v>2780</v>
      </c>
      <c r="H63" s="2576" t="s">
        <v>2781</v>
      </c>
      <c r="I63" s="2312" t="s">
        <v>2782</v>
      </c>
      <c r="J63" s="2576" t="s">
        <v>2783</v>
      </c>
      <c r="K63" s="249" t="s">
        <v>2784</v>
      </c>
      <c r="L63" s="250" t="s">
        <v>2785</v>
      </c>
      <c r="M63" s="2540" t="s">
        <v>2786</v>
      </c>
      <c r="N63" s="2313" t="s">
        <v>2787</v>
      </c>
      <c r="O63" s="2314" t="s">
        <v>2788</v>
      </c>
      <c r="P63" s="2541" t="s">
        <v>2789</v>
      </c>
      <c r="Q63" s="929"/>
      <c r="R63" s="930"/>
      <c r="S63" s="930"/>
      <c r="T63" s="930"/>
      <c r="U63" s="930"/>
      <c r="V63" s="892"/>
      <c r="W63" s="892"/>
      <c r="X63" s="892"/>
      <c r="Y63" s="892"/>
      <c r="Z63" s="892"/>
      <c r="AA63" s="892"/>
      <c r="AB63" s="2315"/>
    </row>
    <row r="64" spans="1:131" s="884" customFormat="1" ht="31.35" customHeight="1" x14ac:dyDescent="0.25">
      <c r="B64" s="928" t="s">
        <v>213</v>
      </c>
      <c r="C64" s="881"/>
      <c r="D64" s="3790"/>
      <c r="E64" s="3790"/>
      <c r="F64" s="3791"/>
      <c r="G64" s="881"/>
      <c r="H64" s="956"/>
      <c r="I64" s="892"/>
      <c r="J64" s="892"/>
      <c r="K64" s="892"/>
      <c r="L64" s="892"/>
      <c r="M64" s="892"/>
      <c r="N64" s="892"/>
      <c r="O64" s="892"/>
      <c r="P64" s="892"/>
      <c r="Q64" s="892"/>
      <c r="R64" s="892"/>
      <c r="S64" s="892"/>
      <c r="T64" s="892"/>
      <c r="U64" s="892"/>
      <c r="V64" s="2316"/>
      <c r="W64" s="2316"/>
      <c r="X64" s="2316"/>
      <c r="Y64" s="2316"/>
      <c r="Z64" s="2316"/>
      <c r="AA64" s="2311"/>
      <c r="AB64" s="2311"/>
      <c r="CB64" s="885"/>
      <c r="CC64" s="885"/>
      <c r="CD64" s="885"/>
      <c r="CE64" s="885"/>
      <c r="CF64" s="885"/>
      <c r="CG64" s="885"/>
      <c r="CH64" s="885"/>
      <c r="CI64" s="885"/>
      <c r="CJ64" s="885"/>
      <c r="CK64" s="885"/>
      <c r="CL64" s="885"/>
      <c r="CM64" s="885"/>
      <c r="CN64" s="885"/>
      <c r="CO64" s="885"/>
      <c r="CP64" s="885"/>
      <c r="CQ64" s="885"/>
      <c r="CR64" s="885"/>
      <c r="CS64" s="885"/>
      <c r="CT64" s="885"/>
      <c r="CU64" s="885"/>
      <c r="CV64" s="885"/>
      <c r="CW64" s="885"/>
      <c r="CX64" s="885"/>
      <c r="CY64" s="885"/>
      <c r="CZ64" s="885"/>
      <c r="DA64" s="885"/>
    </row>
    <row r="65" spans="1:131" s="884" customFormat="1" ht="31.35" customHeight="1" x14ac:dyDescent="0.25">
      <c r="B65" s="928" t="s">
        <v>214</v>
      </c>
      <c r="C65" s="928"/>
      <c r="D65" s="3792"/>
      <c r="E65" s="3792"/>
      <c r="F65" s="3792"/>
      <c r="G65" s="928"/>
      <c r="H65" s="928"/>
      <c r="I65" s="928"/>
      <c r="J65" s="928"/>
      <c r="K65" s="127"/>
      <c r="L65" s="929"/>
      <c r="M65" s="929"/>
      <c r="N65" s="929"/>
      <c r="O65" s="930"/>
      <c r="P65" s="930"/>
      <c r="Q65" s="930"/>
      <c r="R65" s="930"/>
      <c r="S65" s="930"/>
      <c r="T65" s="930"/>
      <c r="U65" s="930"/>
      <c r="V65" s="2311"/>
      <c r="W65" s="2311"/>
      <c r="X65" s="2311"/>
      <c r="Y65" s="2311"/>
      <c r="Z65" s="2311"/>
      <c r="AA65" s="2311"/>
      <c r="AB65" s="2311"/>
      <c r="CB65" s="885"/>
      <c r="CC65" s="885"/>
      <c r="CD65" s="885"/>
      <c r="CE65" s="885"/>
      <c r="CF65" s="885"/>
      <c r="CG65" s="885"/>
      <c r="CH65" s="885"/>
      <c r="CI65" s="885"/>
      <c r="CJ65" s="885"/>
      <c r="CK65" s="885"/>
      <c r="CL65" s="885"/>
      <c r="CM65" s="885"/>
      <c r="CN65" s="885"/>
      <c r="CO65" s="885"/>
      <c r="CP65" s="885"/>
      <c r="CQ65" s="885"/>
      <c r="CR65" s="885"/>
      <c r="CS65" s="885"/>
      <c r="CT65" s="885"/>
      <c r="CU65" s="885"/>
      <c r="CV65" s="885"/>
      <c r="CW65" s="885"/>
      <c r="CX65" s="885"/>
      <c r="CY65" s="885"/>
      <c r="CZ65" s="885"/>
      <c r="DA65" s="885"/>
    </row>
    <row r="66" spans="1:131" ht="16.350000000000001" customHeight="1" x14ac:dyDescent="0.25">
      <c r="B66" s="5177" t="s">
        <v>215</v>
      </c>
      <c r="C66" s="5177"/>
      <c r="D66" s="5304" t="s">
        <v>42</v>
      </c>
      <c r="E66" s="3793"/>
      <c r="F66" s="3790"/>
      <c r="G66" s="881"/>
      <c r="H66" s="881"/>
      <c r="I66" s="881"/>
      <c r="J66" s="881"/>
      <c r="K66" s="881"/>
      <c r="L66" s="255"/>
      <c r="M66" s="255"/>
      <c r="N66" s="255"/>
      <c r="O66" s="892"/>
      <c r="P66" s="892"/>
      <c r="Q66" s="892"/>
      <c r="R66" s="892"/>
      <c r="S66" s="2311"/>
      <c r="T66" s="2311"/>
      <c r="U66" s="2311"/>
      <c r="V66" s="2311"/>
      <c r="W66" s="2311"/>
      <c r="X66" s="2311"/>
      <c r="Y66" s="2311"/>
      <c r="Z66" s="2311"/>
      <c r="AA66" s="2311"/>
      <c r="AB66" s="2311"/>
    </row>
    <row r="67" spans="1:131" ht="16.350000000000001" customHeight="1" x14ac:dyDescent="0.25">
      <c r="B67" s="5178"/>
      <c r="C67" s="5178"/>
      <c r="D67" s="5305"/>
      <c r="E67" s="3790"/>
      <c r="F67" s="3790"/>
      <c r="G67" s="881"/>
      <c r="H67" s="881"/>
      <c r="I67" s="881"/>
      <c r="J67" s="881"/>
      <c r="K67" s="881"/>
      <c r="L67" s="255"/>
      <c r="M67" s="255"/>
      <c r="N67" s="255"/>
      <c r="O67" s="892"/>
      <c r="P67" s="892"/>
      <c r="Q67" s="892"/>
      <c r="R67" s="892"/>
      <c r="S67" s="2311"/>
      <c r="T67" s="2311"/>
      <c r="U67" s="2311"/>
      <c r="V67" s="2311"/>
      <c r="W67" s="2311"/>
      <c r="X67" s="2311"/>
      <c r="Y67" s="2311"/>
      <c r="Z67" s="2311"/>
      <c r="AA67" s="2311"/>
      <c r="AB67" s="2311"/>
    </row>
    <row r="68" spans="1:131" ht="16.350000000000001" customHeight="1" x14ac:dyDescent="0.25">
      <c r="A68" s="2579"/>
      <c r="B68" s="5306" t="s">
        <v>42</v>
      </c>
      <c r="C68" s="5306"/>
      <c r="D68" s="3794">
        <f>SUM(D69:D72)</f>
        <v>0</v>
      </c>
      <c r="E68" s="3795"/>
      <c r="F68" s="3790"/>
      <c r="G68" s="881"/>
      <c r="H68" s="881"/>
      <c r="I68" s="881"/>
      <c r="J68" s="881"/>
      <c r="K68" s="881"/>
      <c r="L68" s="255"/>
      <c r="M68" s="255"/>
      <c r="N68" s="255"/>
      <c r="O68" s="892"/>
      <c r="P68" s="892"/>
      <c r="Q68" s="892"/>
      <c r="R68" s="892"/>
      <c r="S68" s="2311"/>
      <c r="T68" s="2311"/>
      <c r="U68" s="2317"/>
      <c r="V68" s="2317"/>
      <c r="W68" s="2317"/>
      <c r="X68" s="2317"/>
      <c r="Y68" s="2317"/>
      <c r="Z68" s="2317"/>
      <c r="AA68" s="2311"/>
      <c r="AB68" s="2311"/>
    </row>
    <row r="69" spans="1:131" ht="16.350000000000001" customHeight="1" x14ac:dyDescent="0.25">
      <c r="A69" s="2458" t="s">
        <v>2923</v>
      </c>
      <c r="B69" s="5307" t="s">
        <v>216</v>
      </c>
      <c r="C69" s="5307"/>
      <c r="D69" s="3796" t="s">
        <v>2777</v>
      </c>
      <c r="E69" s="3795"/>
      <c r="F69" s="3790"/>
      <c r="G69" s="881"/>
      <c r="H69" s="881"/>
      <c r="I69" s="881"/>
      <c r="J69" s="881"/>
      <c r="K69" s="881"/>
      <c r="L69" s="255"/>
      <c r="M69" s="255"/>
      <c r="N69" s="255"/>
      <c r="O69" s="892"/>
      <c r="P69" s="892"/>
      <c r="Q69" s="892"/>
      <c r="R69" s="892"/>
      <c r="S69" s="2311"/>
      <c r="T69" s="2311"/>
      <c r="U69" s="2317"/>
      <c r="V69" s="2317"/>
      <c r="W69" s="2317"/>
      <c r="X69" s="2317"/>
      <c r="Y69" s="2317"/>
      <c r="Z69" s="2317"/>
      <c r="AA69" s="2311"/>
      <c r="AB69" s="2311"/>
    </row>
    <row r="70" spans="1:131" ht="16.350000000000001" customHeight="1" x14ac:dyDescent="0.25">
      <c r="A70" s="2458" t="s">
        <v>2924</v>
      </c>
      <c r="B70" s="5281" t="s">
        <v>217</v>
      </c>
      <c r="C70" s="5281"/>
      <c r="D70" s="3797" t="s">
        <v>2777</v>
      </c>
      <c r="E70" s="3795"/>
      <c r="F70" s="3790"/>
      <c r="G70" s="881"/>
      <c r="H70" s="881"/>
      <c r="I70" s="881"/>
      <c r="J70" s="881"/>
      <c r="K70" s="881"/>
      <c r="L70" s="255"/>
      <c r="M70" s="255"/>
      <c r="N70" s="255"/>
      <c r="O70" s="892"/>
      <c r="P70" s="892"/>
      <c r="Q70" s="892"/>
      <c r="R70" s="892"/>
      <c r="S70" s="2311"/>
      <c r="T70" s="2311"/>
      <c r="U70" s="2317"/>
      <c r="V70" s="2317"/>
      <c r="W70" s="2317"/>
      <c r="X70" s="2317"/>
      <c r="Y70" s="2317"/>
      <c r="Z70" s="2317"/>
      <c r="AA70" s="2311"/>
      <c r="AB70" s="2311"/>
    </row>
    <row r="71" spans="1:131" ht="16.350000000000001" customHeight="1" x14ac:dyDescent="0.25">
      <c r="A71" s="2458" t="s">
        <v>2925</v>
      </c>
      <c r="B71" s="5281" t="s">
        <v>163</v>
      </c>
      <c r="C71" s="5281"/>
      <c r="D71" s="3797" t="s">
        <v>2777</v>
      </c>
      <c r="E71" s="3795"/>
      <c r="F71" s="3790"/>
      <c r="G71" s="881"/>
      <c r="H71" s="881"/>
      <c r="I71" s="881"/>
      <c r="J71" s="881"/>
      <c r="K71" s="881"/>
      <c r="L71" s="255"/>
      <c r="M71" s="255"/>
      <c r="N71" s="255"/>
      <c r="O71" s="892"/>
      <c r="P71" s="892"/>
      <c r="Q71" s="892"/>
      <c r="R71" s="892"/>
      <c r="S71" s="2311"/>
      <c r="T71" s="2311"/>
      <c r="U71" s="2317"/>
      <c r="V71" s="2317"/>
      <c r="W71" s="2317"/>
      <c r="X71" s="2317"/>
      <c r="Y71" s="2317"/>
      <c r="Z71" s="2317"/>
      <c r="AA71" s="2311"/>
      <c r="AB71" s="2311"/>
    </row>
    <row r="72" spans="1:131" ht="16.350000000000001" customHeight="1" x14ac:dyDescent="0.25">
      <c r="A72" s="2458" t="s">
        <v>2926</v>
      </c>
      <c r="B72" s="5282" t="s">
        <v>164</v>
      </c>
      <c r="C72" s="5282"/>
      <c r="D72" s="3798" t="s">
        <v>2777</v>
      </c>
      <c r="E72" s="3795"/>
      <c r="F72" s="3790"/>
      <c r="G72" s="881"/>
      <c r="H72" s="881"/>
      <c r="I72" s="881"/>
      <c r="J72" s="881"/>
      <c r="K72" s="881"/>
      <c r="L72" s="255"/>
      <c r="M72" s="255"/>
      <c r="N72" s="255"/>
      <c r="O72" s="892"/>
      <c r="P72" s="892"/>
      <c r="Q72" s="892"/>
      <c r="R72" s="892"/>
      <c r="S72" s="2311"/>
      <c r="T72" s="2311"/>
      <c r="U72" s="2317"/>
      <c r="V72" s="2317"/>
      <c r="W72" s="2317"/>
      <c r="X72" s="2317"/>
      <c r="Y72" s="2317"/>
      <c r="Z72" s="2317"/>
      <c r="AA72" s="2311"/>
      <c r="AB72" s="2311"/>
    </row>
    <row r="73" spans="1:131" ht="31.35" customHeight="1" x14ac:dyDescent="0.25">
      <c r="B73" s="85" t="s">
        <v>2612</v>
      </c>
      <c r="C73" s="85"/>
      <c r="D73" s="3799"/>
      <c r="E73" s="3799"/>
      <c r="F73" s="3799"/>
      <c r="G73" s="928"/>
      <c r="H73" s="928"/>
      <c r="I73" s="928"/>
      <c r="J73" s="928"/>
      <c r="K73" s="881"/>
      <c r="L73" s="1063"/>
      <c r="M73" s="1063"/>
      <c r="N73" s="1063"/>
      <c r="O73" s="892"/>
      <c r="P73" s="892"/>
      <c r="Q73" s="892"/>
      <c r="R73" s="892"/>
      <c r="S73" s="2311"/>
      <c r="T73" s="2311"/>
      <c r="U73" s="2311"/>
      <c r="V73" s="2317"/>
      <c r="W73" s="2317"/>
      <c r="X73" s="2317"/>
      <c r="Y73" s="2317"/>
      <c r="Z73" s="2317"/>
      <c r="AA73" s="2311"/>
      <c r="AB73" s="2311"/>
      <c r="BB73" s="884"/>
      <c r="BC73" s="884"/>
      <c r="BD73" s="884"/>
      <c r="BE73" s="884"/>
      <c r="BF73" s="884"/>
      <c r="BG73" s="884"/>
      <c r="BH73" s="884"/>
      <c r="BI73" s="884"/>
      <c r="BJ73" s="884"/>
      <c r="BK73" s="884"/>
      <c r="BL73" s="884"/>
      <c r="BM73" s="884"/>
      <c r="BN73" s="884"/>
      <c r="BO73" s="884"/>
      <c r="BP73" s="884"/>
      <c r="BQ73" s="884"/>
      <c r="BR73" s="884"/>
      <c r="BS73" s="884"/>
      <c r="BT73" s="884"/>
      <c r="BU73" s="884"/>
      <c r="BV73" s="884"/>
      <c r="BW73" s="884"/>
      <c r="BX73" s="884"/>
      <c r="BY73" s="884"/>
      <c r="BZ73" s="884"/>
      <c r="CA73" s="884"/>
      <c r="DB73" s="210"/>
      <c r="DC73" s="210"/>
      <c r="DD73" s="210"/>
      <c r="DE73" s="210"/>
      <c r="DF73" s="210"/>
      <c r="DG73" s="210"/>
      <c r="DH73" s="210"/>
      <c r="DI73" s="210"/>
      <c r="DJ73" s="210"/>
      <c r="DK73" s="210"/>
      <c r="DL73" s="210"/>
      <c r="DM73" s="210"/>
      <c r="DN73" s="210"/>
      <c r="DO73" s="210"/>
      <c r="DP73" s="210"/>
      <c r="DQ73" s="210"/>
      <c r="DR73" s="210"/>
      <c r="DS73" s="210"/>
      <c r="DT73" s="210"/>
      <c r="DU73" s="210"/>
      <c r="DV73" s="210"/>
      <c r="DW73" s="210"/>
      <c r="DX73" s="210"/>
      <c r="DY73" s="210"/>
      <c r="DZ73" s="210"/>
      <c r="EA73" s="210"/>
    </row>
    <row r="74" spans="1:131" ht="36" customHeight="1" x14ac:dyDescent="0.25">
      <c r="B74" s="5269" t="s">
        <v>218</v>
      </c>
      <c r="C74" s="5270"/>
      <c r="D74" s="3800" t="s">
        <v>82</v>
      </c>
      <c r="E74" s="3800" t="s">
        <v>188</v>
      </c>
      <c r="F74" s="3800" t="s">
        <v>219</v>
      </c>
      <c r="G74" s="881"/>
      <c r="H74" s="881"/>
      <c r="I74" s="881"/>
      <c r="J74" s="881"/>
      <c r="K74" s="881"/>
      <c r="L74" s="1063"/>
      <c r="M74" s="1063"/>
      <c r="N74" s="1063"/>
      <c r="O74" s="892"/>
      <c r="P74" s="892"/>
      <c r="Q74" s="892"/>
      <c r="R74" s="892"/>
      <c r="S74" s="2311"/>
      <c r="T74" s="2311"/>
      <c r="U74" s="2311"/>
      <c r="V74" s="2317"/>
      <c r="W74" s="2317"/>
      <c r="X74" s="2317"/>
      <c r="Y74" s="2317"/>
      <c r="Z74" s="2317"/>
      <c r="AA74" s="2311"/>
      <c r="AB74" s="2311"/>
    </row>
    <row r="75" spans="1:131" ht="15" customHeight="1" x14ac:dyDescent="0.25">
      <c r="A75" s="2458" t="s">
        <v>2927</v>
      </c>
      <c r="B75" s="5283" t="s">
        <v>220</v>
      </c>
      <c r="C75" s="5284"/>
      <c r="D75" s="3801" t="s">
        <v>2777</v>
      </c>
      <c r="E75" s="3801" t="s">
        <v>2778</v>
      </c>
      <c r="F75" s="3801" t="s">
        <v>2779</v>
      </c>
      <c r="G75" s="2269"/>
      <c r="H75" s="1062"/>
      <c r="I75" s="1062"/>
      <c r="J75" s="1062"/>
      <c r="K75" s="1062"/>
      <c r="L75" s="1062"/>
      <c r="M75" s="1062"/>
      <c r="N75" s="1062"/>
      <c r="O75" s="1062"/>
      <c r="P75" s="1062"/>
      <c r="Q75" s="1062"/>
      <c r="R75" s="1062"/>
      <c r="S75" s="2311"/>
      <c r="T75" s="2311"/>
      <c r="U75" s="2311"/>
      <c r="V75" s="2311"/>
      <c r="W75" s="2311"/>
      <c r="X75" s="2311"/>
      <c r="Y75" s="2311"/>
      <c r="Z75" s="2311"/>
      <c r="AA75" s="2311"/>
      <c r="AB75" s="2311"/>
      <c r="CD75" s="887" t="str">
        <f>IF(D75&lt;='A05'!D11,"", "* Total de aplicaciones EPSA NO DEBE ser MAYOR que el Total de Gestantes ingresadas en REM A05 Secci„n A. ")</f>
        <v/>
      </c>
      <c r="CH75" s="887">
        <v>0</v>
      </c>
      <c r="CI75" s="887">
        <v>0</v>
      </c>
    </row>
    <row r="76" spans="1:131" ht="31.35" customHeight="1" x14ac:dyDescent="0.25">
      <c r="B76" s="85" t="s">
        <v>221</v>
      </c>
      <c r="C76" s="85"/>
      <c r="D76" s="3799"/>
      <c r="E76" s="3799"/>
      <c r="F76" s="3799"/>
      <c r="G76" s="928"/>
      <c r="H76" s="928"/>
      <c r="I76" s="928"/>
      <c r="J76" s="2319"/>
      <c r="K76" s="2272"/>
      <c r="L76" s="2319"/>
      <c r="M76" s="2311"/>
      <c r="N76" s="2311"/>
      <c r="O76" s="2311"/>
      <c r="P76" s="2311"/>
      <c r="Q76" s="2320"/>
      <c r="R76" s="2272"/>
      <c r="S76" s="2311"/>
      <c r="T76" s="2311"/>
      <c r="U76" s="2311"/>
      <c r="V76" s="2311"/>
      <c r="W76" s="2311"/>
      <c r="X76" s="2311"/>
      <c r="Y76" s="2311"/>
      <c r="Z76" s="2311"/>
      <c r="AA76" s="2311"/>
      <c r="AB76" s="2311"/>
      <c r="BB76" s="884"/>
      <c r="BC76" s="884"/>
      <c r="BD76" s="884"/>
      <c r="BE76" s="884"/>
      <c r="BF76" s="884"/>
      <c r="BG76" s="884"/>
      <c r="BH76" s="884"/>
      <c r="BI76" s="884"/>
      <c r="BJ76" s="884"/>
      <c r="BK76" s="884"/>
      <c r="BL76" s="884"/>
      <c r="BM76" s="884"/>
      <c r="BN76" s="884"/>
      <c r="BO76" s="884"/>
      <c r="BP76" s="884"/>
      <c r="BQ76" s="884"/>
      <c r="BR76" s="884"/>
      <c r="BS76" s="884"/>
      <c r="BT76" s="884"/>
      <c r="BU76" s="884"/>
      <c r="BV76" s="884"/>
      <c r="BW76" s="884"/>
      <c r="BX76" s="884"/>
      <c r="BY76" s="884"/>
      <c r="BZ76" s="884"/>
      <c r="CA76" s="884"/>
      <c r="CH76" s="887">
        <v>0</v>
      </c>
      <c r="DB76" s="210"/>
      <c r="DC76" s="210"/>
      <c r="DD76" s="210"/>
      <c r="DE76" s="210"/>
      <c r="DF76" s="210"/>
      <c r="DG76" s="210"/>
      <c r="DH76" s="210"/>
      <c r="DI76" s="210"/>
      <c r="DJ76" s="210"/>
      <c r="DK76" s="210"/>
      <c r="DL76" s="210"/>
      <c r="DM76" s="210"/>
      <c r="DN76" s="210"/>
      <c r="DO76" s="210"/>
      <c r="DP76" s="210"/>
      <c r="DQ76" s="210"/>
      <c r="DR76" s="210"/>
      <c r="DS76" s="210"/>
      <c r="DT76" s="210"/>
      <c r="DU76" s="210"/>
      <c r="DV76" s="210"/>
      <c r="DW76" s="210"/>
      <c r="DX76" s="210"/>
      <c r="DY76" s="210"/>
      <c r="DZ76" s="210"/>
      <c r="EA76" s="210"/>
    </row>
    <row r="77" spans="1:131" ht="51" customHeight="1" x14ac:dyDescent="0.25">
      <c r="B77" s="5249" t="s">
        <v>120</v>
      </c>
      <c r="C77" s="5288"/>
      <c r="D77" s="2588" t="s">
        <v>82</v>
      </c>
      <c r="E77" s="3802" t="s">
        <v>1346</v>
      </c>
      <c r="F77" s="3802" t="s">
        <v>222</v>
      </c>
      <c r="G77" s="2582" t="s">
        <v>1710</v>
      </c>
      <c r="H77" s="1064"/>
      <c r="I77" s="1064"/>
      <c r="J77" s="2321"/>
      <c r="K77" s="2321"/>
      <c r="L77" s="2319"/>
      <c r="M77" s="2311"/>
      <c r="N77" s="2311"/>
      <c r="O77" s="2311"/>
      <c r="P77" s="2311"/>
      <c r="Q77" s="2311"/>
      <c r="R77" s="2311"/>
      <c r="S77" s="2315"/>
      <c r="T77" s="892"/>
      <c r="U77" s="892"/>
      <c r="V77" s="892"/>
      <c r="W77" s="892"/>
      <c r="X77" s="892"/>
      <c r="Y77" s="892"/>
      <c r="Z77" s="892"/>
      <c r="AA77" s="892"/>
      <c r="AB77" s="892"/>
      <c r="CH77" s="887">
        <v>0</v>
      </c>
    </row>
    <row r="78" spans="1:131" ht="25.35" customHeight="1" x14ac:dyDescent="0.25">
      <c r="A78" s="2549" t="s">
        <v>2928</v>
      </c>
      <c r="B78" s="5288" t="s">
        <v>223</v>
      </c>
      <c r="C78" s="2583" t="s">
        <v>224</v>
      </c>
      <c r="D78" s="3803" t="s">
        <v>2777</v>
      </c>
      <c r="E78" s="3804" t="s">
        <v>2778</v>
      </c>
      <c r="F78" s="3803" t="s">
        <v>2779</v>
      </c>
      <c r="G78" s="2455" t="s">
        <v>2780</v>
      </c>
      <c r="H78" s="2269"/>
      <c r="I78" s="1062"/>
      <c r="J78" s="1062"/>
      <c r="K78" s="1062"/>
      <c r="L78" s="1062"/>
      <c r="M78" s="1062"/>
      <c r="N78" s="1062"/>
      <c r="O78" s="1062"/>
      <c r="P78" s="1062"/>
      <c r="Q78" s="1062"/>
      <c r="R78" s="1062"/>
      <c r="S78" s="2322"/>
      <c r="T78" s="892"/>
      <c r="U78" s="892"/>
      <c r="V78" s="892"/>
      <c r="W78" s="892"/>
      <c r="X78" s="892"/>
      <c r="Y78" s="892"/>
      <c r="Z78" s="892"/>
      <c r="AA78" s="892"/>
      <c r="AB78" s="892"/>
      <c r="CH78" s="887">
        <v>0</v>
      </c>
    </row>
    <row r="79" spans="1:131" ht="25.35" customHeight="1" thickBot="1" x14ac:dyDescent="0.3">
      <c r="A79" s="2549" t="s">
        <v>2929</v>
      </c>
      <c r="B79" s="5143"/>
      <c r="C79" s="2323" t="s">
        <v>225</v>
      </c>
      <c r="D79" s="3805" t="s">
        <v>2777</v>
      </c>
      <c r="E79" s="3806" t="s">
        <v>2778</v>
      </c>
      <c r="F79" s="3807" t="s">
        <v>2779</v>
      </c>
      <c r="G79" s="5077" t="s">
        <v>2780</v>
      </c>
      <c r="H79" s="2269"/>
      <c r="I79" s="1062"/>
      <c r="J79" s="1062"/>
      <c r="K79" s="1062"/>
      <c r="L79" s="1062"/>
      <c r="M79" s="1062"/>
      <c r="N79" s="1062"/>
      <c r="O79" s="1062"/>
      <c r="P79" s="1062"/>
      <c r="Q79" s="1062"/>
      <c r="R79" s="1062"/>
      <c r="S79" s="2311"/>
      <c r="T79" s="892"/>
      <c r="U79" s="892"/>
      <c r="V79" s="892"/>
      <c r="W79" s="892"/>
      <c r="X79" s="892"/>
      <c r="Y79" s="892"/>
      <c r="Z79" s="892"/>
      <c r="AA79" s="892"/>
      <c r="AB79" s="892"/>
      <c r="CH79" s="887">
        <v>0</v>
      </c>
    </row>
    <row r="80" spans="1:131" ht="16.350000000000001" customHeight="1" thickTop="1" x14ac:dyDescent="0.25">
      <c r="A80" s="2458" t="s">
        <v>2930</v>
      </c>
      <c r="B80" s="5289" t="s">
        <v>226</v>
      </c>
      <c r="C80" s="259" t="s">
        <v>227</v>
      </c>
      <c r="D80" s="3808" t="s">
        <v>2777</v>
      </c>
      <c r="E80" s="3808" t="s">
        <v>2778</v>
      </c>
      <c r="F80" s="3809" t="s">
        <v>2779</v>
      </c>
      <c r="G80" s="2580" t="s">
        <v>2780</v>
      </c>
      <c r="H80" s="2269"/>
      <c r="I80" s="1062"/>
      <c r="J80" s="1062"/>
      <c r="K80" s="1062"/>
      <c r="L80" s="1062"/>
      <c r="M80" s="1062"/>
      <c r="N80" s="1062"/>
      <c r="O80" s="1062"/>
      <c r="P80" s="1062"/>
      <c r="Q80" s="1062"/>
      <c r="R80" s="1062"/>
      <c r="S80" s="2311"/>
      <c r="T80" s="892"/>
      <c r="U80" s="892"/>
      <c r="V80" s="892"/>
      <c r="W80" s="892"/>
      <c r="X80" s="892"/>
      <c r="Y80" s="892"/>
      <c r="Z80" s="892"/>
      <c r="AA80" s="892"/>
      <c r="AB80" s="892"/>
      <c r="CH80" s="887">
        <v>0</v>
      </c>
    </row>
    <row r="81" spans="1:131" ht="16.350000000000001" customHeight="1" x14ac:dyDescent="0.25">
      <c r="A81" s="2458" t="s">
        <v>2931</v>
      </c>
      <c r="B81" s="5104"/>
      <c r="C81" s="1250" t="s">
        <v>228</v>
      </c>
      <c r="D81" s="3798" t="s">
        <v>2777</v>
      </c>
      <c r="E81" s="3798" t="s">
        <v>2778</v>
      </c>
      <c r="F81" s="3810" t="s">
        <v>2779</v>
      </c>
      <c r="G81" s="2455" t="s">
        <v>2780</v>
      </c>
      <c r="H81" s="2269"/>
      <c r="I81" s="1062"/>
      <c r="J81" s="1062"/>
      <c r="K81" s="1062"/>
      <c r="L81" s="1062"/>
      <c r="M81" s="1062"/>
      <c r="N81" s="1062"/>
      <c r="O81" s="1062"/>
      <c r="P81" s="1062"/>
      <c r="Q81" s="1062"/>
      <c r="R81" s="1062"/>
      <c r="S81" s="2311"/>
      <c r="T81" s="892"/>
      <c r="U81" s="892"/>
      <c r="V81" s="892"/>
      <c r="W81" s="892"/>
      <c r="X81" s="892"/>
      <c r="Y81" s="892"/>
      <c r="Z81" s="892"/>
      <c r="AA81" s="892"/>
      <c r="AB81" s="892"/>
      <c r="CH81" s="887">
        <v>0</v>
      </c>
    </row>
    <row r="82" spans="1:131" ht="31.35" customHeight="1" x14ac:dyDescent="0.25">
      <c r="B82" s="85" t="s">
        <v>1280</v>
      </c>
      <c r="C82" s="262"/>
      <c r="D82" s="3770"/>
      <c r="E82" s="3770"/>
      <c r="F82" s="3770"/>
      <c r="G82" s="1065"/>
      <c r="H82" s="881"/>
      <c r="I82" s="1063"/>
      <c r="J82" s="892"/>
      <c r="K82" s="2325"/>
      <c r="L82" s="2272"/>
      <c r="M82" s="2326"/>
      <c r="N82" s="2326"/>
      <c r="O82" s="2311"/>
      <c r="P82" s="2311"/>
      <c r="Q82" s="2311"/>
      <c r="R82" s="2311"/>
      <c r="S82" s="2311"/>
      <c r="T82" s="892"/>
      <c r="U82" s="892"/>
      <c r="V82" s="892"/>
      <c r="W82" s="892"/>
      <c r="X82" s="892"/>
      <c r="Y82" s="892"/>
      <c r="Z82" s="892"/>
      <c r="AA82" s="892"/>
      <c r="AB82" s="892"/>
      <c r="BB82" s="884"/>
      <c r="BC82" s="884"/>
      <c r="BD82" s="884"/>
      <c r="BE82" s="884"/>
      <c r="BF82" s="884"/>
      <c r="BG82" s="884"/>
      <c r="BH82" s="884"/>
      <c r="BI82" s="884"/>
      <c r="BJ82" s="884"/>
      <c r="BK82" s="884"/>
      <c r="BL82" s="884"/>
      <c r="BM82" s="884"/>
      <c r="BN82" s="884"/>
      <c r="BO82" s="884"/>
      <c r="BP82" s="884"/>
      <c r="BQ82" s="884"/>
      <c r="BR82" s="884"/>
      <c r="BS82" s="884"/>
      <c r="BT82" s="884"/>
      <c r="BU82" s="884"/>
      <c r="BV82" s="884"/>
      <c r="BW82" s="884"/>
      <c r="BX82" s="884"/>
      <c r="BY82" s="884"/>
      <c r="BZ82" s="884"/>
      <c r="CA82" s="884"/>
      <c r="DB82" s="210"/>
      <c r="DC82" s="210"/>
      <c r="DD82" s="210"/>
      <c r="DE82" s="210"/>
      <c r="DF82" s="210"/>
      <c r="DG82" s="210"/>
      <c r="DH82" s="210"/>
      <c r="DI82" s="210"/>
      <c r="DJ82" s="210"/>
      <c r="DK82" s="210"/>
      <c r="DL82" s="210"/>
      <c r="DM82" s="210"/>
      <c r="DN82" s="210"/>
      <c r="DO82" s="210"/>
      <c r="DP82" s="210"/>
      <c r="DQ82" s="210"/>
      <c r="DR82" s="210"/>
      <c r="DS82" s="210"/>
      <c r="DT82" s="210"/>
      <c r="DU82" s="210"/>
      <c r="DV82" s="210"/>
      <c r="DW82" s="210"/>
      <c r="DX82" s="210"/>
      <c r="DY82" s="210"/>
      <c r="DZ82" s="210"/>
      <c r="EA82" s="210"/>
    </row>
    <row r="83" spans="1:131" ht="16.350000000000001" customHeight="1" x14ac:dyDescent="0.25">
      <c r="B83" s="5249" t="s">
        <v>150</v>
      </c>
      <c r="C83" s="5288"/>
      <c r="D83" s="5290" t="s">
        <v>42</v>
      </c>
      <c r="E83" s="5291"/>
      <c r="F83" s="5292"/>
      <c r="G83" s="5209" t="s">
        <v>229</v>
      </c>
      <c r="H83" s="5210"/>
      <c r="I83" s="5209" t="s">
        <v>230</v>
      </c>
      <c r="J83" s="5210"/>
      <c r="K83" s="255"/>
      <c r="L83" s="2327"/>
      <c r="M83" s="2317"/>
      <c r="N83" s="2317"/>
      <c r="O83" s="2326"/>
      <c r="P83" s="2326"/>
      <c r="Q83" s="2317"/>
      <c r="R83" s="2317"/>
      <c r="S83" s="2311"/>
      <c r="T83" s="892"/>
      <c r="U83" s="892"/>
      <c r="V83" s="892"/>
      <c r="W83" s="892"/>
      <c r="X83" s="892"/>
      <c r="Y83" s="892"/>
      <c r="Z83" s="892"/>
      <c r="AA83" s="892"/>
      <c r="AB83" s="892"/>
    </row>
    <row r="84" spans="1:131" ht="16.350000000000001" customHeight="1" x14ac:dyDescent="0.25">
      <c r="B84" s="5131"/>
      <c r="C84" s="5297"/>
      <c r="D84" s="3811" t="s">
        <v>184</v>
      </c>
      <c r="E84" s="3812" t="s">
        <v>24</v>
      </c>
      <c r="F84" s="3487" t="s">
        <v>25</v>
      </c>
      <c r="G84" s="2569" t="s">
        <v>24</v>
      </c>
      <c r="H84" s="2570" t="s">
        <v>25</v>
      </c>
      <c r="I84" s="2569" t="s">
        <v>24</v>
      </c>
      <c r="J84" s="2570" t="s">
        <v>25</v>
      </c>
      <c r="K84" s="881"/>
      <c r="L84" s="255"/>
      <c r="M84" s="2317"/>
      <c r="N84" s="2317"/>
      <c r="O84" s="2317"/>
      <c r="P84" s="2326"/>
      <c r="Q84" s="2326"/>
      <c r="R84" s="2317"/>
      <c r="S84" s="2317"/>
      <c r="T84" s="892"/>
      <c r="U84" s="892"/>
      <c r="V84" s="892"/>
      <c r="W84" s="892"/>
      <c r="X84" s="892"/>
      <c r="Y84" s="892"/>
      <c r="Z84" s="892"/>
      <c r="AA84" s="892"/>
      <c r="AB84" s="892"/>
    </row>
    <row r="85" spans="1:131" ht="16.350000000000001" customHeight="1" x14ac:dyDescent="0.25">
      <c r="A85" s="2579"/>
      <c r="B85" s="5209" t="s">
        <v>42</v>
      </c>
      <c r="C85" s="5210"/>
      <c r="D85" s="3761">
        <f t="shared" ref="D85:J85" si="0">SUM(D86:D90)</f>
        <v>0</v>
      </c>
      <c r="E85" s="3762">
        <f t="shared" si="0"/>
        <v>0</v>
      </c>
      <c r="F85" s="2879">
        <f t="shared" si="0"/>
        <v>0</v>
      </c>
      <c r="G85" s="2519">
        <f t="shared" si="0"/>
        <v>0</v>
      </c>
      <c r="H85" s="2568">
        <f t="shared" si="0"/>
        <v>0</v>
      </c>
      <c r="I85" s="2519">
        <f t="shared" si="0"/>
        <v>0</v>
      </c>
      <c r="J85" s="2568">
        <f t="shared" si="0"/>
        <v>0</v>
      </c>
      <c r="K85" s="85"/>
      <c r="L85" s="85"/>
      <c r="M85" s="2320"/>
      <c r="N85" s="2317"/>
      <c r="O85" s="2317"/>
      <c r="P85" s="2326"/>
      <c r="Q85" s="2326"/>
      <c r="R85" s="2329"/>
      <c r="S85" s="2329"/>
      <c r="T85" s="892"/>
      <c r="U85" s="892"/>
      <c r="V85" s="892"/>
      <c r="W85" s="892"/>
      <c r="X85" s="892"/>
      <c r="Y85" s="892"/>
      <c r="Z85" s="892"/>
      <c r="AA85" s="892"/>
      <c r="AB85" s="892"/>
    </row>
    <row r="86" spans="1:131" ht="16.350000000000001" customHeight="1" x14ac:dyDescent="0.25">
      <c r="A86" s="2549" t="s">
        <v>2932</v>
      </c>
      <c r="B86" s="5295" t="s">
        <v>163</v>
      </c>
      <c r="C86" s="5296"/>
      <c r="D86" s="3813" t="s">
        <v>2777</v>
      </c>
      <c r="E86" s="3814" t="s">
        <v>2778</v>
      </c>
      <c r="F86" s="3777" t="s">
        <v>2779</v>
      </c>
      <c r="G86" s="2483" t="s">
        <v>2780</v>
      </c>
      <c r="H86" s="2499" t="s">
        <v>2781</v>
      </c>
      <c r="I86" s="2483" t="s">
        <v>2782</v>
      </c>
      <c r="J86" s="2499" t="s">
        <v>2783</v>
      </c>
      <c r="K86" s="338"/>
      <c r="L86" s="255"/>
      <c r="M86" s="2317"/>
      <c r="N86" s="2317"/>
      <c r="O86" s="2317"/>
      <c r="P86" s="2326"/>
      <c r="Q86" s="2326"/>
      <c r="R86" s="2329"/>
      <c r="S86" s="2329"/>
      <c r="T86" s="892"/>
      <c r="U86" s="892"/>
      <c r="V86" s="892"/>
      <c r="W86" s="892"/>
      <c r="X86" s="892"/>
      <c r="Y86" s="892"/>
      <c r="Z86" s="892"/>
      <c r="AA86" s="892"/>
      <c r="AB86" s="892"/>
    </row>
    <row r="87" spans="1:131" ht="16.350000000000001" customHeight="1" x14ac:dyDescent="0.25">
      <c r="A87" s="2549" t="s">
        <v>2933</v>
      </c>
      <c r="B87" s="5293" t="s">
        <v>164</v>
      </c>
      <c r="C87" s="5294"/>
      <c r="D87" s="3815" t="s">
        <v>2777</v>
      </c>
      <c r="E87" s="3816" t="s">
        <v>2778</v>
      </c>
      <c r="F87" s="3817" t="s">
        <v>2779</v>
      </c>
      <c r="G87" s="2577" t="s">
        <v>2780</v>
      </c>
      <c r="H87" s="197" t="s">
        <v>2781</v>
      </c>
      <c r="I87" s="2577" t="s">
        <v>2782</v>
      </c>
      <c r="J87" s="197" t="s">
        <v>2783</v>
      </c>
      <c r="K87" s="338"/>
      <c r="L87" s="255"/>
      <c r="M87" s="2317"/>
      <c r="N87" s="2317"/>
      <c r="O87" s="2317"/>
      <c r="P87" s="2326"/>
      <c r="Q87" s="2326"/>
      <c r="R87" s="2329"/>
      <c r="S87" s="2329"/>
      <c r="T87" s="892"/>
      <c r="U87" s="892"/>
      <c r="V87" s="892"/>
      <c r="W87" s="892"/>
      <c r="X87" s="892"/>
      <c r="Y87" s="892"/>
      <c r="Z87" s="892"/>
      <c r="AA87" s="892"/>
      <c r="AB87" s="892"/>
    </row>
    <row r="88" spans="1:131" ht="16.350000000000001" customHeight="1" x14ac:dyDescent="0.25">
      <c r="A88" s="2549" t="s">
        <v>2934</v>
      </c>
      <c r="B88" s="5293" t="s">
        <v>217</v>
      </c>
      <c r="C88" s="5294"/>
      <c r="D88" s="3815" t="s">
        <v>2777</v>
      </c>
      <c r="E88" s="3816" t="s">
        <v>2778</v>
      </c>
      <c r="F88" s="3817" t="s">
        <v>2779</v>
      </c>
      <c r="G88" s="141" t="s">
        <v>2780</v>
      </c>
      <c r="H88" s="198" t="s">
        <v>2781</v>
      </c>
      <c r="I88" s="141" t="s">
        <v>2782</v>
      </c>
      <c r="J88" s="198" t="s">
        <v>2783</v>
      </c>
      <c r="K88" s="338"/>
      <c r="L88" s="255"/>
      <c r="M88" s="2317"/>
      <c r="N88" s="2317"/>
      <c r="O88" s="2317"/>
      <c r="P88" s="2326"/>
      <c r="Q88" s="2326"/>
      <c r="R88" s="2329"/>
      <c r="S88" s="2329"/>
      <c r="T88" s="892"/>
      <c r="U88" s="892"/>
      <c r="V88" s="892"/>
      <c r="W88" s="892"/>
      <c r="X88" s="892"/>
      <c r="Y88" s="892"/>
      <c r="Z88" s="892"/>
      <c r="AA88" s="892"/>
      <c r="AB88" s="892"/>
    </row>
    <row r="89" spans="1:131" ht="16.350000000000001" customHeight="1" x14ac:dyDescent="0.25">
      <c r="A89" s="2549" t="s">
        <v>2935</v>
      </c>
      <c r="B89" s="5298" t="s">
        <v>165</v>
      </c>
      <c r="C89" s="5299"/>
      <c r="D89" s="3818" t="s">
        <v>2777</v>
      </c>
      <c r="E89" s="3819" t="s">
        <v>2778</v>
      </c>
      <c r="F89" s="3782" t="s">
        <v>2779</v>
      </c>
      <c r="G89" s="2245" t="s">
        <v>2780</v>
      </c>
      <c r="H89" s="240" t="s">
        <v>2781</v>
      </c>
      <c r="I89" s="2245" t="s">
        <v>2782</v>
      </c>
      <c r="J89" s="240" t="s">
        <v>2783</v>
      </c>
      <c r="K89" s="338"/>
      <c r="L89" s="255"/>
      <c r="M89" s="2317"/>
      <c r="N89" s="2317"/>
      <c r="O89" s="2317"/>
      <c r="P89" s="2326"/>
      <c r="Q89" s="2326"/>
      <c r="R89" s="2329"/>
      <c r="S89" s="2329"/>
      <c r="T89" s="892"/>
      <c r="U89" s="892"/>
      <c r="V89" s="892"/>
      <c r="W89" s="892"/>
      <c r="X89" s="892"/>
      <c r="Y89" s="892"/>
      <c r="Z89" s="892"/>
      <c r="AA89" s="892"/>
      <c r="AB89" s="892"/>
    </row>
    <row r="90" spans="1:131" ht="16.350000000000001" customHeight="1" x14ac:dyDescent="0.25">
      <c r="A90" s="2549" t="s">
        <v>2936</v>
      </c>
      <c r="B90" s="5285" t="s">
        <v>1281</v>
      </c>
      <c r="C90" s="5286"/>
      <c r="D90" s="3820" t="s">
        <v>2777</v>
      </c>
      <c r="E90" s="3821" t="s">
        <v>2778</v>
      </c>
      <c r="F90" s="3767" t="s">
        <v>2779</v>
      </c>
      <c r="G90" s="166" t="s">
        <v>2780</v>
      </c>
      <c r="H90" s="168" t="s">
        <v>2781</v>
      </c>
      <c r="I90" s="166" t="s">
        <v>2782</v>
      </c>
      <c r="J90" s="168" t="s">
        <v>2783</v>
      </c>
      <c r="K90" s="338"/>
      <c r="L90" s="255"/>
      <c r="M90" s="2317"/>
      <c r="N90" s="2317"/>
      <c r="O90" s="2317"/>
      <c r="P90" s="2326"/>
      <c r="Q90" s="2326"/>
      <c r="R90" s="2329"/>
      <c r="S90" s="2329"/>
      <c r="T90" s="892"/>
      <c r="U90" s="892"/>
      <c r="V90" s="892"/>
      <c r="W90" s="892"/>
      <c r="X90" s="892"/>
      <c r="Y90" s="892"/>
      <c r="Z90" s="892"/>
      <c r="AA90" s="892"/>
      <c r="AB90" s="892"/>
    </row>
    <row r="91" spans="1:131" s="958" customFormat="1" ht="31.35" customHeight="1" x14ac:dyDescent="0.25">
      <c r="B91" s="5287" t="s">
        <v>820</v>
      </c>
      <c r="C91" s="5287"/>
      <c r="D91" s="5287"/>
      <c r="E91" s="5287"/>
      <c r="F91" s="5287"/>
      <c r="G91" s="5287"/>
      <c r="H91" s="5287"/>
      <c r="I91" s="5287"/>
      <c r="J91" s="5287"/>
      <c r="K91" s="5287"/>
      <c r="L91" s="5287"/>
      <c r="M91" s="5287"/>
      <c r="N91" s="5287"/>
      <c r="O91" s="5287"/>
      <c r="P91" s="5287"/>
      <c r="Q91" s="5287"/>
      <c r="R91" s="2331"/>
      <c r="S91" s="1065"/>
      <c r="T91" s="1065"/>
      <c r="U91" s="1065"/>
      <c r="V91" s="1065"/>
      <c r="W91" s="1065"/>
      <c r="X91" s="1065"/>
      <c r="Y91" s="1065"/>
      <c r="Z91" s="1065"/>
      <c r="AA91" s="1065"/>
      <c r="AB91" s="1065"/>
      <c r="AC91" s="957"/>
      <c r="AD91" s="957"/>
      <c r="AE91" s="957"/>
      <c r="AF91" s="957"/>
      <c r="AG91" s="957"/>
      <c r="AH91" s="957"/>
      <c r="AI91" s="957"/>
      <c r="AJ91" s="957"/>
      <c r="AK91" s="957"/>
      <c r="AL91" s="957"/>
      <c r="AM91" s="957"/>
      <c r="AN91" s="957"/>
      <c r="AO91" s="957"/>
      <c r="AP91" s="957"/>
      <c r="AQ91" s="957"/>
      <c r="AR91" s="957"/>
      <c r="AS91" s="957"/>
      <c r="AT91" s="957"/>
      <c r="AU91" s="957"/>
      <c r="AV91" s="957"/>
      <c r="AW91" s="957"/>
      <c r="AX91" s="957"/>
      <c r="AY91" s="957"/>
      <c r="AZ91" s="957"/>
      <c r="BA91" s="957"/>
      <c r="BB91" s="957"/>
      <c r="BC91" s="957"/>
      <c r="BD91" s="957"/>
      <c r="BE91" s="957"/>
      <c r="BF91" s="957"/>
      <c r="BG91" s="957"/>
      <c r="BH91" s="957"/>
      <c r="BI91" s="957"/>
      <c r="BJ91" s="957"/>
      <c r="BK91" s="957"/>
      <c r="BL91" s="957"/>
      <c r="BM91" s="957"/>
      <c r="BN91" s="957"/>
      <c r="BO91" s="957"/>
      <c r="BP91" s="957"/>
      <c r="BQ91" s="957"/>
      <c r="BR91" s="957"/>
      <c r="BS91" s="957"/>
      <c r="BT91" s="957"/>
      <c r="BU91" s="957"/>
      <c r="BV91" s="957"/>
      <c r="BW91" s="957"/>
      <c r="BX91" s="957"/>
      <c r="BY91" s="957"/>
      <c r="BZ91" s="957"/>
      <c r="CA91" s="957"/>
      <c r="CB91" s="1014"/>
      <c r="CC91" s="1014"/>
      <c r="CD91" s="1014"/>
      <c r="CE91" s="1014"/>
      <c r="CF91" s="1014"/>
      <c r="CG91" s="1014"/>
      <c r="CH91" s="1014"/>
      <c r="CI91" s="1014"/>
      <c r="CJ91" s="1014"/>
      <c r="CK91" s="1014"/>
      <c r="CL91" s="1014"/>
      <c r="CM91" s="1014"/>
      <c r="CN91" s="1014"/>
      <c r="CO91" s="1014"/>
      <c r="CP91" s="1014"/>
      <c r="CQ91" s="1014"/>
      <c r="CR91" s="1014"/>
      <c r="CS91" s="1014"/>
      <c r="CT91" s="1014"/>
      <c r="CU91" s="1014"/>
      <c r="CV91" s="1014"/>
      <c r="CW91" s="1014"/>
      <c r="CX91" s="1014"/>
      <c r="CY91" s="1014"/>
      <c r="CZ91" s="1014"/>
      <c r="DA91" s="1014"/>
    </row>
    <row r="92" spans="1:131" s="4254" customFormat="1" ht="31.35" customHeight="1" x14ac:dyDescent="0.25">
      <c r="A92" s="958"/>
      <c r="B92" s="5254" t="s">
        <v>1604</v>
      </c>
      <c r="C92" s="5254"/>
      <c r="D92" s="5254"/>
      <c r="E92" s="5254"/>
      <c r="F92" s="5254"/>
      <c r="G92" s="5254"/>
      <c r="H92" s="5254"/>
      <c r="I92" s="5254"/>
      <c r="J92" s="5254"/>
      <c r="K92" s="5254"/>
      <c r="L92" s="5254"/>
      <c r="M92" s="5254"/>
      <c r="N92" s="5254"/>
      <c r="O92" s="5254"/>
      <c r="P92" s="5254"/>
      <c r="Q92" s="5254"/>
      <c r="R92" s="5254"/>
      <c r="S92" s="4251"/>
      <c r="T92" s="4251"/>
      <c r="U92" s="4251"/>
      <c r="V92" s="4251"/>
      <c r="W92" s="4251"/>
      <c r="X92" s="4251"/>
      <c r="Y92" s="4251"/>
      <c r="Z92" s="4251"/>
      <c r="AA92" s="4251"/>
      <c r="AB92" s="4251"/>
      <c r="AC92" s="4252"/>
      <c r="AD92" s="4252"/>
      <c r="AE92" s="4252"/>
      <c r="AF92" s="4252"/>
      <c r="AG92" s="4252"/>
      <c r="AH92" s="4252"/>
      <c r="AI92" s="4252"/>
      <c r="AJ92" s="4252"/>
      <c r="AK92" s="4252"/>
      <c r="AL92" s="4252"/>
      <c r="AM92" s="4252"/>
      <c r="AN92" s="4252"/>
      <c r="AO92" s="4252"/>
      <c r="AP92" s="4252"/>
      <c r="AQ92" s="4252"/>
      <c r="AR92" s="4252"/>
      <c r="AS92" s="4252"/>
      <c r="AT92" s="4252"/>
      <c r="AU92" s="4252"/>
      <c r="AV92" s="4252"/>
      <c r="AW92" s="4252"/>
      <c r="AX92" s="4252"/>
      <c r="AY92" s="4252"/>
      <c r="AZ92" s="4252"/>
      <c r="BA92" s="4252"/>
      <c r="BB92" s="4252"/>
      <c r="BC92" s="4252"/>
      <c r="BD92" s="4252"/>
      <c r="BE92" s="4252"/>
      <c r="BF92" s="4252"/>
      <c r="BG92" s="4252"/>
      <c r="BH92" s="4252"/>
      <c r="BI92" s="4252"/>
      <c r="BJ92" s="4252"/>
      <c r="BK92" s="4252"/>
      <c r="BL92" s="4252"/>
      <c r="BM92" s="4252"/>
      <c r="BN92" s="4252"/>
      <c r="BO92" s="4252"/>
      <c r="BP92" s="4252"/>
      <c r="BQ92" s="4252"/>
      <c r="BR92" s="4252"/>
      <c r="BS92" s="4252"/>
      <c r="BT92" s="4252"/>
      <c r="BU92" s="4252"/>
      <c r="BV92" s="4252"/>
      <c r="BW92" s="4252"/>
      <c r="BX92" s="4252"/>
      <c r="BY92" s="4252"/>
      <c r="BZ92" s="4252"/>
      <c r="CA92" s="4252"/>
      <c r="CB92" s="4253"/>
      <c r="CC92" s="4253"/>
      <c r="CD92" s="4253"/>
      <c r="CE92" s="4253"/>
      <c r="CF92" s="4253"/>
      <c r="CG92" s="4253"/>
      <c r="CH92" s="4253"/>
      <c r="CI92" s="4253"/>
      <c r="CJ92" s="4253"/>
      <c r="CK92" s="4253"/>
      <c r="CL92" s="4253"/>
      <c r="CM92" s="4253"/>
      <c r="CN92" s="4253"/>
      <c r="CO92" s="4253"/>
      <c r="CP92" s="4253"/>
      <c r="CQ92" s="4253"/>
      <c r="CR92" s="4253"/>
      <c r="CS92" s="4253"/>
      <c r="CT92" s="4253"/>
      <c r="CU92" s="4253"/>
      <c r="CV92" s="4253"/>
      <c r="CW92" s="4253"/>
      <c r="CX92" s="4253"/>
      <c r="CY92" s="4253"/>
      <c r="CZ92" s="4253"/>
      <c r="DA92" s="4253"/>
    </row>
    <row r="93" spans="1:131" s="2241" customFormat="1" ht="31.35" customHeight="1" x14ac:dyDescent="0.25">
      <c r="A93" s="2549"/>
      <c r="B93" s="5255" t="s">
        <v>119</v>
      </c>
      <c r="C93" s="5256"/>
      <c r="D93" s="5179" t="s">
        <v>231</v>
      </c>
      <c r="E93" s="5180"/>
      <c r="F93" s="5181"/>
      <c r="G93" s="5261" t="s">
        <v>5</v>
      </c>
      <c r="H93" s="5157"/>
      <c r="I93" s="5157"/>
      <c r="J93" s="5157"/>
      <c r="K93" s="5157"/>
      <c r="L93" s="5157"/>
      <c r="M93" s="5157"/>
      <c r="N93" s="5157"/>
      <c r="O93" s="5157"/>
      <c r="P93" s="5157"/>
      <c r="Q93" s="5157"/>
      <c r="R93" s="5262"/>
      <c r="S93" s="4255"/>
      <c r="T93" s="4255"/>
      <c r="U93" s="4255"/>
      <c r="V93" s="4255"/>
      <c r="W93" s="4255"/>
      <c r="X93" s="4256"/>
      <c r="Y93" s="4256"/>
      <c r="Z93" s="4256"/>
      <c r="AA93" s="4256"/>
      <c r="AB93" s="4256"/>
      <c r="AC93" s="4257"/>
      <c r="AD93" s="4257"/>
      <c r="AE93" s="4257"/>
      <c r="AF93" s="4257"/>
      <c r="AG93" s="4257"/>
      <c r="AH93" s="4257"/>
      <c r="AI93" s="4257"/>
      <c r="AJ93" s="4257"/>
      <c r="AK93" s="4257"/>
      <c r="AL93" s="4257"/>
      <c r="AM93" s="4257"/>
      <c r="AN93" s="4257"/>
      <c r="CB93" s="2242"/>
      <c r="CC93" s="2242"/>
      <c r="CD93" s="2242"/>
      <c r="CE93" s="2242"/>
      <c r="CF93" s="2242"/>
      <c r="CG93" s="2242"/>
      <c r="CH93" s="2242"/>
      <c r="CI93" s="2242"/>
      <c r="CJ93" s="2242"/>
      <c r="CK93" s="2242"/>
      <c r="CL93" s="2242"/>
      <c r="CM93" s="2242"/>
      <c r="CN93" s="2242"/>
      <c r="CO93" s="2242"/>
      <c r="CP93" s="2242"/>
      <c r="CQ93" s="2242"/>
      <c r="CR93" s="2242"/>
      <c r="CS93" s="2242"/>
      <c r="CT93" s="2242"/>
      <c r="CU93" s="2242"/>
      <c r="CV93" s="2242"/>
      <c r="CW93" s="2242"/>
      <c r="CX93" s="2242"/>
      <c r="CY93" s="2242"/>
      <c r="CZ93" s="2242"/>
      <c r="DA93" s="2242"/>
    </row>
    <row r="94" spans="1:131" s="2241" customFormat="1" ht="16.350000000000001" customHeight="1" x14ac:dyDescent="0.25">
      <c r="A94" s="2549"/>
      <c r="B94" s="5257"/>
      <c r="C94" s="5258"/>
      <c r="D94" s="5182"/>
      <c r="E94" s="5183"/>
      <c r="F94" s="5184"/>
      <c r="G94" s="5263" t="s">
        <v>232</v>
      </c>
      <c r="H94" s="5155"/>
      <c r="I94" s="5263" t="s">
        <v>233</v>
      </c>
      <c r="J94" s="5264"/>
      <c r="K94" s="5263" t="s">
        <v>234</v>
      </c>
      <c r="L94" s="5264"/>
      <c r="M94" s="5263" t="s">
        <v>235</v>
      </c>
      <c r="N94" s="5264"/>
      <c r="O94" s="5263" t="s">
        <v>236</v>
      </c>
      <c r="P94" s="5264"/>
      <c r="Q94" s="5263" t="s">
        <v>237</v>
      </c>
      <c r="R94" s="5264"/>
      <c r="S94" s="1244"/>
      <c r="T94" s="4256"/>
      <c r="U94" s="4258"/>
      <c r="V94" s="4258"/>
      <c r="W94" s="4256"/>
      <c r="X94" s="4256"/>
      <c r="Y94" s="4256"/>
      <c r="Z94" s="4256"/>
      <c r="AA94" s="4256"/>
      <c r="AB94" s="4256"/>
      <c r="AC94" s="4257"/>
      <c r="AD94" s="4257"/>
      <c r="AE94" s="4257"/>
      <c r="AF94" s="4257"/>
      <c r="AG94" s="4257"/>
      <c r="AH94" s="4257"/>
      <c r="AI94" s="4257"/>
      <c r="AJ94" s="4257"/>
      <c r="AK94" s="4257"/>
      <c r="AL94" s="4257"/>
      <c r="AM94" s="4257"/>
      <c r="AN94" s="4257"/>
      <c r="BB94" s="2242"/>
      <c r="BC94" s="2242"/>
      <c r="BD94" s="2242"/>
      <c r="BE94" s="2242"/>
      <c r="BF94" s="2242"/>
      <c r="BG94" s="2242"/>
      <c r="BH94" s="2242"/>
      <c r="BI94" s="2242"/>
      <c r="BJ94" s="2242"/>
      <c r="BK94" s="2242"/>
      <c r="BL94" s="2242"/>
      <c r="BM94" s="2242"/>
      <c r="BN94" s="2242"/>
      <c r="BO94" s="2242"/>
      <c r="BP94" s="2242"/>
      <c r="BQ94" s="2242"/>
      <c r="BR94" s="2242"/>
      <c r="BS94" s="2242"/>
      <c r="BT94" s="2242"/>
      <c r="BU94" s="2242"/>
      <c r="BV94" s="2242"/>
      <c r="BW94" s="2242"/>
      <c r="BX94" s="2242"/>
      <c r="BY94" s="2242"/>
      <c r="BZ94" s="2242"/>
      <c r="CA94" s="2242"/>
      <c r="CB94" s="2242"/>
      <c r="CC94" s="2242"/>
      <c r="CD94" s="2242"/>
      <c r="CE94" s="2242"/>
      <c r="CF94" s="2242"/>
      <c r="CG94" s="2242"/>
      <c r="CH94" s="2242"/>
      <c r="CI94" s="2242"/>
      <c r="CJ94" s="2242"/>
      <c r="CK94" s="2242"/>
      <c r="CL94" s="2242"/>
      <c r="CM94" s="2242"/>
      <c r="CN94" s="2242"/>
      <c r="CO94" s="2242"/>
      <c r="CP94" s="2242"/>
      <c r="CQ94" s="2242"/>
      <c r="CR94" s="2242"/>
      <c r="CS94" s="2242"/>
      <c r="CT94" s="2242"/>
      <c r="CU94" s="2242"/>
      <c r="CV94" s="2242"/>
      <c r="CW94" s="2242"/>
      <c r="CX94" s="2242"/>
      <c r="CY94" s="2242"/>
      <c r="CZ94" s="2242"/>
      <c r="DA94" s="2242"/>
      <c r="DB94" s="2242"/>
      <c r="DC94" s="2242"/>
      <c r="DD94" s="2242"/>
      <c r="DE94" s="2242"/>
      <c r="DF94" s="2242"/>
      <c r="DG94" s="2242"/>
      <c r="DH94" s="2242"/>
      <c r="DI94" s="2242"/>
      <c r="DJ94" s="2242"/>
      <c r="DK94" s="2242"/>
      <c r="DL94" s="2242"/>
      <c r="DM94" s="2242"/>
      <c r="DN94" s="2242"/>
      <c r="DO94" s="2242"/>
      <c r="DP94" s="2242"/>
      <c r="DQ94" s="2242"/>
      <c r="DR94" s="2242"/>
      <c r="DS94" s="2242"/>
      <c r="DT94" s="2242"/>
      <c r="DU94" s="2242"/>
      <c r="DV94" s="2242"/>
      <c r="DW94" s="2242"/>
      <c r="DX94" s="2242"/>
      <c r="DY94" s="2242"/>
      <c r="DZ94" s="2242"/>
      <c r="EA94" s="2242"/>
    </row>
    <row r="95" spans="1:131" s="2241" customFormat="1" ht="16.350000000000001" customHeight="1" x14ac:dyDescent="0.25">
      <c r="A95" s="2549"/>
      <c r="B95" s="5259"/>
      <c r="C95" s="5260"/>
      <c r="D95" s="3771" t="s">
        <v>184</v>
      </c>
      <c r="E95" s="3772" t="s">
        <v>24</v>
      </c>
      <c r="F95" s="3787" t="s">
        <v>25</v>
      </c>
      <c r="G95" s="4267" t="s">
        <v>24</v>
      </c>
      <c r="H95" s="4250" t="s">
        <v>25</v>
      </c>
      <c r="I95" s="4267" t="s">
        <v>24</v>
      </c>
      <c r="J95" s="4268" t="s">
        <v>25</v>
      </c>
      <c r="K95" s="4267" t="s">
        <v>24</v>
      </c>
      <c r="L95" s="4268" t="s">
        <v>25</v>
      </c>
      <c r="M95" s="4267" t="s">
        <v>24</v>
      </c>
      <c r="N95" s="4268" t="s">
        <v>25</v>
      </c>
      <c r="O95" s="4267" t="s">
        <v>24</v>
      </c>
      <c r="P95" s="4268" t="s">
        <v>25</v>
      </c>
      <c r="Q95" s="4267" t="s">
        <v>24</v>
      </c>
      <c r="R95" s="4268" t="s">
        <v>25</v>
      </c>
      <c r="S95" s="4256"/>
      <c r="T95" s="4256"/>
      <c r="U95" s="4256"/>
      <c r="V95" s="4256"/>
      <c r="W95" s="4256"/>
      <c r="X95" s="4256"/>
      <c r="Y95" s="4256"/>
      <c r="Z95" s="4256"/>
      <c r="AA95" s="4256"/>
      <c r="AB95" s="4256"/>
      <c r="AC95" s="4257"/>
      <c r="AD95" s="4257"/>
      <c r="AE95" s="4257"/>
      <c r="AF95" s="4257"/>
      <c r="AG95" s="4257"/>
      <c r="AH95" s="4257"/>
      <c r="AI95" s="4257"/>
      <c r="AJ95" s="4257"/>
      <c r="AK95" s="4257"/>
      <c r="AL95" s="4257"/>
      <c r="AM95" s="4257"/>
      <c r="AN95" s="4257"/>
      <c r="BB95" s="2242"/>
      <c r="BC95" s="2242"/>
      <c r="BD95" s="2242"/>
      <c r="BE95" s="2242"/>
      <c r="BF95" s="2242"/>
      <c r="BG95" s="2242"/>
      <c r="BH95" s="2242"/>
      <c r="BI95" s="2242"/>
      <c r="BJ95" s="2242"/>
      <c r="BK95" s="2242"/>
      <c r="BL95" s="2242"/>
      <c r="BM95" s="2242"/>
      <c r="BN95" s="2242"/>
      <c r="BO95" s="2242"/>
      <c r="BP95" s="2242"/>
      <c r="BQ95" s="2242"/>
      <c r="BR95" s="2242"/>
      <c r="BS95" s="2242"/>
      <c r="BT95" s="2242"/>
      <c r="BU95" s="2242"/>
      <c r="BV95" s="2242"/>
      <c r="BW95" s="2242"/>
      <c r="BX95" s="2242"/>
      <c r="BY95" s="2242"/>
      <c r="BZ95" s="2242"/>
      <c r="CA95" s="2242"/>
      <c r="CB95" s="2242"/>
      <c r="CC95" s="2242"/>
      <c r="CD95" s="2242"/>
      <c r="CE95" s="2242"/>
      <c r="CF95" s="2242"/>
      <c r="CG95" s="2242"/>
      <c r="CH95" s="2242"/>
      <c r="CI95" s="2242"/>
      <c r="CJ95" s="2242"/>
      <c r="CK95" s="2242"/>
      <c r="CL95" s="2242"/>
      <c r="CM95" s="2242"/>
      <c r="CN95" s="2242"/>
      <c r="CO95" s="2242"/>
      <c r="CP95" s="2242"/>
      <c r="CQ95" s="2242"/>
      <c r="CR95" s="2242"/>
      <c r="CS95" s="2242"/>
      <c r="CT95" s="2242"/>
      <c r="CU95" s="2242"/>
      <c r="CV95" s="2242"/>
      <c r="CW95" s="2242"/>
      <c r="CX95" s="2242"/>
      <c r="CY95" s="2242"/>
      <c r="CZ95" s="2242"/>
      <c r="DA95" s="2242"/>
      <c r="DB95" s="2242"/>
      <c r="DC95" s="2242"/>
      <c r="DD95" s="2242"/>
      <c r="DE95" s="2242"/>
      <c r="DF95" s="2242"/>
      <c r="DG95" s="2242"/>
      <c r="DH95" s="2242"/>
      <c r="DI95" s="2242"/>
      <c r="DJ95" s="2242"/>
      <c r="DK95" s="2242"/>
      <c r="DL95" s="2242"/>
      <c r="DM95" s="2242"/>
      <c r="DN95" s="2242"/>
      <c r="DO95" s="2242"/>
      <c r="DP95" s="2242"/>
      <c r="DQ95" s="2242"/>
      <c r="DR95" s="2242"/>
      <c r="DS95" s="2242"/>
      <c r="DT95" s="2242"/>
      <c r="DU95" s="2242"/>
      <c r="DV95" s="2242"/>
      <c r="DW95" s="2242"/>
      <c r="DX95" s="2242"/>
      <c r="DY95" s="2242"/>
      <c r="DZ95" s="2242"/>
      <c r="EA95" s="2242"/>
    </row>
    <row r="96" spans="1:131" s="2241" customFormat="1" ht="16.350000000000001" customHeight="1" x14ac:dyDescent="0.25">
      <c r="A96" s="2458" t="s">
        <v>2937</v>
      </c>
      <c r="B96" s="5265" t="s">
        <v>1285</v>
      </c>
      <c r="C96" s="5266"/>
      <c r="D96" s="3813" t="s">
        <v>2777</v>
      </c>
      <c r="E96" s="3822" t="s">
        <v>2778</v>
      </c>
      <c r="F96" s="3777" t="s">
        <v>2779</v>
      </c>
      <c r="G96" s="4269" t="s">
        <v>2780</v>
      </c>
      <c r="H96" s="4270" t="s">
        <v>2781</v>
      </c>
      <c r="I96" s="4271" t="s">
        <v>2782</v>
      </c>
      <c r="J96" s="4272" t="s">
        <v>2783</v>
      </c>
      <c r="K96" s="4271" t="s">
        <v>2784</v>
      </c>
      <c r="L96" s="4272" t="s">
        <v>2785</v>
      </c>
      <c r="M96" s="4271" t="s">
        <v>2786</v>
      </c>
      <c r="N96" s="4272" t="s">
        <v>2787</v>
      </c>
      <c r="O96" s="4271" t="s">
        <v>2788</v>
      </c>
      <c r="P96" s="4272" t="s">
        <v>2789</v>
      </c>
      <c r="Q96" s="4273" t="s">
        <v>2790</v>
      </c>
      <c r="R96" s="4272" t="s">
        <v>2791</v>
      </c>
      <c r="S96" s="4256"/>
      <c r="T96" s="4256"/>
      <c r="U96" s="4256"/>
      <c r="V96" s="4256"/>
      <c r="W96" s="4256"/>
      <c r="X96" s="4256"/>
      <c r="Y96" s="4256"/>
      <c r="Z96" s="4256"/>
      <c r="AA96" s="4256"/>
      <c r="AB96" s="4256"/>
      <c r="AC96" s="4257"/>
      <c r="AD96" s="4257"/>
      <c r="AE96" s="4257"/>
      <c r="AF96" s="4257"/>
      <c r="AG96" s="4257"/>
      <c r="AH96" s="4257"/>
      <c r="AI96" s="4257"/>
      <c r="AJ96" s="4257"/>
      <c r="AK96" s="4257"/>
      <c r="AL96" s="4257"/>
      <c r="AM96" s="4257"/>
      <c r="AN96" s="4257"/>
      <c r="BB96" s="2242"/>
      <c r="BC96" s="2242"/>
      <c r="BD96" s="2242"/>
      <c r="BE96" s="2242"/>
      <c r="BF96" s="2242"/>
      <c r="BG96" s="2242"/>
      <c r="BH96" s="2242"/>
      <c r="BI96" s="2242"/>
      <c r="BJ96" s="2242"/>
      <c r="BK96" s="2242"/>
      <c r="BL96" s="2242"/>
      <c r="BM96" s="2242"/>
      <c r="BN96" s="2242"/>
      <c r="BO96" s="2242"/>
      <c r="BP96" s="2242"/>
      <c r="BQ96" s="2242"/>
      <c r="BR96" s="2242"/>
      <c r="BS96" s="2242"/>
      <c r="BT96" s="2242"/>
      <c r="BU96" s="2242"/>
      <c r="BV96" s="2242"/>
      <c r="BW96" s="2242"/>
      <c r="BX96" s="2242"/>
      <c r="BY96" s="2242"/>
      <c r="BZ96" s="2242"/>
      <c r="CA96" s="2242"/>
      <c r="CB96" s="2242"/>
      <c r="CC96" s="2242"/>
      <c r="CD96" s="2242"/>
      <c r="CE96" s="2242"/>
      <c r="CF96" s="2242"/>
      <c r="CG96" s="2242"/>
      <c r="CH96" s="2242"/>
      <c r="CI96" s="2242"/>
      <c r="CJ96" s="2242"/>
      <c r="CK96" s="2242"/>
      <c r="CL96" s="2242"/>
      <c r="CM96" s="2242"/>
      <c r="CN96" s="2242"/>
      <c r="CO96" s="2242"/>
      <c r="CP96" s="2242"/>
      <c r="CQ96" s="2242"/>
      <c r="CR96" s="2242"/>
      <c r="CS96" s="2242"/>
      <c r="CT96" s="2242"/>
      <c r="CU96" s="2242"/>
      <c r="CV96" s="2242"/>
      <c r="CW96" s="2242"/>
      <c r="CX96" s="2242"/>
      <c r="CY96" s="2242"/>
      <c r="CZ96" s="2242"/>
      <c r="DA96" s="2242"/>
      <c r="DB96" s="2242"/>
      <c r="DC96" s="2242"/>
      <c r="DD96" s="2242"/>
      <c r="DE96" s="2242"/>
      <c r="DF96" s="2242"/>
      <c r="DG96" s="2242"/>
      <c r="DH96" s="2242"/>
      <c r="DI96" s="2242"/>
      <c r="DJ96" s="2242"/>
      <c r="DK96" s="2242"/>
      <c r="DL96" s="2242"/>
      <c r="DM96" s="2242"/>
      <c r="DN96" s="2242"/>
      <c r="DO96" s="2242"/>
      <c r="DP96" s="2242"/>
      <c r="DQ96" s="2242"/>
      <c r="DR96" s="2242"/>
      <c r="DS96" s="2242"/>
      <c r="DT96" s="2242"/>
      <c r="DU96" s="2242"/>
      <c r="DV96" s="2242"/>
      <c r="DW96" s="2242"/>
      <c r="DX96" s="2242"/>
      <c r="DY96" s="2242"/>
      <c r="DZ96" s="2242"/>
      <c r="EA96" s="2242"/>
    </row>
    <row r="97" spans="1:131" s="2241" customFormat="1" ht="16.350000000000001" customHeight="1" x14ac:dyDescent="0.25">
      <c r="A97" s="2458" t="s">
        <v>2938</v>
      </c>
      <c r="B97" s="5267" t="s">
        <v>1286</v>
      </c>
      <c r="C97" s="5268"/>
      <c r="D97" s="3823" t="s">
        <v>2777</v>
      </c>
      <c r="E97" s="3824" t="s">
        <v>2778</v>
      </c>
      <c r="F97" s="3778" t="s">
        <v>2779</v>
      </c>
      <c r="G97" s="936" t="s">
        <v>2780</v>
      </c>
      <c r="H97" s="1152" t="s">
        <v>2781</v>
      </c>
      <c r="I97" s="936" t="s">
        <v>2782</v>
      </c>
      <c r="J97" s="937" t="s">
        <v>2783</v>
      </c>
      <c r="K97" s="141" t="s">
        <v>2784</v>
      </c>
      <c r="L97" s="163" t="s">
        <v>2785</v>
      </c>
      <c r="M97" s="141" t="s">
        <v>2786</v>
      </c>
      <c r="N97" s="163" t="s">
        <v>2787</v>
      </c>
      <c r="O97" s="141" t="s">
        <v>2788</v>
      </c>
      <c r="P97" s="163" t="s">
        <v>2789</v>
      </c>
      <c r="Q97" s="224" t="s">
        <v>2790</v>
      </c>
      <c r="R97" s="163" t="s">
        <v>2791</v>
      </c>
      <c r="S97" s="4259"/>
      <c r="T97" s="4256"/>
      <c r="U97" s="4256"/>
      <c r="V97" s="4256"/>
      <c r="W97" s="4256"/>
      <c r="X97" s="4256"/>
      <c r="Y97" s="4256"/>
      <c r="Z97" s="4256"/>
      <c r="AA97" s="4256"/>
      <c r="AB97" s="4256"/>
      <c r="AC97" s="4257"/>
      <c r="AD97" s="4257"/>
      <c r="AE97" s="4257"/>
      <c r="AF97" s="4257"/>
      <c r="AG97" s="4257"/>
      <c r="AH97" s="4257"/>
      <c r="AI97" s="4257"/>
      <c r="AJ97" s="4257"/>
      <c r="AK97" s="4257"/>
      <c r="AL97" s="4257"/>
      <c r="AM97" s="4257"/>
      <c r="AN97" s="4257"/>
      <c r="BB97" s="2242"/>
      <c r="BC97" s="2242"/>
      <c r="BD97" s="2242"/>
      <c r="BE97" s="2242"/>
      <c r="BF97" s="2242"/>
      <c r="BG97" s="2242"/>
      <c r="BH97" s="2242"/>
      <c r="BI97" s="2242"/>
      <c r="BJ97" s="2242"/>
      <c r="BK97" s="2242"/>
      <c r="BL97" s="2242"/>
      <c r="BM97" s="2242"/>
      <c r="BN97" s="2242"/>
      <c r="BO97" s="2242"/>
      <c r="BP97" s="2242"/>
      <c r="BQ97" s="2242"/>
      <c r="BR97" s="2242"/>
      <c r="BS97" s="2242"/>
      <c r="BT97" s="2242"/>
      <c r="BU97" s="2242"/>
      <c r="BV97" s="2242"/>
      <c r="BW97" s="2242"/>
      <c r="BX97" s="2242"/>
      <c r="BY97" s="2242"/>
      <c r="BZ97" s="2242"/>
      <c r="CA97" s="2242"/>
      <c r="CB97" s="2242"/>
      <c r="CC97" s="2242"/>
      <c r="CD97" s="2242"/>
      <c r="CE97" s="2242"/>
      <c r="CF97" s="2242"/>
      <c r="CG97" s="2242"/>
      <c r="CH97" s="2242"/>
      <c r="CI97" s="2242"/>
      <c r="CJ97" s="2242"/>
      <c r="CK97" s="2242"/>
      <c r="CL97" s="2242"/>
      <c r="CM97" s="2242"/>
      <c r="CN97" s="2242"/>
      <c r="CO97" s="2242"/>
      <c r="CP97" s="2242"/>
      <c r="CQ97" s="2242"/>
      <c r="CR97" s="2242"/>
      <c r="CS97" s="2242"/>
      <c r="CT97" s="2242"/>
      <c r="CU97" s="2242"/>
      <c r="CV97" s="2242"/>
      <c r="CW97" s="2242"/>
      <c r="CX97" s="2242"/>
      <c r="CY97" s="2242"/>
      <c r="CZ97" s="2242"/>
      <c r="DA97" s="2242"/>
      <c r="DB97" s="2242"/>
      <c r="DC97" s="2242"/>
      <c r="DD97" s="2242"/>
      <c r="DE97" s="2242"/>
      <c r="DF97" s="2242"/>
      <c r="DG97" s="2242"/>
      <c r="DH97" s="2242"/>
      <c r="DI97" s="2242"/>
      <c r="DJ97" s="2242"/>
      <c r="DK97" s="2242"/>
      <c r="DL97" s="2242"/>
      <c r="DM97" s="2242"/>
      <c r="DN97" s="2242"/>
      <c r="DO97" s="2242"/>
      <c r="DP97" s="2242"/>
      <c r="DQ97" s="2242"/>
      <c r="DR97" s="2242"/>
      <c r="DS97" s="2242"/>
      <c r="DT97" s="2242"/>
      <c r="DU97" s="2242"/>
      <c r="DV97" s="2242"/>
      <c r="DW97" s="2242"/>
      <c r="DX97" s="2242"/>
      <c r="DY97" s="2242"/>
      <c r="DZ97" s="2242"/>
      <c r="EA97" s="2242"/>
    </row>
    <row r="98" spans="1:131" s="2241" customFormat="1" ht="16.350000000000001" customHeight="1" x14ac:dyDescent="0.25">
      <c r="A98" s="2458" t="s">
        <v>2939</v>
      </c>
      <c r="B98" s="5267" t="s">
        <v>2762</v>
      </c>
      <c r="C98" s="5268"/>
      <c r="D98" s="3823" t="s">
        <v>2777</v>
      </c>
      <c r="E98" s="3824" t="s">
        <v>2778</v>
      </c>
      <c r="F98" s="3778" t="s">
        <v>2779</v>
      </c>
      <c r="G98" s="2244" t="s">
        <v>2780</v>
      </c>
      <c r="H98" s="771" t="s">
        <v>2781</v>
      </c>
      <c r="I98" s="2244" t="s">
        <v>2782</v>
      </c>
      <c r="J98" s="847" t="s">
        <v>2783</v>
      </c>
      <c r="K98" s="2245" t="s">
        <v>2784</v>
      </c>
      <c r="L98" s="183" t="s">
        <v>2785</v>
      </c>
      <c r="M98" s="2245" t="s">
        <v>2786</v>
      </c>
      <c r="N98" s="183" t="s">
        <v>2787</v>
      </c>
      <c r="O98" s="2245" t="s">
        <v>2788</v>
      </c>
      <c r="P98" s="183" t="s">
        <v>2789</v>
      </c>
      <c r="Q98" s="2246" t="s">
        <v>2790</v>
      </c>
      <c r="R98" s="183" t="s">
        <v>2791</v>
      </c>
      <c r="S98" s="4259"/>
      <c r="T98" s="4256"/>
      <c r="U98" s="4256"/>
      <c r="V98" s="4256"/>
      <c r="W98" s="4256"/>
      <c r="X98" s="4256"/>
      <c r="Y98" s="4256"/>
      <c r="Z98" s="4256"/>
      <c r="AA98" s="4256"/>
      <c r="AB98" s="4256"/>
      <c r="AC98" s="4257"/>
      <c r="AD98" s="4257"/>
      <c r="AE98" s="4257"/>
      <c r="AF98" s="4257"/>
      <c r="AG98" s="4257"/>
      <c r="AH98" s="4257"/>
      <c r="AI98" s="4257"/>
      <c r="AJ98" s="4257"/>
      <c r="AK98" s="4257"/>
      <c r="AL98" s="4257"/>
      <c r="AM98" s="4257"/>
      <c r="AN98" s="4257"/>
      <c r="BB98" s="2242"/>
      <c r="BC98" s="2242"/>
      <c r="BD98" s="2242"/>
      <c r="BE98" s="2242"/>
      <c r="BF98" s="2242"/>
      <c r="BG98" s="2242"/>
      <c r="BH98" s="2242"/>
      <c r="BI98" s="2242"/>
      <c r="BJ98" s="2242"/>
      <c r="BK98" s="2242"/>
      <c r="BL98" s="2242"/>
      <c r="BM98" s="2242"/>
      <c r="BN98" s="2242"/>
      <c r="BO98" s="2242"/>
      <c r="BP98" s="2242"/>
      <c r="BQ98" s="2242"/>
      <c r="BR98" s="2242"/>
      <c r="BS98" s="2242"/>
      <c r="BT98" s="2242"/>
      <c r="BU98" s="2242"/>
      <c r="BV98" s="2242"/>
      <c r="BW98" s="2242"/>
      <c r="BX98" s="2242"/>
      <c r="BY98" s="2242"/>
      <c r="BZ98" s="2242"/>
      <c r="CA98" s="2242"/>
      <c r="CB98" s="2242"/>
      <c r="CC98" s="2242"/>
      <c r="CD98" s="2242"/>
      <c r="CE98" s="2242"/>
      <c r="CF98" s="2242"/>
      <c r="CG98" s="2242"/>
      <c r="CH98" s="2242"/>
      <c r="CI98" s="2242"/>
      <c r="CJ98" s="2242"/>
      <c r="CK98" s="2242"/>
      <c r="CL98" s="2242"/>
      <c r="CM98" s="2242"/>
      <c r="CN98" s="2242"/>
      <c r="CO98" s="2242"/>
      <c r="CP98" s="2242"/>
      <c r="CQ98" s="2242"/>
      <c r="CR98" s="2242"/>
      <c r="CS98" s="2242"/>
      <c r="CT98" s="2242"/>
      <c r="CU98" s="2242"/>
      <c r="CV98" s="2242"/>
      <c r="CW98" s="2242"/>
      <c r="CX98" s="2242"/>
      <c r="CY98" s="2242"/>
      <c r="CZ98" s="2242"/>
      <c r="DA98" s="2242"/>
      <c r="DB98" s="2242"/>
      <c r="DC98" s="2242"/>
      <c r="DD98" s="2242"/>
      <c r="DE98" s="2242"/>
      <c r="DF98" s="2242"/>
      <c r="DG98" s="2242"/>
      <c r="DH98" s="2242"/>
      <c r="DI98" s="2242"/>
      <c r="DJ98" s="2242"/>
      <c r="DK98" s="2242"/>
      <c r="DL98" s="2242"/>
      <c r="DM98" s="2242"/>
      <c r="DN98" s="2242"/>
      <c r="DO98" s="2242"/>
      <c r="DP98" s="2242"/>
      <c r="DQ98" s="2242"/>
      <c r="DR98" s="2242"/>
      <c r="DS98" s="2242"/>
      <c r="DT98" s="2242"/>
      <c r="DU98" s="2242"/>
      <c r="DV98" s="2242"/>
      <c r="DW98" s="2242"/>
      <c r="DX98" s="2242"/>
      <c r="DY98" s="2242"/>
      <c r="DZ98" s="2242"/>
      <c r="EA98" s="2242"/>
    </row>
    <row r="99" spans="1:131" s="2241" customFormat="1" ht="16.350000000000001" customHeight="1" x14ac:dyDescent="0.25">
      <c r="A99" s="4629" t="s">
        <v>3738</v>
      </c>
      <c r="B99" s="5267" t="s">
        <v>2763</v>
      </c>
      <c r="C99" s="5268"/>
      <c r="D99" s="3823" t="s">
        <v>2777</v>
      </c>
      <c r="E99" s="3824" t="s">
        <v>2778</v>
      </c>
      <c r="F99" s="3778" t="s">
        <v>2779</v>
      </c>
      <c r="G99" s="2244" t="s">
        <v>2780</v>
      </c>
      <c r="H99" s="771" t="s">
        <v>2781</v>
      </c>
      <c r="I99" s="2244" t="s">
        <v>2782</v>
      </c>
      <c r="J99" s="847" t="s">
        <v>2783</v>
      </c>
      <c r="K99" s="2245" t="s">
        <v>2784</v>
      </c>
      <c r="L99" s="183" t="s">
        <v>2785</v>
      </c>
      <c r="M99" s="2245" t="s">
        <v>2786</v>
      </c>
      <c r="N99" s="183" t="s">
        <v>2787</v>
      </c>
      <c r="O99" s="2245" t="s">
        <v>2788</v>
      </c>
      <c r="P99" s="183" t="s">
        <v>2789</v>
      </c>
      <c r="Q99" s="2246" t="s">
        <v>2790</v>
      </c>
      <c r="R99" s="183" t="s">
        <v>2791</v>
      </c>
      <c r="S99" s="4259"/>
      <c r="T99" s="4256"/>
      <c r="U99" s="4256"/>
      <c r="V99" s="4256"/>
      <c r="W99" s="4256"/>
      <c r="X99" s="4256"/>
      <c r="Y99" s="4256"/>
      <c r="Z99" s="4256"/>
      <c r="AA99" s="4256"/>
      <c r="AB99" s="4256"/>
      <c r="AC99" s="4257"/>
      <c r="AD99" s="4257"/>
      <c r="AE99" s="4257"/>
      <c r="AF99" s="4257"/>
      <c r="AG99" s="4257"/>
      <c r="AH99" s="4257"/>
      <c r="AI99" s="4257"/>
      <c r="AJ99" s="4257"/>
      <c r="AK99" s="4257"/>
      <c r="AL99" s="4257"/>
      <c r="AM99" s="4257"/>
      <c r="AN99" s="4257"/>
      <c r="BB99" s="2242"/>
      <c r="BC99" s="2242"/>
      <c r="BD99" s="2242"/>
      <c r="BE99" s="2242"/>
      <c r="BF99" s="2242"/>
      <c r="BG99" s="2242"/>
      <c r="BH99" s="2242"/>
      <c r="BI99" s="2242"/>
      <c r="BJ99" s="2242"/>
      <c r="BK99" s="2242"/>
      <c r="BL99" s="2242"/>
      <c r="BM99" s="2242"/>
      <c r="BN99" s="2242"/>
      <c r="BO99" s="2242"/>
      <c r="BP99" s="2242"/>
      <c r="BQ99" s="2242"/>
      <c r="BR99" s="2242"/>
      <c r="BS99" s="2242"/>
      <c r="BT99" s="2242"/>
      <c r="BU99" s="2242"/>
      <c r="BV99" s="2242"/>
      <c r="BW99" s="2242"/>
      <c r="BX99" s="2242"/>
      <c r="BY99" s="2242"/>
      <c r="BZ99" s="2242"/>
      <c r="CA99" s="2242"/>
      <c r="CB99" s="2242"/>
      <c r="CC99" s="2242"/>
      <c r="CD99" s="2242"/>
      <c r="CE99" s="2242"/>
      <c r="CF99" s="2242"/>
      <c r="CG99" s="2242"/>
      <c r="CH99" s="2242"/>
      <c r="CI99" s="2242"/>
      <c r="CJ99" s="2242"/>
      <c r="CK99" s="2242"/>
      <c r="CL99" s="2242"/>
      <c r="CM99" s="2242"/>
      <c r="CN99" s="2242"/>
      <c r="CO99" s="2242"/>
      <c r="CP99" s="2242"/>
      <c r="CQ99" s="2242"/>
      <c r="CR99" s="2242"/>
      <c r="CS99" s="2242"/>
      <c r="CT99" s="2242"/>
      <c r="CU99" s="2242"/>
      <c r="CV99" s="2242"/>
      <c r="CW99" s="2242"/>
      <c r="CX99" s="2242"/>
      <c r="CY99" s="2242"/>
      <c r="CZ99" s="2242"/>
      <c r="DA99" s="2242"/>
      <c r="DB99" s="2242"/>
      <c r="DC99" s="2242"/>
      <c r="DD99" s="2242"/>
      <c r="DE99" s="2242"/>
      <c r="DF99" s="2242"/>
      <c r="DG99" s="2242"/>
      <c r="DH99" s="2242"/>
      <c r="DI99" s="2242"/>
      <c r="DJ99" s="2242"/>
      <c r="DK99" s="2242"/>
      <c r="DL99" s="2242"/>
      <c r="DM99" s="2242"/>
      <c r="DN99" s="2242"/>
      <c r="DO99" s="2242"/>
      <c r="DP99" s="2242"/>
      <c r="DQ99" s="2242"/>
      <c r="DR99" s="2242"/>
      <c r="DS99" s="2242"/>
      <c r="DT99" s="2242"/>
      <c r="DU99" s="2242"/>
      <c r="DV99" s="2242"/>
      <c r="DW99" s="2242"/>
      <c r="DX99" s="2242"/>
      <c r="DY99" s="2242"/>
      <c r="DZ99" s="2242"/>
      <c r="EA99" s="2242"/>
    </row>
    <row r="100" spans="1:131" s="2241" customFormat="1" ht="20.25" customHeight="1" x14ac:dyDescent="0.25">
      <c r="A100" s="4630" t="s">
        <v>3743</v>
      </c>
      <c r="B100" s="5277" t="s">
        <v>2761</v>
      </c>
      <c r="C100" s="5278"/>
      <c r="D100" s="3823" t="s">
        <v>2777</v>
      </c>
      <c r="E100" s="3824" t="s">
        <v>2778</v>
      </c>
      <c r="F100" s="3778" t="s">
        <v>2779</v>
      </c>
      <c r="G100" s="2245" t="s">
        <v>2780</v>
      </c>
      <c r="H100" s="148" t="s">
        <v>2781</v>
      </c>
      <c r="I100" s="2245" t="s">
        <v>2782</v>
      </c>
      <c r="J100" s="240" t="s">
        <v>2783</v>
      </c>
      <c r="K100" s="936" t="s">
        <v>2784</v>
      </c>
      <c r="L100" s="937" t="s">
        <v>2785</v>
      </c>
      <c r="M100" s="936" t="s">
        <v>2786</v>
      </c>
      <c r="N100" s="937" t="s">
        <v>2787</v>
      </c>
      <c r="O100" s="936" t="s">
        <v>2788</v>
      </c>
      <c r="P100" s="937" t="s">
        <v>2789</v>
      </c>
      <c r="Q100" s="1148" t="s">
        <v>2790</v>
      </c>
      <c r="R100" s="937" t="s">
        <v>2791</v>
      </c>
      <c r="S100" s="4259"/>
      <c r="T100" s="4256"/>
      <c r="U100" s="4256"/>
      <c r="V100" s="4256"/>
      <c r="W100" s="4256"/>
      <c r="X100" s="4256"/>
      <c r="Y100" s="4256"/>
      <c r="Z100" s="4256"/>
      <c r="AA100" s="4256"/>
      <c r="AB100" s="4256"/>
      <c r="AC100" s="4257"/>
      <c r="AD100" s="4257"/>
      <c r="AE100" s="4257"/>
      <c r="AF100" s="4257"/>
      <c r="AG100" s="4257"/>
      <c r="AH100" s="4257"/>
      <c r="AI100" s="4257"/>
      <c r="AJ100" s="4257"/>
      <c r="AK100" s="4257"/>
      <c r="AL100" s="4257"/>
      <c r="AM100" s="4257"/>
      <c r="AN100" s="4257"/>
      <c r="BB100" s="2242"/>
      <c r="BC100" s="2242"/>
      <c r="BD100" s="2242"/>
      <c r="BE100" s="2242"/>
      <c r="BF100" s="2242"/>
      <c r="BG100" s="2242"/>
      <c r="BH100" s="2242"/>
      <c r="BI100" s="2242"/>
      <c r="BJ100" s="2242"/>
      <c r="BK100" s="2242"/>
      <c r="BL100" s="2242"/>
      <c r="BM100" s="2242"/>
      <c r="BN100" s="2242"/>
      <c r="BO100" s="2242"/>
      <c r="BP100" s="2242"/>
      <c r="BQ100" s="2242"/>
      <c r="BR100" s="2242"/>
      <c r="BS100" s="2242"/>
      <c r="BT100" s="2242"/>
      <c r="BU100" s="2242"/>
      <c r="BV100" s="2242"/>
      <c r="BW100" s="2242"/>
      <c r="BX100" s="2242"/>
      <c r="BY100" s="2242"/>
      <c r="BZ100" s="2242"/>
      <c r="CA100" s="2242"/>
      <c r="CB100" s="2242"/>
      <c r="CC100" s="2242"/>
      <c r="CD100" s="2242"/>
      <c r="CE100" s="2242"/>
      <c r="CF100" s="2242"/>
      <c r="CG100" s="2242"/>
      <c r="CH100" s="2242"/>
      <c r="CI100" s="2242"/>
      <c r="CJ100" s="2242"/>
      <c r="CK100" s="2242"/>
      <c r="CL100" s="2242"/>
      <c r="CM100" s="2242"/>
      <c r="CN100" s="2242"/>
      <c r="CO100" s="2242"/>
      <c r="CP100" s="2242"/>
      <c r="CQ100" s="2242"/>
      <c r="CR100" s="2242"/>
      <c r="CS100" s="2242"/>
      <c r="CT100" s="2242"/>
      <c r="CU100" s="2242"/>
      <c r="CV100" s="2242"/>
      <c r="CW100" s="2242"/>
      <c r="CX100" s="2242"/>
      <c r="CY100" s="2242"/>
      <c r="CZ100" s="2242"/>
      <c r="DA100" s="2242"/>
      <c r="DB100" s="2242"/>
      <c r="DC100" s="2242"/>
      <c r="DD100" s="2242"/>
      <c r="DE100" s="2242"/>
      <c r="DF100" s="2242"/>
      <c r="DG100" s="2242"/>
      <c r="DH100" s="2242"/>
      <c r="DI100" s="2242"/>
      <c r="DJ100" s="2242"/>
      <c r="DK100" s="2242"/>
      <c r="DL100" s="2242"/>
      <c r="DM100" s="2242"/>
      <c r="DN100" s="2242"/>
      <c r="DO100" s="2242"/>
      <c r="DP100" s="2242"/>
      <c r="DQ100" s="2242"/>
      <c r="DR100" s="2242"/>
      <c r="DS100" s="2242"/>
      <c r="DT100" s="2242"/>
      <c r="DU100" s="2242"/>
      <c r="DV100" s="2242"/>
      <c r="DW100" s="2242"/>
      <c r="DX100" s="2242"/>
      <c r="DY100" s="2242"/>
      <c r="DZ100" s="2242"/>
      <c r="EA100" s="2242"/>
    </row>
    <row r="101" spans="1:131" s="2241" customFormat="1" ht="16.350000000000001" customHeight="1" x14ac:dyDescent="0.25">
      <c r="A101" s="4629" t="s">
        <v>3739</v>
      </c>
      <c r="B101" s="5279" t="s">
        <v>2764</v>
      </c>
      <c r="C101" s="5280"/>
      <c r="D101" s="3825" t="s">
        <v>2777</v>
      </c>
      <c r="E101" s="3824" t="s">
        <v>2778</v>
      </c>
      <c r="F101" s="3778" t="s">
        <v>2779</v>
      </c>
      <c r="G101" s="2245" t="s">
        <v>2780</v>
      </c>
      <c r="H101" s="148" t="s">
        <v>2781</v>
      </c>
      <c r="I101" s="2245" t="s">
        <v>2782</v>
      </c>
      <c r="J101" s="240" t="s">
        <v>2783</v>
      </c>
      <c r="K101" s="2247" t="s">
        <v>2784</v>
      </c>
      <c r="L101" s="2332" t="s">
        <v>2785</v>
      </c>
      <c r="M101" s="2247" t="s">
        <v>2786</v>
      </c>
      <c r="N101" s="2332" t="s">
        <v>2787</v>
      </c>
      <c r="O101" s="2247" t="s">
        <v>2788</v>
      </c>
      <c r="P101" s="2332" t="s">
        <v>2789</v>
      </c>
      <c r="Q101" s="2248" t="s">
        <v>2790</v>
      </c>
      <c r="R101" s="2332" t="s">
        <v>2791</v>
      </c>
      <c r="S101" s="4259"/>
      <c r="T101" s="4256"/>
      <c r="U101" s="4256"/>
      <c r="V101" s="4256"/>
      <c r="W101" s="4256"/>
      <c r="X101" s="4256"/>
      <c r="Y101" s="4256"/>
      <c r="Z101" s="4256"/>
      <c r="AA101" s="4256"/>
      <c r="AB101" s="4256"/>
      <c r="AC101" s="4257"/>
      <c r="AD101" s="4257"/>
      <c r="AE101" s="4257"/>
      <c r="AF101" s="4257"/>
      <c r="AG101" s="4257"/>
      <c r="AH101" s="4257"/>
      <c r="AI101" s="4257"/>
      <c r="AJ101" s="4257"/>
      <c r="AK101" s="4257"/>
      <c r="AL101" s="4257"/>
      <c r="AM101" s="4257"/>
      <c r="AN101" s="4257"/>
      <c r="BB101" s="2242"/>
      <c r="BC101" s="2242"/>
      <c r="BD101" s="2242"/>
      <c r="BE101" s="2242"/>
      <c r="BF101" s="2242"/>
      <c r="BG101" s="2242"/>
      <c r="BH101" s="2242"/>
      <c r="BI101" s="2242"/>
      <c r="BJ101" s="2242"/>
      <c r="BK101" s="2242"/>
      <c r="BL101" s="2242"/>
      <c r="BM101" s="2242"/>
      <c r="BN101" s="2242"/>
      <c r="BO101" s="2242"/>
      <c r="BP101" s="2242"/>
      <c r="BQ101" s="2242"/>
      <c r="BR101" s="2242"/>
      <c r="BS101" s="2242"/>
      <c r="BT101" s="2242"/>
      <c r="BU101" s="2242"/>
      <c r="BV101" s="2242"/>
      <c r="BW101" s="2242"/>
      <c r="BX101" s="2242"/>
      <c r="BY101" s="2242"/>
      <c r="BZ101" s="2242"/>
      <c r="CA101" s="2242"/>
      <c r="CB101" s="2242"/>
      <c r="CC101" s="2242"/>
      <c r="CD101" s="2242"/>
      <c r="CE101" s="2242"/>
      <c r="CF101" s="2242"/>
      <c r="CG101" s="2242"/>
      <c r="CH101" s="2242"/>
      <c r="CI101" s="2242"/>
      <c r="CJ101" s="2242"/>
      <c r="CK101" s="2242"/>
      <c r="CL101" s="2242"/>
      <c r="CM101" s="2242"/>
      <c r="CN101" s="2242"/>
      <c r="CO101" s="2242"/>
      <c r="CP101" s="2242"/>
      <c r="CQ101" s="2242"/>
      <c r="CR101" s="2242"/>
      <c r="CS101" s="2242"/>
      <c r="CT101" s="2242"/>
      <c r="CU101" s="2242"/>
      <c r="CV101" s="2242"/>
      <c r="CW101" s="2242"/>
      <c r="CX101" s="2242"/>
      <c r="CY101" s="2242"/>
      <c r="CZ101" s="2242"/>
      <c r="DA101" s="2242"/>
      <c r="DB101" s="2242"/>
      <c r="DC101" s="2242"/>
      <c r="DD101" s="2242"/>
      <c r="DE101" s="2242"/>
      <c r="DF101" s="2242"/>
      <c r="DG101" s="2242"/>
      <c r="DH101" s="2242"/>
      <c r="DI101" s="2242"/>
      <c r="DJ101" s="2242"/>
      <c r="DK101" s="2242"/>
      <c r="DL101" s="2242"/>
      <c r="DM101" s="2242"/>
      <c r="DN101" s="2242"/>
      <c r="DO101" s="2242"/>
      <c r="DP101" s="2242"/>
      <c r="DQ101" s="2242"/>
      <c r="DR101" s="2242"/>
      <c r="DS101" s="2242"/>
      <c r="DT101" s="2242"/>
      <c r="DU101" s="2242"/>
      <c r="DV101" s="2242"/>
      <c r="DW101" s="2242"/>
      <c r="DX101" s="2242"/>
      <c r="DY101" s="2242"/>
      <c r="DZ101" s="2242"/>
      <c r="EA101" s="2242"/>
    </row>
    <row r="102" spans="1:131" s="2241" customFormat="1" ht="16.350000000000001" customHeight="1" x14ac:dyDescent="0.25">
      <c r="A102" s="2458" t="s">
        <v>2940</v>
      </c>
      <c r="B102" s="5102" t="s">
        <v>238</v>
      </c>
      <c r="C102" s="2588" t="s">
        <v>239</v>
      </c>
      <c r="D102" s="3826" t="s">
        <v>2777</v>
      </c>
      <c r="E102" s="3827" t="s">
        <v>2778</v>
      </c>
      <c r="F102" s="3828" t="s">
        <v>2779</v>
      </c>
      <c r="G102" s="4271" t="s">
        <v>2780</v>
      </c>
      <c r="H102" s="4274" t="s">
        <v>2781</v>
      </c>
      <c r="I102" s="4271" t="s">
        <v>2782</v>
      </c>
      <c r="J102" s="4275" t="s">
        <v>2783</v>
      </c>
      <c r="K102" s="4271" t="s">
        <v>2784</v>
      </c>
      <c r="L102" s="4272" t="s">
        <v>2785</v>
      </c>
      <c r="M102" s="4271" t="s">
        <v>2786</v>
      </c>
      <c r="N102" s="4272" t="s">
        <v>2787</v>
      </c>
      <c r="O102" s="4271" t="s">
        <v>2788</v>
      </c>
      <c r="P102" s="4275" t="s">
        <v>2789</v>
      </c>
      <c r="Q102" s="4271" t="s">
        <v>2790</v>
      </c>
      <c r="R102" s="4275" t="s">
        <v>2791</v>
      </c>
      <c r="S102" s="4259"/>
      <c r="T102" s="4256"/>
      <c r="U102" s="4256"/>
      <c r="V102" s="4256"/>
      <c r="W102" s="4256"/>
      <c r="X102" s="4256"/>
      <c r="Y102" s="4256"/>
      <c r="Z102" s="4256"/>
      <c r="AA102" s="4256"/>
      <c r="AB102" s="4256"/>
      <c r="AC102" s="4257"/>
      <c r="AD102" s="4257"/>
      <c r="AE102" s="4257"/>
      <c r="AF102" s="4257"/>
      <c r="AG102" s="4257"/>
      <c r="AH102" s="4257"/>
      <c r="AI102" s="4257"/>
      <c r="AJ102" s="4257"/>
      <c r="AK102" s="4257"/>
      <c r="AL102" s="4257"/>
      <c r="AM102" s="4257"/>
      <c r="AN102" s="4257"/>
      <c r="BB102" s="2242"/>
      <c r="BC102" s="2242"/>
      <c r="BD102" s="2242"/>
      <c r="BE102" s="2242"/>
      <c r="BF102" s="2242"/>
      <c r="BG102" s="2242"/>
      <c r="BH102" s="2242"/>
      <c r="BI102" s="2242"/>
      <c r="BJ102" s="2242"/>
      <c r="BK102" s="2242"/>
      <c r="BL102" s="2242"/>
      <c r="BM102" s="2242"/>
      <c r="BN102" s="2242"/>
      <c r="BO102" s="2242"/>
      <c r="BP102" s="2242"/>
      <c r="BQ102" s="2242"/>
      <c r="BR102" s="2242"/>
      <c r="BS102" s="2242"/>
      <c r="BT102" s="2242"/>
      <c r="BU102" s="2242"/>
      <c r="BV102" s="2242"/>
      <c r="BW102" s="2242"/>
      <c r="BX102" s="2242"/>
      <c r="BY102" s="2242"/>
      <c r="BZ102" s="2242"/>
      <c r="CA102" s="2242"/>
      <c r="CB102" s="2242"/>
      <c r="CC102" s="2242"/>
      <c r="CD102" s="2242"/>
      <c r="CE102" s="2242"/>
      <c r="CF102" s="2242"/>
      <c r="CG102" s="2242"/>
      <c r="CH102" s="2242"/>
      <c r="CI102" s="2242"/>
      <c r="CJ102" s="2242"/>
      <c r="CK102" s="2242"/>
      <c r="CL102" s="2242"/>
      <c r="CM102" s="2242"/>
      <c r="CN102" s="2242"/>
      <c r="CO102" s="2242"/>
      <c r="CP102" s="2242"/>
      <c r="CQ102" s="2242"/>
      <c r="CR102" s="2242"/>
      <c r="CS102" s="2242"/>
      <c r="CT102" s="2242"/>
      <c r="CU102" s="2242"/>
      <c r="CV102" s="2242"/>
      <c r="CW102" s="2242"/>
      <c r="CX102" s="2242"/>
      <c r="CY102" s="2242"/>
      <c r="CZ102" s="2242"/>
      <c r="DA102" s="2242"/>
      <c r="DB102" s="2242"/>
      <c r="DC102" s="2242"/>
      <c r="DD102" s="2242"/>
      <c r="DE102" s="2242"/>
      <c r="DF102" s="2242"/>
      <c r="DG102" s="2242"/>
      <c r="DH102" s="2242"/>
      <c r="DI102" s="2242"/>
      <c r="DJ102" s="2242"/>
      <c r="DK102" s="2242"/>
      <c r="DL102" s="2242"/>
      <c r="DM102" s="2242"/>
      <c r="DN102" s="2242"/>
      <c r="DO102" s="2242"/>
      <c r="DP102" s="2242"/>
      <c r="DQ102" s="2242"/>
      <c r="DR102" s="2242"/>
      <c r="DS102" s="2242"/>
      <c r="DT102" s="2242"/>
      <c r="DU102" s="2242"/>
      <c r="DV102" s="2242"/>
      <c r="DW102" s="2242"/>
      <c r="DX102" s="2242"/>
      <c r="DY102" s="2242"/>
      <c r="DZ102" s="2242"/>
      <c r="EA102" s="2242"/>
    </row>
    <row r="103" spans="1:131" s="2241" customFormat="1" ht="22.5" customHeight="1" x14ac:dyDescent="0.25">
      <c r="A103" s="2458" t="s">
        <v>2941</v>
      </c>
      <c r="B103" s="5103"/>
      <c r="C103" s="1249" t="s">
        <v>240</v>
      </c>
      <c r="D103" s="2369" t="s">
        <v>2777</v>
      </c>
      <c r="E103" s="713" t="s">
        <v>2778</v>
      </c>
      <c r="F103" s="3488" t="s">
        <v>2779</v>
      </c>
      <c r="G103" s="2245" t="s">
        <v>2780</v>
      </c>
      <c r="H103" s="148" t="s">
        <v>2781</v>
      </c>
      <c r="I103" s="2245" t="s">
        <v>2782</v>
      </c>
      <c r="J103" s="240" t="s">
        <v>2783</v>
      </c>
      <c r="K103" s="2245" t="s">
        <v>2784</v>
      </c>
      <c r="L103" s="183" t="s">
        <v>2785</v>
      </c>
      <c r="M103" s="2245" t="s">
        <v>2786</v>
      </c>
      <c r="N103" s="183" t="s">
        <v>2787</v>
      </c>
      <c r="O103" s="2245" t="s">
        <v>2788</v>
      </c>
      <c r="P103" s="240" t="s">
        <v>2789</v>
      </c>
      <c r="Q103" s="2245" t="s">
        <v>2790</v>
      </c>
      <c r="R103" s="240" t="s">
        <v>2791</v>
      </c>
      <c r="S103" s="4259"/>
      <c r="T103" s="4256"/>
      <c r="U103" s="4256"/>
      <c r="V103" s="4256"/>
      <c r="W103" s="4256"/>
      <c r="X103" s="4256"/>
      <c r="Y103" s="4256"/>
      <c r="Z103" s="4256"/>
      <c r="AA103" s="4256"/>
      <c r="AB103" s="4256"/>
      <c r="AC103" s="4257"/>
      <c r="AD103" s="4257"/>
      <c r="AE103" s="4257"/>
      <c r="AF103" s="4257"/>
      <c r="AG103" s="4257"/>
      <c r="AH103" s="4257"/>
      <c r="AI103" s="4257"/>
      <c r="AJ103" s="4257"/>
      <c r="AK103" s="4257"/>
      <c r="AL103" s="4257"/>
      <c r="AM103" s="4257"/>
      <c r="AN103" s="4257"/>
      <c r="BB103" s="2242"/>
      <c r="BC103" s="2242"/>
      <c r="BD103" s="2242"/>
      <c r="BE103" s="2242"/>
      <c r="BF103" s="2242"/>
      <c r="BG103" s="2242"/>
      <c r="BH103" s="2242"/>
      <c r="BI103" s="2242"/>
      <c r="BJ103" s="2242"/>
      <c r="BK103" s="2242"/>
      <c r="BL103" s="2242"/>
      <c r="BM103" s="2242"/>
      <c r="BN103" s="2242"/>
      <c r="BO103" s="2242"/>
      <c r="BP103" s="2242"/>
      <c r="BQ103" s="2242"/>
      <c r="BR103" s="2242"/>
      <c r="BS103" s="2242"/>
      <c r="BT103" s="2242"/>
      <c r="BU103" s="2242"/>
      <c r="BV103" s="2242"/>
      <c r="BW103" s="2242"/>
      <c r="BX103" s="2242"/>
      <c r="BY103" s="2242"/>
      <c r="BZ103" s="2242"/>
      <c r="CA103" s="2242"/>
      <c r="CB103" s="2242"/>
      <c r="CC103" s="2242"/>
      <c r="CD103" s="2242"/>
      <c r="CE103" s="2242"/>
      <c r="CF103" s="2242"/>
      <c r="CG103" s="2242"/>
      <c r="CH103" s="2242"/>
      <c r="CI103" s="2242"/>
      <c r="CJ103" s="2242"/>
      <c r="CK103" s="2242"/>
      <c r="CL103" s="2242"/>
      <c r="CM103" s="2242"/>
      <c r="CN103" s="2242"/>
      <c r="CO103" s="2242"/>
      <c r="CP103" s="2242"/>
      <c r="CQ103" s="2242"/>
      <c r="CR103" s="2242"/>
      <c r="CS103" s="2242"/>
      <c r="CT103" s="2242"/>
      <c r="CU103" s="2242"/>
      <c r="CV103" s="2242"/>
      <c r="CW103" s="2242"/>
      <c r="CX103" s="2242"/>
      <c r="CY103" s="2242"/>
      <c r="CZ103" s="2242"/>
      <c r="DA103" s="2242"/>
      <c r="DB103" s="2242"/>
      <c r="DC103" s="2242"/>
      <c r="DD103" s="2242"/>
      <c r="DE103" s="2242"/>
      <c r="DF103" s="2242"/>
      <c r="DG103" s="2242"/>
      <c r="DH103" s="2242"/>
      <c r="DI103" s="2242"/>
      <c r="DJ103" s="2242"/>
      <c r="DK103" s="2242"/>
      <c r="DL103" s="2242"/>
      <c r="DM103" s="2242"/>
      <c r="DN103" s="2242"/>
      <c r="DO103" s="2242"/>
      <c r="DP103" s="2242"/>
      <c r="DQ103" s="2242"/>
      <c r="DR103" s="2242"/>
      <c r="DS103" s="2242"/>
      <c r="DT103" s="2242"/>
      <c r="DU103" s="2242"/>
      <c r="DV103" s="2242"/>
      <c r="DW103" s="2242"/>
      <c r="DX103" s="2242"/>
      <c r="DY103" s="2242"/>
      <c r="DZ103" s="2242"/>
      <c r="EA103" s="2242"/>
    </row>
    <row r="104" spans="1:131" s="2241" customFormat="1" ht="25.35" customHeight="1" x14ac:dyDescent="0.25">
      <c r="A104" s="2458" t="s">
        <v>2942</v>
      </c>
      <c r="B104" s="5104"/>
      <c r="C104" s="1250" t="s">
        <v>241</v>
      </c>
      <c r="D104" s="716" t="s">
        <v>2777</v>
      </c>
      <c r="E104" s="717" t="s">
        <v>2778</v>
      </c>
      <c r="F104" s="384" t="s">
        <v>2779</v>
      </c>
      <c r="G104" s="166" t="s">
        <v>2780</v>
      </c>
      <c r="H104" s="265" t="s">
        <v>2781</v>
      </c>
      <c r="I104" s="166" t="s">
        <v>2782</v>
      </c>
      <c r="J104" s="168" t="s">
        <v>2783</v>
      </c>
      <c r="K104" s="166" t="s">
        <v>2784</v>
      </c>
      <c r="L104" s="125" t="s">
        <v>2785</v>
      </c>
      <c r="M104" s="166" t="s">
        <v>2786</v>
      </c>
      <c r="N104" s="125" t="s">
        <v>2787</v>
      </c>
      <c r="O104" s="166" t="s">
        <v>2788</v>
      </c>
      <c r="P104" s="168" t="s">
        <v>2789</v>
      </c>
      <c r="Q104" s="166" t="s">
        <v>2790</v>
      </c>
      <c r="R104" s="168" t="s">
        <v>2791</v>
      </c>
      <c r="S104" s="4259"/>
      <c r="T104" s="4256"/>
      <c r="U104" s="4256"/>
      <c r="V104" s="4256"/>
      <c r="W104" s="4256"/>
      <c r="X104" s="4256"/>
      <c r="Y104" s="4256"/>
      <c r="Z104" s="4256"/>
      <c r="AA104" s="4256"/>
      <c r="AB104" s="4256"/>
      <c r="AC104" s="4257"/>
      <c r="AD104" s="4257"/>
      <c r="AE104" s="4257"/>
      <c r="AF104" s="4257"/>
      <c r="AG104" s="4257"/>
      <c r="AH104" s="4257"/>
      <c r="AI104" s="4257"/>
      <c r="AJ104" s="4257"/>
      <c r="AK104" s="4257"/>
      <c r="AL104" s="4257"/>
      <c r="AM104" s="4257"/>
      <c r="AN104" s="4257"/>
      <c r="BB104" s="2242"/>
      <c r="BC104" s="2242"/>
      <c r="BD104" s="2242"/>
      <c r="BE104" s="2242"/>
      <c r="BF104" s="2242"/>
      <c r="BG104" s="2242"/>
      <c r="BH104" s="2242"/>
      <c r="BI104" s="2242"/>
      <c r="BJ104" s="2242"/>
      <c r="BK104" s="2242"/>
      <c r="BL104" s="2242"/>
      <c r="BM104" s="2242"/>
      <c r="BN104" s="2242"/>
      <c r="BO104" s="2242"/>
      <c r="BP104" s="2242"/>
      <c r="BQ104" s="2242"/>
      <c r="BR104" s="2242"/>
      <c r="BS104" s="2242"/>
      <c r="BT104" s="2242"/>
      <c r="BU104" s="2242"/>
      <c r="BV104" s="2242"/>
      <c r="BW104" s="2242"/>
      <c r="BX104" s="2242"/>
      <c r="BY104" s="2242"/>
      <c r="BZ104" s="2242"/>
      <c r="CA104" s="2242"/>
      <c r="CB104" s="2242"/>
      <c r="CC104" s="2242"/>
      <c r="CD104" s="2242"/>
      <c r="CE104" s="2242"/>
      <c r="CF104" s="2242"/>
      <c r="CG104" s="2242"/>
      <c r="CH104" s="2242"/>
      <c r="CI104" s="2242"/>
      <c r="CJ104" s="2242"/>
      <c r="CK104" s="2242"/>
      <c r="CL104" s="2242"/>
      <c r="CM104" s="2242"/>
      <c r="CN104" s="2242"/>
      <c r="CO104" s="2242"/>
      <c r="CP104" s="2242"/>
      <c r="CQ104" s="2242"/>
      <c r="CR104" s="2242"/>
      <c r="CS104" s="2242"/>
      <c r="CT104" s="2242"/>
      <c r="CU104" s="2242"/>
      <c r="CV104" s="2242"/>
      <c r="CW104" s="2242"/>
      <c r="CX104" s="2242"/>
      <c r="CY104" s="2242"/>
      <c r="CZ104" s="2242"/>
      <c r="DA104" s="2242"/>
      <c r="DB104" s="2242"/>
      <c r="DC104" s="2242"/>
      <c r="DD104" s="2242"/>
      <c r="DE104" s="2242"/>
      <c r="DF104" s="2242"/>
      <c r="DG104" s="2242"/>
      <c r="DH104" s="2242"/>
      <c r="DI104" s="2242"/>
      <c r="DJ104" s="2242"/>
      <c r="DK104" s="2242"/>
      <c r="DL104" s="2242"/>
      <c r="DM104" s="2242"/>
      <c r="DN104" s="2242"/>
      <c r="DO104" s="2242"/>
      <c r="DP104" s="2242"/>
      <c r="DQ104" s="2242"/>
      <c r="DR104" s="2242"/>
      <c r="DS104" s="2242"/>
      <c r="DT104" s="2242"/>
      <c r="DU104" s="2242"/>
      <c r="DV104" s="2242"/>
      <c r="DW104" s="2242"/>
      <c r="DX104" s="2242"/>
      <c r="DY104" s="2242"/>
      <c r="DZ104" s="2242"/>
      <c r="EA104" s="2242"/>
    </row>
    <row r="105" spans="1:131" s="4263" customFormat="1" ht="31.35" customHeight="1" x14ac:dyDescent="0.25">
      <c r="A105" s="210"/>
      <c r="B105" s="2260" t="s">
        <v>242</v>
      </c>
      <c r="C105" s="2260"/>
      <c r="D105" s="3829"/>
      <c r="E105" s="3829"/>
      <c r="F105" s="3829"/>
      <c r="G105" s="2333"/>
      <c r="H105" s="2333"/>
      <c r="I105" s="2333"/>
      <c r="J105" s="2334"/>
      <c r="K105" s="2335"/>
      <c r="L105" s="2335"/>
      <c r="M105" s="2336"/>
      <c r="N105" s="2337"/>
      <c r="O105" s="2338"/>
      <c r="P105" s="2333"/>
      <c r="Q105" s="2338"/>
      <c r="R105" s="2333"/>
      <c r="S105" s="4256"/>
      <c r="T105" s="4256"/>
      <c r="U105" s="4256"/>
      <c r="V105" s="4256"/>
      <c r="W105" s="4256"/>
      <c r="X105" s="4256"/>
      <c r="Y105" s="4256"/>
      <c r="Z105" s="4256"/>
      <c r="AA105" s="4260"/>
      <c r="AB105" s="4260"/>
      <c r="AC105" s="4261"/>
      <c r="AD105" s="4261"/>
      <c r="AE105" s="4261"/>
      <c r="AF105" s="4261"/>
      <c r="AG105" s="4261"/>
      <c r="AH105" s="4261"/>
      <c r="AI105" s="4261"/>
      <c r="AJ105" s="4261"/>
      <c r="AK105" s="4261"/>
      <c r="AL105" s="4261"/>
      <c r="AM105" s="4261"/>
      <c r="AN105" s="4261"/>
      <c r="AO105" s="4261"/>
      <c r="AP105" s="4261"/>
      <c r="AQ105" s="4261"/>
      <c r="AR105" s="4261"/>
      <c r="AS105" s="4261"/>
      <c r="AT105" s="4261"/>
      <c r="AU105" s="4261"/>
      <c r="AV105" s="4261"/>
      <c r="AW105" s="4261"/>
      <c r="AX105" s="4261"/>
      <c r="AY105" s="4261"/>
      <c r="AZ105" s="4261"/>
      <c r="BA105" s="4261"/>
      <c r="BB105" s="4261"/>
      <c r="BC105" s="4261"/>
      <c r="BD105" s="4261"/>
      <c r="BE105" s="4261"/>
      <c r="BF105" s="4261"/>
      <c r="BG105" s="4261"/>
      <c r="BH105" s="4261"/>
      <c r="BI105" s="4261"/>
      <c r="BJ105" s="4261"/>
      <c r="BK105" s="4261"/>
      <c r="BL105" s="4261"/>
      <c r="BM105" s="4261"/>
      <c r="BN105" s="4261"/>
      <c r="BO105" s="4261"/>
      <c r="BP105" s="4261"/>
      <c r="BQ105" s="4261"/>
      <c r="BR105" s="4261"/>
      <c r="BS105" s="4261"/>
      <c r="BT105" s="4261"/>
      <c r="BU105" s="4261"/>
      <c r="BV105" s="4261"/>
      <c r="BW105" s="4261"/>
      <c r="BX105" s="4261"/>
      <c r="BY105" s="4261"/>
      <c r="BZ105" s="4261"/>
      <c r="CA105" s="4261"/>
      <c r="CB105" s="4262"/>
      <c r="CC105" s="4262"/>
      <c r="CD105" s="4262"/>
      <c r="CE105" s="4262"/>
      <c r="CF105" s="4262"/>
      <c r="CG105" s="4262"/>
      <c r="CH105" s="4262"/>
      <c r="CI105" s="4262"/>
      <c r="CJ105" s="4262"/>
      <c r="CK105" s="4262"/>
      <c r="CL105" s="4262"/>
      <c r="CM105" s="4262"/>
      <c r="CN105" s="4262"/>
      <c r="CO105" s="4262"/>
      <c r="CP105" s="4262"/>
      <c r="CQ105" s="4262"/>
      <c r="CR105" s="4262"/>
      <c r="CS105" s="4262"/>
      <c r="CT105" s="4262"/>
      <c r="CU105" s="4262"/>
      <c r="CV105" s="4262"/>
      <c r="CW105" s="4262"/>
      <c r="CX105" s="4262"/>
      <c r="CY105" s="4262"/>
      <c r="CZ105" s="4262"/>
      <c r="DA105" s="4262"/>
    </row>
    <row r="106" spans="1:131" ht="16.350000000000001" customHeight="1" x14ac:dyDescent="0.25">
      <c r="B106" s="5103" t="s">
        <v>177</v>
      </c>
      <c r="C106" s="5103" t="s">
        <v>178</v>
      </c>
      <c r="D106" s="5271" t="s">
        <v>179</v>
      </c>
      <c r="E106" s="5272"/>
      <c r="F106" s="5273"/>
      <c r="G106" s="5259" t="s">
        <v>5</v>
      </c>
      <c r="H106" s="5259"/>
      <c r="I106" s="5259"/>
      <c r="J106" s="5259"/>
      <c r="K106" s="5259"/>
      <c r="L106" s="5259"/>
      <c r="M106" s="5259"/>
      <c r="N106" s="5259"/>
      <c r="O106" s="5259"/>
      <c r="P106" s="5259"/>
      <c r="Q106" s="5259"/>
      <c r="R106" s="5259"/>
      <c r="S106" s="5259"/>
      <c r="T106" s="5259"/>
      <c r="U106" s="5274"/>
      <c r="V106" s="5274"/>
      <c r="W106" s="5259"/>
      <c r="X106" s="5259"/>
      <c r="Y106" s="5259"/>
      <c r="Z106" s="5259"/>
      <c r="AA106" s="5259"/>
      <c r="AB106" s="5260"/>
    </row>
    <row r="107" spans="1:131" ht="16.350000000000001" customHeight="1" x14ac:dyDescent="0.25">
      <c r="B107" s="5103"/>
      <c r="C107" s="5103"/>
      <c r="D107" s="5182"/>
      <c r="E107" s="5183"/>
      <c r="F107" s="5184"/>
      <c r="G107" s="5206" t="s">
        <v>243</v>
      </c>
      <c r="H107" s="5270"/>
      <c r="I107" s="5269" t="s">
        <v>244</v>
      </c>
      <c r="J107" s="5270"/>
      <c r="K107" s="5269" t="s">
        <v>245</v>
      </c>
      <c r="L107" s="5270"/>
      <c r="M107" s="5206" t="s">
        <v>246</v>
      </c>
      <c r="N107" s="5270"/>
      <c r="O107" s="5269" t="s">
        <v>125</v>
      </c>
      <c r="P107" s="5270"/>
      <c r="Q107" s="5269" t="s">
        <v>126</v>
      </c>
      <c r="R107" s="5270"/>
      <c r="S107" s="5269" t="s">
        <v>167</v>
      </c>
      <c r="T107" s="5270"/>
      <c r="U107" s="5269" t="s">
        <v>247</v>
      </c>
      <c r="V107" s="5270"/>
      <c r="W107" s="5269" t="s">
        <v>248</v>
      </c>
      <c r="X107" s="5270"/>
      <c r="Y107" s="5269" t="s">
        <v>249</v>
      </c>
      <c r="Z107" s="5270"/>
      <c r="AA107" s="5275" t="s">
        <v>250</v>
      </c>
      <c r="AB107" s="5276"/>
    </row>
    <row r="108" spans="1:131" ht="16.350000000000001" customHeight="1" x14ac:dyDescent="0.25">
      <c r="B108" s="5178"/>
      <c r="C108" s="5178"/>
      <c r="D108" s="3830" t="s">
        <v>184</v>
      </c>
      <c r="E108" s="3772" t="s">
        <v>24</v>
      </c>
      <c r="F108" s="3831" t="s">
        <v>25</v>
      </c>
      <c r="G108" s="2328" t="s">
        <v>24</v>
      </c>
      <c r="H108" s="2243" t="s">
        <v>25</v>
      </c>
      <c r="I108" s="2302" t="s">
        <v>24</v>
      </c>
      <c r="J108" s="2243" t="s">
        <v>25</v>
      </c>
      <c r="K108" s="2302" t="s">
        <v>24</v>
      </c>
      <c r="L108" s="2243" t="s">
        <v>25</v>
      </c>
      <c r="M108" s="2328" t="s">
        <v>24</v>
      </c>
      <c r="N108" s="2243" t="s">
        <v>25</v>
      </c>
      <c r="O108" s="2302" t="s">
        <v>24</v>
      </c>
      <c r="P108" s="2243" t="s">
        <v>25</v>
      </c>
      <c r="Q108" s="2302" t="s">
        <v>24</v>
      </c>
      <c r="R108" s="2243" t="s">
        <v>25</v>
      </c>
      <c r="S108" s="2302" t="s">
        <v>24</v>
      </c>
      <c r="T108" s="2318" t="s">
        <v>25</v>
      </c>
      <c r="U108" s="2302" t="s">
        <v>24</v>
      </c>
      <c r="V108" s="2243" t="s">
        <v>25</v>
      </c>
      <c r="W108" s="2302" t="s">
        <v>24</v>
      </c>
      <c r="X108" s="2243" t="s">
        <v>25</v>
      </c>
      <c r="Y108" s="2302" t="s">
        <v>24</v>
      </c>
      <c r="Z108" s="2243" t="s">
        <v>25</v>
      </c>
      <c r="AA108" s="2340" t="s">
        <v>24</v>
      </c>
      <c r="AB108" s="2341" t="s">
        <v>25</v>
      </c>
      <c r="AC108" s="2342"/>
    </row>
    <row r="109" spans="1:131" ht="16.350000000000001" customHeight="1" x14ac:dyDescent="0.25">
      <c r="A109" s="2458" t="s">
        <v>2943</v>
      </c>
      <c r="B109" s="5250" t="s">
        <v>959</v>
      </c>
      <c r="C109" s="2557" t="s">
        <v>251</v>
      </c>
      <c r="D109" s="3813" t="s">
        <v>2777</v>
      </c>
      <c r="E109" s="3822" t="s">
        <v>2778</v>
      </c>
      <c r="F109" s="3832" t="s">
        <v>2779</v>
      </c>
      <c r="G109" s="2487" t="s">
        <v>2780</v>
      </c>
      <c r="H109" s="2499" t="s">
        <v>2781</v>
      </c>
      <c r="I109" s="2483" t="s">
        <v>2782</v>
      </c>
      <c r="J109" s="2480" t="s">
        <v>2783</v>
      </c>
      <c r="K109" s="2483" t="s">
        <v>2784</v>
      </c>
      <c r="L109" s="2480" t="s">
        <v>2785</v>
      </c>
      <c r="M109" s="2587" t="s">
        <v>2786</v>
      </c>
      <c r="N109" s="2480" t="s">
        <v>2787</v>
      </c>
      <c r="O109" s="2483" t="s">
        <v>2788</v>
      </c>
      <c r="P109" s="2480" t="s">
        <v>2789</v>
      </c>
      <c r="Q109" s="2483" t="s">
        <v>2790</v>
      </c>
      <c r="R109" s="2480" t="s">
        <v>2791</v>
      </c>
      <c r="S109" s="2483" t="s">
        <v>2792</v>
      </c>
      <c r="T109" s="2480" t="s">
        <v>2793</v>
      </c>
      <c r="U109" s="2483" t="s">
        <v>2794</v>
      </c>
      <c r="V109" s="2480" t="s">
        <v>2795</v>
      </c>
      <c r="W109" s="2560" t="s">
        <v>2796</v>
      </c>
      <c r="X109" s="2480" t="s">
        <v>2797</v>
      </c>
      <c r="Y109" s="2560" t="s">
        <v>2798</v>
      </c>
      <c r="Z109" s="2480" t="s">
        <v>2799</v>
      </c>
      <c r="AA109" s="2560" t="s">
        <v>2800</v>
      </c>
      <c r="AB109" s="2480" t="s">
        <v>2801</v>
      </c>
    </row>
    <row r="110" spans="1:131" ht="16.350000000000001" customHeight="1" x14ac:dyDescent="0.25">
      <c r="A110" s="2458" t="s">
        <v>2944</v>
      </c>
      <c r="B110" s="5251"/>
      <c r="C110" s="2590" t="s">
        <v>252</v>
      </c>
      <c r="D110" s="3815" t="s">
        <v>2777</v>
      </c>
      <c r="E110" s="3789" t="s">
        <v>2778</v>
      </c>
      <c r="F110" s="3833" t="s">
        <v>2779</v>
      </c>
      <c r="G110" s="180" t="s">
        <v>2780</v>
      </c>
      <c r="H110" s="198" t="s">
        <v>2781</v>
      </c>
      <c r="I110" s="141" t="s">
        <v>2782</v>
      </c>
      <c r="J110" s="163" t="s">
        <v>2783</v>
      </c>
      <c r="K110" s="141" t="s">
        <v>2784</v>
      </c>
      <c r="L110" s="163" t="s">
        <v>2785</v>
      </c>
      <c r="M110" s="143" t="s">
        <v>2786</v>
      </c>
      <c r="N110" s="163" t="s">
        <v>2787</v>
      </c>
      <c r="O110" s="141" t="s">
        <v>2788</v>
      </c>
      <c r="P110" s="163" t="s">
        <v>2789</v>
      </c>
      <c r="Q110" s="141" t="s">
        <v>2790</v>
      </c>
      <c r="R110" s="163" t="s">
        <v>2791</v>
      </c>
      <c r="S110" s="141" t="s">
        <v>2792</v>
      </c>
      <c r="T110" s="163" t="s">
        <v>2793</v>
      </c>
      <c r="U110" s="141" t="s">
        <v>2794</v>
      </c>
      <c r="V110" s="163" t="s">
        <v>2795</v>
      </c>
      <c r="W110" s="224" t="s">
        <v>2796</v>
      </c>
      <c r="X110" s="163" t="s">
        <v>2797</v>
      </c>
      <c r="Y110" s="224" t="s">
        <v>2798</v>
      </c>
      <c r="Z110" s="163" t="s">
        <v>2799</v>
      </c>
      <c r="AA110" s="224" t="s">
        <v>2800</v>
      </c>
      <c r="AB110" s="163" t="s">
        <v>2801</v>
      </c>
    </row>
    <row r="111" spans="1:131" ht="16.350000000000001" customHeight="1" x14ac:dyDescent="0.25">
      <c r="A111" s="2458" t="s">
        <v>2945</v>
      </c>
      <c r="B111" s="5251"/>
      <c r="C111" s="2418" t="s">
        <v>253</v>
      </c>
      <c r="D111" s="3815" t="s">
        <v>2777</v>
      </c>
      <c r="E111" s="3789" t="s">
        <v>2778</v>
      </c>
      <c r="F111" s="3833" t="s">
        <v>2779</v>
      </c>
      <c r="G111" s="180" t="s">
        <v>2780</v>
      </c>
      <c r="H111" s="198" t="s">
        <v>2781</v>
      </c>
      <c r="I111" s="141" t="s">
        <v>2782</v>
      </c>
      <c r="J111" s="163" t="s">
        <v>2783</v>
      </c>
      <c r="K111" s="141" t="s">
        <v>2784</v>
      </c>
      <c r="L111" s="163" t="s">
        <v>2785</v>
      </c>
      <c r="M111" s="143" t="s">
        <v>2786</v>
      </c>
      <c r="N111" s="163" t="s">
        <v>2787</v>
      </c>
      <c r="O111" s="141" t="s">
        <v>2788</v>
      </c>
      <c r="P111" s="163" t="s">
        <v>2789</v>
      </c>
      <c r="Q111" s="141" t="s">
        <v>2790</v>
      </c>
      <c r="R111" s="163" t="s">
        <v>2791</v>
      </c>
      <c r="S111" s="141" t="s">
        <v>2792</v>
      </c>
      <c r="T111" s="163" t="s">
        <v>2793</v>
      </c>
      <c r="U111" s="141" t="s">
        <v>2794</v>
      </c>
      <c r="V111" s="163" t="s">
        <v>2795</v>
      </c>
      <c r="W111" s="224" t="s">
        <v>2796</v>
      </c>
      <c r="X111" s="163" t="s">
        <v>2797</v>
      </c>
      <c r="Y111" s="224" t="s">
        <v>2798</v>
      </c>
      <c r="Z111" s="163" t="s">
        <v>2799</v>
      </c>
      <c r="AA111" s="224" t="s">
        <v>2800</v>
      </c>
      <c r="AB111" s="163" t="s">
        <v>2801</v>
      </c>
    </row>
    <row r="112" spans="1:131" ht="16.350000000000001" customHeight="1" x14ac:dyDescent="0.25">
      <c r="A112" s="2458" t="s">
        <v>2946</v>
      </c>
      <c r="B112" s="5252"/>
      <c r="C112" s="2418" t="s">
        <v>254</v>
      </c>
      <c r="D112" s="3823" t="s">
        <v>2777</v>
      </c>
      <c r="E112" s="3824" t="s">
        <v>2778</v>
      </c>
      <c r="F112" s="3834" t="s">
        <v>2779</v>
      </c>
      <c r="G112" s="180" t="s">
        <v>2780</v>
      </c>
      <c r="H112" s="198" t="s">
        <v>2781</v>
      </c>
      <c r="I112" s="141" t="s">
        <v>2782</v>
      </c>
      <c r="J112" s="163" t="s">
        <v>2783</v>
      </c>
      <c r="K112" s="141" t="s">
        <v>2784</v>
      </c>
      <c r="L112" s="163" t="s">
        <v>2785</v>
      </c>
      <c r="M112" s="143" t="s">
        <v>2786</v>
      </c>
      <c r="N112" s="163" t="s">
        <v>2787</v>
      </c>
      <c r="O112" s="141" t="s">
        <v>2788</v>
      </c>
      <c r="P112" s="163" t="s">
        <v>2789</v>
      </c>
      <c r="Q112" s="141" t="s">
        <v>2790</v>
      </c>
      <c r="R112" s="163" t="s">
        <v>2791</v>
      </c>
      <c r="S112" s="141" t="s">
        <v>2792</v>
      </c>
      <c r="T112" s="163" t="s">
        <v>2793</v>
      </c>
      <c r="U112" s="141" t="s">
        <v>2794</v>
      </c>
      <c r="V112" s="163" t="s">
        <v>2795</v>
      </c>
      <c r="W112" s="224" t="s">
        <v>2796</v>
      </c>
      <c r="X112" s="163" t="s">
        <v>2797</v>
      </c>
      <c r="Y112" s="224" t="s">
        <v>2798</v>
      </c>
      <c r="Z112" s="163" t="s">
        <v>2799</v>
      </c>
      <c r="AA112" s="224" t="s">
        <v>2800</v>
      </c>
      <c r="AB112" s="163" t="s">
        <v>2801</v>
      </c>
    </row>
    <row r="113" spans="1:28" ht="16.350000000000001" customHeight="1" x14ac:dyDescent="0.25">
      <c r="A113" s="2458" t="s">
        <v>2947</v>
      </c>
      <c r="B113" s="5253"/>
      <c r="C113" s="2432" t="s">
        <v>255</v>
      </c>
      <c r="D113" s="3820" t="s">
        <v>2777</v>
      </c>
      <c r="E113" s="3835" t="s">
        <v>2778</v>
      </c>
      <c r="F113" s="3836" t="s">
        <v>2779</v>
      </c>
      <c r="G113" s="126" t="s">
        <v>2780</v>
      </c>
      <c r="H113" s="168" t="s">
        <v>2781</v>
      </c>
      <c r="I113" s="166" t="s">
        <v>2782</v>
      </c>
      <c r="J113" s="125" t="s">
        <v>2783</v>
      </c>
      <c r="K113" s="166" t="s">
        <v>2784</v>
      </c>
      <c r="L113" s="125" t="s">
        <v>2785</v>
      </c>
      <c r="M113" s="265" t="s">
        <v>2786</v>
      </c>
      <c r="N113" s="125" t="s">
        <v>2787</v>
      </c>
      <c r="O113" s="166" t="s">
        <v>2788</v>
      </c>
      <c r="P113" s="125" t="s">
        <v>2789</v>
      </c>
      <c r="Q113" s="166" t="s">
        <v>2790</v>
      </c>
      <c r="R113" s="125" t="s">
        <v>2791</v>
      </c>
      <c r="S113" s="166" t="s">
        <v>2792</v>
      </c>
      <c r="T113" s="125" t="s">
        <v>2793</v>
      </c>
      <c r="U113" s="166" t="s">
        <v>2794</v>
      </c>
      <c r="V113" s="125" t="s">
        <v>2795</v>
      </c>
      <c r="W113" s="227" t="s">
        <v>2796</v>
      </c>
      <c r="X113" s="125" t="s">
        <v>2797</v>
      </c>
      <c r="Y113" s="227" t="s">
        <v>2798</v>
      </c>
      <c r="Z113" s="125" t="s">
        <v>2799</v>
      </c>
      <c r="AA113" s="227" t="s">
        <v>2800</v>
      </c>
      <c r="AB113" s="125" t="s">
        <v>2801</v>
      </c>
    </row>
    <row r="114" spans="1:28" ht="16.350000000000001" customHeight="1" x14ac:dyDescent="0.25">
      <c r="A114" s="2458" t="s">
        <v>2948</v>
      </c>
      <c r="B114" s="5250" t="s">
        <v>256</v>
      </c>
      <c r="C114" s="2557" t="s">
        <v>251</v>
      </c>
      <c r="D114" s="3813" t="s">
        <v>2777</v>
      </c>
      <c r="E114" s="3822" t="s">
        <v>2778</v>
      </c>
      <c r="F114" s="3832" t="s">
        <v>2779</v>
      </c>
      <c r="G114" s="2487" t="s">
        <v>2780</v>
      </c>
      <c r="H114" s="2499" t="s">
        <v>2781</v>
      </c>
      <c r="I114" s="2483" t="s">
        <v>2782</v>
      </c>
      <c r="J114" s="2480" t="s">
        <v>2783</v>
      </c>
      <c r="K114" s="2483" t="s">
        <v>2784</v>
      </c>
      <c r="L114" s="2480" t="s">
        <v>2785</v>
      </c>
      <c r="M114" s="2587" t="s">
        <v>2786</v>
      </c>
      <c r="N114" s="2480" t="s">
        <v>2787</v>
      </c>
      <c r="O114" s="2483" t="s">
        <v>2788</v>
      </c>
      <c r="P114" s="2480" t="s">
        <v>2789</v>
      </c>
      <c r="Q114" s="2483" t="s">
        <v>2790</v>
      </c>
      <c r="R114" s="2480" t="s">
        <v>2791</v>
      </c>
      <c r="S114" s="2483" t="s">
        <v>2792</v>
      </c>
      <c r="T114" s="2480" t="s">
        <v>2793</v>
      </c>
      <c r="U114" s="2483" t="s">
        <v>2794</v>
      </c>
      <c r="V114" s="2480" t="s">
        <v>2795</v>
      </c>
      <c r="W114" s="2560" t="s">
        <v>2796</v>
      </c>
      <c r="X114" s="2480" t="s">
        <v>2797</v>
      </c>
      <c r="Y114" s="2560" t="s">
        <v>2798</v>
      </c>
      <c r="Z114" s="2480" t="s">
        <v>2799</v>
      </c>
      <c r="AA114" s="2560" t="s">
        <v>2800</v>
      </c>
      <c r="AB114" s="2480" t="s">
        <v>2801</v>
      </c>
    </row>
    <row r="115" spans="1:28" ht="16.350000000000001" customHeight="1" x14ac:dyDescent="0.25">
      <c r="A115" s="2458" t="s">
        <v>2949</v>
      </c>
      <c r="B115" s="5251"/>
      <c r="C115" s="2590" t="s">
        <v>252</v>
      </c>
      <c r="D115" s="3815" t="s">
        <v>2777</v>
      </c>
      <c r="E115" s="3789" t="s">
        <v>2778</v>
      </c>
      <c r="F115" s="3833" t="s">
        <v>2779</v>
      </c>
      <c r="G115" s="180" t="s">
        <v>2780</v>
      </c>
      <c r="H115" s="198" t="s">
        <v>2781</v>
      </c>
      <c r="I115" s="141" t="s">
        <v>2782</v>
      </c>
      <c r="J115" s="163" t="s">
        <v>2783</v>
      </c>
      <c r="K115" s="141" t="s">
        <v>2784</v>
      </c>
      <c r="L115" s="163" t="s">
        <v>2785</v>
      </c>
      <c r="M115" s="143" t="s">
        <v>2786</v>
      </c>
      <c r="N115" s="163" t="s">
        <v>2787</v>
      </c>
      <c r="O115" s="141" t="s">
        <v>2788</v>
      </c>
      <c r="P115" s="163" t="s">
        <v>2789</v>
      </c>
      <c r="Q115" s="141" t="s">
        <v>2790</v>
      </c>
      <c r="R115" s="163" t="s">
        <v>2791</v>
      </c>
      <c r="S115" s="141" t="s">
        <v>2792</v>
      </c>
      <c r="T115" s="163" t="s">
        <v>2793</v>
      </c>
      <c r="U115" s="141" t="s">
        <v>2794</v>
      </c>
      <c r="V115" s="163" t="s">
        <v>2795</v>
      </c>
      <c r="W115" s="224" t="s">
        <v>2796</v>
      </c>
      <c r="X115" s="163" t="s">
        <v>2797</v>
      </c>
      <c r="Y115" s="224" t="s">
        <v>2798</v>
      </c>
      <c r="Z115" s="163" t="s">
        <v>2799</v>
      </c>
      <c r="AA115" s="224" t="s">
        <v>2800</v>
      </c>
      <c r="AB115" s="163" t="s">
        <v>2801</v>
      </c>
    </row>
    <row r="116" spans="1:28" ht="16.350000000000001" customHeight="1" x14ac:dyDescent="0.25">
      <c r="A116" s="2458" t="s">
        <v>2950</v>
      </c>
      <c r="B116" s="5251"/>
      <c r="C116" s="2418" t="s">
        <v>253</v>
      </c>
      <c r="D116" s="3815" t="s">
        <v>2777</v>
      </c>
      <c r="E116" s="3789" t="s">
        <v>2778</v>
      </c>
      <c r="F116" s="3833" t="s">
        <v>2779</v>
      </c>
      <c r="G116" s="180" t="s">
        <v>2780</v>
      </c>
      <c r="H116" s="198" t="s">
        <v>2781</v>
      </c>
      <c r="I116" s="141" t="s">
        <v>2782</v>
      </c>
      <c r="J116" s="163" t="s">
        <v>2783</v>
      </c>
      <c r="K116" s="141" t="s">
        <v>2784</v>
      </c>
      <c r="L116" s="163" t="s">
        <v>2785</v>
      </c>
      <c r="M116" s="143" t="s">
        <v>2786</v>
      </c>
      <c r="N116" s="163" t="s">
        <v>2787</v>
      </c>
      <c r="O116" s="141" t="s">
        <v>2788</v>
      </c>
      <c r="P116" s="163" t="s">
        <v>2789</v>
      </c>
      <c r="Q116" s="141" t="s">
        <v>2790</v>
      </c>
      <c r="R116" s="163" t="s">
        <v>2791</v>
      </c>
      <c r="S116" s="141" t="s">
        <v>2792</v>
      </c>
      <c r="T116" s="163" t="s">
        <v>2793</v>
      </c>
      <c r="U116" s="141" t="s">
        <v>2794</v>
      </c>
      <c r="V116" s="163" t="s">
        <v>2795</v>
      </c>
      <c r="W116" s="224" t="s">
        <v>2796</v>
      </c>
      <c r="X116" s="163" t="s">
        <v>2797</v>
      </c>
      <c r="Y116" s="224" t="s">
        <v>2798</v>
      </c>
      <c r="Z116" s="163" t="s">
        <v>2799</v>
      </c>
      <c r="AA116" s="224" t="s">
        <v>2800</v>
      </c>
      <c r="AB116" s="163" t="s">
        <v>2801</v>
      </c>
    </row>
    <row r="117" spans="1:28" ht="16.350000000000001" customHeight="1" x14ac:dyDescent="0.25">
      <c r="A117" s="2458" t="s">
        <v>2951</v>
      </c>
      <c r="B117" s="5252"/>
      <c r="C117" s="2418" t="s">
        <v>254</v>
      </c>
      <c r="D117" s="3823" t="s">
        <v>2777</v>
      </c>
      <c r="E117" s="3824" t="s">
        <v>2778</v>
      </c>
      <c r="F117" s="3834" t="s">
        <v>2779</v>
      </c>
      <c r="G117" s="180" t="s">
        <v>2780</v>
      </c>
      <c r="H117" s="198" t="s">
        <v>2781</v>
      </c>
      <c r="I117" s="141" t="s">
        <v>2782</v>
      </c>
      <c r="J117" s="163" t="s">
        <v>2783</v>
      </c>
      <c r="K117" s="141" t="s">
        <v>2784</v>
      </c>
      <c r="L117" s="163" t="s">
        <v>2785</v>
      </c>
      <c r="M117" s="143" t="s">
        <v>2786</v>
      </c>
      <c r="N117" s="163" t="s">
        <v>2787</v>
      </c>
      <c r="O117" s="141" t="s">
        <v>2788</v>
      </c>
      <c r="P117" s="163" t="s">
        <v>2789</v>
      </c>
      <c r="Q117" s="141" t="s">
        <v>2790</v>
      </c>
      <c r="R117" s="163" t="s">
        <v>2791</v>
      </c>
      <c r="S117" s="141" t="s">
        <v>2792</v>
      </c>
      <c r="T117" s="163" t="s">
        <v>2793</v>
      </c>
      <c r="U117" s="141" t="s">
        <v>2794</v>
      </c>
      <c r="V117" s="163" t="s">
        <v>2795</v>
      </c>
      <c r="W117" s="224" t="s">
        <v>2796</v>
      </c>
      <c r="X117" s="163" t="s">
        <v>2797</v>
      </c>
      <c r="Y117" s="224" t="s">
        <v>2798</v>
      </c>
      <c r="Z117" s="163" t="s">
        <v>2799</v>
      </c>
      <c r="AA117" s="224" t="s">
        <v>2800</v>
      </c>
      <c r="AB117" s="163" t="s">
        <v>2801</v>
      </c>
    </row>
    <row r="118" spans="1:28" ht="16.350000000000001" customHeight="1" x14ac:dyDescent="0.25">
      <c r="A118" s="2458" t="s">
        <v>2952</v>
      </c>
      <c r="B118" s="5253"/>
      <c r="C118" s="2432" t="s">
        <v>255</v>
      </c>
      <c r="D118" s="3820" t="s">
        <v>2777</v>
      </c>
      <c r="E118" s="3835" t="s">
        <v>2778</v>
      </c>
      <c r="F118" s="3836" t="s">
        <v>2779</v>
      </c>
      <c r="G118" s="126" t="s">
        <v>2780</v>
      </c>
      <c r="H118" s="168" t="s">
        <v>2781</v>
      </c>
      <c r="I118" s="166" t="s">
        <v>2782</v>
      </c>
      <c r="J118" s="125" t="s">
        <v>2783</v>
      </c>
      <c r="K118" s="166" t="s">
        <v>2784</v>
      </c>
      <c r="L118" s="125" t="s">
        <v>2785</v>
      </c>
      <c r="M118" s="265" t="s">
        <v>2786</v>
      </c>
      <c r="N118" s="125" t="s">
        <v>2787</v>
      </c>
      <c r="O118" s="166" t="s">
        <v>2788</v>
      </c>
      <c r="P118" s="125" t="s">
        <v>2789</v>
      </c>
      <c r="Q118" s="166" t="s">
        <v>2790</v>
      </c>
      <c r="R118" s="125" t="s">
        <v>2791</v>
      </c>
      <c r="S118" s="166" t="s">
        <v>2792</v>
      </c>
      <c r="T118" s="125" t="s">
        <v>2793</v>
      </c>
      <c r="U118" s="166" t="s">
        <v>2794</v>
      </c>
      <c r="V118" s="125" t="s">
        <v>2795</v>
      </c>
      <c r="W118" s="227" t="s">
        <v>2796</v>
      </c>
      <c r="X118" s="125" t="s">
        <v>2797</v>
      </c>
      <c r="Y118" s="227" t="s">
        <v>2798</v>
      </c>
      <c r="Z118" s="125" t="s">
        <v>2799</v>
      </c>
      <c r="AA118" s="227" t="s">
        <v>2800</v>
      </c>
      <c r="AB118" s="125" t="s">
        <v>2801</v>
      </c>
    </row>
    <row r="119" spans="1:28" ht="16.350000000000001" customHeight="1" x14ac:dyDescent="0.25">
      <c r="A119" s="2458" t="s">
        <v>2953</v>
      </c>
      <c r="B119" s="5102" t="s">
        <v>257</v>
      </c>
      <c r="C119" s="2557" t="s">
        <v>251</v>
      </c>
      <c r="D119" s="3813" t="s">
        <v>2777</v>
      </c>
      <c r="E119" s="3822" t="s">
        <v>2778</v>
      </c>
      <c r="F119" s="3832" t="s">
        <v>2779</v>
      </c>
      <c r="G119" s="2487" t="s">
        <v>2780</v>
      </c>
      <c r="H119" s="2499" t="s">
        <v>2781</v>
      </c>
      <c r="I119" s="2483" t="s">
        <v>2782</v>
      </c>
      <c r="J119" s="2480" t="s">
        <v>2783</v>
      </c>
      <c r="K119" s="2483" t="s">
        <v>2784</v>
      </c>
      <c r="L119" s="2480" t="s">
        <v>2785</v>
      </c>
      <c r="M119" s="2587" t="s">
        <v>2786</v>
      </c>
      <c r="N119" s="2480" t="s">
        <v>2787</v>
      </c>
      <c r="O119" s="2483" t="s">
        <v>2788</v>
      </c>
      <c r="P119" s="2480" t="s">
        <v>2789</v>
      </c>
      <c r="Q119" s="2483" t="s">
        <v>2790</v>
      </c>
      <c r="R119" s="2480" t="s">
        <v>2791</v>
      </c>
      <c r="S119" s="2483" t="s">
        <v>2792</v>
      </c>
      <c r="T119" s="2480" t="s">
        <v>2793</v>
      </c>
      <c r="U119" s="2483" t="s">
        <v>2794</v>
      </c>
      <c r="V119" s="2480" t="s">
        <v>2795</v>
      </c>
      <c r="W119" s="2560" t="s">
        <v>2796</v>
      </c>
      <c r="X119" s="2480" t="s">
        <v>2797</v>
      </c>
      <c r="Y119" s="2560" t="s">
        <v>2798</v>
      </c>
      <c r="Z119" s="2480" t="s">
        <v>2799</v>
      </c>
      <c r="AA119" s="2560" t="s">
        <v>2800</v>
      </c>
      <c r="AB119" s="2480" t="s">
        <v>2801</v>
      </c>
    </row>
    <row r="120" spans="1:28" ht="16.350000000000001" customHeight="1" x14ac:dyDescent="0.25">
      <c r="A120" s="2458" t="s">
        <v>2954</v>
      </c>
      <c r="B120" s="5103"/>
      <c r="C120" s="2590" t="s">
        <v>252</v>
      </c>
      <c r="D120" s="3815" t="s">
        <v>2777</v>
      </c>
      <c r="E120" s="3789" t="s">
        <v>2778</v>
      </c>
      <c r="F120" s="3833" t="s">
        <v>2779</v>
      </c>
      <c r="G120" s="180" t="s">
        <v>2780</v>
      </c>
      <c r="H120" s="198" t="s">
        <v>2781</v>
      </c>
      <c r="I120" s="141" t="s">
        <v>2782</v>
      </c>
      <c r="J120" s="163" t="s">
        <v>2783</v>
      </c>
      <c r="K120" s="141" t="s">
        <v>2784</v>
      </c>
      <c r="L120" s="163" t="s">
        <v>2785</v>
      </c>
      <c r="M120" s="143" t="s">
        <v>2786</v>
      </c>
      <c r="N120" s="163" t="s">
        <v>2787</v>
      </c>
      <c r="O120" s="141" t="s">
        <v>2788</v>
      </c>
      <c r="P120" s="163" t="s">
        <v>2789</v>
      </c>
      <c r="Q120" s="141" t="s">
        <v>2790</v>
      </c>
      <c r="R120" s="163" t="s">
        <v>2791</v>
      </c>
      <c r="S120" s="141" t="s">
        <v>2792</v>
      </c>
      <c r="T120" s="163" t="s">
        <v>2793</v>
      </c>
      <c r="U120" s="141" t="s">
        <v>2794</v>
      </c>
      <c r="V120" s="163" t="s">
        <v>2795</v>
      </c>
      <c r="W120" s="224" t="s">
        <v>2796</v>
      </c>
      <c r="X120" s="163" t="s">
        <v>2797</v>
      </c>
      <c r="Y120" s="224" t="s">
        <v>2798</v>
      </c>
      <c r="Z120" s="163" t="s">
        <v>2799</v>
      </c>
      <c r="AA120" s="224" t="s">
        <v>2800</v>
      </c>
      <c r="AB120" s="163" t="s">
        <v>2801</v>
      </c>
    </row>
    <row r="121" spans="1:28" ht="16.350000000000001" customHeight="1" x14ac:dyDescent="0.25">
      <c r="A121" s="2458" t="s">
        <v>2955</v>
      </c>
      <c r="B121" s="5103"/>
      <c r="C121" s="2418" t="s">
        <v>253</v>
      </c>
      <c r="D121" s="3815" t="s">
        <v>2777</v>
      </c>
      <c r="E121" s="3789" t="s">
        <v>2778</v>
      </c>
      <c r="F121" s="3833" t="s">
        <v>2779</v>
      </c>
      <c r="G121" s="180" t="s">
        <v>2780</v>
      </c>
      <c r="H121" s="198" t="s">
        <v>2781</v>
      </c>
      <c r="I121" s="141" t="s">
        <v>2782</v>
      </c>
      <c r="J121" s="163" t="s">
        <v>2783</v>
      </c>
      <c r="K121" s="141" t="s">
        <v>2784</v>
      </c>
      <c r="L121" s="163" t="s">
        <v>2785</v>
      </c>
      <c r="M121" s="143" t="s">
        <v>2786</v>
      </c>
      <c r="N121" s="163" t="s">
        <v>2787</v>
      </c>
      <c r="O121" s="141" t="s">
        <v>2788</v>
      </c>
      <c r="P121" s="163" t="s">
        <v>2789</v>
      </c>
      <c r="Q121" s="141" t="s">
        <v>2790</v>
      </c>
      <c r="R121" s="163" t="s">
        <v>2791</v>
      </c>
      <c r="S121" s="141" t="s">
        <v>2792</v>
      </c>
      <c r="T121" s="163" t="s">
        <v>2793</v>
      </c>
      <c r="U121" s="141" t="s">
        <v>2794</v>
      </c>
      <c r="V121" s="163" t="s">
        <v>2795</v>
      </c>
      <c r="W121" s="224" t="s">
        <v>2796</v>
      </c>
      <c r="X121" s="163" t="s">
        <v>2797</v>
      </c>
      <c r="Y121" s="224" t="s">
        <v>2798</v>
      </c>
      <c r="Z121" s="163" t="s">
        <v>2799</v>
      </c>
      <c r="AA121" s="224" t="s">
        <v>2800</v>
      </c>
      <c r="AB121" s="163" t="s">
        <v>2801</v>
      </c>
    </row>
    <row r="122" spans="1:28" ht="16.350000000000001" customHeight="1" x14ac:dyDescent="0.25">
      <c r="A122" s="2458" t="s">
        <v>2956</v>
      </c>
      <c r="B122" s="5103"/>
      <c r="C122" s="2418" t="s">
        <v>254</v>
      </c>
      <c r="D122" s="3823" t="s">
        <v>2777</v>
      </c>
      <c r="E122" s="3824" t="s">
        <v>2778</v>
      </c>
      <c r="F122" s="3834" t="s">
        <v>2779</v>
      </c>
      <c r="G122" s="180" t="s">
        <v>2780</v>
      </c>
      <c r="H122" s="198" t="s">
        <v>2781</v>
      </c>
      <c r="I122" s="141" t="s">
        <v>2782</v>
      </c>
      <c r="J122" s="163" t="s">
        <v>2783</v>
      </c>
      <c r="K122" s="141" t="s">
        <v>2784</v>
      </c>
      <c r="L122" s="163" t="s">
        <v>2785</v>
      </c>
      <c r="M122" s="143" t="s">
        <v>2786</v>
      </c>
      <c r="N122" s="163" t="s">
        <v>2787</v>
      </c>
      <c r="O122" s="141" t="s">
        <v>2788</v>
      </c>
      <c r="P122" s="163" t="s">
        <v>2789</v>
      </c>
      <c r="Q122" s="141" t="s">
        <v>2790</v>
      </c>
      <c r="R122" s="163" t="s">
        <v>2791</v>
      </c>
      <c r="S122" s="141" t="s">
        <v>2792</v>
      </c>
      <c r="T122" s="163" t="s">
        <v>2793</v>
      </c>
      <c r="U122" s="141" t="s">
        <v>2794</v>
      </c>
      <c r="V122" s="163" t="s">
        <v>2795</v>
      </c>
      <c r="W122" s="224" t="s">
        <v>2796</v>
      </c>
      <c r="X122" s="163" t="s">
        <v>2797</v>
      </c>
      <c r="Y122" s="224" t="s">
        <v>2798</v>
      </c>
      <c r="Z122" s="163" t="s">
        <v>2799</v>
      </c>
      <c r="AA122" s="224" t="s">
        <v>2800</v>
      </c>
      <c r="AB122" s="163" t="s">
        <v>2801</v>
      </c>
    </row>
    <row r="123" spans="1:28" ht="16.350000000000001" customHeight="1" x14ac:dyDescent="0.25">
      <c r="A123" s="2458" t="s">
        <v>2957</v>
      </c>
      <c r="B123" s="5104"/>
      <c r="C123" s="2432" t="s">
        <v>255</v>
      </c>
      <c r="D123" s="3820" t="s">
        <v>2777</v>
      </c>
      <c r="E123" s="3835" t="s">
        <v>2778</v>
      </c>
      <c r="F123" s="3836" t="s">
        <v>2779</v>
      </c>
      <c r="G123" s="126" t="s">
        <v>2780</v>
      </c>
      <c r="H123" s="168" t="s">
        <v>2781</v>
      </c>
      <c r="I123" s="166" t="s">
        <v>2782</v>
      </c>
      <c r="J123" s="125" t="s">
        <v>2783</v>
      </c>
      <c r="K123" s="166" t="s">
        <v>2784</v>
      </c>
      <c r="L123" s="125" t="s">
        <v>2785</v>
      </c>
      <c r="M123" s="265" t="s">
        <v>2786</v>
      </c>
      <c r="N123" s="125" t="s">
        <v>2787</v>
      </c>
      <c r="O123" s="166" t="s">
        <v>2788</v>
      </c>
      <c r="P123" s="125" t="s">
        <v>2789</v>
      </c>
      <c r="Q123" s="166" t="s">
        <v>2790</v>
      </c>
      <c r="R123" s="125" t="s">
        <v>2791</v>
      </c>
      <c r="S123" s="166" t="s">
        <v>2792</v>
      </c>
      <c r="T123" s="125" t="s">
        <v>2793</v>
      </c>
      <c r="U123" s="166" t="s">
        <v>2794</v>
      </c>
      <c r="V123" s="125" t="s">
        <v>2795</v>
      </c>
      <c r="W123" s="227" t="s">
        <v>2796</v>
      </c>
      <c r="X123" s="125" t="s">
        <v>2797</v>
      </c>
      <c r="Y123" s="227" t="s">
        <v>2798</v>
      </c>
      <c r="Z123" s="125" t="s">
        <v>2799</v>
      </c>
      <c r="AA123" s="227" t="s">
        <v>2800</v>
      </c>
      <c r="AB123" s="125" t="s">
        <v>2801</v>
      </c>
    </row>
    <row r="124" spans="1:28" ht="16.350000000000001" customHeight="1" x14ac:dyDescent="0.25">
      <c r="A124" s="2458" t="s">
        <v>2958</v>
      </c>
      <c r="B124" s="5250" t="s">
        <v>960</v>
      </c>
      <c r="C124" s="2557" t="s">
        <v>251</v>
      </c>
      <c r="D124" s="3813" t="s">
        <v>2777</v>
      </c>
      <c r="E124" s="3822" t="s">
        <v>2778</v>
      </c>
      <c r="F124" s="3832" t="s">
        <v>2779</v>
      </c>
      <c r="G124" s="2487" t="s">
        <v>2780</v>
      </c>
      <c r="H124" s="2499" t="s">
        <v>2781</v>
      </c>
      <c r="I124" s="2483" t="s">
        <v>2782</v>
      </c>
      <c r="J124" s="2480" t="s">
        <v>2783</v>
      </c>
      <c r="K124" s="2483" t="s">
        <v>2784</v>
      </c>
      <c r="L124" s="2480" t="s">
        <v>2785</v>
      </c>
      <c r="M124" s="2587" t="s">
        <v>2786</v>
      </c>
      <c r="N124" s="2480" t="s">
        <v>2787</v>
      </c>
      <c r="O124" s="2483" t="s">
        <v>2788</v>
      </c>
      <c r="P124" s="2480" t="s">
        <v>2789</v>
      </c>
      <c r="Q124" s="2483" t="s">
        <v>2790</v>
      </c>
      <c r="R124" s="2480" t="s">
        <v>2791</v>
      </c>
      <c r="S124" s="2483" t="s">
        <v>2792</v>
      </c>
      <c r="T124" s="2480" t="s">
        <v>2793</v>
      </c>
      <c r="U124" s="2483" t="s">
        <v>2794</v>
      </c>
      <c r="V124" s="2480" t="s">
        <v>2795</v>
      </c>
      <c r="W124" s="2560" t="s">
        <v>2796</v>
      </c>
      <c r="X124" s="2480" t="s">
        <v>2797</v>
      </c>
      <c r="Y124" s="2560" t="s">
        <v>2798</v>
      </c>
      <c r="Z124" s="2480" t="s">
        <v>2799</v>
      </c>
      <c r="AA124" s="2560" t="s">
        <v>2800</v>
      </c>
      <c r="AB124" s="2480" t="s">
        <v>2801</v>
      </c>
    </row>
    <row r="125" spans="1:28" ht="16.350000000000001" customHeight="1" x14ac:dyDescent="0.25">
      <c r="A125" s="2458" t="s">
        <v>2959</v>
      </c>
      <c r="B125" s="5251"/>
      <c r="C125" s="2590" t="s">
        <v>252</v>
      </c>
      <c r="D125" s="3815" t="s">
        <v>2777</v>
      </c>
      <c r="E125" s="3789" t="s">
        <v>2778</v>
      </c>
      <c r="F125" s="3833" t="s">
        <v>2779</v>
      </c>
      <c r="G125" s="180" t="s">
        <v>2780</v>
      </c>
      <c r="H125" s="198" t="s">
        <v>2781</v>
      </c>
      <c r="I125" s="141" t="s">
        <v>2782</v>
      </c>
      <c r="J125" s="163" t="s">
        <v>2783</v>
      </c>
      <c r="K125" s="141" t="s">
        <v>2784</v>
      </c>
      <c r="L125" s="163" t="s">
        <v>2785</v>
      </c>
      <c r="M125" s="143" t="s">
        <v>2786</v>
      </c>
      <c r="N125" s="163" t="s">
        <v>2787</v>
      </c>
      <c r="O125" s="141" t="s">
        <v>2788</v>
      </c>
      <c r="P125" s="163" t="s">
        <v>2789</v>
      </c>
      <c r="Q125" s="141" t="s">
        <v>2790</v>
      </c>
      <c r="R125" s="163" t="s">
        <v>2791</v>
      </c>
      <c r="S125" s="141" t="s">
        <v>2792</v>
      </c>
      <c r="T125" s="163" t="s">
        <v>2793</v>
      </c>
      <c r="U125" s="141" t="s">
        <v>2794</v>
      </c>
      <c r="V125" s="163" t="s">
        <v>2795</v>
      </c>
      <c r="W125" s="224" t="s">
        <v>2796</v>
      </c>
      <c r="X125" s="163" t="s">
        <v>2797</v>
      </c>
      <c r="Y125" s="224" t="s">
        <v>2798</v>
      </c>
      <c r="Z125" s="163" t="s">
        <v>2799</v>
      </c>
      <c r="AA125" s="224" t="s">
        <v>2800</v>
      </c>
      <c r="AB125" s="163" t="s">
        <v>2801</v>
      </c>
    </row>
    <row r="126" spans="1:28" ht="16.350000000000001" customHeight="1" x14ac:dyDescent="0.25">
      <c r="A126" s="2458" t="s">
        <v>2960</v>
      </c>
      <c r="B126" s="5251"/>
      <c r="C126" s="2418" t="s">
        <v>253</v>
      </c>
      <c r="D126" s="3815" t="s">
        <v>2777</v>
      </c>
      <c r="E126" s="3789" t="s">
        <v>2778</v>
      </c>
      <c r="F126" s="3833" t="s">
        <v>2779</v>
      </c>
      <c r="G126" s="180" t="s">
        <v>2780</v>
      </c>
      <c r="H126" s="198" t="s">
        <v>2781</v>
      </c>
      <c r="I126" s="141" t="s">
        <v>2782</v>
      </c>
      <c r="J126" s="163" t="s">
        <v>2783</v>
      </c>
      <c r="K126" s="141" t="s">
        <v>2784</v>
      </c>
      <c r="L126" s="163" t="s">
        <v>2785</v>
      </c>
      <c r="M126" s="143" t="s">
        <v>2786</v>
      </c>
      <c r="N126" s="163" t="s">
        <v>2787</v>
      </c>
      <c r="O126" s="141" t="s">
        <v>2788</v>
      </c>
      <c r="P126" s="163" t="s">
        <v>2789</v>
      </c>
      <c r="Q126" s="141" t="s">
        <v>2790</v>
      </c>
      <c r="R126" s="163" t="s">
        <v>2791</v>
      </c>
      <c r="S126" s="141" t="s">
        <v>2792</v>
      </c>
      <c r="T126" s="163" t="s">
        <v>2793</v>
      </c>
      <c r="U126" s="141" t="s">
        <v>2794</v>
      </c>
      <c r="V126" s="163" t="s">
        <v>2795</v>
      </c>
      <c r="W126" s="224" t="s">
        <v>2796</v>
      </c>
      <c r="X126" s="163" t="s">
        <v>2797</v>
      </c>
      <c r="Y126" s="224" t="s">
        <v>2798</v>
      </c>
      <c r="Z126" s="163" t="s">
        <v>2799</v>
      </c>
      <c r="AA126" s="224" t="s">
        <v>2800</v>
      </c>
      <c r="AB126" s="163" t="s">
        <v>2801</v>
      </c>
    </row>
    <row r="127" spans="1:28" ht="16.350000000000001" customHeight="1" x14ac:dyDescent="0.25">
      <c r="A127" s="2458" t="s">
        <v>2961</v>
      </c>
      <c r="B127" s="5252"/>
      <c r="C127" s="2418" t="s">
        <v>254</v>
      </c>
      <c r="D127" s="3823" t="s">
        <v>2777</v>
      </c>
      <c r="E127" s="3824" t="s">
        <v>2778</v>
      </c>
      <c r="F127" s="3834" t="s">
        <v>2779</v>
      </c>
      <c r="G127" s="180" t="s">
        <v>2780</v>
      </c>
      <c r="H127" s="198" t="s">
        <v>2781</v>
      </c>
      <c r="I127" s="141" t="s">
        <v>2782</v>
      </c>
      <c r="J127" s="163" t="s">
        <v>2783</v>
      </c>
      <c r="K127" s="141" t="s">
        <v>2784</v>
      </c>
      <c r="L127" s="163" t="s">
        <v>2785</v>
      </c>
      <c r="M127" s="143" t="s">
        <v>2786</v>
      </c>
      <c r="N127" s="163" t="s">
        <v>2787</v>
      </c>
      <c r="O127" s="141" t="s">
        <v>2788</v>
      </c>
      <c r="P127" s="163" t="s">
        <v>2789</v>
      </c>
      <c r="Q127" s="141" t="s">
        <v>2790</v>
      </c>
      <c r="R127" s="163" t="s">
        <v>2791</v>
      </c>
      <c r="S127" s="141" t="s">
        <v>2792</v>
      </c>
      <c r="T127" s="163" t="s">
        <v>2793</v>
      </c>
      <c r="U127" s="141" t="s">
        <v>2794</v>
      </c>
      <c r="V127" s="163" t="s">
        <v>2795</v>
      </c>
      <c r="W127" s="224" t="s">
        <v>2796</v>
      </c>
      <c r="X127" s="163" t="s">
        <v>2797</v>
      </c>
      <c r="Y127" s="224" t="s">
        <v>2798</v>
      </c>
      <c r="Z127" s="163" t="s">
        <v>2799</v>
      </c>
      <c r="AA127" s="224" t="s">
        <v>2800</v>
      </c>
      <c r="AB127" s="163" t="s">
        <v>2801</v>
      </c>
    </row>
    <row r="128" spans="1:28" ht="16.350000000000001" customHeight="1" x14ac:dyDescent="0.25">
      <c r="A128" s="2458" t="s">
        <v>2962</v>
      </c>
      <c r="B128" s="5253"/>
      <c r="C128" s="2432" t="s">
        <v>255</v>
      </c>
      <c r="D128" s="3820" t="s">
        <v>2777</v>
      </c>
      <c r="E128" s="3835" t="s">
        <v>2778</v>
      </c>
      <c r="F128" s="3836" t="s">
        <v>2779</v>
      </c>
      <c r="G128" s="126" t="s">
        <v>2780</v>
      </c>
      <c r="H128" s="168" t="s">
        <v>2781</v>
      </c>
      <c r="I128" s="166" t="s">
        <v>2782</v>
      </c>
      <c r="J128" s="125" t="s">
        <v>2783</v>
      </c>
      <c r="K128" s="166" t="s">
        <v>2784</v>
      </c>
      <c r="L128" s="125" t="s">
        <v>2785</v>
      </c>
      <c r="M128" s="265" t="s">
        <v>2786</v>
      </c>
      <c r="N128" s="125" t="s">
        <v>2787</v>
      </c>
      <c r="O128" s="166" t="s">
        <v>2788</v>
      </c>
      <c r="P128" s="125" t="s">
        <v>2789</v>
      </c>
      <c r="Q128" s="166" t="s">
        <v>2790</v>
      </c>
      <c r="R128" s="125" t="s">
        <v>2791</v>
      </c>
      <c r="S128" s="166" t="s">
        <v>2792</v>
      </c>
      <c r="T128" s="125" t="s">
        <v>2793</v>
      </c>
      <c r="U128" s="166" t="s">
        <v>2794</v>
      </c>
      <c r="V128" s="125" t="s">
        <v>2795</v>
      </c>
      <c r="W128" s="227" t="s">
        <v>2796</v>
      </c>
      <c r="X128" s="125" t="s">
        <v>2797</v>
      </c>
      <c r="Y128" s="227" t="s">
        <v>2798</v>
      </c>
      <c r="Z128" s="125" t="s">
        <v>2799</v>
      </c>
      <c r="AA128" s="227" t="s">
        <v>2800</v>
      </c>
      <c r="AB128" s="125" t="s">
        <v>2801</v>
      </c>
    </row>
    <row r="129" spans="1:28" ht="16.350000000000001" customHeight="1" x14ac:dyDescent="0.25">
      <c r="A129" s="2458" t="s">
        <v>2963</v>
      </c>
      <c r="B129" s="5250" t="s">
        <v>258</v>
      </c>
      <c r="C129" s="2557" t="s">
        <v>251</v>
      </c>
      <c r="D129" s="3813" t="s">
        <v>2777</v>
      </c>
      <c r="E129" s="3822" t="s">
        <v>2778</v>
      </c>
      <c r="F129" s="3832" t="s">
        <v>2779</v>
      </c>
      <c r="G129" s="2487" t="s">
        <v>2780</v>
      </c>
      <c r="H129" s="2499" t="s">
        <v>2781</v>
      </c>
      <c r="I129" s="2483" t="s">
        <v>2782</v>
      </c>
      <c r="J129" s="2480" t="s">
        <v>2783</v>
      </c>
      <c r="K129" s="2483" t="s">
        <v>2784</v>
      </c>
      <c r="L129" s="2480" t="s">
        <v>2785</v>
      </c>
      <c r="M129" s="2587" t="s">
        <v>2786</v>
      </c>
      <c r="N129" s="2480" t="s">
        <v>2787</v>
      </c>
      <c r="O129" s="2483" t="s">
        <v>2788</v>
      </c>
      <c r="P129" s="2480" t="s">
        <v>2789</v>
      </c>
      <c r="Q129" s="2483" t="s">
        <v>2790</v>
      </c>
      <c r="R129" s="2480" t="s">
        <v>2791</v>
      </c>
      <c r="S129" s="2483" t="s">
        <v>2792</v>
      </c>
      <c r="T129" s="2480" t="s">
        <v>2793</v>
      </c>
      <c r="U129" s="2483" t="s">
        <v>2794</v>
      </c>
      <c r="V129" s="2480" t="s">
        <v>2795</v>
      </c>
      <c r="W129" s="2560" t="s">
        <v>2796</v>
      </c>
      <c r="X129" s="2480" t="s">
        <v>2797</v>
      </c>
      <c r="Y129" s="2560" t="s">
        <v>2798</v>
      </c>
      <c r="Z129" s="2480" t="s">
        <v>2799</v>
      </c>
      <c r="AA129" s="2560" t="s">
        <v>2800</v>
      </c>
      <c r="AB129" s="2480" t="s">
        <v>2801</v>
      </c>
    </row>
    <row r="130" spans="1:28" ht="16.350000000000001" customHeight="1" x14ac:dyDescent="0.25">
      <c r="A130" s="2458" t="s">
        <v>2964</v>
      </c>
      <c r="B130" s="5251"/>
      <c r="C130" s="2590" t="s">
        <v>252</v>
      </c>
      <c r="D130" s="3815" t="s">
        <v>2777</v>
      </c>
      <c r="E130" s="3789" t="s">
        <v>2778</v>
      </c>
      <c r="F130" s="3833" t="s">
        <v>2779</v>
      </c>
      <c r="G130" s="180" t="s">
        <v>2780</v>
      </c>
      <c r="H130" s="198" t="s">
        <v>2781</v>
      </c>
      <c r="I130" s="141" t="s">
        <v>2782</v>
      </c>
      <c r="J130" s="163" t="s">
        <v>2783</v>
      </c>
      <c r="K130" s="141" t="s">
        <v>2784</v>
      </c>
      <c r="L130" s="163" t="s">
        <v>2785</v>
      </c>
      <c r="M130" s="143" t="s">
        <v>2786</v>
      </c>
      <c r="N130" s="163" t="s">
        <v>2787</v>
      </c>
      <c r="O130" s="141" t="s">
        <v>2788</v>
      </c>
      <c r="P130" s="163" t="s">
        <v>2789</v>
      </c>
      <c r="Q130" s="141" t="s">
        <v>2790</v>
      </c>
      <c r="R130" s="163" t="s">
        <v>2791</v>
      </c>
      <c r="S130" s="141" t="s">
        <v>2792</v>
      </c>
      <c r="T130" s="163" t="s">
        <v>2793</v>
      </c>
      <c r="U130" s="141" t="s">
        <v>2794</v>
      </c>
      <c r="V130" s="163" t="s">
        <v>2795</v>
      </c>
      <c r="W130" s="224" t="s">
        <v>2796</v>
      </c>
      <c r="X130" s="163" t="s">
        <v>2797</v>
      </c>
      <c r="Y130" s="224" t="s">
        <v>2798</v>
      </c>
      <c r="Z130" s="163" t="s">
        <v>2799</v>
      </c>
      <c r="AA130" s="224" t="s">
        <v>2800</v>
      </c>
      <c r="AB130" s="163" t="s">
        <v>2801</v>
      </c>
    </row>
    <row r="131" spans="1:28" ht="16.350000000000001" customHeight="1" x14ac:dyDescent="0.25">
      <c r="A131" s="2458" t="s">
        <v>2965</v>
      </c>
      <c r="B131" s="5251"/>
      <c r="C131" s="2418" t="s">
        <v>253</v>
      </c>
      <c r="D131" s="3815" t="s">
        <v>2777</v>
      </c>
      <c r="E131" s="3789" t="s">
        <v>2778</v>
      </c>
      <c r="F131" s="3833" t="s">
        <v>2779</v>
      </c>
      <c r="G131" s="180" t="s">
        <v>2780</v>
      </c>
      <c r="H131" s="198" t="s">
        <v>2781</v>
      </c>
      <c r="I131" s="141" t="s">
        <v>2782</v>
      </c>
      <c r="J131" s="163" t="s">
        <v>2783</v>
      </c>
      <c r="K131" s="141" t="s">
        <v>2784</v>
      </c>
      <c r="L131" s="163" t="s">
        <v>2785</v>
      </c>
      <c r="M131" s="143" t="s">
        <v>2786</v>
      </c>
      <c r="N131" s="163" t="s">
        <v>2787</v>
      </c>
      <c r="O131" s="141" t="s">
        <v>2788</v>
      </c>
      <c r="P131" s="163" t="s">
        <v>2789</v>
      </c>
      <c r="Q131" s="141" t="s">
        <v>2790</v>
      </c>
      <c r="R131" s="163" t="s">
        <v>2791</v>
      </c>
      <c r="S131" s="141" t="s">
        <v>2792</v>
      </c>
      <c r="T131" s="163" t="s">
        <v>2793</v>
      </c>
      <c r="U131" s="141" t="s">
        <v>2794</v>
      </c>
      <c r="V131" s="163" t="s">
        <v>2795</v>
      </c>
      <c r="W131" s="224" t="s">
        <v>2796</v>
      </c>
      <c r="X131" s="163" t="s">
        <v>2797</v>
      </c>
      <c r="Y131" s="224" t="s">
        <v>2798</v>
      </c>
      <c r="Z131" s="163" t="s">
        <v>2799</v>
      </c>
      <c r="AA131" s="224" t="s">
        <v>2800</v>
      </c>
      <c r="AB131" s="163" t="s">
        <v>2801</v>
      </c>
    </row>
    <row r="132" spans="1:28" ht="16.350000000000001" customHeight="1" x14ac:dyDescent="0.25">
      <c r="A132" s="2458" t="s">
        <v>2966</v>
      </c>
      <c r="B132" s="5252"/>
      <c r="C132" s="2418" t="s">
        <v>254</v>
      </c>
      <c r="D132" s="3823" t="s">
        <v>2777</v>
      </c>
      <c r="E132" s="3824" t="s">
        <v>2778</v>
      </c>
      <c r="F132" s="3834" t="s">
        <v>2779</v>
      </c>
      <c r="G132" s="180" t="s">
        <v>2780</v>
      </c>
      <c r="H132" s="198" t="s">
        <v>2781</v>
      </c>
      <c r="I132" s="141" t="s">
        <v>2782</v>
      </c>
      <c r="J132" s="163" t="s">
        <v>2783</v>
      </c>
      <c r="K132" s="141" t="s">
        <v>2784</v>
      </c>
      <c r="L132" s="163" t="s">
        <v>2785</v>
      </c>
      <c r="M132" s="143" t="s">
        <v>2786</v>
      </c>
      <c r="N132" s="163" t="s">
        <v>2787</v>
      </c>
      <c r="O132" s="141" t="s">
        <v>2788</v>
      </c>
      <c r="P132" s="163" t="s">
        <v>2789</v>
      </c>
      <c r="Q132" s="141" t="s">
        <v>2790</v>
      </c>
      <c r="R132" s="163" t="s">
        <v>2791</v>
      </c>
      <c r="S132" s="141" t="s">
        <v>2792</v>
      </c>
      <c r="T132" s="163" t="s">
        <v>2793</v>
      </c>
      <c r="U132" s="141" t="s">
        <v>2794</v>
      </c>
      <c r="V132" s="163" t="s">
        <v>2795</v>
      </c>
      <c r="W132" s="224" t="s">
        <v>2796</v>
      </c>
      <c r="X132" s="163" t="s">
        <v>2797</v>
      </c>
      <c r="Y132" s="224" t="s">
        <v>2798</v>
      </c>
      <c r="Z132" s="163" t="s">
        <v>2799</v>
      </c>
      <c r="AA132" s="224" t="s">
        <v>2800</v>
      </c>
      <c r="AB132" s="163" t="s">
        <v>2801</v>
      </c>
    </row>
    <row r="133" spans="1:28" ht="16.350000000000001" customHeight="1" x14ac:dyDescent="0.25">
      <c r="A133" s="2458" t="s">
        <v>2967</v>
      </c>
      <c r="B133" s="5253"/>
      <c r="C133" s="2432" t="s">
        <v>255</v>
      </c>
      <c r="D133" s="3820" t="s">
        <v>2777</v>
      </c>
      <c r="E133" s="3835" t="s">
        <v>2778</v>
      </c>
      <c r="F133" s="3836" t="s">
        <v>2779</v>
      </c>
      <c r="G133" s="126" t="s">
        <v>2780</v>
      </c>
      <c r="H133" s="168" t="s">
        <v>2781</v>
      </c>
      <c r="I133" s="166" t="s">
        <v>2782</v>
      </c>
      <c r="J133" s="125" t="s">
        <v>2783</v>
      </c>
      <c r="K133" s="166" t="s">
        <v>2784</v>
      </c>
      <c r="L133" s="125" t="s">
        <v>2785</v>
      </c>
      <c r="M133" s="265" t="s">
        <v>2786</v>
      </c>
      <c r="N133" s="125" t="s">
        <v>2787</v>
      </c>
      <c r="O133" s="166" t="s">
        <v>2788</v>
      </c>
      <c r="P133" s="125" t="s">
        <v>2789</v>
      </c>
      <c r="Q133" s="166" t="s">
        <v>2790</v>
      </c>
      <c r="R133" s="125" t="s">
        <v>2791</v>
      </c>
      <c r="S133" s="166" t="s">
        <v>2792</v>
      </c>
      <c r="T133" s="125" t="s">
        <v>2793</v>
      </c>
      <c r="U133" s="166" t="s">
        <v>2794</v>
      </c>
      <c r="V133" s="125" t="s">
        <v>2795</v>
      </c>
      <c r="W133" s="227" t="s">
        <v>2796</v>
      </c>
      <c r="X133" s="125" t="s">
        <v>2797</v>
      </c>
      <c r="Y133" s="227" t="s">
        <v>2798</v>
      </c>
      <c r="Z133" s="125" t="s">
        <v>2799</v>
      </c>
      <c r="AA133" s="227" t="s">
        <v>2800</v>
      </c>
      <c r="AB133" s="125" t="s">
        <v>2801</v>
      </c>
    </row>
    <row r="134" spans="1:28" ht="16.350000000000001" customHeight="1" x14ac:dyDescent="0.25">
      <c r="A134" s="2458" t="s">
        <v>2968</v>
      </c>
      <c r="B134" s="5102" t="s">
        <v>259</v>
      </c>
      <c r="C134" s="2557" t="s">
        <v>251</v>
      </c>
      <c r="D134" s="3813" t="s">
        <v>2777</v>
      </c>
      <c r="E134" s="3822" t="s">
        <v>2778</v>
      </c>
      <c r="F134" s="3832" t="s">
        <v>2779</v>
      </c>
      <c r="G134" s="2487" t="s">
        <v>2780</v>
      </c>
      <c r="H134" s="2499" t="s">
        <v>2781</v>
      </c>
      <c r="I134" s="2483" t="s">
        <v>2782</v>
      </c>
      <c r="J134" s="2480" t="s">
        <v>2783</v>
      </c>
      <c r="K134" s="2483" t="s">
        <v>2784</v>
      </c>
      <c r="L134" s="2480" t="s">
        <v>2785</v>
      </c>
      <c r="M134" s="2587" t="s">
        <v>2786</v>
      </c>
      <c r="N134" s="2480" t="s">
        <v>2787</v>
      </c>
      <c r="O134" s="2483" t="s">
        <v>2788</v>
      </c>
      <c r="P134" s="2480" t="s">
        <v>2789</v>
      </c>
      <c r="Q134" s="2483" t="s">
        <v>2790</v>
      </c>
      <c r="R134" s="2480" t="s">
        <v>2791</v>
      </c>
      <c r="S134" s="2483" t="s">
        <v>2792</v>
      </c>
      <c r="T134" s="2480" t="s">
        <v>2793</v>
      </c>
      <c r="U134" s="2483" t="s">
        <v>2794</v>
      </c>
      <c r="V134" s="2480" t="s">
        <v>2795</v>
      </c>
      <c r="W134" s="2560" t="s">
        <v>2796</v>
      </c>
      <c r="X134" s="2480" t="s">
        <v>2797</v>
      </c>
      <c r="Y134" s="2560" t="s">
        <v>2798</v>
      </c>
      <c r="Z134" s="2480" t="s">
        <v>2799</v>
      </c>
      <c r="AA134" s="2560" t="s">
        <v>2800</v>
      </c>
      <c r="AB134" s="2480" t="s">
        <v>2801</v>
      </c>
    </row>
    <row r="135" spans="1:28" ht="16.350000000000001" customHeight="1" x14ac:dyDescent="0.25">
      <c r="A135" s="2458" t="s">
        <v>2969</v>
      </c>
      <c r="B135" s="5103"/>
      <c r="C135" s="2590" t="s">
        <v>252</v>
      </c>
      <c r="D135" s="3815" t="s">
        <v>2777</v>
      </c>
      <c r="E135" s="3789" t="s">
        <v>2778</v>
      </c>
      <c r="F135" s="3833" t="s">
        <v>2779</v>
      </c>
      <c r="G135" s="180" t="s">
        <v>2780</v>
      </c>
      <c r="H135" s="198" t="s">
        <v>2781</v>
      </c>
      <c r="I135" s="141" t="s">
        <v>2782</v>
      </c>
      <c r="J135" s="163" t="s">
        <v>2783</v>
      </c>
      <c r="K135" s="141" t="s">
        <v>2784</v>
      </c>
      <c r="L135" s="163" t="s">
        <v>2785</v>
      </c>
      <c r="M135" s="143" t="s">
        <v>2786</v>
      </c>
      <c r="N135" s="163" t="s">
        <v>2787</v>
      </c>
      <c r="O135" s="141" t="s">
        <v>2788</v>
      </c>
      <c r="P135" s="163" t="s">
        <v>2789</v>
      </c>
      <c r="Q135" s="141" t="s">
        <v>2790</v>
      </c>
      <c r="R135" s="163" t="s">
        <v>2791</v>
      </c>
      <c r="S135" s="141" t="s">
        <v>2792</v>
      </c>
      <c r="T135" s="163" t="s">
        <v>2793</v>
      </c>
      <c r="U135" s="141" t="s">
        <v>2794</v>
      </c>
      <c r="V135" s="163" t="s">
        <v>2795</v>
      </c>
      <c r="W135" s="224" t="s">
        <v>2796</v>
      </c>
      <c r="X135" s="163" t="s">
        <v>2797</v>
      </c>
      <c r="Y135" s="224" t="s">
        <v>2798</v>
      </c>
      <c r="Z135" s="163" t="s">
        <v>2799</v>
      </c>
      <c r="AA135" s="224" t="s">
        <v>2800</v>
      </c>
      <c r="AB135" s="163" t="s">
        <v>2801</v>
      </c>
    </row>
    <row r="136" spans="1:28" ht="16.350000000000001" customHeight="1" x14ac:dyDescent="0.25">
      <c r="A136" s="2458" t="s">
        <v>2970</v>
      </c>
      <c r="B136" s="5103"/>
      <c r="C136" s="2418" t="s">
        <v>253</v>
      </c>
      <c r="D136" s="3815" t="s">
        <v>2777</v>
      </c>
      <c r="E136" s="3789" t="s">
        <v>2778</v>
      </c>
      <c r="F136" s="3833" t="s">
        <v>2779</v>
      </c>
      <c r="G136" s="180" t="s">
        <v>2780</v>
      </c>
      <c r="H136" s="198" t="s">
        <v>2781</v>
      </c>
      <c r="I136" s="141" t="s">
        <v>2782</v>
      </c>
      <c r="J136" s="163" t="s">
        <v>2783</v>
      </c>
      <c r="K136" s="141" t="s">
        <v>2784</v>
      </c>
      <c r="L136" s="163" t="s">
        <v>2785</v>
      </c>
      <c r="M136" s="143" t="s">
        <v>2786</v>
      </c>
      <c r="N136" s="163" t="s">
        <v>2787</v>
      </c>
      <c r="O136" s="141" t="s">
        <v>2788</v>
      </c>
      <c r="P136" s="163" t="s">
        <v>2789</v>
      </c>
      <c r="Q136" s="141" t="s">
        <v>2790</v>
      </c>
      <c r="R136" s="163" t="s">
        <v>2791</v>
      </c>
      <c r="S136" s="141" t="s">
        <v>2792</v>
      </c>
      <c r="T136" s="163" t="s">
        <v>2793</v>
      </c>
      <c r="U136" s="141" t="s">
        <v>2794</v>
      </c>
      <c r="V136" s="163" t="s">
        <v>2795</v>
      </c>
      <c r="W136" s="224" t="s">
        <v>2796</v>
      </c>
      <c r="X136" s="163" t="s">
        <v>2797</v>
      </c>
      <c r="Y136" s="224" t="s">
        <v>2798</v>
      </c>
      <c r="Z136" s="163" t="s">
        <v>2799</v>
      </c>
      <c r="AA136" s="224" t="s">
        <v>2800</v>
      </c>
      <c r="AB136" s="163" t="s">
        <v>2801</v>
      </c>
    </row>
    <row r="137" spans="1:28" ht="16.350000000000001" customHeight="1" x14ac:dyDescent="0.25">
      <c r="A137" s="2458" t="s">
        <v>2971</v>
      </c>
      <c r="B137" s="5103"/>
      <c r="C137" s="2418" t="s">
        <v>254</v>
      </c>
      <c r="D137" s="3823" t="s">
        <v>2777</v>
      </c>
      <c r="E137" s="3824" t="s">
        <v>2778</v>
      </c>
      <c r="F137" s="3834" t="s">
        <v>2779</v>
      </c>
      <c r="G137" s="180" t="s">
        <v>2780</v>
      </c>
      <c r="H137" s="198" t="s">
        <v>2781</v>
      </c>
      <c r="I137" s="141" t="s">
        <v>2782</v>
      </c>
      <c r="J137" s="163" t="s">
        <v>2783</v>
      </c>
      <c r="K137" s="141" t="s">
        <v>2784</v>
      </c>
      <c r="L137" s="163" t="s">
        <v>2785</v>
      </c>
      <c r="M137" s="143" t="s">
        <v>2786</v>
      </c>
      <c r="N137" s="163" t="s">
        <v>2787</v>
      </c>
      <c r="O137" s="141" t="s">
        <v>2788</v>
      </c>
      <c r="P137" s="163" t="s">
        <v>2789</v>
      </c>
      <c r="Q137" s="141" t="s">
        <v>2790</v>
      </c>
      <c r="R137" s="163" t="s">
        <v>2791</v>
      </c>
      <c r="S137" s="141" t="s">
        <v>2792</v>
      </c>
      <c r="T137" s="163" t="s">
        <v>2793</v>
      </c>
      <c r="U137" s="141" t="s">
        <v>2794</v>
      </c>
      <c r="V137" s="163" t="s">
        <v>2795</v>
      </c>
      <c r="W137" s="224" t="s">
        <v>2796</v>
      </c>
      <c r="X137" s="163" t="s">
        <v>2797</v>
      </c>
      <c r="Y137" s="224" t="s">
        <v>2798</v>
      </c>
      <c r="Z137" s="163" t="s">
        <v>2799</v>
      </c>
      <c r="AA137" s="224" t="s">
        <v>2800</v>
      </c>
      <c r="AB137" s="163" t="s">
        <v>2801</v>
      </c>
    </row>
    <row r="138" spans="1:28" ht="16.350000000000001" customHeight="1" x14ac:dyDescent="0.25">
      <c r="A138" s="2458" t="s">
        <v>2972</v>
      </c>
      <c r="B138" s="5103"/>
      <c r="C138" s="2296" t="s">
        <v>255</v>
      </c>
      <c r="D138" s="3818" t="s">
        <v>2777</v>
      </c>
      <c r="E138" s="3837" t="s">
        <v>2778</v>
      </c>
      <c r="F138" s="3838" t="s">
        <v>2779</v>
      </c>
      <c r="G138" s="144" t="s">
        <v>2780</v>
      </c>
      <c r="H138" s="240" t="s">
        <v>2781</v>
      </c>
      <c r="I138" s="2245" t="s">
        <v>2782</v>
      </c>
      <c r="J138" s="183" t="s">
        <v>2783</v>
      </c>
      <c r="K138" s="2245" t="s">
        <v>2784</v>
      </c>
      <c r="L138" s="183" t="s">
        <v>2785</v>
      </c>
      <c r="M138" s="148" t="s">
        <v>2786</v>
      </c>
      <c r="N138" s="183" t="s">
        <v>2787</v>
      </c>
      <c r="O138" s="2245" t="s">
        <v>2788</v>
      </c>
      <c r="P138" s="183" t="s">
        <v>2789</v>
      </c>
      <c r="Q138" s="2245" t="s">
        <v>2790</v>
      </c>
      <c r="R138" s="183" t="s">
        <v>2791</v>
      </c>
      <c r="S138" s="2245" t="s">
        <v>2792</v>
      </c>
      <c r="T138" s="183" t="s">
        <v>2793</v>
      </c>
      <c r="U138" s="2245" t="s">
        <v>2794</v>
      </c>
      <c r="V138" s="183" t="s">
        <v>2795</v>
      </c>
      <c r="W138" s="2246" t="s">
        <v>2796</v>
      </c>
      <c r="X138" s="183" t="s">
        <v>2797</v>
      </c>
      <c r="Y138" s="2246" t="s">
        <v>2798</v>
      </c>
      <c r="Z138" s="183" t="s">
        <v>2799</v>
      </c>
      <c r="AA138" s="2246" t="s">
        <v>2800</v>
      </c>
      <c r="AB138" s="183" t="s">
        <v>2801</v>
      </c>
    </row>
    <row r="139" spans="1:28" ht="16.350000000000001" customHeight="1" thickBot="1" x14ac:dyDescent="0.3">
      <c r="A139" s="2518"/>
      <c r="B139" s="5223" t="s">
        <v>260</v>
      </c>
      <c r="C139" s="5224"/>
      <c r="D139" s="2591">
        <f t="shared" ref="D139:AB139" si="1">SUM(D109:D138)</f>
        <v>0</v>
      </c>
      <c r="E139" s="2592">
        <f t="shared" si="1"/>
        <v>0</v>
      </c>
      <c r="F139" s="2593">
        <f t="shared" si="1"/>
        <v>0</v>
      </c>
      <c r="G139" s="2594">
        <f t="shared" si="1"/>
        <v>0</v>
      </c>
      <c r="H139" s="2595">
        <f t="shared" si="1"/>
        <v>0</v>
      </c>
      <c r="I139" s="2594">
        <f t="shared" si="1"/>
        <v>0</v>
      </c>
      <c r="J139" s="2595">
        <f t="shared" si="1"/>
        <v>0</v>
      </c>
      <c r="K139" s="2594">
        <f t="shared" si="1"/>
        <v>0</v>
      </c>
      <c r="L139" s="2595">
        <f t="shared" si="1"/>
        <v>0</v>
      </c>
      <c r="M139" s="2594">
        <f t="shared" si="1"/>
        <v>0</v>
      </c>
      <c r="N139" s="2595">
        <f t="shared" si="1"/>
        <v>0</v>
      </c>
      <c r="O139" s="2594">
        <f t="shared" si="1"/>
        <v>0</v>
      </c>
      <c r="P139" s="2595">
        <f t="shared" si="1"/>
        <v>0</v>
      </c>
      <c r="Q139" s="2594">
        <f t="shared" si="1"/>
        <v>0</v>
      </c>
      <c r="R139" s="2595">
        <f t="shared" si="1"/>
        <v>0</v>
      </c>
      <c r="S139" s="2594">
        <f t="shared" si="1"/>
        <v>0</v>
      </c>
      <c r="T139" s="2595">
        <f t="shared" si="1"/>
        <v>0</v>
      </c>
      <c r="U139" s="2594">
        <f t="shared" si="1"/>
        <v>0</v>
      </c>
      <c r="V139" s="2595">
        <f t="shared" si="1"/>
        <v>0</v>
      </c>
      <c r="W139" s="2594">
        <f t="shared" si="1"/>
        <v>0</v>
      </c>
      <c r="X139" s="2595">
        <f t="shared" si="1"/>
        <v>0</v>
      </c>
      <c r="Y139" s="2594">
        <f t="shared" si="1"/>
        <v>0</v>
      </c>
      <c r="Z139" s="2595">
        <f t="shared" si="1"/>
        <v>0</v>
      </c>
      <c r="AA139" s="2596">
        <f t="shared" si="1"/>
        <v>0</v>
      </c>
      <c r="AB139" s="2597">
        <f t="shared" si="1"/>
        <v>0</v>
      </c>
    </row>
    <row r="140" spans="1:28" ht="16.350000000000001" customHeight="1" thickTop="1" x14ac:dyDescent="0.25">
      <c r="A140" s="2458" t="s">
        <v>2973</v>
      </c>
      <c r="B140" s="5248" t="s">
        <v>261</v>
      </c>
      <c r="C140" s="230" t="s">
        <v>251</v>
      </c>
      <c r="D140" s="3839" t="s">
        <v>2777</v>
      </c>
      <c r="E140" s="3840" t="s">
        <v>2778</v>
      </c>
      <c r="F140" s="3841" t="s">
        <v>2779</v>
      </c>
      <c r="G140" s="271" t="s">
        <v>2780</v>
      </c>
      <c r="H140" s="649" t="s">
        <v>2781</v>
      </c>
      <c r="I140" s="231" t="s">
        <v>2782</v>
      </c>
      <c r="J140" s="232" t="s">
        <v>2783</v>
      </c>
      <c r="K140" s="231" t="s">
        <v>2784</v>
      </c>
      <c r="L140" s="232" t="s">
        <v>2785</v>
      </c>
      <c r="M140" s="650" t="s">
        <v>2786</v>
      </c>
      <c r="N140" s="232" t="s">
        <v>2787</v>
      </c>
      <c r="O140" s="231" t="s">
        <v>2788</v>
      </c>
      <c r="P140" s="232" t="s">
        <v>2789</v>
      </c>
      <c r="Q140" s="231" t="s">
        <v>2790</v>
      </c>
      <c r="R140" s="232" t="s">
        <v>2791</v>
      </c>
      <c r="S140" s="231" t="s">
        <v>2792</v>
      </c>
      <c r="T140" s="232" t="s">
        <v>2793</v>
      </c>
      <c r="U140" s="231" t="s">
        <v>2794</v>
      </c>
      <c r="V140" s="232" t="s">
        <v>2795</v>
      </c>
      <c r="W140" s="233" t="s">
        <v>2796</v>
      </c>
      <c r="X140" s="232" t="s">
        <v>2797</v>
      </c>
      <c r="Y140" s="233" t="s">
        <v>2798</v>
      </c>
      <c r="Z140" s="232" t="s">
        <v>2799</v>
      </c>
      <c r="AA140" s="233" t="s">
        <v>2800</v>
      </c>
      <c r="AB140" s="232" t="s">
        <v>2801</v>
      </c>
    </row>
    <row r="141" spans="1:28" ht="16.350000000000001" customHeight="1" x14ac:dyDescent="0.25">
      <c r="A141" s="2458" t="s">
        <v>2974</v>
      </c>
      <c r="B141" s="5153"/>
      <c r="C141" s="2590" t="s">
        <v>252</v>
      </c>
      <c r="D141" s="3815" t="s">
        <v>2777</v>
      </c>
      <c r="E141" s="3789" t="s">
        <v>2778</v>
      </c>
      <c r="F141" s="3833" t="s">
        <v>2779</v>
      </c>
      <c r="G141" s="2271" t="s">
        <v>2780</v>
      </c>
      <c r="H141" s="197" t="s">
        <v>2781</v>
      </c>
      <c r="I141" s="2577" t="s">
        <v>2782</v>
      </c>
      <c r="J141" s="2270" t="s">
        <v>2783</v>
      </c>
      <c r="K141" s="2577" t="s">
        <v>2784</v>
      </c>
      <c r="L141" s="2270" t="s">
        <v>2785</v>
      </c>
      <c r="M141" s="493" t="s">
        <v>2786</v>
      </c>
      <c r="N141" s="2270" t="s">
        <v>2787</v>
      </c>
      <c r="O141" s="2577" t="s">
        <v>2788</v>
      </c>
      <c r="P141" s="2270" t="s">
        <v>2789</v>
      </c>
      <c r="Q141" s="2577" t="s">
        <v>2790</v>
      </c>
      <c r="R141" s="2270" t="s">
        <v>2791</v>
      </c>
      <c r="S141" s="2577" t="s">
        <v>2792</v>
      </c>
      <c r="T141" s="2270" t="s">
        <v>2793</v>
      </c>
      <c r="U141" s="2577" t="s">
        <v>2794</v>
      </c>
      <c r="V141" s="2270" t="s">
        <v>2795</v>
      </c>
      <c r="W141" s="2598" t="s">
        <v>2796</v>
      </c>
      <c r="X141" s="2270" t="s">
        <v>2797</v>
      </c>
      <c r="Y141" s="2598" t="s">
        <v>2798</v>
      </c>
      <c r="Z141" s="2270" t="s">
        <v>2799</v>
      </c>
      <c r="AA141" s="2598" t="s">
        <v>2800</v>
      </c>
      <c r="AB141" s="2270" t="s">
        <v>2801</v>
      </c>
    </row>
    <row r="142" spans="1:28" ht="16.350000000000001" customHeight="1" x14ac:dyDescent="0.25">
      <c r="A142" s="2458" t="s">
        <v>2975</v>
      </c>
      <c r="B142" s="5153"/>
      <c r="C142" s="2418" t="s">
        <v>253</v>
      </c>
      <c r="D142" s="3815" t="s">
        <v>2777</v>
      </c>
      <c r="E142" s="3789" t="s">
        <v>2778</v>
      </c>
      <c r="F142" s="3833" t="s">
        <v>2779</v>
      </c>
      <c r="G142" s="2271" t="s">
        <v>2780</v>
      </c>
      <c r="H142" s="197" t="s">
        <v>2781</v>
      </c>
      <c r="I142" s="2577" t="s">
        <v>2782</v>
      </c>
      <c r="J142" s="2270" t="s">
        <v>2783</v>
      </c>
      <c r="K142" s="2577" t="s">
        <v>2784</v>
      </c>
      <c r="L142" s="2270" t="s">
        <v>2785</v>
      </c>
      <c r="M142" s="493" t="s">
        <v>2786</v>
      </c>
      <c r="N142" s="2270" t="s">
        <v>2787</v>
      </c>
      <c r="O142" s="2577" t="s">
        <v>2788</v>
      </c>
      <c r="P142" s="2270" t="s">
        <v>2789</v>
      </c>
      <c r="Q142" s="2577" t="s">
        <v>2790</v>
      </c>
      <c r="R142" s="2270" t="s">
        <v>2791</v>
      </c>
      <c r="S142" s="2577" t="s">
        <v>2792</v>
      </c>
      <c r="T142" s="2270" t="s">
        <v>2793</v>
      </c>
      <c r="U142" s="2577" t="s">
        <v>2794</v>
      </c>
      <c r="V142" s="2270" t="s">
        <v>2795</v>
      </c>
      <c r="W142" s="2598" t="s">
        <v>2796</v>
      </c>
      <c r="X142" s="2270" t="s">
        <v>2797</v>
      </c>
      <c r="Y142" s="2598" t="s">
        <v>2798</v>
      </c>
      <c r="Z142" s="2270" t="s">
        <v>2799</v>
      </c>
      <c r="AA142" s="2598" t="s">
        <v>2800</v>
      </c>
      <c r="AB142" s="2270" t="s">
        <v>2801</v>
      </c>
    </row>
    <row r="143" spans="1:28" ht="16.350000000000001" customHeight="1" x14ac:dyDescent="0.25">
      <c r="A143" s="2458" t="s">
        <v>2976</v>
      </c>
      <c r="B143" s="5153"/>
      <c r="C143" s="2418" t="s">
        <v>254</v>
      </c>
      <c r="D143" s="3815" t="s">
        <v>2777</v>
      </c>
      <c r="E143" s="3789" t="s">
        <v>2778</v>
      </c>
      <c r="F143" s="3833" t="s">
        <v>2779</v>
      </c>
      <c r="G143" s="2271" t="s">
        <v>2780</v>
      </c>
      <c r="H143" s="197" t="s">
        <v>2781</v>
      </c>
      <c r="I143" s="2577" t="s">
        <v>2782</v>
      </c>
      <c r="J143" s="2270" t="s">
        <v>2783</v>
      </c>
      <c r="K143" s="2577" t="s">
        <v>2784</v>
      </c>
      <c r="L143" s="2270" t="s">
        <v>2785</v>
      </c>
      <c r="M143" s="493" t="s">
        <v>2786</v>
      </c>
      <c r="N143" s="2270" t="s">
        <v>2787</v>
      </c>
      <c r="O143" s="2577" t="s">
        <v>2788</v>
      </c>
      <c r="P143" s="2270" t="s">
        <v>2789</v>
      </c>
      <c r="Q143" s="2577" t="s">
        <v>2790</v>
      </c>
      <c r="R143" s="2270" t="s">
        <v>2791</v>
      </c>
      <c r="S143" s="2577" t="s">
        <v>2792</v>
      </c>
      <c r="T143" s="2270" t="s">
        <v>2793</v>
      </c>
      <c r="U143" s="2577" t="s">
        <v>2794</v>
      </c>
      <c r="V143" s="2270" t="s">
        <v>2795</v>
      </c>
      <c r="W143" s="2598" t="s">
        <v>2796</v>
      </c>
      <c r="X143" s="2270" t="s">
        <v>2797</v>
      </c>
      <c r="Y143" s="2598" t="s">
        <v>2798</v>
      </c>
      <c r="Z143" s="2270" t="s">
        <v>2799</v>
      </c>
      <c r="AA143" s="2598" t="s">
        <v>2800</v>
      </c>
      <c r="AB143" s="2270" t="s">
        <v>2801</v>
      </c>
    </row>
    <row r="144" spans="1:28" ht="16.350000000000001" customHeight="1" x14ac:dyDescent="0.25">
      <c r="A144" s="2458" t="s">
        <v>2977</v>
      </c>
      <c r="B144" s="5153"/>
      <c r="C144" s="2296" t="s">
        <v>255</v>
      </c>
      <c r="D144" s="3825" t="s">
        <v>2777</v>
      </c>
      <c r="E144" s="3842" t="s">
        <v>2778</v>
      </c>
      <c r="F144" s="3843" t="s">
        <v>2779</v>
      </c>
      <c r="G144" s="2346" t="s">
        <v>2780</v>
      </c>
      <c r="H144" s="2347" t="s">
        <v>2781</v>
      </c>
      <c r="I144" s="2249" t="s">
        <v>2782</v>
      </c>
      <c r="J144" s="2348" t="s">
        <v>2783</v>
      </c>
      <c r="K144" s="2249" t="s">
        <v>2784</v>
      </c>
      <c r="L144" s="2348" t="s">
        <v>2785</v>
      </c>
      <c r="M144" s="366" t="s">
        <v>2786</v>
      </c>
      <c r="N144" s="2348" t="s">
        <v>2787</v>
      </c>
      <c r="O144" s="2249" t="s">
        <v>2788</v>
      </c>
      <c r="P144" s="2348" t="s">
        <v>2789</v>
      </c>
      <c r="Q144" s="2249" t="s">
        <v>2790</v>
      </c>
      <c r="R144" s="2348" t="s">
        <v>2791</v>
      </c>
      <c r="S144" s="2249" t="s">
        <v>2792</v>
      </c>
      <c r="T144" s="2348" t="s">
        <v>2793</v>
      </c>
      <c r="U144" s="2249" t="s">
        <v>2794</v>
      </c>
      <c r="V144" s="2348" t="s">
        <v>2795</v>
      </c>
      <c r="W144" s="2349" t="s">
        <v>2796</v>
      </c>
      <c r="X144" s="2348" t="s">
        <v>2797</v>
      </c>
      <c r="Y144" s="2349" t="s">
        <v>2798</v>
      </c>
      <c r="Z144" s="2348" t="s">
        <v>2799</v>
      </c>
      <c r="AA144" s="2349" t="s">
        <v>2800</v>
      </c>
      <c r="AB144" s="2348" t="s">
        <v>2801</v>
      </c>
    </row>
    <row r="145" spans="1:131" ht="16.350000000000001" customHeight="1" x14ac:dyDescent="0.25">
      <c r="A145" s="2458" t="s">
        <v>2978</v>
      </c>
      <c r="B145" s="5249" t="s">
        <v>262</v>
      </c>
      <c r="C145" s="2557" t="s">
        <v>251</v>
      </c>
      <c r="D145" s="3813" t="s">
        <v>2777</v>
      </c>
      <c r="E145" s="3822" t="s">
        <v>2778</v>
      </c>
      <c r="F145" s="3832" t="s">
        <v>2779</v>
      </c>
      <c r="G145" s="2487" t="s">
        <v>2780</v>
      </c>
      <c r="H145" s="2499" t="s">
        <v>2781</v>
      </c>
      <c r="I145" s="2483" t="s">
        <v>2782</v>
      </c>
      <c r="J145" s="2480" t="s">
        <v>2783</v>
      </c>
      <c r="K145" s="2483" t="s">
        <v>2784</v>
      </c>
      <c r="L145" s="2480" t="s">
        <v>2785</v>
      </c>
      <c r="M145" s="2587" t="s">
        <v>2786</v>
      </c>
      <c r="N145" s="2480" t="s">
        <v>2787</v>
      </c>
      <c r="O145" s="2483" t="s">
        <v>2788</v>
      </c>
      <c r="P145" s="2480" t="s">
        <v>2789</v>
      </c>
      <c r="Q145" s="2483" t="s">
        <v>2790</v>
      </c>
      <c r="R145" s="2480" t="s">
        <v>2791</v>
      </c>
      <c r="S145" s="2483" t="s">
        <v>2792</v>
      </c>
      <c r="T145" s="2480" t="s">
        <v>2793</v>
      </c>
      <c r="U145" s="2483" t="s">
        <v>2794</v>
      </c>
      <c r="V145" s="2480" t="s">
        <v>2795</v>
      </c>
      <c r="W145" s="2560" t="s">
        <v>2796</v>
      </c>
      <c r="X145" s="2480" t="s">
        <v>2797</v>
      </c>
      <c r="Y145" s="2560" t="s">
        <v>2798</v>
      </c>
      <c r="Z145" s="2480" t="s">
        <v>2799</v>
      </c>
      <c r="AA145" s="2560" t="s">
        <v>2800</v>
      </c>
      <c r="AB145" s="2480" t="s">
        <v>2801</v>
      </c>
    </row>
    <row r="146" spans="1:131" ht="16.350000000000001" customHeight="1" x14ac:dyDescent="0.25">
      <c r="A146" s="2458" t="s">
        <v>2979</v>
      </c>
      <c r="B146" s="5153"/>
      <c r="C146" s="2590" t="s">
        <v>252</v>
      </c>
      <c r="D146" s="3815" t="s">
        <v>2777</v>
      </c>
      <c r="E146" s="3789" t="s">
        <v>2778</v>
      </c>
      <c r="F146" s="3833" t="s">
        <v>2779</v>
      </c>
      <c r="G146" s="2271" t="s">
        <v>2780</v>
      </c>
      <c r="H146" s="197" t="s">
        <v>2781</v>
      </c>
      <c r="I146" s="2577" t="s">
        <v>2782</v>
      </c>
      <c r="J146" s="2270" t="s">
        <v>2783</v>
      </c>
      <c r="K146" s="2577" t="s">
        <v>2784</v>
      </c>
      <c r="L146" s="2270" t="s">
        <v>2785</v>
      </c>
      <c r="M146" s="493" t="s">
        <v>2786</v>
      </c>
      <c r="N146" s="2270" t="s">
        <v>2787</v>
      </c>
      <c r="O146" s="2577" t="s">
        <v>2788</v>
      </c>
      <c r="P146" s="2270" t="s">
        <v>2789</v>
      </c>
      <c r="Q146" s="2577" t="s">
        <v>2790</v>
      </c>
      <c r="R146" s="2270" t="s">
        <v>2791</v>
      </c>
      <c r="S146" s="2577" t="s">
        <v>2792</v>
      </c>
      <c r="T146" s="2270" t="s">
        <v>2793</v>
      </c>
      <c r="U146" s="2577" t="s">
        <v>2794</v>
      </c>
      <c r="V146" s="2270" t="s">
        <v>2795</v>
      </c>
      <c r="W146" s="2598" t="s">
        <v>2796</v>
      </c>
      <c r="X146" s="2270" t="s">
        <v>2797</v>
      </c>
      <c r="Y146" s="2598" t="s">
        <v>2798</v>
      </c>
      <c r="Z146" s="2270" t="s">
        <v>2799</v>
      </c>
      <c r="AA146" s="2598" t="s">
        <v>2800</v>
      </c>
      <c r="AB146" s="2270" t="s">
        <v>2801</v>
      </c>
    </row>
    <row r="147" spans="1:131" ht="16.350000000000001" customHeight="1" x14ac:dyDescent="0.25">
      <c r="A147" s="2458" t="s">
        <v>2980</v>
      </c>
      <c r="B147" s="5153"/>
      <c r="C147" s="2418" t="s">
        <v>253</v>
      </c>
      <c r="D147" s="3815" t="s">
        <v>2777</v>
      </c>
      <c r="E147" s="3789" t="s">
        <v>2778</v>
      </c>
      <c r="F147" s="3833" t="s">
        <v>2779</v>
      </c>
      <c r="G147" s="2271" t="s">
        <v>2780</v>
      </c>
      <c r="H147" s="197" t="s">
        <v>2781</v>
      </c>
      <c r="I147" s="2577" t="s">
        <v>2782</v>
      </c>
      <c r="J147" s="2270" t="s">
        <v>2783</v>
      </c>
      <c r="K147" s="2577" t="s">
        <v>2784</v>
      </c>
      <c r="L147" s="2270" t="s">
        <v>2785</v>
      </c>
      <c r="M147" s="493" t="s">
        <v>2786</v>
      </c>
      <c r="N147" s="2270" t="s">
        <v>2787</v>
      </c>
      <c r="O147" s="2577" t="s">
        <v>2788</v>
      </c>
      <c r="P147" s="2270" t="s">
        <v>2789</v>
      </c>
      <c r="Q147" s="2577" t="s">
        <v>2790</v>
      </c>
      <c r="R147" s="2270" t="s">
        <v>2791</v>
      </c>
      <c r="S147" s="2577" t="s">
        <v>2792</v>
      </c>
      <c r="T147" s="2270" t="s">
        <v>2793</v>
      </c>
      <c r="U147" s="2577" t="s">
        <v>2794</v>
      </c>
      <c r="V147" s="2270" t="s">
        <v>2795</v>
      </c>
      <c r="W147" s="2598" t="s">
        <v>2796</v>
      </c>
      <c r="X147" s="2270" t="s">
        <v>2797</v>
      </c>
      <c r="Y147" s="2598" t="s">
        <v>2798</v>
      </c>
      <c r="Z147" s="2270" t="s">
        <v>2799</v>
      </c>
      <c r="AA147" s="2598" t="s">
        <v>2800</v>
      </c>
      <c r="AB147" s="2270" t="s">
        <v>2801</v>
      </c>
    </row>
    <row r="148" spans="1:131" ht="16.350000000000001" customHeight="1" x14ac:dyDescent="0.25">
      <c r="A148" s="2458" t="s">
        <v>2981</v>
      </c>
      <c r="B148" s="5153"/>
      <c r="C148" s="2418" t="s">
        <v>254</v>
      </c>
      <c r="D148" s="3815" t="s">
        <v>2777</v>
      </c>
      <c r="E148" s="3789" t="s">
        <v>2778</v>
      </c>
      <c r="F148" s="3833" t="s">
        <v>2779</v>
      </c>
      <c r="G148" s="2271" t="s">
        <v>2780</v>
      </c>
      <c r="H148" s="197" t="s">
        <v>2781</v>
      </c>
      <c r="I148" s="2577" t="s">
        <v>2782</v>
      </c>
      <c r="J148" s="2270" t="s">
        <v>2783</v>
      </c>
      <c r="K148" s="2577" t="s">
        <v>2784</v>
      </c>
      <c r="L148" s="2270" t="s">
        <v>2785</v>
      </c>
      <c r="M148" s="493" t="s">
        <v>2786</v>
      </c>
      <c r="N148" s="2270" t="s">
        <v>2787</v>
      </c>
      <c r="O148" s="2577" t="s">
        <v>2788</v>
      </c>
      <c r="P148" s="2270" t="s">
        <v>2789</v>
      </c>
      <c r="Q148" s="2577" t="s">
        <v>2790</v>
      </c>
      <c r="R148" s="2270" t="s">
        <v>2791</v>
      </c>
      <c r="S148" s="2577" t="s">
        <v>2792</v>
      </c>
      <c r="T148" s="2270" t="s">
        <v>2793</v>
      </c>
      <c r="U148" s="2577" t="s">
        <v>2794</v>
      </c>
      <c r="V148" s="2270" t="s">
        <v>2795</v>
      </c>
      <c r="W148" s="2598" t="s">
        <v>2796</v>
      </c>
      <c r="X148" s="2270" t="s">
        <v>2797</v>
      </c>
      <c r="Y148" s="2598" t="s">
        <v>2798</v>
      </c>
      <c r="Z148" s="2270" t="s">
        <v>2799</v>
      </c>
      <c r="AA148" s="2598" t="s">
        <v>2800</v>
      </c>
      <c r="AB148" s="2270" t="s">
        <v>2801</v>
      </c>
    </row>
    <row r="149" spans="1:131" ht="16.350000000000001" customHeight="1" x14ac:dyDescent="0.25">
      <c r="A149" s="2458" t="s">
        <v>2982</v>
      </c>
      <c r="B149" s="5131"/>
      <c r="C149" s="2432" t="s">
        <v>255</v>
      </c>
      <c r="D149" s="3844" t="s">
        <v>2777</v>
      </c>
      <c r="E149" s="3845" t="s">
        <v>2778</v>
      </c>
      <c r="F149" s="3846" t="s">
        <v>2779</v>
      </c>
      <c r="G149" s="2351" t="s">
        <v>2780</v>
      </c>
      <c r="H149" s="2600" t="s">
        <v>2781</v>
      </c>
      <c r="I149" s="2540" t="s">
        <v>2782</v>
      </c>
      <c r="J149" s="2541" t="s">
        <v>2783</v>
      </c>
      <c r="K149" s="2540" t="s">
        <v>2784</v>
      </c>
      <c r="L149" s="2541" t="s">
        <v>2785</v>
      </c>
      <c r="M149" s="2313" t="s">
        <v>2786</v>
      </c>
      <c r="N149" s="2541" t="s">
        <v>2787</v>
      </c>
      <c r="O149" s="2540" t="s">
        <v>2788</v>
      </c>
      <c r="P149" s="2541" t="s">
        <v>2789</v>
      </c>
      <c r="Q149" s="2540" t="s">
        <v>2790</v>
      </c>
      <c r="R149" s="2541" t="s">
        <v>2791</v>
      </c>
      <c r="S149" s="2540" t="s">
        <v>2792</v>
      </c>
      <c r="T149" s="2541" t="s">
        <v>2793</v>
      </c>
      <c r="U149" s="2540" t="s">
        <v>2794</v>
      </c>
      <c r="V149" s="2541" t="s">
        <v>2795</v>
      </c>
      <c r="W149" s="2314" t="s">
        <v>2796</v>
      </c>
      <c r="X149" s="2541" t="s">
        <v>2797</v>
      </c>
      <c r="Y149" s="2314" t="s">
        <v>2798</v>
      </c>
      <c r="Z149" s="2541" t="s">
        <v>2799</v>
      </c>
      <c r="AA149" s="2314" t="s">
        <v>2800</v>
      </c>
      <c r="AB149" s="2541" t="s">
        <v>2801</v>
      </c>
    </row>
    <row r="150" spans="1:131" ht="16.350000000000001" customHeight="1" x14ac:dyDescent="0.25">
      <c r="A150" s="2579"/>
      <c r="B150" s="5223" t="s">
        <v>260</v>
      </c>
      <c r="C150" s="5224"/>
      <c r="D150" s="2591">
        <f t="shared" ref="D150:AB150" si="2">SUM(D140:D149)</f>
        <v>0</v>
      </c>
      <c r="E150" s="2592">
        <f t="shared" si="2"/>
        <v>0</v>
      </c>
      <c r="F150" s="2593">
        <f t="shared" si="2"/>
        <v>0</v>
      </c>
      <c r="G150" s="2591">
        <f t="shared" si="2"/>
        <v>0</v>
      </c>
      <c r="H150" s="2595">
        <f t="shared" si="2"/>
        <v>0</v>
      </c>
      <c r="I150" s="2591">
        <f t="shared" si="2"/>
        <v>0</v>
      </c>
      <c r="J150" s="2595">
        <f t="shared" si="2"/>
        <v>0</v>
      </c>
      <c r="K150" s="2591">
        <f t="shared" si="2"/>
        <v>0</v>
      </c>
      <c r="L150" s="2595">
        <f t="shared" si="2"/>
        <v>0</v>
      </c>
      <c r="M150" s="2591">
        <f t="shared" si="2"/>
        <v>0</v>
      </c>
      <c r="N150" s="2595">
        <f t="shared" si="2"/>
        <v>0</v>
      </c>
      <c r="O150" s="2591">
        <f t="shared" si="2"/>
        <v>0</v>
      </c>
      <c r="P150" s="2595">
        <f t="shared" si="2"/>
        <v>0</v>
      </c>
      <c r="Q150" s="2591">
        <f t="shared" si="2"/>
        <v>0</v>
      </c>
      <c r="R150" s="2595">
        <f t="shared" si="2"/>
        <v>0</v>
      </c>
      <c r="S150" s="2591">
        <f t="shared" si="2"/>
        <v>0</v>
      </c>
      <c r="T150" s="2595">
        <f t="shared" si="2"/>
        <v>0</v>
      </c>
      <c r="U150" s="2591">
        <f t="shared" si="2"/>
        <v>0</v>
      </c>
      <c r="V150" s="2595">
        <f t="shared" si="2"/>
        <v>0</v>
      </c>
      <c r="W150" s="2591">
        <f t="shared" si="2"/>
        <v>0</v>
      </c>
      <c r="X150" s="2595">
        <f t="shared" si="2"/>
        <v>0</v>
      </c>
      <c r="Y150" s="2591">
        <f t="shared" si="2"/>
        <v>0</v>
      </c>
      <c r="Z150" s="2595">
        <f t="shared" si="2"/>
        <v>0</v>
      </c>
      <c r="AA150" s="2601">
        <f t="shared" si="2"/>
        <v>0</v>
      </c>
      <c r="AB150" s="2597">
        <f t="shared" si="2"/>
        <v>0</v>
      </c>
    </row>
    <row r="151" spans="1:131" ht="31.35" customHeight="1" x14ac:dyDescent="0.25">
      <c r="B151" s="2352" t="s">
        <v>1479</v>
      </c>
      <c r="C151" s="2353"/>
      <c r="D151" s="3847"/>
      <c r="E151" s="3847"/>
      <c r="F151" s="3848"/>
      <c r="G151" s="835"/>
      <c r="H151" s="835"/>
      <c r="I151" s="835"/>
      <c r="J151" s="835"/>
      <c r="K151" s="835"/>
      <c r="L151" s="835"/>
      <c r="M151" s="835"/>
      <c r="N151" s="835"/>
      <c r="O151" s="835"/>
      <c r="P151" s="835"/>
      <c r="Q151" s="835"/>
      <c r="R151" s="835"/>
      <c r="S151" s="835"/>
      <c r="T151" s="835"/>
      <c r="U151" s="835"/>
      <c r="V151" s="835"/>
      <c r="W151" s="835"/>
      <c r="X151" s="835"/>
      <c r="Y151" s="835"/>
      <c r="Z151" s="835"/>
      <c r="AA151" s="899"/>
      <c r="AB151" s="899"/>
      <c r="BB151" s="884"/>
      <c r="BC151" s="884"/>
      <c r="BD151" s="884"/>
      <c r="BE151" s="884"/>
      <c r="BF151" s="884"/>
      <c r="BG151" s="884"/>
      <c r="BH151" s="884"/>
      <c r="BI151" s="884"/>
      <c r="BJ151" s="884"/>
      <c r="BK151" s="884"/>
      <c r="BL151" s="884"/>
      <c r="BM151" s="884"/>
      <c r="BN151" s="884"/>
      <c r="BO151" s="884"/>
      <c r="BP151" s="884"/>
      <c r="BQ151" s="884"/>
      <c r="BR151" s="884"/>
      <c r="BS151" s="884"/>
      <c r="BT151" s="884"/>
      <c r="BU151" s="884"/>
      <c r="BV151" s="884"/>
      <c r="BW151" s="884"/>
      <c r="BX151" s="884"/>
      <c r="BY151" s="884"/>
      <c r="BZ151" s="884"/>
      <c r="CA151" s="884"/>
      <c r="DB151" s="210"/>
      <c r="DC151" s="210"/>
      <c r="DD151" s="210"/>
      <c r="DE151" s="210"/>
      <c r="DF151" s="210"/>
      <c r="DG151" s="210"/>
      <c r="DH151" s="210"/>
      <c r="DI151" s="210"/>
      <c r="DJ151" s="210"/>
      <c r="DK151" s="210"/>
      <c r="DL151" s="210"/>
      <c r="DM151" s="210"/>
      <c r="DN151" s="210"/>
      <c r="DO151" s="210"/>
      <c r="DP151" s="210"/>
      <c r="DQ151" s="210"/>
      <c r="DR151" s="210"/>
      <c r="DS151" s="210"/>
      <c r="DT151" s="210"/>
      <c r="DU151" s="210"/>
      <c r="DV151" s="210"/>
      <c r="DW151" s="210"/>
      <c r="DX151" s="210"/>
      <c r="DY151" s="210"/>
      <c r="DZ151" s="210"/>
      <c r="EA151" s="210"/>
    </row>
    <row r="152" spans="1:131" ht="16.350000000000001" customHeight="1" x14ac:dyDescent="0.25">
      <c r="B152" s="5227" t="s">
        <v>175</v>
      </c>
      <c r="C152" s="5228"/>
      <c r="D152" s="5230" t="s">
        <v>42</v>
      </c>
      <c r="E152" s="5231"/>
      <c r="F152" s="5232"/>
      <c r="G152" s="5236" t="s">
        <v>5</v>
      </c>
      <c r="H152" s="5238"/>
      <c r="I152" s="5238"/>
      <c r="J152" s="5238"/>
      <c r="K152" s="5238"/>
      <c r="L152" s="5238"/>
      <c r="M152" s="5238"/>
      <c r="N152" s="5238"/>
      <c r="O152" s="5238"/>
      <c r="P152" s="5238"/>
      <c r="Q152" s="5238"/>
      <c r="R152" s="5238"/>
      <c r="S152" s="5238"/>
      <c r="T152" s="5238"/>
      <c r="U152" s="5238"/>
      <c r="V152" s="5238"/>
      <c r="W152" s="5238"/>
      <c r="X152" s="5238"/>
      <c r="Y152" s="5238"/>
      <c r="Z152" s="5238"/>
      <c r="AA152" s="5238"/>
      <c r="AB152" s="5238"/>
      <c r="AC152" s="5238"/>
      <c r="AD152" s="5238"/>
      <c r="AE152" s="5238"/>
      <c r="AF152" s="5238"/>
      <c r="AG152" s="5238"/>
      <c r="AH152" s="5238"/>
      <c r="AI152" s="5238"/>
      <c r="AJ152" s="5238"/>
      <c r="AK152" s="5238"/>
      <c r="AL152" s="5238"/>
      <c r="AM152" s="5238"/>
      <c r="AN152" s="5237"/>
    </row>
    <row r="153" spans="1:131" ht="16.350000000000001" customHeight="1" x14ac:dyDescent="0.25">
      <c r="B153" s="5215"/>
      <c r="C153" s="5216"/>
      <c r="D153" s="5233"/>
      <c r="E153" s="5234"/>
      <c r="F153" s="5235"/>
      <c r="G153" s="5236" t="s">
        <v>650</v>
      </c>
      <c r="H153" s="5237"/>
      <c r="I153" s="5236" t="s">
        <v>124</v>
      </c>
      <c r="J153" s="5237"/>
      <c r="K153" s="5236" t="s">
        <v>125</v>
      </c>
      <c r="L153" s="5237"/>
      <c r="M153" s="5244" t="s">
        <v>126</v>
      </c>
      <c r="N153" s="5239"/>
      <c r="O153" s="5239" t="s">
        <v>167</v>
      </c>
      <c r="P153" s="5240"/>
      <c r="Q153" s="5236" t="s">
        <v>651</v>
      </c>
      <c r="R153" s="5237"/>
      <c r="S153" s="5238" t="s">
        <v>652</v>
      </c>
      <c r="T153" s="5237"/>
      <c r="U153" s="5238" t="s">
        <v>653</v>
      </c>
      <c r="V153" s="5237"/>
      <c r="W153" s="5236" t="s">
        <v>654</v>
      </c>
      <c r="X153" s="5237"/>
      <c r="Y153" s="5238" t="s">
        <v>655</v>
      </c>
      <c r="Z153" s="5237"/>
      <c r="AA153" s="5241" t="s">
        <v>656</v>
      </c>
      <c r="AB153" s="5242"/>
      <c r="AC153" s="5241" t="s">
        <v>657</v>
      </c>
      <c r="AD153" s="5242"/>
      <c r="AE153" s="5241" t="s">
        <v>263</v>
      </c>
      <c r="AF153" s="5242"/>
      <c r="AG153" s="5241" t="s">
        <v>248</v>
      </c>
      <c r="AH153" s="5242"/>
      <c r="AI153" s="5241" t="s">
        <v>264</v>
      </c>
      <c r="AJ153" s="5242"/>
      <c r="AK153" s="5241" t="s">
        <v>265</v>
      </c>
      <c r="AL153" s="5242"/>
      <c r="AM153" s="5243" t="s">
        <v>250</v>
      </c>
      <c r="AN153" s="5242"/>
    </row>
    <row r="154" spans="1:131" ht="16.350000000000001" customHeight="1" x14ac:dyDescent="0.25">
      <c r="B154" s="5217"/>
      <c r="C154" s="5229"/>
      <c r="D154" s="3849" t="s">
        <v>184</v>
      </c>
      <c r="E154" s="3850" t="s">
        <v>24</v>
      </c>
      <c r="F154" s="3851" t="s">
        <v>25</v>
      </c>
      <c r="G154" s="2355" t="s">
        <v>24</v>
      </c>
      <c r="H154" s="2354" t="s">
        <v>25</v>
      </c>
      <c r="I154" s="2355" t="s">
        <v>24</v>
      </c>
      <c r="J154" s="2354" t="s">
        <v>25</v>
      </c>
      <c r="K154" s="2355" t="s">
        <v>24</v>
      </c>
      <c r="L154" s="2354" t="s">
        <v>25</v>
      </c>
      <c r="M154" s="2356" t="s">
        <v>24</v>
      </c>
      <c r="N154" s="2357" t="s">
        <v>25</v>
      </c>
      <c r="O154" s="2358" t="s">
        <v>24</v>
      </c>
      <c r="P154" s="2359" t="s">
        <v>25</v>
      </c>
      <c r="Q154" s="2358" t="s">
        <v>24</v>
      </c>
      <c r="R154" s="2359" t="s">
        <v>25</v>
      </c>
      <c r="S154" s="2360" t="s">
        <v>24</v>
      </c>
      <c r="T154" s="2361" t="s">
        <v>25</v>
      </c>
      <c r="U154" s="2360" t="s">
        <v>24</v>
      </c>
      <c r="V154" s="2361" t="s">
        <v>25</v>
      </c>
      <c r="W154" s="2356" t="s">
        <v>24</v>
      </c>
      <c r="X154" s="2361" t="s">
        <v>25</v>
      </c>
      <c r="Y154" s="2360" t="s">
        <v>24</v>
      </c>
      <c r="Z154" s="2361" t="s">
        <v>25</v>
      </c>
      <c r="AA154" s="2362" t="s">
        <v>24</v>
      </c>
      <c r="AB154" s="2363" t="s">
        <v>25</v>
      </c>
      <c r="AC154" s="2362" t="s">
        <v>24</v>
      </c>
      <c r="AD154" s="2363" t="s">
        <v>25</v>
      </c>
      <c r="AE154" s="2362" t="s">
        <v>24</v>
      </c>
      <c r="AF154" s="2363" t="s">
        <v>25</v>
      </c>
      <c r="AG154" s="2362" t="s">
        <v>24</v>
      </c>
      <c r="AH154" s="2363" t="s">
        <v>25</v>
      </c>
      <c r="AI154" s="2362" t="s">
        <v>24</v>
      </c>
      <c r="AJ154" s="2363" t="s">
        <v>25</v>
      </c>
      <c r="AK154" s="2362" t="s">
        <v>24</v>
      </c>
      <c r="AL154" s="2363" t="s">
        <v>25</v>
      </c>
      <c r="AM154" s="2364" t="s">
        <v>24</v>
      </c>
      <c r="AN154" s="2363" t="s">
        <v>25</v>
      </c>
    </row>
    <row r="155" spans="1:131" ht="16.350000000000001" customHeight="1" x14ac:dyDescent="0.25">
      <c r="A155" s="2549" t="s">
        <v>2983</v>
      </c>
      <c r="B155" s="5245" t="s">
        <v>1440</v>
      </c>
      <c r="C155" s="2602" t="s">
        <v>1441</v>
      </c>
      <c r="D155" s="3813" t="s">
        <v>2777</v>
      </c>
      <c r="E155" s="3822" t="s">
        <v>2778</v>
      </c>
      <c r="F155" s="3777" t="s">
        <v>2779</v>
      </c>
      <c r="G155" s="2603" t="s">
        <v>2780</v>
      </c>
      <c r="H155" s="2604" t="s">
        <v>2781</v>
      </c>
      <c r="I155" s="2606" t="s">
        <v>2782</v>
      </c>
      <c r="J155" s="2604" t="s">
        <v>2783</v>
      </c>
      <c r="K155" s="2606" t="s">
        <v>2784</v>
      </c>
      <c r="L155" s="2604" t="s">
        <v>2785</v>
      </c>
      <c r="M155" s="2606" t="s">
        <v>2786</v>
      </c>
      <c r="N155" s="2607" t="s">
        <v>2787</v>
      </c>
      <c r="O155" s="2607" t="s">
        <v>2788</v>
      </c>
      <c r="P155" s="2604" t="s">
        <v>2789</v>
      </c>
      <c r="Q155" s="2606" t="s">
        <v>2790</v>
      </c>
      <c r="R155" s="2604" t="s">
        <v>2791</v>
      </c>
      <c r="S155" s="2603" t="s">
        <v>2792</v>
      </c>
      <c r="T155" s="2604" t="s">
        <v>2793</v>
      </c>
      <c r="U155" s="2603" t="s">
        <v>2794</v>
      </c>
      <c r="V155" s="2604" t="s">
        <v>2795</v>
      </c>
      <c r="W155" s="2606" t="s">
        <v>2796</v>
      </c>
      <c r="X155" s="2604" t="s">
        <v>2797</v>
      </c>
      <c r="Y155" s="2603" t="s">
        <v>2798</v>
      </c>
      <c r="Z155" s="2604" t="s">
        <v>2799</v>
      </c>
      <c r="AA155" s="2608" t="s">
        <v>2800</v>
      </c>
      <c r="AB155" s="2609" t="s">
        <v>2801</v>
      </c>
      <c r="AC155" s="2608" t="s">
        <v>2817</v>
      </c>
      <c r="AD155" s="2609" t="s">
        <v>2818</v>
      </c>
      <c r="AE155" s="2608" t="s">
        <v>2819</v>
      </c>
      <c r="AF155" s="2609" t="s">
        <v>2821</v>
      </c>
      <c r="AG155" s="2608" t="s">
        <v>2822</v>
      </c>
      <c r="AH155" s="2609" t="s">
        <v>2823</v>
      </c>
      <c r="AI155" s="2608" t="s">
        <v>2824</v>
      </c>
      <c r="AJ155" s="2609" t="s">
        <v>2825</v>
      </c>
      <c r="AK155" s="2608" t="s">
        <v>2826</v>
      </c>
      <c r="AL155" s="2609" t="s">
        <v>2827</v>
      </c>
      <c r="AM155" s="2608" t="s">
        <v>2831</v>
      </c>
      <c r="AN155" s="2609" t="s">
        <v>2832</v>
      </c>
    </row>
    <row r="156" spans="1:131" ht="16.350000000000001" customHeight="1" x14ac:dyDescent="0.25">
      <c r="A156" s="2549" t="s">
        <v>2984</v>
      </c>
      <c r="B156" s="5246"/>
      <c r="C156" s="879" t="s">
        <v>1442</v>
      </c>
      <c r="D156" s="3815" t="s">
        <v>2777</v>
      </c>
      <c r="E156" s="3789" t="s">
        <v>2778</v>
      </c>
      <c r="F156" s="3817" t="s">
        <v>2779</v>
      </c>
      <c r="G156" s="820" t="s">
        <v>2780</v>
      </c>
      <c r="H156" s="838" t="s">
        <v>2781</v>
      </c>
      <c r="I156" s="818" t="s">
        <v>2782</v>
      </c>
      <c r="J156" s="838" t="s">
        <v>2783</v>
      </c>
      <c r="K156" s="818" t="s">
        <v>2784</v>
      </c>
      <c r="L156" s="838" t="s">
        <v>2785</v>
      </c>
      <c r="M156" s="818" t="s">
        <v>2786</v>
      </c>
      <c r="N156" s="819" t="s">
        <v>2787</v>
      </c>
      <c r="O156" s="819" t="s">
        <v>2788</v>
      </c>
      <c r="P156" s="838" t="s">
        <v>2789</v>
      </c>
      <c r="Q156" s="818" t="s">
        <v>2790</v>
      </c>
      <c r="R156" s="838" t="s">
        <v>2791</v>
      </c>
      <c r="S156" s="820" t="s">
        <v>2792</v>
      </c>
      <c r="T156" s="838" t="s">
        <v>2793</v>
      </c>
      <c r="U156" s="820" t="s">
        <v>2794</v>
      </c>
      <c r="V156" s="838" t="s">
        <v>2795</v>
      </c>
      <c r="W156" s="818" t="s">
        <v>2796</v>
      </c>
      <c r="X156" s="838" t="s">
        <v>2797</v>
      </c>
      <c r="Y156" s="820" t="s">
        <v>2798</v>
      </c>
      <c r="Z156" s="838" t="s">
        <v>2799</v>
      </c>
      <c r="AA156" s="931" t="s">
        <v>2800</v>
      </c>
      <c r="AB156" s="932" t="s">
        <v>2801</v>
      </c>
      <c r="AC156" s="931" t="s">
        <v>2817</v>
      </c>
      <c r="AD156" s="932" t="s">
        <v>2818</v>
      </c>
      <c r="AE156" s="931" t="s">
        <v>2819</v>
      </c>
      <c r="AF156" s="932" t="s">
        <v>2821</v>
      </c>
      <c r="AG156" s="931" t="s">
        <v>2822</v>
      </c>
      <c r="AH156" s="932" t="s">
        <v>2823</v>
      </c>
      <c r="AI156" s="931" t="s">
        <v>2824</v>
      </c>
      <c r="AJ156" s="932" t="s">
        <v>2825</v>
      </c>
      <c r="AK156" s="931" t="s">
        <v>2826</v>
      </c>
      <c r="AL156" s="932" t="s">
        <v>2827</v>
      </c>
      <c r="AM156" s="931" t="s">
        <v>2831</v>
      </c>
      <c r="AN156" s="932" t="s">
        <v>2832</v>
      </c>
    </row>
    <row r="157" spans="1:131" ht="16.350000000000001" customHeight="1" x14ac:dyDescent="0.25">
      <c r="A157" s="2549" t="s">
        <v>2985</v>
      </c>
      <c r="B157" s="5247"/>
      <c r="C157" s="880" t="s">
        <v>1443</v>
      </c>
      <c r="D157" s="3844" t="s">
        <v>2777</v>
      </c>
      <c r="E157" s="3845" t="s">
        <v>2778</v>
      </c>
      <c r="F157" s="3852" t="s">
        <v>2779</v>
      </c>
      <c r="G157" s="812" t="s">
        <v>2780</v>
      </c>
      <c r="H157" s="813" t="s">
        <v>2781</v>
      </c>
      <c r="I157" s="822" t="s">
        <v>2782</v>
      </c>
      <c r="J157" s="813" t="s">
        <v>2783</v>
      </c>
      <c r="K157" s="822" t="s">
        <v>2784</v>
      </c>
      <c r="L157" s="813" t="s">
        <v>2785</v>
      </c>
      <c r="M157" s="822" t="s">
        <v>2786</v>
      </c>
      <c r="N157" s="823" t="s">
        <v>2787</v>
      </c>
      <c r="O157" s="823" t="s">
        <v>2788</v>
      </c>
      <c r="P157" s="813" t="s">
        <v>2789</v>
      </c>
      <c r="Q157" s="822" t="s">
        <v>2790</v>
      </c>
      <c r="R157" s="813" t="s">
        <v>2791</v>
      </c>
      <c r="S157" s="812" t="s">
        <v>2792</v>
      </c>
      <c r="T157" s="813" t="s">
        <v>2793</v>
      </c>
      <c r="U157" s="812" t="s">
        <v>2794</v>
      </c>
      <c r="V157" s="813" t="s">
        <v>2795</v>
      </c>
      <c r="W157" s="822" t="s">
        <v>2796</v>
      </c>
      <c r="X157" s="813" t="s">
        <v>2797</v>
      </c>
      <c r="Y157" s="812" t="s">
        <v>2798</v>
      </c>
      <c r="Z157" s="813" t="s">
        <v>2799</v>
      </c>
      <c r="AA157" s="933" t="s">
        <v>2800</v>
      </c>
      <c r="AB157" s="934" t="s">
        <v>2801</v>
      </c>
      <c r="AC157" s="933" t="s">
        <v>2817</v>
      </c>
      <c r="AD157" s="934" t="s">
        <v>2818</v>
      </c>
      <c r="AE157" s="933" t="s">
        <v>2819</v>
      </c>
      <c r="AF157" s="934" t="s">
        <v>2821</v>
      </c>
      <c r="AG157" s="933" t="s">
        <v>2822</v>
      </c>
      <c r="AH157" s="934" t="s">
        <v>2823</v>
      </c>
      <c r="AI157" s="933" t="s">
        <v>2824</v>
      </c>
      <c r="AJ157" s="934" t="s">
        <v>2825</v>
      </c>
      <c r="AK157" s="933" t="s">
        <v>2826</v>
      </c>
      <c r="AL157" s="934" t="s">
        <v>2827</v>
      </c>
      <c r="AM157" s="933" t="s">
        <v>2831</v>
      </c>
      <c r="AN157" s="934" t="s">
        <v>2832</v>
      </c>
    </row>
    <row r="158" spans="1:131" ht="16.350000000000001" customHeight="1" x14ac:dyDescent="0.25">
      <c r="A158" s="2549" t="s">
        <v>2986</v>
      </c>
      <c r="B158" s="5245" t="s">
        <v>1458</v>
      </c>
      <c r="C158" s="2602" t="s">
        <v>1441</v>
      </c>
      <c r="D158" s="3813" t="s">
        <v>2777</v>
      </c>
      <c r="E158" s="3822" t="s">
        <v>2778</v>
      </c>
      <c r="F158" s="3777" t="s">
        <v>2779</v>
      </c>
      <c r="G158" s="2603" t="s">
        <v>2780</v>
      </c>
      <c r="H158" s="2604" t="s">
        <v>2781</v>
      </c>
      <c r="I158" s="2606" t="s">
        <v>2782</v>
      </c>
      <c r="J158" s="2604" t="s">
        <v>2783</v>
      </c>
      <c r="K158" s="2606" t="s">
        <v>2784</v>
      </c>
      <c r="L158" s="2604" t="s">
        <v>2785</v>
      </c>
      <c r="M158" s="2606" t="s">
        <v>2786</v>
      </c>
      <c r="N158" s="2607" t="s">
        <v>2787</v>
      </c>
      <c r="O158" s="2607" t="s">
        <v>2788</v>
      </c>
      <c r="P158" s="2604" t="s">
        <v>2789</v>
      </c>
      <c r="Q158" s="2606" t="s">
        <v>2790</v>
      </c>
      <c r="R158" s="2604" t="s">
        <v>2791</v>
      </c>
      <c r="S158" s="2603" t="s">
        <v>2792</v>
      </c>
      <c r="T158" s="2604" t="s">
        <v>2793</v>
      </c>
      <c r="U158" s="2603" t="s">
        <v>2794</v>
      </c>
      <c r="V158" s="2604" t="s">
        <v>2795</v>
      </c>
      <c r="W158" s="2606" t="s">
        <v>2796</v>
      </c>
      <c r="X158" s="2604" t="s">
        <v>2797</v>
      </c>
      <c r="Y158" s="2603" t="s">
        <v>2798</v>
      </c>
      <c r="Z158" s="2604" t="s">
        <v>2799</v>
      </c>
      <c r="AA158" s="2608" t="s">
        <v>2800</v>
      </c>
      <c r="AB158" s="2609" t="s">
        <v>2801</v>
      </c>
      <c r="AC158" s="2608" t="s">
        <v>2817</v>
      </c>
      <c r="AD158" s="2609" t="s">
        <v>2818</v>
      </c>
      <c r="AE158" s="2608" t="s">
        <v>2819</v>
      </c>
      <c r="AF158" s="2609" t="s">
        <v>2821</v>
      </c>
      <c r="AG158" s="2608" t="s">
        <v>2822</v>
      </c>
      <c r="AH158" s="2609" t="s">
        <v>2823</v>
      </c>
      <c r="AI158" s="2608" t="s">
        <v>2824</v>
      </c>
      <c r="AJ158" s="2609" t="s">
        <v>2825</v>
      </c>
      <c r="AK158" s="2608" t="s">
        <v>2826</v>
      </c>
      <c r="AL158" s="2609" t="s">
        <v>2827</v>
      </c>
      <c r="AM158" s="2608" t="s">
        <v>2831</v>
      </c>
      <c r="AN158" s="2609" t="s">
        <v>2832</v>
      </c>
    </row>
    <row r="159" spans="1:131" ht="16.350000000000001" customHeight="1" x14ac:dyDescent="0.25">
      <c r="A159" s="2549" t="s">
        <v>2987</v>
      </c>
      <c r="B159" s="5246"/>
      <c r="C159" s="879" t="s">
        <v>1442</v>
      </c>
      <c r="D159" s="3815" t="s">
        <v>2777</v>
      </c>
      <c r="E159" s="3789" t="s">
        <v>2778</v>
      </c>
      <c r="F159" s="3817" t="s">
        <v>2779</v>
      </c>
      <c r="G159" s="820" t="s">
        <v>2780</v>
      </c>
      <c r="H159" s="838" t="s">
        <v>2781</v>
      </c>
      <c r="I159" s="818" t="s">
        <v>2782</v>
      </c>
      <c r="J159" s="838" t="s">
        <v>2783</v>
      </c>
      <c r="K159" s="818" t="s">
        <v>2784</v>
      </c>
      <c r="L159" s="838" t="s">
        <v>2785</v>
      </c>
      <c r="M159" s="818" t="s">
        <v>2786</v>
      </c>
      <c r="N159" s="819" t="s">
        <v>2787</v>
      </c>
      <c r="O159" s="819" t="s">
        <v>2788</v>
      </c>
      <c r="P159" s="838" t="s">
        <v>2789</v>
      </c>
      <c r="Q159" s="818" t="s">
        <v>2790</v>
      </c>
      <c r="R159" s="838" t="s">
        <v>2791</v>
      </c>
      <c r="S159" s="820" t="s">
        <v>2792</v>
      </c>
      <c r="T159" s="838" t="s">
        <v>2793</v>
      </c>
      <c r="U159" s="820" t="s">
        <v>2794</v>
      </c>
      <c r="V159" s="838" t="s">
        <v>2795</v>
      </c>
      <c r="W159" s="818" t="s">
        <v>2796</v>
      </c>
      <c r="X159" s="838" t="s">
        <v>2797</v>
      </c>
      <c r="Y159" s="820" t="s">
        <v>2798</v>
      </c>
      <c r="Z159" s="838" t="s">
        <v>2799</v>
      </c>
      <c r="AA159" s="931" t="s">
        <v>2800</v>
      </c>
      <c r="AB159" s="932" t="s">
        <v>2801</v>
      </c>
      <c r="AC159" s="931" t="s">
        <v>2817</v>
      </c>
      <c r="AD159" s="932" t="s">
        <v>2818</v>
      </c>
      <c r="AE159" s="931" t="s">
        <v>2819</v>
      </c>
      <c r="AF159" s="932" t="s">
        <v>2821</v>
      </c>
      <c r="AG159" s="931" t="s">
        <v>2822</v>
      </c>
      <c r="AH159" s="932" t="s">
        <v>2823</v>
      </c>
      <c r="AI159" s="931" t="s">
        <v>2824</v>
      </c>
      <c r="AJ159" s="932" t="s">
        <v>2825</v>
      </c>
      <c r="AK159" s="931" t="s">
        <v>2826</v>
      </c>
      <c r="AL159" s="932" t="s">
        <v>2827</v>
      </c>
      <c r="AM159" s="931" t="s">
        <v>2831</v>
      </c>
      <c r="AN159" s="932" t="s">
        <v>2832</v>
      </c>
    </row>
    <row r="160" spans="1:131" ht="16.350000000000001" customHeight="1" x14ac:dyDescent="0.25">
      <c r="A160" s="2549" t="s">
        <v>2988</v>
      </c>
      <c r="B160" s="5247"/>
      <c r="C160" s="880" t="s">
        <v>1443</v>
      </c>
      <c r="D160" s="3844" t="s">
        <v>2777</v>
      </c>
      <c r="E160" s="3845" t="s">
        <v>2778</v>
      </c>
      <c r="F160" s="3852" t="s">
        <v>2779</v>
      </c>
      <c r="G160" s="812" t="s">
        <v>2780</v>
      </c>
      <c r="H160" s="813" t="s">
        <v>2781</v>
      </c>
      <c r="I160" s="822" t="s">
        <v>2782</v>
      </c>
      <c r="J160" s="813" t="s">
        <v>2783</v>
      </c>
      <c r="K160" s="822" t="s">
        <v>2784</v>
      </c>
      <c r="L160" s="813" t="s">
        <v>2785</v>
      </c>
      <c r="M160" s="822" t="s">
        <v>2786</v>
      </c>
      <c r="N160" s="823" t="s">
        <v>2787</v>
      </c>
      <c r="O160" s="823" t="s">
        <v>2788</v>
      </c>
      <c r="P160" s="813" t="s">
        <v>2789</v>
      </c>
      <c r="Q160" s="822" t="s">
        <v>2790</v>
      </c>
      <c r="R160" s="813" t="s">
        <v>2791</v>
      </c>
      <c r="S160" s="812" t="s">
        <v>2792</v>
      </c>
      <c r="T160" s="813" t="s">
        <v>2793</v>
      </c>
      <c r="U160" s="812" t="s">
        <v>2794</v>
      </c>
      <c r="V160" s="813" t="s">
        <v>2795</v>
      </c>
      <c r="W160" s="822" t="s">
        <v>2796</v>
      </c>
      <c r="X160" s="813" t="s">
        <v>2797</v>
      </c>
      <c r="Y160" s="812" t="s">
        <v>2798</v>
      </c>
      <c r="Z160" s="813" t="s">
        <v>2799</v>
      </c>
      <c r="AA160" s="933" t="s">
        <v>2800</v>
      </c>
      <c r="AB160" s="934" t="s">
        <v>2801</v>
      </c>
      <c r="AC160" s="933" t="s">
        <v>2817</v>
      </c>
      <c r="AD160" s="934" t="s">
        <v>2818</v>
      </c>
      <c r="AE160" s="933" t="s">
        <v>2819</v>
      </c>
      <c r="AF160" s="934" t="s">
        <v>2821</v>
      </c>
      <c r="AG160" s="933" t="s">
        <v>2822</v>
      </c>
      <c r="AH160" s="934" t="s">
        <v>2823</v>
      </c>
      <c r="AI160" s="933" t="s">
        <v>2824</v>
      </c>
      <c r="AJ160" s="934" t="s">
        <v>2825</v>
      </c>
      <c r="AK160" s="933" t="s">
        <v>2826</v>
      </c>
      <c r="AL160" s="934" t="s">
        <v>2827</v>
      </c>
      <c r="AM160" s="933" t="s">
        <v>2831</v>
      </c>
      <c r="AN160" s="934" t="s">
        <v>2832</v>
      </c>
    </row>
    <row r="161" spans="1:131" ht="31.35" customHeight="1" x14ac:dyDescent="0.25">
      <c r="B161" s="2261" t="s">
        <v>2613</v>
      </c>
      <c r="C161" s="2261"/>
      <c r="D161" s="3758"/>
      <c r="E161" s="3758"/>
      <c r="F161" s="3799"/>
      <c r="G161" s="85"/>
      <c r="H161" s="85"/>
      <c r="I161" s="85"/>
      <c r="J161" s="85"/>
      <c r="K161" s="85"/>
      <c r="L161" s="85"/>
      <c r="M161" s="85"/>
      <c r="N161" s="255"/>
      <c r="O161" s="892"/>
      <c r="P161" s="892"/>
      <c r="Q161" s="892"/>
      <c r="R161" s="892"/>
      <c r="S161" s="892"/>
      <c r="T161" s="892"/>
      <c r="U161" s="892"/>
      <c r="V161" s="892"/>
      <c r="W161" s="892"/>
      <c r="X161" s="892"/>
      <c r="Y161" s="892"/>
      <c r="Z161" s="892"/>
      <c r="AA161" s="892"/>
      <c r="AB161" s="892"/>
      <c r="BB161" s="884"/>
      <c r="BC161" s="884"/>
      <c r="BD161" s="884"/>
      <c r="BE161" s="884"/>
      <c r="BF161" s="884"/>
      <c r="BG161" s="884"/>
      <c r="BH161" s="884"/>
      <c r="BI161" s="884"/>
      <c r="BJ161" s="884"/>
      <c r="BK161" s="884"/>
      <c r="BL161" s="884"/>
      <c r="BM161" s="884"/>
      <c r="BN161" s="884"/>
      <c r="BO161" s="884"/>
      <c r="BP161" s="884"/>
      <c r="BQ161" s="884"/>
      <c r="BR161" s="884"/>
      <c r="BS161" s="884"/>
      <c r="BT161" s="884"/>
      <c r="BU161" s="884"/>
      <c r="BV161" s="884"/>
      <c r="BW161" s="884"/>
      <c r="BX161" s="884"/>
      <c r="BY161" s="884"/>
      <c r="BZ161" s="884"/>
      <c r="CA161" s="884"/>
      <c r="DB161" s="210"/>
      <c r="DC161" s="210"/>
      <c r="DD161" s="210"/>
      <c r="DE161" s="210"/>
      <c r="DF161" s="210"/>
      <c r="DG161" s="210"/>
      <c r="DH161" s="210"/>
      <c r="DI161" s="210"/>
      <c r="DJ161" s="210"/>
      <c r="DK161" s="210"/>
      <c r="DL161" s="210"/>
      <c r="DM161" s="210"/>
      <c r="DN161" s="210"/>
      <c r="DO161" s="210"/>
      <c r="DP161" s="210"/>
      <c r="DQ161" s="210"/>
      <c r="DR161" s="210"/>
      <c r="DS161" s="210"/>
      <c r="DT161" s="210"/>
      <c r="DU161" s="210"/>
      <c r="DV161" s="210"/>
      <c r="DW161" s="210"/>
      <c r="DX161" s="210"/>
      <c r="DY161" s="210"/>
      <c r="DZ161" s="210"/>
      <c r="EA161" s="210"/>
    </row>
    <row r="162" spans="1:131" ht="16.350000000000001" customHeight="1" x14ac:dyDescent="0.25">
      <c r="B162" s="5177" t="s">
        <v>177</v>
      </c>
      <c r="C162" s="5177" t="s">
        <v>178</v>
      </c>
      <c r="D162" s="5179" t="s">
        <v>42</v>
      </c>
      <c r="E162" s="5180"/>
      <c r="F162" s="5181"/>
      <c r="G162" s="5175" t="s">
        <v>5</v>
      </c>
      <c r="H162" s="5206"/>
      <c r="I162" s="5206"/>
      <c r="J162" s="5206"/>
      <c r="K162" s="5206"/>
      <c r="L162" s="5206"/>
      <c r="M162" s="5206"/>
      <c r="N162" s="5206"/>
      <c r="O162" s="5206"/>
      <c r="P162" s="5176"/>
      <c r="Q162" s="892"/>
      <c r="R162" s="892"/>
      <c r="S162" s="892"/>
      <c r="T162" s="892"/>
      <c r="U162" s="892"/>
      <c r="V162" s="892"/>
      <c r="W162" s="892"/>
      <c r="X162" s="892"/>
      <c r="Y162" s="892"/>
      <c r="Z162" s="892"/>
      <c r="AA162" s="892"/>
      <c r="AB162" s="892"/>
    </row>
    <row r="163" spans="1:131" ht="16.350000000000001" customHeight="1" x14ac:dyDescent="0.25">
      <c r="B163" s="5103"/>
      <c r="C163" s="5103"/>
      <c r="D163" s="5182"/>
      <c r="E163" s="5183"/>
      <c r="F163" s="5184"/>
      <c r="G163" s="5175" t="s">
        <v>263</v>
      </c>
      <c r="H163" s="5176"/>
      <c r="I163" s="5175" t="s">
        <v>248</v>
      </c>
      <c r="J163" s="5176"/>
      <c r="K163" s="5175" t="s">
        <v>264</v>
      </c>
      <c r="L163" s="5176"/>
      <c r="M163" s="5175" t="s">
        <v>265</v>
      </c>
      <c r="N163" s="5176"/>
      <c r="O163" s="5175" t="s">
        <v>250</v>
      </c>
      <c r="P163" s="5176"/>
      <c r="Q163" s="892"/>
      <c r="R163" s="881"/>
      <c r="S163" s="881"/>
      <c r="T163" s="892"/>
      <c r="U163" s="892"/>
      <c r="V163" s="892"/>
      <c r="W163" s="892"/>
      <c r="X163" s="892"/>
      <c r="Y163" s="892"/>
      <c r="Z163" s="892"/>
      <c r="AA163" s="892"/>
      <c r="AB163" s="892"/>
    </row>
    <row r="164" spans="1:131" ht="16.350000000000001" customHeight="1" x14ac:dyDescent="0.25">
      <c r="B164" s="5178"/>
      <c r="C164" s="5178"/>
      <c r="D164" s="3771" t="s">
        <v>184</v>
      </c>
      <c r="E164" s="3853" t="s">
        <v>24</v>
      </c>
      <c r="F164" s="3854" t="s">
        <v>25</v>
      </c>
      <c r="G164" s="2366" t="s">
        <v>24</v>
      </c>
      <c r="H164" s="2365" t="s">
        <v>25</v>
      </c>
      <c r="I164" s="2366" t="s">
        <v>24</v>
      </c>
      <c r="J164" s="2365" t="s">
        <v>25</v>
      </c>
      <c r="K164" s="2366" t="s">
        <v>24</v>
      </c>
      <c r="L164" s="2365" t="s">
        <v>25</v>
      </c>
      <c r="M164" s="2366" t="s">
        <v>24</v>
      </c>
      <c r="N164" s="2365" t="s">
        <v>25</v>
      </c>
      <c r="O164" s="2366" t="s">
        <v>24</v>
      </c>
      <c r="P164" s="2365" t="s">
        <v>25</v>
      </c>
      <c r="Q164" s="892"/>
      <c r="R164" s="892"/>
      <c r="S164" s="892"/>
      <c r="T164" s="892"/>
      <c r="U164" s="892"/>
      <c r="V164" s="892"/>
      <c r="W164" s="892"/>
      <c r="X164" s="892"/>
      <c r="Y164" s="892"/>
      <c r="Z164" s="892"/>
      <c r="AA164" s="892"/>
      <c r="AB164" s="892"/>
      <c r="CH164" s="887">
        <v>0</v>
      </c>
      <c r="CI164" s="887">
        <v>0</v>
      </c>
    </row>
    <row r="165" spans="1:131" ht="16.350000000000001" customHeight="1" x14ac:dyDescent="0.25">
      <c r="A165" s="2458" t="s">
        <v>2989</v>
      </c>
      <c r="B165" s="5102" t="s">
        <v>266</v>
      </c>
      <c r="C165" s="2476" t="s">
        <v>267</v>
      </c>
      <c r="D165" s="3813" t="s">
        <v>2777</v>
      </c>
      <c r="E165" s="3822" t="s">
        <v>2778</v>
      </c>
      <c r="F165" s="3777" t="s">
        <v>2779</v>
      </c>
      <c r="G165" s="2487" t="s">
        <v>2780</v>
      </c>
      <c r="H165" s="2610" t="s">
        <v>2781</v>
      </c>
      <c r="I165" s="2483" t="s">
        <v>2782</v>
      </c>
      <c r="J165" s="2480" t="s">
        <v>2783</v>
      </c>
      <c r="K165" s="2487" t="s">
        <v>2784</v>
      </c>
      <c r="L165" s="2610" t="s">
        <v>2785</v>
      </c>
      <c r="M165" s="2483" t="s">
        <v>2786</v>
      </c>
      <c r="N165" s="2480" t="s">
        <v>2787</v>
      </c>
      <c r="O165" s="2487" t="s">
        <v>2788</v>
      </c>
      <c r="P165" s="2480" t="s">
        <v>2789</v>
      </c>
      <c r="Q165" s="2269"/>
      <c r="R165" s="1062"/>
      <c r="S165" s="1062"/>
      <c r="T165" s="1062"/>
      <c r="U165" s="1062"/>
      <c r="V165" s="1062"/>
      <c r="W165" s="1062"/>
      <c r="X165" s="1062"/>
      <c r="Y165" s="1062"/>
      <c r="Z165" s="1062"/>
      <c r="AA165" s="1062"/>
      <c r="AB165" s="1062"/>
      <c r="CH165" s="887">
        <v>0</v>
      </c>
      <c r="CI165" s="887">
        <v>0</v>
      </c>
    </row>
    <row r="166" spans="1:131" ht="16.350000000000001" customHeight="1" x14ac:dyDescent="0.25">
      <c r="A166" s="2458" t="s">
        <v>2990</v>
      </c>
      <c r="B166" s="5103"/>
      <c r="C166" s="140" t="s">
        <v>268</v>
      </c>
      <c r="D166" s="3825" t="s">
        <v>2777</v>
      </c>
      <c r="E166" s="3842" t="s">
        <v>2778</v>
      </c>
      <c r="F166" s="3855" t="s">
        <v>2779</v>
      </c>
      <c r="G166" s="2346" t="s">
        <v>2780</v>
      </c>
      <c r="H166" s="2368" t="s">
        <v>2781</v>
      </c>
      <c r="I166" s="2249" t="s">
        <v>2782</v>
      </c>
      <c r="J166" s="2348" t="s">
        <v>2783</v>
      </c>
      <c r="K166" s="2346" t="s">
        <v>2784</v>
      </c>
      <c r="L166" s="2368" t="s">
        <v>2785</v>
      </c>
      <c r="M166" s="2249" t="s">
        <v>2786</v>
      </c>
      <c r="N166" s="2348" t="s">
        <v>2787</v>
      </c>
      <c r="O166" s="2346" t="s">
        <v>2788</v>
      </c>
      <c r="P166" s="2348" t="s">
        <v>2789</v>
      </c>
      <c r="Q166" s="2269"/>
      <c r="R166" s="1062"/>
      <c r="S166" s="1062"/>
      <c r="T166" s="1062"/>
      <c r="U166" s="1062"/>
      <c r="V166" s="1062"/>
      <c r="W166" s="1062"/>
      <c r="X166" s="1062"/>
      <c r="Y166" s="1062"/>
      <c r="Z166" s="1062"/>
      <c r="AA166" s="1062"/>
      <c r="AB166" s="1062"/>
      <c r="CH166" s="887">
        <v>0</v>
      </c>
      <c r="CI166" s="887">
        <v>0</v>
      </c>
    </row>
    <row r="167" spans="1:131" ht="16.350000000000001" customHeight="1" x14ac:dyDescent="0.25">
      <c r="A167" s="2458" t="s">
        <v>2991</v>
      </c>
      <c r="B167" s="5104"/>
      <c r="C167" s="282" t="s">
        <v>269</v>
      </c>
      <c r="D167" s="2369" t="s">
        <v>2777</v>
      </c>
      <c r="E167" s="3837" t="s">
        <v>2778</v>
      </c>
      <c r="F167" s="3782" t="s">
        <v>2779</v>
      </c>
      <c r="G167" s="144" t="s">
        <v>2780</v>
      </c>
      <c r="H167" s="147" t="s">
        <v>2781</v>
      </c>
      <c r="I167" s="2245" t="s">
        <v>2782</v>
      </c>
      <c r="J167" s="183" t="s">
        <v>2783</v>
      </c>
      <c r="K167" s="144" t="s">
        <v>2784</v>
      </c>
      <c r="L167" s="147" t="s">
        <v>2785</v>
      </c>
      <c r="M167" s="2245" t="s">
        <v>2786</v>
      </c>
      <c r="N167" s="183" t="s">
        <v>2787</v>
      </c>
      <c r="O167" s="144" t="s">
        <v>2788</v>
      </c>
      <c r="P167" s="183" t="s">
        <v>2789</v>
      </c>
      <c r="Q167" s="2269"/>
      <c r="R167" s="1062"/>
      <c r="S167" s="1062"/>
      <c r="T167" s="1062"/>
      <c r="U167" s="1062"/>
      <c r="V167" s="1062"/>
      <c r="W167" s="1062"/>
      <c r="X167" s="1062"/>
      <c r="Y167" s="1062"/>
      <c r="Z167" s="1062"/>
      <c r="AA167" s="1062"/>
      <c r="AB167" s="1062"/>
      <c r="CH167" s="887">
        <v>0</v>
      </c>
      <c r="CI167" s="887">
        <v>0</v>
      </c>
    </row>
    <row r="168" spans="1:131" ht="16.350000000000001" customHeight="1" x14ac:dyDescent="0.25">
      <c r="A168" s="2458" t="s">
        <v>2992</v>
      </c>
      <c r="B168" s="5102" t="s">
        <v>270</v>
      </c>
      <c r="C168" s="2450" t="s">
        <v>267</v>
      </c>
      <c r="D168" s="3813" t="s">
        <v>2777</v>
      </c>
      <c r="E168" s="3822" t="s">
        <v>2778</v>
      </c>
      <c r="F168" s="3777" t="s">
        <v>2779</v>
      </c>
      <c r="G168" s="2483" t="s">
        <v>2780</v>
      </c>
      <c r="H168" s="2480" t="s">
        <v>2781</v>
      </c>
      <c r="I168" s="2483" t="s">
        <v>2782</v>
      </c>
      <c r="J168" s="2610" t="s">
        <v>2783</v>
      </c>
      <c r="K168" s="2483" t="s">
        <v>2784</v>
      </c>
      <c r="L168" s="2480" t="s">
        <v>2785</v>
      </c>
      <c r="M168" s="2487" t="s">
        <v>2786</v>
      </c>
      <c r="N168" s="2610" t="s">
        <v>2787</v>
      </c>
      <c r="O168" s="2483" t="s">
        <v>2788</v>
      </c>
      <c r="P168" s="2480" t="s">
        <v>2789</v>
      </c>
      <c r="Q168" s="2269"/>
      <c r="R168" s="1062"/>
      <c r="S168" s="1062"/>
      <c r="T168" s="1062"/>
      <c r="U168" s="1062"/>
      <c r="V168" s="1062"/>
      <c r="W168" s="1062"/>
      <c r="X168" s="1062"/>
      <c r="Y168" s="1062"/>
      <c r="Z168" s="1062"/>
      <c r="AA168" s="1062"/>
      <c r="AB168" s="1062"/>
      <c r="CH168" s="887">
        <v>0</v>
      </c>
      <c r="CI168" s="887">
        <v>0</v>
      </c>
    </row>
    <row r="169" spans="1:131" ht="16.350000000000001" customHeight="1" x14ac:dyDescent="0.25">
      <c r="A169" s="2458" t="s">
        <v>2993</v>
      </c>
      <c r="B169" s="5103"/>
      <c r="C169" s="140" t="s">
        <v>268</v>
      </c>
      <c r="D169" s="3823" t="s">
        <v>2777</v>
      </c>
      <c r="E169" s="3824" t="s">
        <v>2778</v>
      </c>
      <c r="F169" s="3778" t="s">
        <v>2779</v>
      </c>
      <c r="G169" s="2249" t="s">
        <v>2780</v>
      </c>
      <c r="H169" s="2348" t="s">
        <v>2781</v>
      </c>
      <c r="I169" s="141" t="s">
        <v>2782</v>
      </c>
      <c r="J169" s="247" t="s">
        <v>2783</v>
      </c>
      <c r="K169" s="141" t="s">
        <v>2784</v>
      </c>
      <c r="L169" s="163" t="s">
        <v>2785</v>
      </c>
      <c r="M169" s="180" t="s">
        <v>2786</v>
      </c>
      <c r="N169" s="247" t="s">
        <v>2787</v>
      </c>
      <c r="O169" s="141" t="s">
        <v>2788</v>
      </c>
      <c r="P169" s="163" t="s">
        <v>2789</v>
      </c>
      <c r="Q169" s="2269"/>
      <c r="R169" s="1062"/>
      <c r="S169" s="1062"/>
      <c r="T169" s="1062"/>
      <c r="U169" s="1062"/>
      <c r="V169" s="1062"/>
      <c r="W169" s="1062"/>
      <c r="X169" s="1062"/>
      <c r="Y169" s="1062"/>
      <c r="Z169" s="1062"/>
      <c r="AA169" s="1062"/>
      <c r="AB169" s="1062"/>
      <c r="CH169" s="887">
        <v>0</v>
      </c>
      <c r="CI169" s="887">
        <v>0</v>
      </c>
    </row>
    <row r="170" spans="1:131" ht="16.350000000000001" customHeight="1" x14ac:dyDescent="0.25">
      <c r="A170" s="2458" t="s">
        <v>2994</v>
      </c>
      <c r="B170" s="5104"/>
      <c r="C170" s="100" t="s">
        <v>269</v>
      </c>
      <c r="D170" s="3820" t="s">
        <v>2777</v>
      </c>
      <c r="E170" s="3835" t="s">
        <v>2778</v>
      </c>
      <c r="F170" s="3767" t="s">
        <v>2779</v>
      </c>
      <c r="G170" s="166" t="s">
        <v>2780</v>
      </c>
      <c r="H170" s="125" t="s">
        <v>2781</v>
      </c>
      <c r="I170" s="166" t="s">
        <v>2782</v>
      </c>
      <c r="J170" s="270" t="s">
        <v>2783</v>
      </c>
      <c r="K170" s="166" t="s">
        <v>2784</v>
      </c>
      <c r="L170" s="125" t="s">
        <v>2785</v>
      </c>
      <c r="M170" s="126" t="s">
        <v>2786</v>
      </c>
      <c r="N170" s="270" t="s">
        <v>2787</v>
      </c>
      <c r="O170" s="166" t="s">
        <v>2788</v>
      </c>
      <c r="P170" s="125" t="s">
        <v>2789</v>
      </c>
      <c r="Q170" s="892"/>
      <c r="R170" s="892"/>
      <c r="S170" s="892"/>
      <c r="T170" s="892"/>
      <c r="U170" s="892"/>
      <c r="V170" s="892"/>
      <c r="W170" s="892"/>
      <c r="X170" s="892"/>
      <c r="Y170" s="892"/>
      <c r="Z170" s="892"/>
      <c r="AA170" s="892"/>
      <c r="AB170" s="892"/>
    </row>
    <row r="171" spans="1:131" ht="31.35" customHeight="1" x14ac:dyDescent="0.25">
      <c r="B171" s="5226" t="s">
        <v>2614</v>
      </c>
      <c r="C171" s="5226"/>
      <c r="D171" s="5226"/>
      <c r="E171" s="5226"/>
      <c r="F171" s="5226"/>
      <c r="G171" s="5226"/>
      <c r="H171" s="5226"/>
      <c r="I171" s="5226"/>
      <c r="J171" s="5226"/>
      <c r="K171" s="5226"/>
      <c r="L171" s="5226"/>
      <c r="M171" s="5226"/>
      <c r="N171" s="5226"/>
      <c r="O171" s="5226"/>
      <c r="P171" s="5226"/>
      <c r="Q171" s="892"/>
      <c r="R171" s="892"/>
      <c r="S171" s="892"/>
      <c r="T171" s="892"/>
      <c r="U171" s="892"/>
      <c r="V171" s="892"/>
      <c r="W171" s="892"/>
      <c r="X171" s="892"/>
      <c r="Y171" s="892"/>
      <c r="Z171" s="892"/>
      <c r="AA171" s="892"/>
      <c r="AB171" s="892"/>
      <c r="BB171" s="884"/>
      <c r="BC171" s="884"/>
      <c r="BD171" s="884"/>
      <c r="BE171" s="884"/>
      <c r="BF171" s="884"/>
      <c r="BG171" s="884"/>
      <c r="BH171" s="884"/>
      <c r="BI171" s="884"/>
      <c r="BJ171" s="884"/>
      <c r="BK171" s="884"/>
      <c r="BL171" s="884"/>
      <c r="BM171" s="884"/>
      <c r="BN171" s="884"/>
      <c r="BO171" s="884"/>
      <c r="BP171" s="884"/>
      <c r="BQ171" s="884"/>
      <c r="BR171" s="884"/>
      <c r="BS171" s="884"/>
      <c r="BT171" s="884"/>
      <c r="BU171" s="884"/>
      <c r="BV171" s="884"/>
      <c r="BW171" s="884"/>
      <c r="BX171" s="884"/>
      <c r="BY171" s="884"/>
      <c r="BZ171" s="884"/>
      <c r="CA171" s="884"/>
      <c r="DB171" s="210"/>
      <c r="DC171" s="210"/>
      <c r="DD171" s="210"/>
      <c r="DE171" s="210"/>
      <c r="DF171" s="210"/>
      <c r="DG171" s="210"/>
      <c r="DH171" s="210"/>
      <c r="DI171" s="210"/>
      <c r="DJ171" s="210"/>
      <c r="DK171" s="210"/>
      <c r="DL171" s="210"/>
      <c r="DM171" s="210"/>
      <c r="DN171" s="210"/>
      <c r="DO171" s="210"/>
      <c r="DP171" s="210"/>
      <c r="DQ171" s="210"/>
      <c r="DR171" s="210"/>
      <c r="DS171" s="210"/>
      <c r="DT171" s="210"/>
      <c r="DU171" s="210"/>
      <c r="DV171" s="210"/>
      <c r="DW171" s="210"/>
      <c r="DX171" s="210"/>
      <c r="DY171" s="210"/>
      <c r="DZ171" s="210"/>
      <c r="EA171" s="210"/>
    </row>
    <row r="172" spans="1:131" ht="16.350000000000001" customHeight="1" x14ac:dyDescent="0.25">
      <c r="B172" s="5197" t="s">
        <v>2615</v>
      </c>
      <c r="C172" s="5198"/>
      <c r="D172" s="5179" t="s">
        <v>42</v>
      </c>
      <c r="E172" s="5180"/>
      <c r="F172" s="5181"/>
      <c r="G172" s="5175" t="s">
        <v>5</v>
      </c>
      <c r="H172" s="5206"/>
      <c r="I172" s="5206"/>
      <c r="J172" s="5206"/>
      <c r="K172" s="5206"/>
      <c r="L172" s="5206"/>
      <c r="M172" s="5206"/>
      <c r="N172" s="5206"/>
      <c r="O172" s="5206"/>
      <c r="P172" s="5206"/>
      <c r="Q172" s="5206"/>
      <c r="R172" s="5176"/>
      <c r="S172" s="892"/>
      <c r="T172" s="892"/>
      <c r="U172" s="892"/>
      <c r="V172" s="892"/>
      <c r="W172" s="892"/>
      <c r="X172" s="892"/>
      <c r="Y172" s="892"/>
      <c r="Z172" s="892"/>
      <c r="AA172" s="892"/>
      <c r="AB172" s="892"/>
    </row>
    <row r="173" spans="1:131" ht="16.350000000000001" customHeight="1" x14ac:dyDescent="0.25">
      <c r="B173" s="5153"/>
      <c r="C173" s="5143"/>
      <c r="D173" s="5182"/>
      <c r="E173" s="5183"/>
      <c r="F173" s="5184"/>
      <c r="G173" s="5175" t="s">
        <v>248</v>
      </c>
      <c r="H173" s="5176"/>
      <c r="I173" s="5175" t="s">
        <v>264</v>
      </c>
      <c r="J173" s="5176"/>
      <c r="K173" s="5175" t="s">
        <v>265</v>
      </c>
      <c r="L173" s="5176"/>
      <c r="M173" s="5175" t="s">
        <v>271</v>
      </c>
      <c r="N173" s="5176"/>
      <c r="O173" s="5175" t="s">
        <v>272</v>
      </c>
      <c r="P173" s="5176"/>
      <c r="Q173" s="5175" t="s">
        <v>273</v>
      </c>
      <c r="R173" s="5176"/>
      <c r="S173" s="892"/>
      <c r="T173" s="892"/>
      <c r="U173" s="892"/>
      <c r="V173" s="892"/>
      <c r="W173" s="892"/>
      <c r="X173" s="892"/>
      <c r="Y173" s="892"/>
      <c r="Z173" s="892"/>
      <c r="AA173" s="892"/>
      <c r="AB173" s="892"/>
    </row>
    <row r="174" spans="1:131" ht="16.350000000000001" customHeight="1" x14ac:dyDescent="0.25">
      <c r="B174" s="5131"/>
      <c r="C174" s="5199"/>
      <c r="D174" s="3771" t="s">
        <v>184</v>
      </c>
      <c r="E174" s="3853" t="s">
        <v>24</v>
      </c>
      <c r="F174" s="3854" t="s">
        <v>25</v>
      </c>
      <c r="G174" s="2366" t="s">
        <v>24</v>
      </c>
      <c r="H174" s="2365" t="s">
        <v>25</v>
      </c>
      <c r="I174" s="2366" t="s">
        <v>24</v>
      </c>
      <c r="J174" s="2365" t="s">
        <v>25</v>
      </c>
      <c r="K174" s="2366" t="s">
        <v>24</v>
      </c>
      <c r="L174" s="2370" t="s">
        <v>25</v>
      </c>
      <c r="M174" s="2366" t="s">
        <v>24</v>
      </c>
      <c r="N174" s="2365" t="s">
        <v>25</v>
      </c>
      <c r="O174" s="2366" t="s">
        <v>24</v>
      </c>
      <c r="P174" s="2365" t="s">
        <v>25</v>
      </c>
      <c r="Q174" s="2366" t="s">
        <v>24</v>
      </c>
      <c r="R174" s="2370" t="s">
        <v>25</v>
      </c>
      <c r="S174" s="892"/>
      <c r="T174" s="892"/>
      <c r="U174" s="892"/>
      <c r="V174" s="892"/>
      <c r="W174" s="892"/>
      <c r="X174" s="892"/>
      <c r="Y174" s="892"/>
      <c r="Z174" s="892"/>
      <c r="AA174" s="892"/>
      <c r="AB174" s="892"/>
    </row>
    <row r="175" spans="1:131" ht="16.350000000000001" customHeight="1" x14ac:dyDescent="0.25">
      <c r="A175" s="2458" t="s">
        <v>2995</v>
      </c>
      <c r="B175" s="5358" t="s">
        <v>1679</v>
      </c>
      <c r="C175" s="5359"/>
      <c r="D175" s="3813" t="s">
        <v>2777</v>
      </c>
      <c r="E175" s="3822" t="s">
        <v>2778</v>
      </c>
      <c r="F175" s="3777" t="s">
        <v>2779</v>
      </c>
      <c r="G175" s="2487" t="s">
        <v>2780</v>
      </c>
      <c r="H175" s="2610" t="s">
        <v>2781</v>
      </c>
      <c r="I175" s="2483" t="s">
        <v>2782</v>
      </c>
      <c r="J175" s="2480" t="s">
        <v>2783</v>
      </c>
      <c r="K175" s="2487" t="s">
        <v>2784</v>
      </c>
      <c r="L175" s="2480" t="s">
        <v>2785</v>
      </c>
      <c r="M175" s="2487" t="s">
        <v>2786</v>
      </c>
      <c r="N175" s="2610" t="s">
        <v>2787</v>
      </c>
      <c r="O175" s="2483" t="s">
        <v>2788</v>
      </c>
      <c r="P175" s="2480" t="s">
        <v>2789</v>
      </c>
      <c r="Q175" s="2487" t="s">
        <v>2790</v>
      </c>
      <c r="R175" s="2480" t="s">
        <v>2791</v>
      </c>
      <c r="S175" s="892"/>
      <c r="T175" s="892"/>
      <c r="U175" s="892"/>
      <c r="V175" s="892"/>
      <c r="W175" s="892"/>
      <c r="X175" s="892"/>
      <c r="Y175" s="892"/>
      <c r="Z175" s="892"/>
      <c r="AA175" s="892"/>
      <c r="AB175" s="892"/>
    </row>
    <row r="176" spans="1:131" ht="16.350000000000001" customHeight="1" x14ac:dyDescent="0.25">
      <c r="A176" s="2458" t="s">
        <v>2996</v>
      </c>
      <c r="B176" s="5360" t="s">
        <v>1680</v>
      </c>
      <c r="C176" s="5361"/>
      <c r="D176" s="3823" t="s">
        <v>2777</v>
      </c>
      <c r="E176" s="3824" t="s">
        <v>2778</v>
      </c>
      <c r="F176" s="3855" t="s">
        <v>2779</v>
      </c>
      <c r="G176" s="2346" t="s">
        <v>2780</v>
      </c>
      <c r="H176" s="2368" t="s">
        <v>2781</v>
      </c>
      <c r="I176" s="2249" t="s">
        <v>2782</v>
      </c>
      <c r="J176" s="2348" t="s">
        <v>2783</v>
      </c>
      <c r="K176" s="2346" t="s">
        <v>2784</v>
      </c>
      <c r="L176" s="2348" t="s">
        <v>2785</v>
      </c>
      <c r="M176" s="2346" t="s">
        <v>2786</v>
      </c>
      <c r="N176" s="2368" t="s">
        <v>2787</v>
      </c>
      <c r="O176" s="2249" t="s">
        <v>2788</v>
      </c>
      <c r="P176" s="2348" t="s">
        <v>2789</v>
      </c>
      <c r="Q176" s="2346" t="s">
        <v>2790</v>
      </c>
      <c r="R176" s="2348" t="s">
        <v>2791</v>
      </c>
      <c r="S176" s="892"/>
      <c r="T176" s="892"/>
      <c r="U176" s="892"/>
      <c r="V176" s="892"/>
      <c r="W176" s="892"/>
      <c r="X176" s="892"/>
      <c r="Y176" s="892"/>
      <c r="Z176" s="892"/>
      <c r="AA176" s="892"/>
      <c r="AB176" s="892"/>
    </row>
    <row r="177" spans="1:131" ht="16.350000000000001" customHeight="1" x14ac:dyDescent="0.25">
      <c r="A177" s="2458" t="s">
        <v>2997</v>
      </c>
      <c r="B177" s="5207" t="s">
        <v>1681</v>
      </c>
      <c r="C177" s="5208"/>
      <c r="D177" s="2611" t="s">
        <v>2777</v>
      </c>
      <c r="E177" s="3835" t="s">
        <v>2778</v>
      </c>
      <c r="F177" s="3767" t="s">
        <v>2779</v>
      </c>
      <c r="G177" s="126" t="s">
        <v>2780</v>
      </c>
      <c r="H177" s="270" t="s">
        <v>2781</v>
      </c>
      <c r="I177" s="166" t="s">
        <v>2782</v>
      </c>
      <c r="J177" s="125" t="s">
        <v>2783</v>
      </c>
      <c r="K177" s="126" t="s">
        <v>2784</v>
      </c>
      <c r="L177" s="125" t="s">
        <v>2785</v>
      </c>
      <c r="M177" s="126" t="s">
        <v>2786</v>
      </c>
      <c r="N177" s="270" t="s">
        <v>2787</v>
      </c>
      <c r="O177" s="166" t="s">
        <v>2788</v>
      </c>
      <c r="P177" s="125" t="s">
        <v>2789</v>
      </c>
      <c r="Q177" s="126" t="s">
        <v>2790</v>
      </c>
      <c r="R177" s="125" t="s">
        <v>2791</v>
      </c>
      <c r="S177" s="892"/>
      <c r="T177" s="892"/>
      <c r="U177" s="892"/>
      <c r="V177" s="892"/>
      <c r="W177" s="892"/>
      <c r="X177" s="892"/>
      <c r="Y177" s="892"/>
      <c r="Z177" s="892"/>
      <c r="AA177" s="892"/>
      <c r="AB177" s="892"/>
    </row>
    <row r="178" spans="1:131" ht="16.350000000000001" customHeight="1" x14ac:dyDescent="0.25">
      <c r="A178" s="2579"/>
      <c r="B178" s="5209" t="s">
        <v>42</v>
      </c>
      <c r="C178" s="5210"/>
      <c r="D178" s="3761">
        <f t="shared" ref="D178:R178" si="3">SUM(D175:D177)</f>
        <v>0</v>
      </c>
      <c r="E178" s="3856">
        <f t="shared" si="3"/>
        <v>0</v>
      </c>
      <c r="F178" s="2879">
        <f t="shared" si="3"/>
        <v>0</v>
      </c>
      <c r="G178" s="2520">
        <f t="shared" si="3"/>
        <v>0</v>
      </c>
      <c r="H178" s="2521">
        <f t="shared" si="3"/>
        <v>0</v>
      </c>
      <c r="I178" s="2524">
        <f t="shared" si="3"/>
        <v>0</v>
      </c>
      <c r="J178" s="2568">
        <f t="shared" si="3"/>
        <v>0</v>
      </c>
      <c r="K178" s="2520">
        <f t="shared" si="3"/>
        <v>0</v>
      </c>
      <c r="L178" s="2521">
        <f t="shared" si="3"/>
        <v>0</v>
      </c>
      <c r="M178" s="2520">
        <f t="shared" si="3"/>
        <v>0</v>
      </c>
      <c r="N178" s="2521">
        <f t="shared" si="3"/>
        <v>0</v>
      </c>
      <c r="O178" s="2524">
        <f t="shared" si="3"/>
        <v>0</v>
      </c>
      <c r="P178" s="2568">
        <f t="shared" si="3"/>
        <v>0</v>
      </c>
      <c r="Q178" s="2520">
        <f t="shared" si="3"/>
        <v>0</v>
      </c>
      <c r="R178" s="2521">
        <f t="shared" si="3"/>
        <v>0</v>
      </c>
      <c r="S178" s="892"/>
      <c r="T178" s="892"/>
      <c r="U178" s="892"/>
      <c r="V178" s="892"/>
      <c r="W178" s="892"/>
      <c r="X178" s="892"/>
      <c r="Y178" s="892"/>
      <c r="Z178" s="892"/>
      <c r="AA178" s="892"/>
      <c r="AB178" s="892"/>
    </row>
    <row r="179" spans="1:131" ht="16.350000000000001" customHeight="1" x14ac:dyDescent="0.25">
      <c r="B179" s="210" t="s">
        <v>860</v>
      </c>
      <c r="N179" s="2371"/>
      <c r="O179" s="2371"/>
      <c r="P179" s="2371"/>
      <c r="Q179" s="2371"/>
    </row>
    <row r="180" spans="1:131" ht="31.35" customHeight="1" x14ac:dyDescent="0.25">
      <c r="B180" s="2239" t="s">
        <v>1283</v>
      </c>
      <c r="C180" s="960"/>
      <c r="D180" s="3858"/>
      <c r="E180" s="3858"/>
      <c r="F180" s="3858"/>
      <c r="G180" s="892"/>
      <c r="H180" s="892"/>
      <c r="I180" s="892"/>
      <c r="J180" s="892"/>
      <c r="K180" s="892"/>
      <c r="L180" s="892"/>
      <c r="M180" s="892"/>
      <c r="N180" s="892"/>
      <c r="O180" s="892"/>
      <c r="P180" s="892"/>
      <c r="Q180" s="892"/>
      <c r="R180" s="892"/>
      <c r="BB180" s="884"/>
      <c r="BC180" s="884"/>
      <c r="BD180" s="884"/>
      <c r="BE180" s="884"/>
      <c r="BF180" s="884"/>
      <c r="BG180" s="884"/>
      <c r="BH180" s="884"/>
      <c r="BI180" s="884"/>
      <c r="BJ180" s="884"/>
      <c r="BK180" s="884"/>
      <c r="BL180" s="884"/>
      <c r="BM180" s="884"/>
      <c r="BN180" s="884"/>
      <c r="BO180" s="884"/>
      <c r="BP180" s="884"/>
      <c r="BQ180" s="884"/>
      <c r="BR180" s="884"/>
      <c r="BS180" s="884"/>
      <c r="BT180" s="884"/>
      <c r="BU180" s="884"/>
      <c r="BV180" s="884"/>
      <c r="BW180" s="884"/>
      <c r="BX180" s="884"/>
      <c r="BY180" s="884"/>
      <c r="BZ180" s="884"/>
      <c r="CA180" s="884"/>
      <c r="DB180" s="210"/>
      <c r="DC180" s="210"/>
      <c r="DD180" s="210"/>
      <c r="DE180" s="210"/>
      <c r="DF180" s="210"/>
      <c r="DG180" s="210"/>
      <c r="DH180" s="210"/>
      <c r="DI180" s="210"/>
      <c r="DJ180" s="210"/>
      <c r="DK180" s="210"/>
      <c r="DL180" s="210"/>
      <c r="DM180" s="210"/>
      <c r="DN180" s="210"/>
      <c r="DO180" s="210"/>
      <c r="DP180" s="210"/>
      <c r="DQ180" s="210"/>
      <c r="DR180" s="210"/>
      <c r="DS180" s="210"/>
      <c r="DT180" s="210"/>
      <c r="DU180" s="210"/>
      <c r="DV180" s="210"/>
      <c r="DW180" s="210"/>
      <c r="DX180" s="210"/>
      <c r="DY180" s="210"/>
      <c r="DZ180" s="210"/>
      <c r="EA180" s="210"/>
    </row>
    <row r="181" spans="1:131" ht="16.350000000000001" customHeight="1" x14ac:dyDescent="0.25">
      <c r="B181" s="5213" t="s">
        <v>1284</v>
      </c>
      <c r="C181" s="5214"/>
      <c r="D181" s="5349" t="s">
        <v>231</v>
      </c>
      <c r="E181" s="5350"/>
      <c r="F181" s="5351"/>
      <c r="G181" s="5355" t="s">
        <v>5</v>
      </c>
      <c r="H181" s="5356"/>
      <c r="I181" s="5356"/>
      <c r="J181" s="5356"/>
      <c r="K181" s="5356"/>
      <c r="L181" s="5356"/>
      <c r="M181" s="5356"/>
      <c r="N181" s="5356"/>
      <c r="O181" s="5356"/>
      <c r="P181" s="5356"/>
      <c r="Q181" s="5356"/>
      <c r="R181" s="5357"/>
    </row>
    <row r="182" spans="1:131" ht="16.350000000000001" customHeight="1" x14ac:dyDescent="0.25">
      <c r="B182" s="5215"/>
      <c r="C182" s="5216"/>
      <c r="D182" s="5352"/>
      <c r="E182" s="5353"/>
      <c r="F182" s="5354"/>
      <c r="G182" s="5211" t="s">
        <v>232</v>
      </c>
      <c r="H182" s="5212"/>
      <c r="I182" s="5211" t="s">
        <v>233</v>
      </c>
      <c r="J182" s="5212"/>
      <c r="K182" s="5211" t="s">
        <v>234</v>
      </c>
      <c r="L182" s="5212"/>
      <c r="M182" s="5211" t="s">
        <v>235</v>
      </c>
      <c r="N182" s="5212"/>
      <c r="O182" s="5211" t="s">
        <v>236</v>
      </c>
      <c r="P182" s="5212"/>
      <c r="Q182" s="5347" t="s">
        <v>237</v>
      </c>
      <c r="R182" s="5348"/>
    </row>
    <row r="183" spans="1:131" ht="16.350000000000001" customHeight="1" x14ac:dyDescent="0.25">
      <c r="B183" s="5217"/>
      <c r="C183" s="5218"/>
      <c r="D183" s="3859" t="s">
        <v>184</v>
      </c>
      <c r="E183" s="3860" t="s">
        <v>24</v>
      </c>
      <c r="F183" s="3861" t="s">
        <v>25</v>
      </c>
      <c r="G183" s="2372" t="s">
        <v>24</v>
      </c>
      <c r="H183" s="2373" t="s">
        <v>25</v>
      </c>
      <c r="I183" s="2372" t="s">
        <v>24</v>
      </c>
      <c r="J183" s="2373" t="s">
        <v>25</v>
      </c>
      <c r="K183" s="2372" t="s">
        <v>24</v>
      </c>
      <c r="L183" s="2373" t="s">
        <v>25</v>
      </c>
      <c r="M183" s="2372" t="s">
        <v>24</v>
      </c>
      <c r="N183" s="2373" t="s">
        <v>25</v>
      </c>
      <c r="O183" s="2372" t="s">
        <v>24</v>
      </c>
      <c r="P183" s="2373" t="s">
        <v>25</v>
      </c>
      <c r="Q183" s="2372" t="s">
        <v>24</v>
      </c>
      <c r="R183" s="2373" t="s">
        <v>25</v>
      </c>
      <c r="S183" s="783"/>
    </row>
    <row r="184" spans="1:131" ht="16.350000000000001" customHeight="1" x14ac:dyDescent="0.25">
      <c r="A184" s="2458" t="s">
        <v>2998</v>
      </c>
      <c r="B184" s="5219" t="s">
        <v>1287</v>
      </c>
      <c r="C184" s="5220"/>
      <c r="D184" s="2782" t="s">
        <v>2777</v>
      </c>
      <c r="E184" s="2783" t="s">
        <v>2778</v>
      </c>
      <c r="F184" s="383" t="s">
        <v>2779</v>
      </c>
      <c r="G184" s="2271" t="s">
        <v>2780</v>
      </c>
      <c r="H184" s="2270" t="s">
        <v>2781</v>
      </c>
      <c r="I184" s="2271" t="s">
        <v>2782</v>
      </c>
      <c r="J184" s="2270" t="s">
        <v>2783</v>
      </c>
      <c r="K184" s="2271" t="s">
        <v>2784</v>
      </c>
      <c r="L184" s="2270" t="s">
        <v>2785</v>
      </c>
      <c r="M184" s="2271" t="s">
        <v>2786</v>
      </c>
      <c r="N184" s="2270" t="s">
        <v>2787</v>
      </c>
      <c r="O184" s="2271" t="s">
        <v>2788</v>
      </c>
      <c r="P184" s="2270" t="s">
        <v>2789</v>
      </c>
      <c r="Q184" s="2271" t="s">
        <v>2790</v>
      </c>
      <c r="R184" s="2270" t="s">
        <v>2791</v>
      </c>
    </row>
    <row r="185" spans="1:131" ht="16.350000000000001" customHeight="1" x14ac:dyDescent="0.25">
      <c r="A185" s="2458" t="s">
        <v>2999</v>
      </c>
      <c r="B185" s="5221" t="s">
        <v>1288</v>
      </c>
      <c r="C185" s="5222"/>
      <c r="D185" s="716" t="s">
        <v>2777</v>
      </c>
      <c r="E185" s="717" t="s">
        <v>2778</v>
      </c>
      <c r="F185" s="384" t="s">
        <v>2779</v>
      </c>
      <c r="G185" s="126" t="s">
        <v>2780</v>
      </c>
      <c r="H185" s="125" t="s">
        <v>2781</v>
      </c>
      <c r="I185" s="126" t="s">
        <v>2782</v>
      </c>
      <c r="J185" s="125" t="s">
        <v>2783</v>
      </c>
      <c r="K185" s="126" t="s">
        <v>2784</v>
      </c>
      <c r="L185" s="125" t="s">
        <v>2785</v>
      </c>
      <c r="M185" s="126" t="s">
        <v>2786</v>
      </c>
      <c r="N185" s="125" t="s">
        <v>2787</v>
      </c>
      <c r="O185" s="126" t="s">
        <v>2788</v>
      </c>
      <c r="P185" s="125" t="s">
        <v>2789</v>
      </c>
      <c r="Q185" s="126" t="s">
        <v>2790</v>
      </c>
      <c r="R185" s="125" t="s">
        <v>2791</v>
      </c>
    </row>
    <row r="186" spans="1:131" ht="16.350000000000001" customHeight="1" x14ac:dyDescent="0.25">
      <c r="A186" s="2579"/>
      <c r="B186" s="5207" t="s">
        <v>1289</v>
      </c>
      <c r="C186" s="5208"/>
      <c r="D186" s="2611">
        <f>SUM(E186+F186)</f>
        <v>0</v>
      </c>
      <c r="E186" s="2770">
        <f>SUM(G186+I186+K186+M186+O186+Q186)</f>
        <v>0</v>
      </c>
      <c r="F186" s="3862">
        <f>SUM(H186+J186+L186+N186+P186+R186)</f>
        <v>0</v>
      </c>
      <c r="G186" s="2613">
        <f t="shared" ref="G186:R186" si="4">SUM(G184:G185)</f>
        <v>0</v>
      </c>
      <c r="H186" s="2599">
        <f t="shared" si="4"/>
        <v>0</v>
      </c>
      <c r="I186" s="2613">
        <f t="shared" si="4"/>
        <v>0</v>
      </c>
      <c r="J186" s="2599">
        <f t="shared" si="4"/>
        <v>0</v>
      </c>
      <c r="K186" s="2613">
        <f t="shared" si="4"/>
        <v>0</v>
      </c>
      <c r="L186" s="2599">
        <f t="shared" si="4"/>
        <v>0</v>
      </c>
      <c r="M186" s="2613">
        <f t="shared" si="4"/>
        <v>0</v>
      </c>
      <c r="N186" s="2599">
        <f t="shared" si="4"/>
        <v>0</v>
      </c>
      <c r="O186" s="2613">
        <f t="shared" si="4"/>
        <v>0</v>
      </c>
      <c r="P186" s="2599">
        <f t="shared" si="4"/>
        <v>0</v>
      </c>
      <c r="Q186" s="2613">
        <f t="shared" si="4"/>
        <v>0</v>
      </c>
      <c r="R186" s="2599">
        <f t="shared" si="4"/>
        <v>0</v>
      </c>
    </row>
    <row r="187" spans="1:131" ht="31.35" customHeight="1" x14ac:dyDescent="0.25">
      <c r="B187" s="177" t="s">
        <v>2616</v>
      </c>
      <c r="C187" s="1295"/>
      <c r="D187" s="3863"/>
      <c r="E187" s="3863"/>
      <c r="F187" s="3863"/>
      <c r="G187" s="1295"/>
      <c r="H187" s="1295"/>
      <c r="I187" s="2239"/>
      <c r="J187" s="892"/>
      <c r="K187" s="892"/>
      <c r="L187" s="892"/>
      <c r="M187" s="892"/>
      <c r="N187" s="892"/>
      <c r="O187" s="892"/>
      <c r="P187" s="892"/>
      <c r="Q187" s="892"/>
      <c r="R187" s="892"/>
      <c r="BB187" s="884"/>
      <c r="BC187" s="884"/>
      <c r="BD187" s="884"/>
      <c r="BE187" s="884"/>
      <c r="BF187" s="884"/>
      <c r="BG187" s="884"/>
      <c r="BH187" s="884"/>
      <c r="BI187" s="884"/>
      <c r="BJ187" s="884"/>
      <c r="BK187" s="884"/>
      <c r="BL187" s="884"/>
      <c r="BM187" s="884"/>
      <c r="BN187" s="884"/>
      <c r="BO187" s="884"/>
      <c r="BP187" s="884"/>
      <c r="BQ187" s="884"/>
      <c r="BR187" s="884"/>
      <c r="BS187" s="884"/>
      <c r="BT187" s="884"/>
      <c r="BU187" s="884"/>
      <c r="BV187" s="884"/>
      <c r="BW187" s="884"/>
      <c r="BX187" s="884"/>
      <c r="BY187" s="884"/>
      <c r="BZ187" s="884"/>
      <c r="CA187" s="884"/>
      <c r="DB187" s="210"/>
      <c r="DC187" s="210"/>
      <c r="DD187" s="210"/>
      <c r="DE187" s="210"/>
      <c r="DF187" s="210"/>
      <c r="DG187" s="210"/>
      <c r="DH187" s="210"/>
      <c r="DI187" s="210"/>
      <c r="DJ187" s="210"/>
      <c r="DK187" s="210"/>
      <c r="DL187" s="210"/>
      <c r="DM187" s="210"/>
      <c r="DN187" s="210"/>
      <c r="DO187" s="210"/>
      <c r="DP187" s="210"/>
      <c r="DQ187" s="210"/>
      <c r="DR187" s="210"/>
      <c r="DS187" s="210"/>
      <c r="DT187" s="210"/>
      <c r="DU187" s="210"/>
      <c r="DV187" s="210"/>
      <c r="DW187" s="210"/>
      <c r="DX187" s="210"/>
      <c r="DY187" s="210"/>
      <c r="DZ187" s="210"/>
      <c r="EA187" s="210"/>
    </row>
    <row r="188" spans="1:131" ht="16.350000000000001" customHeight="1" x14ac:dyDescent="0.25">
      <c r="B188" s="5191" t="s">
        <v>1295</v>
      </c>
      <c r="C188" s="5192"/>
      <c r="D188" s="5362" t="s">
        <v>42</v>
      </c>
      <c r="E188" s="5363"/>
      <c r="F188" s="5364"/>
      <c r="G188" s="5371" t="s">
        <v>5</v>
      </c>
      <c r="H188" s="5372"/>
      <c r="I188" s="5372"/>
      <c r="J188" s="5372"/>
      <c r="K188" s="5372"/>
      <c r="L188" s="5372"/>
      <c r="M188" s="5372"/>
      <c r="N188" s="5372"/>
      <c r="O188" s="5372"/>
      <c r="P188" s="5372"/>
      <c r="Q188" s="5372"/>
      <c r="R188" s="5372"/>
      <c r="S188" s="5372"/>
      <c r="T188" s="5373"/>
      <c r="U188" s="5374" t="s">
        <v>2220</v>
      </c>
      <c r="V188" s="5375"/>
    </row>
    <row r="189" spans="1:131" ht="16.350000000000001" customHeight="1" x14ac:dyDescent="0.25">
      <c r="B189" s="5193"/>
      <c r="C189" s="5194"/>
      <c r="D189" s="5365"/>
      <c r="E189" s="5366"/>
      <c r="F189" s="5367"/>
      <c r="G189" s="5368" t="s">
        <v>1290</v>
      </c>
      <c r="H189" s="5369"/>
      <c r="I189" s="5195" t="s">
        <v>841</v>
      </c>
      <c r="J189" s="5196"/>
      <c r="K189" s="5195" t="s">
        <v>605</v>
      </c>
      <c r="L189" s="5196"/>
      <c r="M189" s="5195" t="s">
        <v>1291</v>
      </c>
      <c r="N189" s="5196"/>
      <c r="O189" s="5195" t="s">
        <v>607</v>
      </c>
      <c r="P189" s="5196"/>
      <c r="Q189" s="5195" t="s">
        <v>608</v>
      </c>
      <c r="R189" s="5196"/>
      <c r="S189" s="5195" t="s">
        <v>609</v>
      </c>
      <c r="T189" s="5196"/>
      <c r="U189" s="5376"/>
      <c r="V189" s="5377"/>
    </row>
    <row r="190" spans="1:131" ht="16.350000000000001" customHeight="1" x14ac:dyDescent="0.25">
      <c r="B190" s="5195"/>
      <c r="C190" s="5196"/>
      <c r="D190" s="3864" t="s">
        <v>1293</v>
      </c>
      <c r="E190" s="3865" t="s">
        <v>24</v>
      </c>
      <c r="F190" s="3866" t="s">
        <v>25</v>
      </c>
      <c r="G190" s="2374" t="s">
        <v>24</v>
      </c>
      <c r="H190" s="2375" t="s">
        <v>25</v>
      </c>
      <c r="I190" s="2374" t="s">
        <v>24</v>
      </c>
      <c r="J190" s="2375" t="s">
        <v>25</v>
      </c>
      <c r="K190" s="2374" t="s">
        <v>24</v>
      </c>
      <c r="L190" s="2375" t="s">
        <v>25</v>
      </c>
      <c r="M190" s="2374" t="s">
        <v>24</v>
      </c>
      <c r="N190" s="2375" t="s">
        <v>25</v>
      </c>
      <c r="O190" s="2374" t="s">
        <v>24</v>
      </c>
      <c r="P190" s="2375" t="s">
        <v>25</v>
      </c>
      <c r="Q190" s="2374" t="s">
        <v>24</v>
      </c>
      <c r="R190" s="2375" t="s">
        <v>25</v>
      </c>
      <c r="S190" s="2374" t="s">
        <v>24</v>
      </c>
      <c r="T190" s="2375" t="s">
        <v>25</v>
      </c>
      <c r="U190" s="2376" t="s">
        <v>24</v>
      </c>
      <c r="V190" s="2377" t="s">
        <v>25</v>
      </c>
    </row>
    <row r="191" spans="1:131" ht="16.350000000000001" customHeight="1" x14ac:dyDescent="0.25">
      <c r="A191" s="2458" t="s">
        <v>3000</v>
      </c>
      <c r="B191" s="5185" t="s">
        <v>1292</v>
      </c>
      <c r="C191" s="2615" t="s">
        <v>239</v>
      </c>
      <c r="D191" s="3867" t="s">
        <v>2777</v>
      </c>
      <c r="E191" s="3868" t="s">
        <v>2778</v>
      </c>
      <c r="F191" s="3869" t="s">
        <v>2779</v>
      </c>
      <c r="G191" s="2616" t="s">
        <v>2780</v>
      </c>
      <c r="H191" s="2617" t="s">
        <v>2781</v>
      </c>
      <c r="I191" s="2616" t="s">
        <v>2782</v>
      </c>
      <c r="J191" s="2617" t="s">
        <v>2783</v>
      </c>
      <c r="K191" s="2616" t="s">
        <v>2784</v>
      </c>
      <c r="L191" s="2617" t="s">
        <v>2785</v>
      </c>
      <c r="M191" s="2616" t="s">
        <v>2786</v>
      </c>
      <c r="N191" s="2617" t="s">
        <v>2787</v>
      </c>
      <c r="O191" s="2616" t="s">
        <v>2788</v>
      </c>
      <c r="P191" s="2617" t="s">
        <v>2789</v>
      </c>
      <c r="Q191" s="2616" t="s">
        <v>2790</v>
      </c>
      <c r="R191" s="2618" t="s">
        <v>2791</v>
      </c>
      <c r="S191" s="2616" t="s">
        <v>2792</v>
      </c>
      <c r="T191" s="2618" t="s">
        <v>2793</v>
      </c>
      <c r="U191" s="2619" t="s">
        <v>2794</v>
      </c>
      <c r="V191" s="2619" t="s">
        <v>2795</v>
      </c>
    </row>
    <row r="192" spans="1:131" ht="16.350000000000001" customHeight="1" x14ac:dyDescent="0.25">
      <c r="A192" s="2458" t="s">
        <v>3001</v>
      </c>
      <c r="B192" s="5186"/>
      <c r="C192" s="654" t="s">
        <v>1294</v>
      </c>
      <c r="D192" s="3870" t="s">
        <v>2777</v>
      </c>
      <c r="E192" s="3871" t="s">
        <v>2778</v>
      </c>
      <c r="F192" s="3872" t="s">
        <v>2779</v>
      </c>
      <c r="G192" s="653" t="s">
        <v>2780</v>
      </c>
      <c r="H192" s="651" t="s">
        <v>2781</v>
      </c>
      <c r="I192" s="653" t="s">
        <v>2782</v>
      </c>
      <c r="J192" s="651" t="s">
        <v>2783</v>
      </c>
      <c r="K192" s="653" t="s">
        <v>2784</v>
      </c>
      <c r="L192" s="651" t="s">
        <v>2785</v>
      </c>
      <c r="M192" s="653" t="s">
        <v>2786</v>
      </c>
      <c r="N192" s="651" t="s">
        <v>2787</v>
      </c>
      <c r="O192" s="653" t="s">
        <v>2788</v>
      </c>
      <c r="P192" s="651" t="s">
        <v>2789</v>
      </c>
      <c r="Q192" s="653" t="s">
        <v>2790</v>
      </c>
      <c r="R192" s="652" t="s">
        <v>2791</v>
      </c>
      <c r="S192" s="653" t="s">
        <v>2792</v>
      </c>
      <c r="T192" s="652" t="s">
        <v>2793</v>
      </c>
      <c r="U192" s="2619" t="s">
        <v>2794</v>
      </c>
      <c r="V192" s="2619" t="s">
        <v>2795</v>
      </c>
    </row>
    <row r="193" spans="1:131" ht="16.350000000000001" customHeight="1" x14ac:dyDescent="0.25">
      <c r="A193" s="2579"/>
      <c r="B193" s="5187" t="s">
        <v>149</v>
      </c>
      <c r="C193" s="5188"/>
      <c r="D193" s="3873">
        <f>SUM(D191:D192)</f>
        <v>0</v>
      </c>
      <c r="E193" s="3873">
        <f t="shared" ref="E193:T193" si="5">SUM(E191:E192)</f>
        <v>0</v>
      </c>
      <c r="F193" s="3873">
        <f t="shared" si="5"/>
        <v>0</v>
      </c>
      <c r="G193" s="2378">
        <f t="shared" si="5"/>
        <v>0</v>
      </c>
      <c r="H193" s="2378">
        <f t="shared" si="5"/>
        <v>0</v>
      </c>
      <c r="I193" s="2378">
        <f t="shared" si="5"/>
        <v>0</v>
      </c>
      <c r="J193" s="2378">
        <f t="shared" si="5"/>
        <v>0</v>
      </c>
      <c r="K193" s="2378">
        <f t="shared" si="5"/>
        <v>0</v>
      </c>
      <c r="L193" s="2378">
        <f t="shared" si="5"/>
        <v>0</v>
      </c>
      <c r="M193" s="2378">
        <f t="shared" si="5"/>
        <v>0</v>
      </c>
      <c r="N193" s="2378">
        <f t="shared" si="5"/>
        <v>0</v>
      </c>
      <c r="O193" s="2378">
        <f t="shared" si="5"/>
        <v>0</v>
      </c>
      <c r="P193" s="2378">
        <f t="shared" si="5"/>
        <v>0</v>
      </c>
      <c r="Q193" s="2378">
        <f t="shared" si="5"/>
        <v>0</v>
      </c>
      <c r="R193" s="2378">
        <f t="shared" si="5"/>
        <v>0</v>
      </c>
      <c r="S193" s="2378">
        <f t="shared" si="5"/>
        <v>0</v>
      </c>
      <c r="T193" s="2378">
        <f t="shared" si="5"/>
        <v>0</v>
      </c>
      <c r="U193" s="2378">
        <f>SUM(U191:U192)</f>
        <v>0</v>
      </c>
      <c r="V193" s="2378">
        <f t="shared" ref="V193" si="6">SUM(V191:V192)</f>
        <v>0</v>
      </c>
    </row>
    <row r="194" spans="1:131" ht="24" customHeight="1" x14ac:dyDescent="0.25">
      <c r="B194" s="2239" t="s">
        <v>1583</v>
      </c>
      <c r="C194" s="2239"/>
      <c r="D194" s="3874"/>
      <c r="E194" s="3874"/>
      <c r="F194" s="3874"/>
      <c r="G194" s="2239"/>
      <c r="J194" s="835"/>
      <c r="K194" s="835"/>
      <c r="L194" s="835"/>
      <c r="M194" s="835"/>
      <c r="N194" s="835"/>
      <c r="O194" s="835"/>
      <c r="P194" s="835"/>
      <c r="Q194" s="835"/>
      <c r="R194" s="835"/>
    </row>
    <row r="195" spans="1:131" ht="15" customHeight="1" x14ac:dyDescent="0.25">
      <c r="B195" s="5200" t="s">
        <v>1566</v>
      </c>
      <c r="C195" s="5201"/>
      <c r="D195" s="5389" t="s">
        <v>42</v>
      </c>
      <c r="E195" s="5390"/>
      <c r="F195" s="5391"/>
      <c r="G195" s="5382" t="s">
        <v>5</v>
      </c>
      <c r="H195" s="5383"/>
      <c r="I195" s="5383"/>
      <c r="J195" s="5383"/>
      <c r="K195" s="5383"/>
      <c r="L195" s="5383"/>
      <c r="M195" s="5383"/>
      <c r="N195" s="5383"/>
      <c r="O195" s="5383"/>
      <c r="P195" s="5384"/>
      <c r="Q195" s="5200" t="s">
        <v>1584</v>
      </c>
      <c r="R195" s="5201"/>
      <c r="S195" s="5385" t="s">
        <v>1358</v>
      </c>
      <c r="T195" s="5201"/>
      <c r="U195" s="5382" t="s">
        <v>794</v>
      </c>
      <c r="V195" s="5383"/>
      <c r="W195" s="5383"/>
      <c r="X195" s="5384"/>
    </row>
    <row r="196" spans="1:131" ht="15.75" customHeight="1" x14ac:dyDescent="0.25">
      <c r="B196" s="5387"/>
      <c r="C196" s="5388"/>
      <c r="D196" s="5392"/>
      <c r="E196" s="5393"/>
      <c r="F196" s="5394"/>
      <c r="G196" s="5346" t="s">
        <v>180</v>
      </c>
      <c r="H196" s="5346"/>
      <c r="I196" s="5346" t="s">
        <v>181</v>
      </c>
      <c r="J196" s="5346"/>
      <c r="K196" s="5346" t="s">
        <v>244</v>
      </c>
      <c r="L196" s="5346"/>
      <c r="M196" s="5346" t="s">
        <v>1585</v>
      </c>
      <c r="N196" s="5346"/>
      <c r="O196" s="5346" t="s">
        <v>1572</v>
      </c>
      <c r="P196" s="5346"/>
      <c r="Q196" s="5202"/>
      <c r="R196" s="5203"/>
      <c r="S196" s="5386"/>
      <c r="T196" s="5203"/>
      <c r="U196" s="5378" t="s">
        <v>1589</v>
      </c>
      <c r="V196" s="5380" t="s">
        <v>1588</v>
      </c>
      <c r="W196" s="5378" t="s">
        <v>1587</v>
      </c>
      <c r="X196" s="5378" t="s">
        <v>1586</v>
      </c>
    </row>
    <row r="197" spans="1:131" s="489" customFormat="1" ht="30.75" customHeight="1" x14ac:dyDescent="0.25">
      <c r="A197" s="2614"/>
      <c r="B197" s="5202"/>
      <c r="C197" s="5203"/>
      <c r="D197" s="3875" t="s">
        <v>1293</v>
      </c>
      <c r="E197" s="3876" t="s">
        <v>24</v>
      </c>
      <c r="F197" s="3877" t="s">
        <v>25</v>
      </c>
      <c r="G197" s="2379" t="s">
        <v>24</v>
      </c>
      <c r="H197" s="2380" t="s">
        <v>25</v>
      </c>
      <c r="I197" s="2379" t="s">
        <v>24</v>
      </c>
      <c r="J197" s="2380" t="s">
        <v>25</v>
      </c>
      <c r="K197" s="2379" t="s">
        <v>24</v>
      </c>
      <c r="L197" s="2380" t="s">
        <v>25</v>
      </c>
      <c r="M197" s="2379" t="s">
        <v>24</v>
      </c>
      <c r="N197" s="2380" t="s">
        <v>25</v>
      </c>
      <c r="O197" s="2379" t="s">
        <v>24</v>
      </c>
      <c r="P197" s="2380" t="s">
        <v>25</v>
      </c>
      <c r="Q197" s="2379" t="s">
        <v>24</v>
      </c>
      <c r="R197" s="2380" t="s">
        <v>25</v>
      </c>
      <c r="S197" s="2381" t="s">
        <v>24</v>
      </c>
      <c r="T197" s="2380" t="s">
        <v>25</v>
      </c>
      <c r="U197" s="5379"/>
      <c r="V197" s="5381"/>
      <c r="W197" s="5379"/>
      <c r="X197" s="5379"/>
      <c r="Y197" s="210"/>
      <c r="Z197" s="210"/>
      <c r="AA197" s="210"/>
      <c r="AB197" s="210"/>
      <c r="AC197" s="210"/>
      <c r="AD197" s="210"/>
      <c r="AE197" s="210"/>
      <c r="AF197" s="210"/>
      <c r="AG197" s="210"/>
      <c r="AH197" s="210"/>
      <c r="AI197" s="210"/>
      <c r="AJ197" s="210"/>
      <c r="AK197" s="210"/>
      <c r="AL197" s="210"/>
      <c r="AM197" s="210"/>
      <c r="AN197" s="210"/>
      <c r="AO197" s="210"/>
      <c r="AP197" s="210"/>
      <c r="AQ197" s="210"/>
      <c r="AR197" s="210"/>
      <c r="AS197" s="210"/>
      <c r="AT197" s="210"/>
      <c r="AU197" s="210"/>
      <c r="AV197" s="210"/>
      <c r="AW197" s="210"/>
      <c r="AX197" s="210"/>
      <c r="AY197" s="210"/>
      <c r="AZ197" s="210"/>
      <c r="BA197" s="210"/>
      <c r="BB197" s="210"/>
      <c r="BC197" s="210"/>
      <c r="BD197" s="210"/>
      <c r="BE197" s="210"/>
      <c r="BF197" s="210"/>
      <c r="BG197" s="210"/>
      <c r="BH197" s="210"/>
      <c r="BI197" s="210"/>
      <c r="BJ197" s="210"/>
      <c r="BK197" s="210"/>
      <c r="BL197" s="210"/>
      <c r="BM197" s="210"/>
      <c r="BN197" s="210"/>
      <c r="BO197" s="210"/>
      <c r="BP197" s="210"/>
      <c r="BQ197" s="210"/>
      <c r="BR197" s="210"/>
      <c r="BS197" s="210"/>
      <c r="BT197" s="210"/>
      <c r="BU197" s="210"/>
      <c r="BV197" s="210"/>
      <c r="BW197" s="210"/>
      <c r="BX197" s="210"/>
      <c r="BY197" s="210"/>
      <c r="BZ197" s="210"/>
      <c r="CA197" s="210"/>
      <c r="CB197" s="210"/>
      <c r="CC197" s="210"/>
      <c r="CD197" s="210"/>
      <c r="CE197" s="210"/>
      <c r="CF197" s="210"/>
      <c r="CG197" s="210"/>
      <c r="CH197" s="210"/>
      <c r="CI197" s="210"/>
      <c r="CJ197" s="210"/>
      <c r="CK197" s="210"/>
      <c r="CL197" s="210"/>
      <c r="CM197" s="210"/>
      <c r="CN197" s="210"/>
      <c r="CO197" s="210"/>
      <c r="CP197" s="210"/>
      <c r="CQ197" s="210"/>
      <c r="CR197" s="210"/>
      <c r="CS197" s="210"/>
      <c r="CT197" s="210"/>
      <c r="CU197" s="210"/>
      <c r="CV197" s="210"/>
      <c r="CW197" s="210"/>
      <c r="CX197" s="210"/>
      <c r="CY197" s="210"/>
      <c r="CZ197" s="210"/>
      <c r="DA197" s="210"/>
      <c r="DB197" s="210"/>
      <c r="DC197" s="210"/>
      <c r="DD197" s="210"/>
      <c r="DE197" s="210"/>
      <c r="DF197" s="210"/>
      <c r="DG197" s="210"/>
      <c r="DH197" s="210"/>
      <c r="DI197" s="210"/>
      <c r="DJ197" s="210"/>
      <c r="DK197" s="210"/>
      <c r="DL197" s="210"/>
      <c r="DM197" s="210"/>
      <c r="DN197" s="210"/>
      <c r="DO197" s="210"/>
      <c r="DP197" s="210"/>
      <c r="DQ197" s="210"/>
      <c r="DR197" s="210"/>
      <c r="DS197" s="210"/>
      <c r="DT197" s="210"/>
      <c r="DU197" s="210"/>
      <c r="DV197" s="210"/>
      <c r="DW197" s="210"/>
      <c r="DX197" s="210"/>
      <c r="DY197" s="210"/>
      <c r="DZ197" s="210"/>
      <c r="EA197" s="210"/>
    </row>
    <row r="198" spans="1:131" ht="21.75" customHeight="1" x14ac:dyDescent="0.25">
      <c r="A198" s="2458" t="s">
        <v>3002</v>
      </c>
      <c r="B198" s="5189" t="s">
        <v>1662</v>
      </c>
      <c r="C198" s="5190"/>
      <c r="D198" s="3878" t="s">
        <v>2777</v>
      </c>
      <c r="E198" s="3879" t="s">
        <v>2778</v>
      </c>
      <c r="F198" s="3880" t="s">
        <v>2779</v>
      </c>
      <c r="G198" s="2620" t="s">
        <v>2780</v>
      </c>
      <c r="H198" s="2621" t="s">
        <v>2781</v>
      </c>
      <c r="I198" s="2620" t="s">
        <v>2782</v>
      </c>
      <c r="J198" s="2621" t="s">
        <v>2783</v>
      </c>
      <c r="K198" s="2620" t="s">
        <v>2784</v>
      </c>
      <c r="L198" s="2621" t="s">
        <v>2785</v>
      </c>
      <c r="M198" s="2620" t="s">
        <v>2786</v>
      </c>
      <c r="N198" s="2621" t="s">
        <v>2787</v>
      </c>
      <c r="O198" s="2620" t="s">
        <v>2788</v>
      </c>
      <c r="P198" s="2621" t="s">
        <v>2789</v>
      </c>
      <c r="Q198" s="2620" t="s">
        <v>2790</v>
      </c>
      <c r="R198" s="2622" t="s">
        <v>2791</v>
      </c>
      <c r="S198" s="2621" t="s">
        <v>2792</v>
      </c>
      <c r="T198" s="2622" t="s">
        <v>2793</v>
      </c>
      <c r="U198" s="2623" t="s">
        <v>2794</v>
      </c>
      <c r="V198" s="2622" t="s">
        <v>2795</v>
      </c>
      <c r="W198" s="2623" t="s">
        <v>2796</v>
      </c>
      <c r="X198" s="2623" t="s">
        <v>2797</v>
      </c>
      <c r="Y198" s="1168"/>
      <c r="CH198" s="887">
        <v>0</v>
      </c>
      <c r="CI198" s="887">
        <v>0</v>
      </c>
      <c r="CJ198" s="887">
        <v>0</v>
      </c>
      <c r="CK198" s="887">
        <v>0</v>
      </c>
      <c r="CL198" s="887">
        <v>0</v>
      </c>
    </row>
    <row r="199" spans="1:131" ht="28.5" customHeight="1" x14ac:dyDescent="0.25">
      <c r="B199" s="2239" t="s">
        <v>1646</v>
      </c>
      <c r="C199" s="2239"/>
      <c r="D199" s="3874"/>
    </row>
    <row r="200" spans="1:131" x14ac:dyDescent="0.25">
      <c r="B200" s="5200" t="s">
        <v>1566</v>
      </c>
      <c r="C200" s="5201"/>
      <c r="D200" s="5204" t="s">
        <v>173</v>
      </c>
      <c r="E200" s="5205"/>
    </row>
    <row r="201" spans="1:131" ht="23.25" customHeight="1" x14ac:dyDescent="0.25">
      <c r="B201" s="5202"/>
      <c r="C201" s="5203"/>
      <c r="D201" s="3881" t="s">
        <v>24</v>
      </c>
      <c r="E201" s="3882" t="s">
        <v>25</v>
      </c>
    </row>
    <row r="202" spans="1:131" ht="15.95" customHeight="1" x14ac:dyDescent="0.25">
      <c r="A202" s="2458" t="s">
        <v>3003</v>
      </c>
      <c r="B202" s="5173" t="s">
        <v>1653</v>
      </c>
      <c r="C202" s="5174"/>
      <c r="D202" s="3883" t="s">
        <v>2777</v>
      </c>
      <c r="E202" s="3884" t="s">
        <v>2778</v>
      </c>
    </row>
    <row r="203" spans="1:131" ht="15.95" customHeight="1" x14ac:dyDescent="0.25">
      <c r="A203" s="2458" t="s">
        <v>3004</v>
      </c>
      <c r="B203" s="5169" t="s">
        <v>3005</v>
      </c>
      <c r="C203" s="5170"/>
      <c r="D203" s="3885" t="s">
        <v>2777</v>
      </c>
      <c r="E203" s="3886" t="s">
        <v>2778</v>
      </c>
    </row>
    <row r="204" spans="1:131" ht="24.95" customHeight="1" x14ac:dyDescent="0.25">
      <c r="A204" s="2458" t="s">
        <v>3006</v>
      </c>
      <c r="B204" s="5169" t="s">
        <v>3007</v>
      </c>
      <c r="C204" s="5170"/>
      <c r="D204" s="3885" t="s">
        <v>2777</v>
      </c>
      <c r="E204" s="3886" t="s">
        <v>2778</v>
      </c>
    </row>
    <row r="205" spans="1:131" ht="24.95" customHeight="1" x14ac:dyDescent="0.25">
      <c r="A205" s="2458" t="s">
        <v>3008</v>
      </c>
      <c r="B205" s="5171" t="s">
        <v>3009</v>
      </c>
      <c r="C205" s="5172"/>
      <c r="D205" s="3887" t="s">
        <v>2777</v>
      </c>
      <c r="E205" s="3888" t="s">
        <v>2778</v>
      </c>
    </row>
    <row r="212" spans="1:1" x14ac:dyDescent="0.25">
      <c r="A212" s="4632"/>
    </row>
    <row r="214" spans="1:1" x14ac:dyDescent="0.25">
      <c r="A214" s="210" t="s">
        <v>3742</v>
      </c>
    </row>
    <row r="215" spans="1:1" x14ac:dyDescent="0.25">
      <c r="A215" s="4630" t="s">
        <v>3743</v>
      </c>
    </row>
    <row r="251" spans="2:131" s="1179" customFormat="1" hidden="1" x14ac:dyDescent="0.25">
      <c r="B251" s="1179">
        <f>SUM(G12:Z14,G20:S38,G43:R46,G52:J54,G59:P63,D69:D72,D75:F75,D78:F81,G86:J90,G97:R104,G109:AB138,G140:AB149,G155:AN160,G165:P170,G175:R177,G184:R185,G191:T192,G198:X198,D202:E205)</f>
        <v>0</v>
      </c>
      <c r="C251" s="1179">
        <f>SUM(DG13:DZ13,CH20:CO205)</f>
        <v>0</v>
      </c>
      <c r="D251" s="3889"/>
      <c r="E251" s="3889"/>
      <c r="F251" s="3889"/>
      <c r="BB251" s="1180"/>
      <c r="BC251" s="1180"/>
      <c r="BD251" s="1180"/>
      <c r="BE251" s="1180"/>
      <c r="BF251" s="1180"/>
      <c r="BG251" s="1180"/>
      <c r="BH251" s="1180"/>
      <c r="BI251" s="1180"/>
      <c r="BJ251" s="1180"/>
      <c r="BK251" s="1180"/>
      <c r="BL251" s="1180"/>
      <c r="BM251" s="1180"/>
      <c r="BN251" s="1180"/>
      <c r="BO251" s="1180"/>
      <c r="BP251" s="1180"/>
      <c r="BQ251" s="1180"/>
      <c r="BR251" s="1180"/>
      <c r="BS251" s="1180"/>
      <c r="BT251" s="1180"/>
      <c r="BU251" s="1180"/>
      <c r="BV251" s="1180"/>
      <c r="BW251" s="1180"/>
      <c r="BX251" s="1180"/>
      <c r="BY251" s="1180"/>
      <c r="BZ251" s="1180"/>
      <c r="CA251" s="1180"/>
      <c r="CB251" s="1180"/>
      <c r="CC251" s="1180"/>
      <c r="CD251" s="1180"/>
      <c r="CE251" s="1180"/>
      <c r="CF251" s="1180"/>
      <c r="CG251" s="1180"/>
      <c r="CH251" s="1180"/>
      <c r="CI251" s="1180"/>
      <c r="CJ251" s="1180"/>
      <c r="CK251" s="1180"/>
      <c r="CL251" s="1180"/>
      <c r="CM251" s="1180"/>
      <c r="CN251" s="1180"/>
      <c r="CO251" s="1180"/>
      <c r="CP251" s="1180"/>
      <c r="CQ251" s="1180"/>
      <c r="CR251" s="1180"/>
      <c r="CS251" s="1180"/>
      <c r="CT251" s="1180"/>
      <c r="CU251" s="1180"/>
      <c r="CV251" s="1180"/>
      <c r="CW251" s="1180"/>
      <c r="CX251" s="1180"/>
      <c r="CY251" s="1180"/>
      <c r="CZ251" s="1180"/>
      <c r="DA251" s="1180"/>
      <c r="DB251" s="1180"/>
      <c r="DC251" s="1180"/>
      <c r="DD251" s="1180"/>
      <c r="DE251" s="1180"/>
      <c r="DF251" s="1180"/>
      <c r="DG251" s="1180"/>
      <c r="DH251" s="1180"/>
      <c r="DI251" s="1180"/>
      <c r="DJ251" s="1180"/>
      <c r="DK251" s="1180"/>
      <c r="DL251" s="1180"/>
      <c r="DM251" s="1180"/>
      <c r="DN251" s="1180"/>
      <c r="DO251" s="1180"/>
      <c r="DP251" s="1180"/>
      <c r="DQ251" s="1180"/>
      <c r="DR251" s="1180"/>
      <c r="DS251" s="1180"/>
      <c r="DT251" s="1180"/>
      <c r="DU251" s="1180"/>
      <c r="DV251" s="1180"/>
      <c r="DW251" s="1180"/>
      <c r="DX251" s="1180"/>
      <c r="DY251" s="1180"/>
      <c r="DZ251" s="1180"/>
      <c r="EA251" s="1180"/>
    </row>
  </sheetData>
  <mergeCells count="227">
    <mergeCell ref="A9:A10"/>
    <mergeCell ref="S189:T189"/>
    <mergeCell ref="G188:T188"/>
    <mergeCell ref="U188:V189"/>
    <mergeCell ref="U196:U197"/>
    <mergeCell ref="V196:V197"/>
    <mergeCell ref="W196:W197"/>
    <mergeCell ref="X196:X197"/>
    <mergeCell ref="U195:X195"/>
    <mergeCell ref="G195:P195"/>
    <mergeCell ref="Q195:R196"/>
    <mergeCell ref="S195:T196"/>
    <mergeCell ref="I189:J189"/>
    <mergeCell ref="K189:L189"/>
    <mergeCell ref="Q173:R173"/>
    <mergeCell ref="K182:L182"/>
    <mergeCell ref="M182:N182"/>
    <mergeCell ref="M173:N173"/>
    <mergeCell ref="G173:H173"/>
    <mergeCell ref="O173:P173"/>
    <mergeCell ref="O182:P182"/>
    <mergeCell ref="B195:C197"/>
    <mergeCell ref="D195:F196"/>
    <mergeCell ref="G196:H196"/>
    <mergeCell ref="I196:J196"/>
    <mergeCell ref="K196:L196"/>
    <mergeCell ref="M196:N196"/>
    <mergeCell ref="O196:P196"/>
    <mergeCell ref="Q182:R182"/>
    <mergeCell ref="D181:F182"/>
    <mergeCell ref="G181:R181"/>
    <mergeCell ref="G182:H182"/>
    <mergeCell ref="B175:C175"/>
    <mergeCell ref="B176:C176"/>
    <mergeCell ref="O189:P189"/>
    <mergeCell ref="Q189:R189"/>
    <mergeCell ref="D188:F189"/>
    <mergeCell ref="G189:H189"/>
    <mergeCell ref="B17:B19"/>
    <mergeCell ref="C17:C19"/>
    <mergeCell ref="D17:F18"/>
    <mergeCell ref="G17:R17"/>
    <mergeCell ref="G18:H18"/>
    <mergeCell ref="I18:J18"/>
    <mergeCell ref="K18:L18"/>
    <mergeCell ref="M18:N18"/>
    <mergeCell ref="O18:P18"/>
    <mergeCell ref="Q18:R18"/>
    <mergeCell ref="B43:C43"/>
    <mergeCell ref="B44:C44"/>
    <mergeCell ref="B45:C45"/>
    <mergeCell ref="B46:C46"/>
    <mergeCell ref="B48:C50"/>
    <mergeCell ref="B20:C20"/>
    <mergeCell ref="B21:B24"/>
    <mergeCell ref="B25:B33"/>
    <mergeCell ref="B34:B35"/>
    <mergeCell ref="B36:B38"/>
    <mergeCell ref="B40:C42"/>
    <mergeCell ref="O41:P41"/>
    <mergeCell ref="Q41:R41"/>
    <mergeCell ref="Y10:Z10"/>
    <mergeCell ref="B12:C12"/>
    <mergeCell ref="B13:B14"/>
    <mergeCell ref="B9:C11"/>
    <mergeCell ref="D9:F10"/>
    <mergeCell ref="G9:Z9"/>
    <mergeCell ref="G10:H10"/>
    <mergeCell ref="I10:J10"/>
    <mergeCell ref="K10:L10"/>
    <mergeCell ref="M10:N10"/>
    <mergeCell ref="O10:P10"/>
    <mergeCell ref="Q10:R10"/>
    <mergeCell ref="S10:T10"/>
    <mergeCell ref="U10:V10"/>
    <mergeCell ref="W10:X10"/>
    <mergeCell ref="S17:S19"/>
    <mergeCell ref="D40:F41"/>
    <mergeCell ref="G40:R40"/>
    <mergeCell ref="G41:H41"/>
    <mergeCell ref="I41:J41"/>
    <mergeCell ref="K41:L41"/>
    <mergeCell ref="M41:N41"/>
    <mergeCell ref="D48:F49"/>
    <mergeCell ref="G48:J48"/>
    <mergeCell ref="G49:H49"/>
    <mergeCell ref="I49:J49"/>
    <mergeCell ref="B51:C51"/>
    <mergeCell ref="B52:C52"/>
    <mergeCell ref="B53:C53"/>
    <mergeCell ref="B54:C54"/>
    <mergeCell ref="B56:C58"/>
    <mergeCell ref="D56:F57"/>
    <mergeCell ref="G56:P56"/>
    <mergeCell ref="G57:H57"/>
    <mergeCell ref="I57:J57"/>
    <mergeCell ref="K57:L57"/>
    <mergeCell ref="M57:N57"/>
    <mergeCell ref="O57:P57"/>
    <mergeCell ref="B59:C59"/>
    <mergeCell ref="B60:C60"/>
    <mergeCell ref="B63:C63"/>
    <mergeCell ref="B61:C61"/>
    <mergeCell ref="B62:C62"/>
    <mergeCell ref="B66:C67"/>
    <mergeCell ref="D66:D67"/>
    <mergeCell ref="B68:C68"/>
    <mergeCell ref="B69:C69"/>
    <mergeCell ref="B70:C70"/>
    <mergeCell ref="B71:C71"/>
    <mergeCell ref="B72:C72"/>
    <mergeCell ref="B74:C74"/>
    <mergeCell ref="B75:C75"/>
    <mergeCell ref="B90:C90"/>
    <mergeCell ref="B91:Q91"/>
    <mergeCell ref="B77:C77"/>
    <mergeCell ref="B78:B79"/>
    <mergeCell ref="B80:B81"/>
    <mergeCell ref="D83:F83"/>
    <mergeCell ref="G83:H83"/>
    <mergeCell ref="I83:J83"/>
    <mergeCell ref="B87:C87"/>
    <mergeCell ref="B86:C86"/>
    <mergeCell ref="B83:C84"/>
    <mergeCell ref="B85:C85"/>
    <mergeCell ref="B88:C88"/>
    <mergeCell ref="B89:C89"/>
    <mergeCell ref="AE153:AF153"/>
    <mergeCell ref="AG153:AH153"/>
    <mergeCell ref="W107:X107"/>
    <mergeCell ref="Y107:Z107"/>
    <mergeCell ref="B99:C99"/>
    <mergeCell ref="B102:B104"/>
    <mergeCell ref="B106:B108"/>
    <mergeCell ref="C106:C108"/>
    <mergeCell ref="D106:F107"/>
    <mergeCell ref="G106:AB106"/>
    <mergeCell ref="G107:H107"/>
    <mergeCell ref="I107:J107"/>
    <mergeCell ref="AA107:AB107"/>
    <mergeCell ref="S107:T107"/>
    <mergeCell ref="U107:V107"/>
    <mergeCell ref="B100:C100"/>
    <mergeCell ref="B101:C101"/>
    <mergeCell ref="O107:P107"/>
    <mergeCell ref="Q107:R107"/>
    <mergeCell ref="B109:B113"/>
    <mergeCell ref="K107:L107"/>
    <mergeCell ref="M107:N107"/>
    <mergeCell ref="B134:B138"/>
    <mergeCell ref="B139:C139"/>
    <mergeCell ref="B140:B144"/>
    <mergeCell ref="B145:B149"/>
    <mergeCell ref="B124:B128"/>
    <mergeCell ref="B129:B133"/>
    <mergeCell ref="B114:B118"/>
    <mergeCell ref="B119:B123"/>
    <mergeCell ref="B92:R92"/>
    <mergeCell ref="B93:C95"/>
    <mergeCell ref="D93:F94"/>
    <mergeCell ref="G93:R93"/>
    <mergeCell ref="G94:H94"/>
    <mergeCell ref="I94:J94"/>
    <mergeCell ref="K94:L94"/>
    <mergeCell ref="M94:N94"/>
    <mergeCell ref="O94:P94"/>
    <mergeCell ref="Q94:R94"/>
    <mergeCell ref="B96:C96"/>
    <mergeCell ref="B97:C97"/>
    <mergeCell ref="B98:C98"/>
    <mergeCell ref="C162:C164"/>
    <mergeCell ref="D162:F163"/>
    <mergeCell ref="M153:N153"/>
    <mergeCell ref="B155:B157"/>
    <mergeCell ref="B158:B160"/>
    <mergeCell ref="G163:H163"/>
    <mergeCell ref="I163:J163"/>
    <mergeCell ref="K163:L163"/>
    <mergeCell ref="M163:N163"/>
    <mergeCell ref="B150:C150"/>
    <mergeCell ref="G162:P162"/>
    <mergeCell ref="B6:Z6"/>
    <mergeCell ref="O163:P163"/>
    <mergeCell ref="B165:B167"/>
    <mergeCell ref="B168:B170"/>
    <mergeCell ref="B171:P171"/>
    <mergeCell ref="B152:C154"/>
    <mergeCell ref="D152:F153"/>
    <mergeCell ref="G153:H153"/>
    <mergeCell ref="K153:L153"/>
    <mergeCell ref="G152:AN152"/>
    <mergeCell ref="I153:J153"/>
    <mergeCell ref="O153:P153"/>
    <mergeCell ref="Q153:R153"/>
    <mergeCell ref="S153:T153"/>
    <mergeCell ref="U153:V153"/>
    <mergeCell ref="W153:X153"/>
    <mergeCell ref="Y153:Z153"/>
    <mergeCell ref="AA153:AB153"/>
    <mergeCell ref="AC153:AD153"/>
    <mergeCell ref="AI153:AJ153"/>
    <mergeCell ref="AK153:AL153"/>
    <mergeCell ref="AM153:AN153"/>
    <mergeCell ref="B203:C203"/>
    <mergeCell ref="B204:C204"/>
    <mergeCell ref="B205:C205"/>
    <mergeCell ref="B202:C202"/>
    <mergeCell ref="I173:J173"/>
    <mergeCell ref="K173:L173"/>
    <mergeCell ref="B162:B164"/>
    <mergeCell ref="D172:F173"/>
    <mergeCell ref="B191:B192"/>
    <mergeCell ref="B193:C193"/>
    <mergeCell ref="B198:C198"/>
    <mergeCell ref="B188:C190"/>
    <mergeCell ref="B172:C174"/>
    <mergeCell ref="B200:C201"/>
    <mergeCell ref="D200:E200"/>
    <mergeCell ref="G172:R172"/>
    <mergeCell ref="B177:C177"/>
    <mergeCell ref="B178:C178"/>
    <mergeCell ref="I182:J182"/>
    <mergeCell ref="B181:C183"/>
    <mergeCell ref="B184:C184"/>
    <mergeCell ref="B185:C185"/>
    <mergeCell ref="B186:C186"/>
    <mergeCell ref="M189:N189"/>
  </mergeCells>
  <dataValidations count="4">
    <dataValidation operator="greaterThanOrEqual" allowBlank="1" showInputMessage="1" showErrorMessage="1" error="Valor no Permitido" sqref="B1:Z14 D96:R97 B15:S38 B39:R91 T15:Z108 AA1:AB108 S39:S108 B105:R108 B109:AB154 AO1:XFD1048576 AC1:AN154 B155:AN1048576" xr:uid="{00000000-0002-0000-0300-000000000000}"/>
    <dataValidation type="whole" operator="greaterThanOrEqual" allowBlank="1" showInputMessage="1" showErrorMessage="1" error="Valor no Permitido" sqref="G98:R104" xr:uid="{00000000-0002-0000-0300-000001000000}">
      <formula1>0</formula1>
    </dataValidation>
    <dataValidation allowBlank="1" showInputMessage="1" sqref="A75 A78:A81 A96:A97 A109:A149 A99 A101:A104 A165:A170 A175:A177 A86:A90 A69:A72 A59:A63 A51:A54 A43:A46 A31:A38 A20:A28 A12:A14" xr:uid="{00000000-0002-0000-0300-000002000000}"/>
    <dataValidation allowBlank="1" showInputMessage="1" showErrorMessage="1" errorTitle="ERROR" error="Por favor ingrese solo Números." sqref="A184:A185" xr:uid="{00000000-0002-0000-0300-000003000000}"/>
  </dataValidations>
  <pageMargins left="0.7" right="0.7" top="0.75" bottom="0.75" header="0.3" footer="0.3"/>
  <pageSetup paperSize="9" orientation="portrait" r:id="rId1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11">
    <tabColor theme="0"/>
  </sheetPr>
  <dimension ref="A1:DA208"/>
  <sheetViews>
    <sheetView topLeftCell="AD7" zoomScaleNormal="100" workbookViewId="0">
      <selection activeCell="AH21" sqref="AH21"/>
    </sheetView>
  </sheetViews>
  <sheetFormatPr baseColWidth="10" defaultColWidth="11.42578125" defaultRowHeight="14.25" x14ac:dyDescent="0.2"/>
  <cols>
    <col min="1" max="1" width="14.85546875" style="80" customWidth="1"/>
    <col min="2" max="2" width="46.140625" style="80" customWidth="1"/>
    <col min="3" max="3" width="16.5703125" style="80" customWidth="1"/>
    <col min="4" max="4" width="15.7109375" style="80" customWidth="1"/>
    <col min="5" max="5" width="14.42578125" style="80" customWidth="1"/>
    <col min="6" max="6" width="14.85546875" style="80" customWidth="1"/>
    <col min="7" max="7" width="16.7109375" style="80" customWidth="1"/>
    <col min="8" max="8" width="14" style="80" customWidth="1"/>
    <col min="9" max="9" width="13.140625" style="80" customWidth="1"/>
    <col min="10" max="10" width="11.85546875" style="80" customWidth="1"/>
    <col min="11" max="11" width="14.140625" style="80" customWidth="1"/>
    <col min="12" max="12" width="13.85546875" style="80" customWidth="1"/>
    <col min="13" max="13" width="15" style="80" customWidth="1"/>
    <col min="14" max="14" width="11.85546875" style="80" customWidth="1"/>
    <col min="15" max="41" width="11.42578125" style="80"/>
    <col min="42" max="42" width="12.85546875" style="80" customWidth="1"/>
    <col min="43" max="43" width="12" style="80" customWidth="1"/>
    <col min="44" max="76" width="11.42578125" style="80"/>
    <col min="77" max="77" width="11.28515625" style="79" customWidth="1"/>
    <col min="78" max="78" width="11.85546875" style="79" customWidth="1"/>
    <col min="79" max="79" width="10.85546875" style="891" customWidth="1"/>
    <col min="80" max="104" width="10.85546875" style="889" hidden="1" customWidth="1"/>
    <col min="105" max="105" width="0.140625" style="889" customWidth="1"/>
    <col min="106" max="106" width="10.85546875" style="80" customWidth="1"/>
    <col min="107" max="16384" width="11.42578125" style="80"/>
  </cols>
  <sheetData>
    <row r="1" spans="1:105" ht="16.350000000000001" customHeight="1" x14ac:dyDescent="0.2">
      <c r="B1" s="78" t="s">
        <v>910</v>
      </c>
    </row>
    <row r="2" spans="1:105" ht="16.350000000000001" customHeight="1" x14ac:dyDescent="0.2">
      <c r="B2" s="78" t="str">
        <f>CONCATENATE("COMUNA: ",NOMBRE!B2," - ","( ",NOMBRE!C2,NOMBRE!D2,NOMBRE!E2,NOMBRE!F2,NOMBRE!G2," )")</f>
        <v>COMUNA:  - (  )</v>
      </c>
    </row>
    <row r="3" spans="1:105" ht="16.350000000000001" customHeight="1" x14ac:dyDescent="0.2">
      <c r="B3" s="78" t="str">
        <f>CONCATENATE("ESTABLECIMIENTO/ESTRATEGIA: ",NOMBRE!B3," - ","( ",NOMBRE!C3,NOMBRE!D3,NOMBRE!E3,NOMBRE!F3,NOMBRE!G3,NOMBRE!H3," )")</f>
        <v>ESTABLECIMIENTO/ESTRATEGIA:  - (  )</v>
      </c>
    </row>
    <row r="4" spans="1:105" ht="16.350000000000001" customHeight="1" x14ac:dyDescent="0.2">
      <c r="B4" s="78" t="str">
        <f>CONCATENATE("MES: ",NOMBRE!B6," - ","( ",NOMBRE!C6,NOMBRE!D6," )")</f>
        <v>MES:  - (  )</v>
      </c>
    </row>
    <row r="5" spans="1:105" ht="16.350000000000001" customHeight="1" x14ac:dyDescent="0.2">
      <c r="B5" s="78" t="str">
        <f>CONCATENATE("AÑO: ",NOMBRE!B7)</f>
        <v>AÑO: 2020</v>
      </c>
    </row>
    <row r="6" spans="1:105" ht="15" x14ac:dyDescent="0.2">
      <c r="B6" s="5395" t="s">
        <v>1868</v>
      </c>
      <c r="C6" s="5395"/>
      <c r="D6" s="5395"/>
      <c r="E6" s="5395"/>
      <c r="F6" s="5395"/>
      <c r="G6" s="5395"/>
      <c r="H6" s="5395"/>
      <c r="I6" s="5395"/>
      <c r="J6" s="5395"/>
      <c r="K6" s="5395"/>
      <c r="L6" s="5395"/>
      <c r="M6" s="5395"/>
      <c r="N6" s="5395"/>
      <c r="O6" s="5395"/>
      <c r="P6" s="5395"/>
      <c r="Q6" s="5395"/>
      <c r="R6" s="5395"/>
      <c r="S6" s="5395"/>
      <c r="T6" s="5395"/>
      <c r="U6" s="5395"/>
      <c r="V6" s="5395"/>
      <c r="W6" s="5395"/>
      <c r="X6" s="5395"/>
      <c r="Y6" s="138"/>
      <c r="Z6" s="190"/>
      <c r="AA6" s="190"/>
      <c r="AB6" s="190"/>
      <c r="AC6" s="190"/>
      <c r="AD6" s="190"/>
      <c r="AE6" s="190"/>
      <c r="AF6" s="190"/>
      <c r="AG6" s="190"/>
      <c r="AH6" s="190"/>
      <c r="AI6" s="190"/>
      <c r="AJ6" s="190"/>
      <c r="AK6" s="190"/>
      <c r="AL6" s="190"/>
      <c r="AM6" s="190"/>
      <c r="AN6" s="190"/>
      <c r="AO6" s="190"/>
      <c r="AP6" s="190"/>
      <c r="AQ6" s="190"/>
      <c r="AR6" s="190"/>
      <c r="AS6" s="190"/>
    </row>
    <row r="7" spans="1:105" ht="15" x14ac:dyDescent="0.2">
      <c r="B7" s="1311"/>
      <c r="C7" s="1311"/>
      <c r="D7" s="1311"/>
      <c r="E7" s="1311"/>
      <c r="F7" s="1311"/>
      <c r="G7" s="1311"/>
      <c r="H7" s="1311"/>
      <c r="I7" s="1311"/>
      <c r="J7" s="1311"/>
      <c r="K7" s="1311"/>
      <c r="L7" s="1311"/>
      <c r="M7" s="1311"/>
      <c r="N7" s="1311"/>
      <c r="O7" s="1311"/>
      <c r="P7" s="1311"/>
      <c r="Q7" s="1311"/>
      <c r="R7" s="1311"/>
      <c r="S7" s="1311"/>
      <c r="T7" s="1311"/>
      <c r="U7" s="1311"/>
      <c r="V7" s="1311"/>
      <c r="W7" s="1311"/>
      <c r="X7" s="1311"/>
      <c r="Y7" s="138"/>
      <c r="Z7" s="190"/>
      <c r="AA7" s="190"/>
      <c r="AB7" s="190"/>
      <c r="AC7" s="190"/>
      <c r="AD7" s="190"/>
      <c r="AE7" s="190"/>
      <c r="AF7" s="190"/>
      <c r="AG7" s="190"/>
      <c r="AH7" s="190"/>
      <c r="AI7" s="190"/>
      <c r="AJ7" s="190"/>
      <c r="AK7" s="190"/>
      <c r="AL7" s="190"/>
      <c r="AM7" s="190"/>
      <c r="AN7" s="190"/>
      <c r="AO7" s="190"/>
      <c r="AP7" s="190"/>
      <c r="AQ7" s="190"/>
      <c r="AR7" s="190"/>
      <c r="AS7" s="190"/>
      <c r="AT7" s="94"/>
      <c r="AU7" s="94"/>
      <c r="AV7" s="94"/>
      <c r="AW7" s="94"/>
      <c r="AX7" s="94"/>
      <c r="AY7" s="94"/>
      <c r="AZ7" s="94"/>
      <c r="BA7" s="94"/>
      <c r="BB7" s="94"/>
      <c r="BC7" s="94"/>
      <c r="BD7" s="94"/>
      <c r="BE7" s="94"/>
      <c r="BF7" s="94"/>
      <c r="BG7" s="94"/>
      <c r="BH7" s="94"/>
    </row>
    <row r="8" spans="1:105" ht="31.35" customHeight="1" x14ac:dyDescent="0.2">
      <c r="B8" s="1325" t="s">
        <v>1869</v>
      </c>
      <c r="C8" s="85"/>
      <c r="D8" s="85"/>
      <c r="E8" s="85"/>
      <c r="F8" s="85"/>
      <c r="G8" s="85"/>
      <c r="H8" s="85"/>
      <c r="I8" s="85"/>
      <c r="J8" s="85"/>
      <c r="K8" s="85"/>
      <c r="L8" s="85"/>
      <c r="M8" s="85"/>
      <c r="N8" s="85"/>
      <c r="O8" s="85"/>
      <c r="P8" s="85"/>
      <c r="Q8" s="85"/>
      <c r="R8" s="85"/>
      <c r="S8" s="85"/>
      <c r="T8" s="85"/>
      <c r="U8" s="85"/>
      <c r="V8" s="85"/>
      <c r="W8" s="85"/>
      <c r="X8" s="85"/>
      <c r="Y8" s="85"/>
      <c r="Z8" s="205"/>
      <c r="AA8" s="205"/>
      <c r="AB8" s="190"/>
      <c r="AC8" s="190"/>
      <c r="AD8" s="190"/>
      <c r="AE8" s="190"/>
      <c r="AF8" s="190"/>
      <c r="AG8" s="190"/>
      <c r="AH8" s="190"/>
      <c r="AI8" s="190"/>
      <c r="AJ8" s="190"/>
      <c r="AK8" s="190"/>
      <c r="AL8" s="190"/>
      <c r="AM8" s="190"/>
      <c r="AN8" s="190"/>
      <c r="AO8" s="190"/>
      <c r="AP8" s="190"/>
      <c r="AQ8" s="138"/>
      <c r="AR8" s="190"/>
      <c r="AS8" s="190"/>
      <c r="AT8" s="94"/>
      <c r="AU8" s="94"/>
      <c r="AV8" s="94"/>
      <c r="AW8" s="94"/>
      <c r="AX8" s="94"/>
      <c r="AY8" s="94"/>
      <c r="AZ8" s="94"/>
      <c r="BA8" s="94"/>
      <c r="BB8" s="94"/>
      <c r="BC8" s="94"/>
      <c r="BD8" s="94"/>
      <c r="BE8" s="94"/>
      <c r="BF8" s="94"/>
      <c r="BG8" s="94"/>
      <c r="BH8" s="94"/>
    </row>
    <row r="9" spans="1:105" ht="20.100000000000001" customHeight="1" x14ac:dyDescent="0.2">
      <c r="A9" s="5168" t="s">
        <v>2775</v>
      </c>
      <c r="B9" s="5396" t="s">
        <v>1870</v>
      </c>
      <c r="C9" s="5398" t="s">
        <v>4</v>
      </c>
      <c r="D9" s="5399"/>
      <c r="E9" s="5400"/>
      <c r="F9" s="5404" t="s">
        <v>274</v>
      </c>
      <c r="G9" s="5405"/>
      <c r="H9" s="5405"/>
      <c r="I9" s="5405"/>
      <c r="J9" s="5405"/>
      <c r="K9" s="5405"/>
      <c r="L9" s="5405"/>
      <c r="M9" s="5405"/>
      <c r="N9" s="5405"/>
      <c r="O9" s="5405"/>
      <c r="P9" s="5405"/>
      <c r="Q9" s="5405"/>
      <c r="R9" s="5405"/>
      <c r="S9" s="5405"/>
      <c r="T9" s="5405"/>
      <c r="U9" s="5405"/>
      <c r="V9" s="5405"/>
      <c r="W9" s="5405"/>
      <c r="X9" s="5405"/>
      <c r="Y9" s="5405"/>
      <c r="Z9" s="5405"/>
      <c r="AA9" s="5405"/>
      <c r="AB9" s="5405"/>
      <c r="AC9" s="5405"/>
      <c r="AD9" s="5405"/>
      <c r="AE9" s="5405"/>
      <c r="AF9" s="5405"/>
      <c r="AG9" s="5405"/>
      <c r="AH9" s="5405"/>
      <c r="AI9" s="5405"/>
      <c r="AJ9" s="5405"/>
      <c r="AK9" s="5405"/>
      <c r="AL9" s="5405"/>
      <c r="AM9" s="5405"/>
      <c r="AN9" s="5405"/>
      <c r="AO9" s="5406"/>
      <c r="AP9" s="5407" t="s">
        <v>1357</v>
      </c>
      <c r="AQ9" s="5410" t="s">
        <v>1359</v>
      </c>
      <c r="AR9" s="5410" t="s">
        <v>1358</v>
      </c>
      <c r="AS9" s="5415" t="s">
        <v>1483</v>
      </c>
      <c r="AT9" s="5415" t="s">
        <v>1634</v>
      </c>
      <c r="AU9" s="94"/>
      <c r="AV9" s="94"/>
      <c r="AW9" s="94"/>
      <c r="AX9" s="94"/>
      <c r="AY9" s="94"/>
      <c r="AZ9" s="94"/>
      <c r="BA9" s="94"/>
      <c r="BB9" s="94"/>
      <c r="BC9" s="94"/>
      <c r="BD9" s="94"/>
      <c r="BE9" s="94"/>
      <c r="BF9" s="94"/>
      <c r="BG9" s="94"/>
      <c r="BX9" s="79"/>
      <c r="BZ9" s="891"/>
      <c r="DA9" s="80"/>
    </row>
    <row r="10" spans="1:105" ht="20.100000000000001" customHeight="1" x14ac:dyDescent="0.2">
      <c r="A10" s="5168"/>
      <c r="B10" s="5135"/>
      <c r="C10" s="5401"/>
      <c r="D10" s="5402"/>
      <c r="E10" s="5403"/>
      <c r="F10" s="5404" t="s">
        <v>1871</v>
      </c>
      <c r="G10" s="5406"/>
      <c r="H10" s="5413" t="s">
        <v>1872</v>
      </c>
      <c r="I10" s="5414"/>
      <c r="J10" s="5413" t="s">
        <v>275</v>
      </c>
      <c r="K10" s="5414"/>
      <c r="L10" s="5413" t="s">
        <v>1761</v>
      </c>
      <c r="M10" s="5414"/>
      <c r="N10" s="5413" t="s">
        <v>9</v>
      </c>
      <c r="O10" s="5414"/>
      <c r="P10" s="5413" t="s">
        <v>1762</v>
      </c>
      <c r="Q10" s="5414"/>
      <c r="R10" s="5413" t="s">
        <v>11</v>
      </c>
      <c r="S10" s="5414"/>
      <c r="T10" s="5413" t="s">
        <v>12</v>
      </c>
      <c r="U10" s="5414"/>
      <c r="V10" s="5413" t="s">
        <v>13</v>
      </c>
      <c r="W10" s="5414"/>
      <c r="X10" s="5413" t="s">
        <v>14</v>
      </c>
      <c r="Y10" s="5414"/>
      <c r="Z10" s="5413" t="s">
        <v>15</v>
      </c>
      <c r="AA10" s="5414"/>
      <c r="AB10" s="5413" t="s">
        <v>16</v>
      </c>
      <c r="AC10" s="5414"/>
      <c r="AD10" s="5413" t="s">
        <v>17</v>
      </c>
      <c r="AE10" s="5414"/>
      <c r="AF10" s="5413" t="s">
        <v>18</v>
      </c>
      <c r="AG10" s="5414"/>
      <c r="AH10" s="5413" t="s">
        <v>19</v>
      </c>
      <c r="AI10" s="5414"/>
      <c r="AJ10" s="5413" t="s">
        <v>20</v>
      </c>
      <c r="AK10" s="5414"/>
      <c r="AL10" s="5413" t="s">
        <v>21</v>
      </c>
      <c r="AM10" s="5414"/>
      <c r="AN10" s="5404" t="s">
        <v>22</v>
      </c>
      <c r="AO10" s="5406"/>
      <c r="AP10" s="5408"/>
      <c r="AQ10" s="5411"/>
      <c r="AR10" s="5411"/>
      <c r="AS10" s="5416"/>
      <c r="AT10" s="5416"/>
      <c r="AU10" s="94"/>
      <c r="AV10" s="94"/>
      <c r="AW10" s="94"/>
      <c r="AX10" s="94"/>
      <c r="AY10" s="94"/>
      <c r="AZ10" s="94"/>
      <c r="BA10" s="94"/>
      <c r="BB10" s="94"/>
      <c r="BC10" s="94"/>
      <c r="BD10" s="94"/>
      <c r="BE10" s="94"/>
      <c r="BF10" s="94"/>
      <c r="BG10" s="94"/>
      <c r="BX10" s="79"/>
      <c r="BZ10" s="891"/>
      <c r="DA10" s="80"/>
    </row>
    <row r="11" spans="1:105" ht="20.100000000000001" customHeight="1" x14ac:dyDescent="0.2">
      <c r="A11" s="5168"/>
      <c r="B11" s="5397"/>
      <c r="C11" s="1116" t="s">
        <v>184</v>
      </c>
      <c r="D11" s="1149" t="s">
        <v>24</v>
      </c>
      <c r="E11" s="1435" t="s">
        <v>25</v>
      </c>
      <c r="F11" s="1462" t="s">
        <v>24</v>
      </c>
      <c r="G11" s="1463" t="s">
        <v>25</v>
      </c>
      <c r="H11" s="1462" t="s">
        <v>24</v>
      </c>
      <c r="I11" s="1463" t="s">
        <v>25</v>
      </c>
      <c r="J11" s="1462" t="s">
        <v>24</v>
      </c>
      <c r="K11" s="1463" t="s">
        <v>25</v>
      </c>
      <c r="L11" s="1462" t="s">
        <v>24</v>
      </c>
      <c r="M11" s="1463" t="s">
        <v>25</v>
      </c>
      <c r="N11" s="1462" t="s">
        <v>24</v>
      </c>
      <c r="O11" s="1463" t="s">
        <v>25</v>
      </c>
      <c r="P11" s="1462" t="s">
        <v>24</v>
      </c>
      <c r="Q11" s="1463" t="s">
        <v>25</v>
      </c>
      <c r="R11" s="1462" t="s">
        <v>24</v>
      </c>
      <c r="S11" s="1463" t="s">
        <v>25</v>
      </c>
      <c r="T11" s="1462" t="s">
        <v>24</v>
      </c>
      <c r="U11" s="1463" t="s">
        <v>25</v>
      </c>
      <c r="V11" s="1462" t="s">
        <v>24</v>
      </c>
      <c r="W11" s="1463" t="s">
        <v>25</v>
      </c>
      <c r="X11" s="1462" t="s">
        <v>24</v>
      </c>
      <c r="Y11" s="1463" t="s">
        <v>25</v>
      </c>
      <c r="Z11" s="1462" t="s">
        <v>24</v>
      </c>
      <c r="AA11" s="1463" t="s">
        <v>25</v>
      </c>
      <c r="AB11" s="1462" t="s">
        <v>24</v>
      </c>
      <c r="AC11" s="1463" t="s">
        <v>25</v>
      </c>
      <c r="AD11" s="1462" t="s">
        <v>24</v>
      </c>
      <c r="AE11" s="1463" t="s">
        <v>25</v>
      </c>
      <c r="AF11" s="1462" t="s">
        <v>24</v>
      </c>
      <c r="AG11" s="1463" t="s">
        <v>25</v>
      </c>
      <c r="AH11" s="1462" t="s">
        <v>24</v>
      </c>
      <c r="AI11" s="1463" t="s">
        <v>25</v>
      </c>
      <c r="AJ11" s="1462" t="s">
        <v>24</v>
      </c>
      <c r="AK11" s="1463" t="s">
        <v>25</v>
      </c>
      <c r="AL11" s="1462" t="s">
        <v>24</v>
      </c>
      <c r="AM11" s="1463" t="s">
        <v>25</v>
      </c>
      <c r="AN11" s="1462" t="s">
        <v>24</v>
      </c>
      <c r="AO11" s="1463" t="s">
        <v>25</v>
      </c>
      <c r="AP11" s="5409"/>
      <c r="AQ11" s="5412"/>
      <c r="AR11" s="5412"/>
      <c r="AS11" s="5417"/>
      <c r="AT11" s="5417"/>
      <c r="AU11" s="94"/>
      <c r="AV11" s="94"/>
      <c r="AW11" s="94"/>
      <c r="AX11" s="94"/>
      <c r="AY11" s="94"/>
      <c r="AZ11" s="94"/>
      <c r="BA11" s="94"/>
      <c r="BB11" s="94"/>
      <c r="BC11" s="94"/>
      <c r="BD11" s="94"/>
      <c r="BE11" s="94"/>
      <c r="BF11" s="94"/>
      <c r="BG11" s="94"/>
      <c r="BX11" s="79"/>
      <c r="BZ11" s="891"/>
      <c r="DA11" s="80"/>
    </row>
    <row r="12" spans="1:105" ht="16.350000000000001" customHeight="1" x14ac:dyDescent="0.2">
      <c r="A12" s="2527"/>
      <c r="B12" s="1330" t="s">
        <v>42</v>
      </c>
      <c r="C12" s="1464">
        <f>SUM(C13:C26)</f>
        <v>0</v>
      </c>
      <c r="D12" s="1465">
        <f>SUM(D13:D26)</f>
        <v>0</v>
      </c>
      <c r="E12" s="246">
        <f>SUM(E13:E26)</f>
        <v>0</v>
      </c>
      <c r="F12" s="1462">
        <f>SUM(F13:F26)</f>
        <v>0</v>
      </c>
      <c r="G12" s="1466">
        <f t="shared" ref="G12:AP12" si="0">SUM(G13:G26)</f>
        <v>0</v>
      </c>
      <c r="H12" s="1467">
        <f>SUM(H13:H26)</f>
        <v>0</v>
      </c>
      <c r="I12" s="1466">
        <f t="shared" si="0"/>
        <v>0</v>
      </c>
      <c r="J12" s="1462">
        <f t="shared" si="0"/>
        <v>0</v>
      </c>
      <c r="K12" s="1466">
        <f t="shared" si="0"/>
        <v>0</v>
      </c>
      <c r="L12" s="1462">
        <f t="shared" si="0"/>
        <v>0</v>
      </c>
      <c r="M12" s="1466">
        <f t="shared" si="0"/>
        <v>0</v>
      </c>
      <c r="N12" s="1462">
        <f t="shared" si="0"/>
        <v>0</v>
      </c>
      <c r="O12" s="1466">
        <f t="shared" si="0"/>
        <v>0</v>
      </c>
      <c r="P12" s="1462">
        <f t="shared" si="0"/>
        <v>0</v>
      </c>
      <c r="Q12" s="1466">
        <f t="shared" si="0"/>
        <v>0</v>
      </c>
      <c r="R12" s="1462">
        <f t="shared" si="0"/>
        <v>0</v>
      </c>
      <c r="S12" s="1466">
        <f t="shared" si="0"/>
        <v>0</v>
      </c>
      <c r="T12" s="1462">
        <f t="shared" si="0"/>
        <v>0</v>
      </c>
      <c r="U12" s="1466">
        <f t="shared" si="0"/>
        <v>0</v>
      </c>
      <c r="V12" s="1462">
        <f>SUM(V13:V26)</f>
        <v>0</v>
      </c>
      <c r="W12" s="1466">
        <f>SUM(W13:W26)</f>
        <v>0</v>
      </c>
      <c r="X12" s="1462">
        <f t="shared" si="0"/>
        <v>0</v>
      </c>
      <c r="Y12" s="1466">
        <f t="shared" si="0"/>
        <v>0</v>
      </c>
      <c r="Z12" s="1462">
        <f t="shared" si="0"/>
        <v>0</v>
      </c>
      <c r="AA12" s="1466">
        <f t="shared" si="0"/>
        <v>0</v>
      </c>
      <c r="AB12" s="1462">
        <f t="shared" si="0"/>
        <v>0</v>
      </c>
      <c r="AC12" s="1466">
        <f t="shared" si="0"/>
        <v>0</v>
      </c>
      <c r="AD12" s="1462">
        <f t="shared" si="0"/>
        <v>0</v>
      </c>
      <c r="AE12" s="1466">
        <f t="shared" si="0"/>
        <v>0</v>
      </c>
      <c r="AF12" s="1462">
        <f t="shared" si="0"/>
        <v>0</v>
      </c>
      <c r="AG12" s="1466">
        <f t="shared" si="0"/>
        <v>0</v>
      </c>
      <c r="AH12" s="1467">
        <f t="shared" si="0"/>
        <v>0</v>
      </c>
      <c r="AI12" s="1467">
        <f t="shared" si="0"/>
        <v>0</v>
      </c>
      <c r="AJ12" s="1467">
        <f t="shared" si="0"/>
        <v>0</v>
      </c>
      <c r="AK12" s="1467">
        <f t="shared" si="0"/>
        <v>0</v>
      </c>
      <c r="AL12" s="1467">
        <f t="shared" si="0"/>
        <v>0</v>
      </c>
      <c r="AM12" s="1467">
        <f t="shared" si="0"/>
        <v>0</v>
      </c>
      <c r="AN12" s="1467">
        <f t="shared" si="0"/>
        <v>0</v>
      </c>
      <c r="AO12" s="1467">
        <f t="shared" si="0"/>
        <v>0</v>
      </c>
      <c r="AP12" s="1468">
        <f t="shared" si="0"/>
        <v>0</v>
      </c>
      <c r="AQ12" s="1469">
        <f>SUM(AQ13:AQ26)</f>
        <v>0</v>
      </c>
      <c r="AR12" s="1470">
        <f>SUM(AR13:AR26)</f>
        <v>0</v>
      </c>
      <c r="AS12" s="1463">
        <f>SUM(AS13:AS26)</f>
        <v>0</v>
      </c>
      <c r="AT12" s="1463">
        <f>SUM(AT13:AT26)</f>
        <v>0</v>
      </c>
      <c r="AU12" s="94"/>
      <c r="AV12" s="94"/>
      <c r="AW12" s="94"/>
      <c r="AX12" s="94"/>
      <c r="AY12" s="94"/>
      <c r="AZ12" s="94"/>
      <c r="BA12" s="94"/>
      <c r="BB12" s="94"/>
      <c r="BC12" s="94"/>
      <c r="BD12" s="94"/>
      <c r="BE12" s="94"/>
      <c r="BF12" s="94"/>
      <c r="BG12" s="94"/>
      <c r="BX12" s="79"/>
      <c r="BZ12" s="891"/>
      <c r="DA12" s="80"/>
    </row>
    <row r="13" spans="1:105" ht="16.350000000000001" customHeight="1" x14ac:dyDescent="0.2">
      <c r="A13" s="2449" t="s">
        <v>3010</v>
      </c>
      <c r="B13" s="2624" t="s">
        <v>1873</v>
      </c>
      <c r="C13" s="3898" t="s">
        <v>2777</v>
      </c>
      <c r="D13" s="3899" t="s">
        <v>2778</v>
      </c>
      <c r="E13" s="3900" t="s">
        <v>2779</v>
      </c>
      <c r="F13" s="2483" t="s">
        <v>2780</v>
      </c>
      <c r="G13" s="2499" t="s">
        <v>2781</v>
      </c>
      <c r="H13" s="2483" t="s">
        <v>2782</v>
      </c>
      <c r="I13" s="2499" t="s">
        <v>2783</v>
      </c>
      <c r="J13" s="2483" t="s">
        <v>2784</v>
      </c>
      <c r="K13" s="2480" t="s">
        <v>2785</v>
      </c>
      <c r="L13" s="2483" t="s">
        <v>2786</v>
      </c>
      <c r="M13" s="2480" t="s">
        <v>2787</v>
      </c>
      <c r="N13" s="2483" t="s">
        <v>2788</v>
      </c>
      <c r="O13" s="2480" t="s">
        <v>2789</v>
      </c>
      <c r="P13" s="2483" t="s">
        <v>2790</v>
      </c>
      <c r="Q13" s="2480" t="s">
        <v>2791</v>
      </c>
      <c r="R13" s="2483" t="s">
        <v>2792</v>
      </c>
      <c r="S13" s="2480" t="s">
        <v>2793</v>
      </c>
      <c r="T13" s="2483" t="s">
        <v>2794</v>
      </c>
      <c r="U13" s="2480" t="s">
        <v>2795</v>
      </c>
      <c r="V13" s="2483" t="s">
        <v>2796</v>
      </c>
      <c r="W13" s="2480" t="s">
        <v>2797</v>
      </c>
      <c r="X13" s="2483" t="s">
        <v>2798</v>
      </c>
      <c r="Y13" s="2480" t="s">
        <v>2799</v>
      </c>
      <c r="Z13" s="2483" t="s">
        <v>2800</v>
      </c>
      <c r="AA13" s="2480" t="s">
        <v>2801</v>
      </c>
      <c r="AB13" s="2483" t="s">
        <v>2817</v>
      </c>
      <c r="AC13" s="2480" t="s">
        <v>2818</v>
      </c>
      <c r="AD13" s="2483" t="s">
        <v>2819</v>
      </c>
      <c r="AE13" s="2480" t="s">
        <v>2821</v>
      </c>
      <c r="AF13" s="2483" t="s">
        <v>2822</v>
      </c>
      <c r="AG13" s="2480" t="s">
        <v>2823</v>
      </c>
      <c r="AH13" s="2483" t="s">
        <v>2824</v>
      </c>
      <c r="AI13" s="2480" t="s">
        <v>2825</v>
      </c>
      <c r="AJ13" s="2483" t="s">
        <v>2826</v>
      </c>
      <c r="AK13" s="2480" t="s">
        <v>2827</v>
      </c>
      <c r="AL13" s="2483" t="s">
        <v>2831</v>
      </c>
      <c r="AM13" s="2480" t="s">
        <v>2832</v>
      </c>
      <c r="AN13" s="2560" t="s">
        <v>2833</v>
      </c>
      <c r="AO13" s="2480" t="s">
        <v>2834</v>
      </c>
      <c r="AP13" s="2626" t="s">
        <v>3011</v>
      </c>
      <c r="AQ13" s="2627" t="s">
        <v>3012</v>
      </c>
      <c r="AR13" s="2627" t="s">
        <v>3013</v>
      </c>
      <c r="AS13" s="2628" t="s">
        <v>3014</v>
      </c>
      <c r="AT13" s="2628" t="s">
        <v>3015</v>
      </c>
      <c r="AU13" s="1170"/>
      <c r="AV13" s="1058"/>
      <c r="AW13" s="1058"/>
      <c r="AX13" s="1058"/>
      <c r="AY13" s="1058"/>
      <c r="AZ13" s="1058"/>
      <c r="BA13" s="1058"/>
      <c r="BB13" s="1058"/>
      <c r="BC13" s="1058"/>
      <c r="BD13" s="1058"/>
      <c r="BE13" s="94"/>
      <c r="BF13" s="94"/>
      <c r="BG13" s="94"/>
      <c r="BX13" s="79"/>
      <c r="BZ13" s="891"/>
      <c r="CB13" s="890"/>
      <c r="CG13" s="1020">
        <v>0</v>
      </c>
      <c r="CH13" s="1020">
        <v>0</v>
      </c>
      <c r="CI13" s="1020">
        <v>0</v>
      </c>
      <c r="CJ13" s="1020">
        <v>0</v>
      </c>
      <c r="CK13" s="889">
        <v>0</v>
      </c>
      <c r="DA13" s="80"/>
    </row>
    <row r="14" spans="1:105" ht="16.350000000000001" customHeight="1" x14ac:dyDescent="0.2">
      <c r="A14" s="2449" t="s">
        <v>3016</v>
      </c>
      <c r="B14" s="179" t="s">
        <v>1874</v>
      </c>
      <c r="C14" s="3502" t="s">
        <v>2777</v>
      </c>
      <c r="D14" s="3503" t="s">
        <v>2778</v>
      </c>
      <c r="E14" s="3499" t="s">
        <v>2779</v>
      </c>
      <c r="F14" s="141" t="s">
        <v>2780</v>
      </c>
      <c r="G14" s="198" t="s">
        <v>2781</v>
      </c>
      <c r="H14" s="141" t="s">
        <v>2782</v>
      </c>
      <c r="I14" s="198" t="s">
        <v>2783</v>
      </c>
      <c r="J14" s="141" t="s">
        <v>2784</v>
      </c>
      <c r="K14" s="163" t="s">
        <v>2785</v>
      </c>
      <c r="L14" s="173" t="s">
        <v>2786</v>
      </c>
      <c r="M14" s="162" t="s">
        <v>2787</v>
      </c>
      <c r="N14" s="173" t="s">
        <v>2788</v>
      </c>
      <c r="O14" s="162" t="s">
        <v>2789</v>
      </c>
      <c r="P14" s="173" t="s">
        <v>2790</v>
      </c>
      <c r="Q14" s="162" t="s">
        <v>2791</v>
      </c>
      <c r="R14" s="173" t="s">
        <v>2792</v>
      </c>
      <c r="S14" s="162" t="s">
        <v>2793</v>
      </c>
      <c r="T14" s="173" t="s">
        <v>2794</v>
      </c>
      <c r="U14" s="162" t="s">
        <v>2795</v>
      </c>
      <c r="V14" s="173" t="s">
        <v>2796</v>
      </c>
      <c r="W14" s="162" t="s">
        <v>2797</v>
      </c>
      <c r="X14" s="173" t="s">
        <v>2798</v>
      </c>
      <c r="Y14" s="162" t="s">
        <v>2799</v>
      </c>
      <c r="Z14" s="173" t="s">
        <v>2800</v>
      </c>
      <c r="AA14" s="162" t="s">
        <v>2801</v>
      </c>
      <c r="AB14" s="173" t="s">
        <v>2817</v>
      </c>
      <c r="AC14" s="162" t="s">
        <v>2818</v>
      </c>
      <c r="AD14" s="173" t="s">
        <v>2819</v>
      </c>
      <c r="AE14" s="162" t="s">
        <v>2821</v>
      </c>
      <c r="AF14" s="173" t="s">
        <v>2822</v>
      </c>
      <c r="AG14" s="162" t="s">
        <v>2823</v>
      </c>
      <c r="AH14" s="173" t="s">
        <v>2824</v>
      </c>
      <c r="AI14" s="162" t="s">
        <v>2825</v>
      </c>
      <c r="AJ14" s="173" t="s">
        <v>2826</v>
      </c>
      <c r="AK14" s="162" t="s">
        <v>2827</v>
      </c>
      <c r="AL14" s="173" t="s">
        <v>2831</v>
      </c>
      <c r="AM14" s="162" t="s">
        <v>2832</v>
      </c>
      <c r="AN14" s="173" t="s">
        <v>2833</v>
      </c>
      <c r="AO14" s="162" t="s">
        <v>2834</v>
      </c>
      <c r="AP14" s="513" t="s">
        <v>3011</v>
      </c>
      <c r="AQ14" s="1471" t="s">
        <v>3012</v>
      </c>
      <c r="AR14" s="1471" t="s">
        <v>3013</v>
      </c>
      <c r="AS14" s="285" t="s">
        <v>3014</v>
      </c>
      <c r="AT14" s="285" t="s">
        <v>3015</v>
      </c>
      <c r="AU14" s="1170"/>
      <c r="AV14" s="1058"/>
      <c r="AW14" s="1058"/>
      <c r="AX14" s="1058"/>
      <c r="AY14" s="1058"/>
      <c r="AZ14" s="1058"/>
      <c r="BA14" s="1058"/>
      <c r="BB14" s="1058"/>
      <c r="BC14" s="1058"/>
      <c r="BD14" s="1058"/>
      <c r="BE14" s="94"/>
      <c r="BF14" s="94"/>
      <c r="BG14" s="94"/>
      <c r="BX14" s="79"/>
      <c r="BZ14" s="891"/>
      <c r="CB14" s="890"/>
      <c r="CG14" s="1020">
        <v>0</v>
      </c>
      <c r="CH14" s="1020">
        <v>0</v>
      </c>
      <c r="CI14" s="1020">
        <v>0</v>
      </c>
      <c r="CJ14" s="1020">
        <v>0</v>
      </c>
      <c r="CK14" s="889">
        <v>0</v>
      </c>
      <c r="DA14" s="80"/>
    </row>
    <row r="15" spans="1:105" ht="16.350000000000001" customHeight="1" x14ac:dyDescent="0.2">
      <c r="A15" s="2449" t="s">
        <v>3017</v>
      </c>
      <c r="B15" s="2429" t="s">
        <v>276</v>
      </c>
      <c r="C15" s="3502" t="s">
        <v>2777</v>
      </c>
      <c r="D15" s="3503" t="s">
        <v>2778</v>
      </c>
      <c r="E15" s="3499" t="s">
        <v>2779</v>
      </c>
      <c r="F15" s="141" t="s">
        <v>2780</v>
      </c>
      <c r="G15" s="198" t="s">
        <v>2781</v>
      </c>
      <c r="H15" s="141" t="s">
        <v>2782</v>
      </c>
      <c r="I15" s="198" t="s">
        <v>2783</v>
      </c>
      <c r="J15" s="141" t="s">
        <v>2784</v>
      </c>
      <c r="K15" s="163" t="s">
        <v>2785</v>
      </c>
      <c r="L15" s="141" t="s">
        <v>2786</v>
      </c>
      <c r="M15" s="163" t="s">
        <v>2787</v>
      </c>
      <c r="N15" s="141" t="s">
        <v>2788</v>
      </c>
      <c r="O15" s="163" t="s">
        <v>2789</v>
      </c>
      <c r="P15" s="141" t="s">
        <v>2790</v>
      </c>
      <c r="Q15" s="163" t="s">
        <v>2791</v>
      </c>
      <c r="R15" s="141" t="s">
        <v>2792</v>
      </c>
      <c r="S15" s="163" t="s">
        <v>2793</v>
      </c>
      <c r="T15" s="141" t="s">
        <v>2794</v>
      </c>
      <c r="U15" s="163" t="s">
        <v>2795</v>
      </c>
      <c r="V15" s="141" t="s">
        <v>2796</v>
      </c>
      <c r="W15" s="163" t="s">
        <v>2797</v>
      </c>
      <c r="X15" s="141" t="s">
        <v>2798</v>
      </c>
      <c r="Y15" s="163" t="s">
        <v>2799</v>
      </c>
      <c r="Z15" s="141" t="s">
        <v>2800</v>
      </c>
      <c r="AA15" s="163" t="s">
        <v>2801</v>
      </c>
      <c r="AB15" s="141" t="s">
        <v>2817</v>
      </c>
      <c r="AC15" s="163" t="s">
        <v>2818</v>
      </c>
      <c r="AD15" s="141" t="s">
        <v>2819</v>
      </c>
      <c r="AE15" s="163" t="s">
        <v>2821</v>
      </c>
      <c r="AF15" s="141" t="s">
        <v>2822</v>
      </c>
      <c r="AG15" s="163" t="s">
        <v>2823</v>
      </c>
      <c r="AH15" s="141" t="s">
        <v>2824</v>
      </c>
      <c r="AI15" s="163" t="s">
        <v>2825</v>
      </c>
      <c r="AJ15" s="141" t="s">
        <v>2826</v>
      </c>
      <c r="AK15" s="163" t="s">
        <v>2827</v>
      </c>
      <c r="AL15" s="141" t="s">
        <v>2831</v>
      </c>
      <c r="AM15" s="163" t="s">
        <v>2832</v>
      </c>
      <c r="AN15" s="224" t="s">
        <v>2833</v>
      </c>
      <c r="AO15" s="163" t="s">
        <v>2834</v>
      </c>
      <c r="AP15" s="513" t="s">
        <v>3011</v>
      </c>
      <c r="AQ15" s="1471" t="s">
        <v>3012</v>
      </c>
      <c r="AR15" s="1471" t="s">
        <v>3013</v>
      </c>
      <c r="AS15" s="285" t="s">
        <v>3014</v>
      </c>
      <c r="AT15" s="285" t="s">
        <v>3015</v>
      </c>
      <c r="AU15" s="1170"/>
      <c r="AV15" s="1058"/>
      <c r="AW15" s="1058"/>
      <c r="AX15" s="1058"/>
      <c r="AY15" s="1058"/>
      <c r="AZ15" s="1058"/>
      <c r="BA15" s="1058"/>
      <c r="BB15" s="1058"/>
      <c r="BC15" s="1058"/>
      <c r="BD15" s="1058"/>
      <c r="BE15" s="94"/>
      <c r="BF15" s="94"/>
      <c r="BG15" s="94"/>
      <c r="BX15" s="79"/>
      <c r="BZ15" s="891"/>
      <c r="CB15" s="890"/>
      <c r="CG15" s="1020">
        <v>0</v>
      </c>
      <c r="CH15" s="1020">
        <v>0</v>
      </c>
      <c r="CI15" s="1020">
        <v>0</v>
      </c>
      <c r="CJ15" s="1020">
        <v>0</v>
      </c>
      <c r="CK15" s="889">
        <v>0</v>
      </c>
      <c r="DA15" s="80"/>
    </row>
    <row r="16" spans="1:105" ht="16.350000000000001" customHeight="1" x14ac:dyDescent="0.2">
      <c r="A16" s="2449" t="s">
        <v>3018</v>
      </c>
      <c r="B16" s="2629" t="s">
        <v>277</v>
      </c>
      <c r="C16" s="3001" t="s">
        <v>2777</v>
      </c>
      <c r="D16" s="3754" t="s">
        <v>2778</v>
      </c>
      <c r="E16" s="3901" t="s">
        <v>2779</v>
      </c>
      <c r="F16" s="173" t="s">
        <v>2780</v>
      </c>
      <c r="G16" s="162" t="s">
        <v>2781</v>
      </c>
      <c r="H16" s="2395" t="s">
        <v>2782</v>
      </c>
      <c r="I16" s="258" t="s">
        <v>2783</v>
      </c>
      <c r="J16" s="141" t="s">
        <v>2784</v>
      </c>
      <c r="K16" s="163" t="s">
        <v>2785</v>
      </c>
      <c r="L16" s="141" t="s">
        <v>2786</v>
      </c>
      <c r="M16" s="163" t="s">
        <v>2787</v>
      </c>
      <c r="N16" s="141" t="s">
        <v>2788</v>
      </c>
      <c r="O16" s="163" t="s">
        <v>2789</v>
      </c>
      <c r="P16" s="141" t="s">
        <v>2790</v>
      </c>
      <c r="Q16" s="163" t="s">
        <v>2791</v>
      </c>
      <c r="R16" s="141" t="s">
        <v>2792</v>
      </c>
      <c r="S16" s="163" t="s">
        <v>2793</v>
      </c>
      <c r="T16" s="141" t="s">
        <v>2794</v>
      </c>
      <c r="U16" s="163" t="s">
        <v>2795</v>
      </c>
      <c r="V16" s="141" t="s">
        <v>2796</v>
      </c>
      <c r="W16" s="163" t="s">
        <v>2797</v>
      </c>
      <c r="X16" s="141" t="s">
        <v>2798</v>
      </c>
      <c r="Y16" s="163" t="s">
        <v>2799</v>
      </c>
      <c r="Z16" s="141" t="s">
        <v>2800</v>
      </c>
      <c r="AA16" s="163" t="s">
        <v>2801</v>
      </c>
      <c r="AB16" s="141" t="s">
        <v>2817</v>
      </c>
      <c r="AC16" s="163" t="s">
        <v>2818</v>
      </c>
      <c r="AD16" s="141" t="s">
        <v>2819</v>
      </c>
      <c r="AE16" s="163" t="s">
        <v>2821</v>
      </c>
      <c r="AF16" s="141" t="s">
        <v>2822</v>
      </c>
      <c r="AG16" s="163" t="s">
        <v>2823</v>
      </c>
      <c r="AH16" s="141" t="s">
        <v>2824</v>
      </c>
      <c r="AI16" s="163" t="s">
        <v>2825</v>
      </c>
      <c r="AJ16" s="141" t="s">
        <v>2826</v>
      </c>
      <c r="AK16" s="163" t="s">
        <v>2827</v>
      </c>
      <c r="AL16" s="141" t="s">
        <v>2831</v>
      </c>
      <c r="AM16" s="163" t="s">
        <v>2832</v>
      </c>
      <c r="AN16" s="224" t="s">
        <v>2833</v>
      </c>
      <c r="AO16" s="163" t="s">
        <v>2834</v>
      </c>
      <c r="AP16" s="513" t="s">
        <v>3011</v>
      </c>
      <c r="AQ16" s="1471" t="s">
        <v>3012</v>
      </c>
      <c r="AR16" s="1471" t="s">
        <v>3013</v>
      </c>
      <c r="AS16" s="285" t="s">
        <v>3014</v>
      </c>
      <c r="AT16" s="285" t="s">
        <v>3015</v>
      </c>
      <c r="AU16" s="1170"/>
      <c r="AV16" s="1058"/>
      <c r="AW16" s="1058"/>
      <c r="AX16" s="1058"/>
      <c r="AY16" s="1058"/>
      <c r="AZ16" s="1058"/>
      <c r="BA16" s="1058"/>
      <c r="BB16" s="1058"/>
      <c r="BC16" s="1058"/>
      <c r="BD16" s="1058"/>
      <c r="BE16" s="94"/>
      <c r="BF16" s="94"/>
      <c r="BG16" s="94"/>
      <c r="BX16" s="79"/>
      <c r="BZ16" s="891"/>
      <c r="CB16" s="890"/>
      <c r="CG16" s="1020">
        <v>0</v>
      </c>
      <c r="CH16" s="1020">
        <v>0</v>
      </c>
      <c r="CI16" s="1020">
        <v>0</v>
      </c>
      <c r="CJ16" s="1020">
        <v>0</v>
      </c>
      <c r="CK16" s="889">
        <v>0</v>
      </c>
      <c r="DA16" s="80"/>
    </row>
    <row r="17" spans="1:105" ht="16.350000000000001" customHeight="1" x14ac:dyDescent="0.2">
      <c r="A17" s="2449" t="s">
        <v>3019</v>
      </c>
      <c r="B17" s="2425" t="s">
        <v>278</v>
      </c>
      <c r="C17" s="3502" t="s">
        <v>2777</v>
      </c>
      <c r="D17" s="3503" t="s">
        <v>2778</v>
      </c>
      <c r="E17" s="3499" t="s">
        <v>2779</v>
      </c>
      <c r="F17" s="173" t="s">
        <v>2780</v>
      </c>
      <c r="G17" s="174" t="s">
        <v>2781</v>
      </c>
      <c r="H17" s="173" t="s">
        <v>2782</v>
      </c>
      <c r="I17" s="174" t="s">
        <v>2783</v>
      </c>
      <c r="J17" s="173" t="s">
        <v>2784</v>
      </c>
      <c r="K17" s="162" t="s">
        <v>2785</v>
      </c>
      <c r="L17" s="173" t="s">
        <v>2786</v>
      </c>
      <c r="M17" s="162" t="s">
        <v>2787</v>
      </c>
      <c r="N17" s="173" t="s">
        <v>2788</v>
      </c>
      <c r="O17" s="162" t="s">
        <v>2789</v>
      </c>
      <c r="P17" s="173" t="s">
        <v>2790</v>
      </c>
      <c r="Q17" s="162" t="s">
        <v>2791</v>
      </c>
      <c r="R17" s="173" t="s">
        <v>2792</v>
      </c>
      <c r="S17" s="162" t="s">
        <v>2793</v>
      </c>
      <c r="T17" s="173" t="s">
        <v>2794</v>
      </c>
      <c r="U17" s="162" t="s">
        <v>2795</v>
      </c>
      <c r="V17" s="141" t="s">
        <v>2796</v>
      </c>
      <c r="W17" s="163" t="s">
        <v>2797</v>
      </c>
      <c r="X17" s="141" t="s">
        <v>2798</v>
      </c>
      <c r="Y17" s="163" t="s">
        <v>2799</v>
      </c>
      <c r="Z17" s="141" t="s">
        <v>2800</v>
      </c>
      <c r="AA17" s="163" t="s">
        <v>2801</v>
      </c>
      <c r="AB17" s="141" t="s">
        <v>2817</v>
      </c>
      <c r="AC17" s="163" t="s">
        <v>2818</v>
      </c>
      <c r="AD17" s="141" t="s">
        <v>2819</v>
      </c>
      <c r="AE17" s="163" t="s">
        <v>2821</v>
      </c>
      <c r="AF17" s="141" t="s">
        <v>2822</v>
      </c>
      <c r="AG17" s="163" t="s">
        <v>2823</v>
      </c>
      <c r="AH17" s="141" t="s">
        <v>2824</v>
      </c>
      <c r="AI17" s="163" t="s">
        <v>2825</v>
      </c>
      <c r="AJ17" s="141" t="s">
        <v>2826</v>
      </c>
      <c r="AK17" s="163" t="s">
        <v>2827</v>
      </c>
      <c r="AL17" s="141" t="s">
        <v>2831</v>
      </c>
      <c r="AM17" s="163" t="s">
        <v>2832</v>
      </c>
      <c r="AN17" s="224" t="s">
        <v>2833</v>
      </c>
      <c r="AO17" s="163" t="s">
        <v>2834</v>
      </c>
      <c r="AP17" s="513" t="s">
        <v>3011</v>
      </c>
      <c r="AQ17" s="1471" t="s">
        <v>3012</v>
      </c>
      <c r="AR17" s="1471" t="s">
        <v>3013</v>
      </c>
      <c r="AS17" s="285" t="s">
        <v>3014</v>
      </c>
      <c r="AT17" s="285" t="s">
        <v>3015</v>
      </c>
      <c r="AU17" s="1170"/>
      <c r="AV17" s="1058"/>
      <c r="AW17" s="1058"/>
      <c r="AX17" s="1058"/>
      <c r="AY17" s="1058"/>
      <c r="AZ17" s="1058"/>
      <c r="BA17" s="1058"/>
      <c r="BB17" s="1058"/>
      <c r="BC17" s="1058"/>
      <c r="BD17" s="1058"/>
      <c r="BE17" s="94"/>
      <c r="BF17" s="94"/>
      <c r="BG17" s="94"/>
      <c r="BX17" s="79"/>
      <c r="BZ17" s="891"/>
      <c r="CB17" s="890"/>
      <c r="CG17" s="1020">
        <v>0</v>
      </c>
      <c r="CH17" s="1020">
        <v>0</v>
      </c>
      <c r="CI17" s="1020">
        <v>0</v>
      </c>
      <c r="CJ17" s="1020">
        <v>0</v>
      </c>
      <c r="CK17" s="889">
        <v>0</v>
      </c>
      <c r="DA17" s="80"/>
    </row>
    <row r="18" spans="1:105" ht="16.350000000000001" customHeight="1" x14ac:dyDescent="0.2">
      <c r="A18" s="2449" t="s">
        <v>3020</v>
      </c>
      <c r="B18" s="2441" t="s">
        <v>279</v>
      </c>
      <c r="C18" s="3502" t="s">
        <v>2777</v>
      </c>
      <c r="D18" s="3503" t="s">
        <v>2778</v>
      </c>
      <c r="E18" s="3499" t="s">
        <v>2779</v>
      </c>
      <c r="F18" s="141" t="s">
        <v>2780</v>
      </c>
      <c r="G18" s="198" t="s">
        <v>2781</v>
      </c>
      <c r="H18" s="141" t="s">
        <v>2782</v>
      </c>
      <c r="I18" s="198" t="s">
        <v>2783</v>
      </c>
      <c r="J18" s="141" t="s">
        <v>2784</v>
      </c>
      <c r="K18" s="163" t="s">
        <v>2785</v>
      </c>
      <c r="L18" s="2577" t="s">
        <v>2786</v>
      </c>
      <c r="M18" s="163" t="s">
        <v>2787</v>
      </c>
      <c r="N18" s="141" t="s">
        <v>2788</v>
      </c>
      <c r="O18" s="163" t="s">
        <v>2789</v>
      </c>
      <c r="P18" s="141" t="s">
        <v>2790</v>
      </c>
      <c r="Q18" s="163" t="s">
        <v>2791</v>
      </c>
      <c r="R18" s="141" t="s">
        <v>2792</v>
      </c>
      <c r="S18" s="163" t="s">
        <v>2793</v>
      </c>
      <c r="T18" s="141" t="s">
        <v>2794</v>
      </c>
      <c r="U18" s="163" t="s">
        <v>2795</v>
      </c>
      <c r="V18" s="141" t="s">
        <v>2796</v>
      </c>
      <c r="W18" s="163" t="s">
        <v>2797</v>
      </c>
      <c r="X18" s="141" t="s">
        <v>2798</v>
      </c>
      <c r="Y18" s="163" t="s">
        <v>2799</v>
      </c>
      <c r="Z18" s="141" t="s">
        <v>2800</v>
      </c>
      <c r="AA18" s="163" t="s">
        <v>2801</v>
      </c>
      <c r="AB18" s="141" t="s">
        <v>2817</v>
      </c>
      <c r="AC18" s="163" t="s">
        <v>2818</v>
      </c>
      <c r="AD18" s="141" t="s">
        <v>2819</v>
      </c>
      <c r="AE18" s="163" t="s">
        <v>2821</v>
      </c>
      <c r="AF18" s="141" t="s">
        <v>2822</v>
      </c>
      <c r="AG18" s="163" t="s">
        <v>2823</v>
      </c>
      <c r="AH18" s="141" t="s">
        <v>2824</v>
      </c>
      <c r="AI18" s="163" t="s">
        <v>2825</v>
      </c>
      <c r="AJ18" s="141" t="s">
        <v>2826</v>
      </c>
      <c r="AK18" s="163" t="s">
        <v>2827</v>
      </c>
      <c r="AL18" s="141" t="s">
        <v>2831</v>
      </c>
      <c r="AM18" s="163" t="s">
        <v>2832</v>
      </c>
      <c r="AN18" s="224" t="s">
        <v>2833</v>
      </c>
      <c r="AO18" s="163" t="s">
        <v>2834</v>
      </c>
      <c r="AP18" s="513" t="s">
        <v>3011</v>
      </c>
      <c r="AQ18" s="1471" t="s">
        <v>3012</v>
      </c>
      <c r="AR18" s="1471" t="s">
        <v>3013</v>
      </c>
      <c r="AS18" s="285" t="s">
        <v>3014</v>
      </c>
      <c r="AT18" s="285" t="s">
        <v>3015</v>
      </c>
      <c r="AU18" s="1170"/>
      <c r="AV18" s="1058"/>
      <c r="AW18" s="1058"/>
      <c r="AX18" s="1058"/>
      <c r="AY18" s="1058"/>
      <c r="AZ18" s="1058"/>
      <c r="BA18" s="1058"/>
      <c r="BB18" s="1058"/>
      <c r="BC18" s="1058"/>
      <c r="BD18" s="1058"/>
      <c r="BE18" s="94"/>
      <c r="BF18" s="94"/>
      <c r="BG18" s="94"/>
      <c r="BX18" s="79"/>
      <c r="BZ18" s="891"/>
      <c r="CB18" s="890"/>
      <c r="CG18" s="1020">
        <v>0</v>
      </c>
      <c r="CH18" s="1020">
        <v>0</v>
      </c>
      <c r="CI18" s="1020">
        <v>0</v>
      </c>
      <c r="CJ18" s="1020">
        <v>0</v>
      </c>
      <c r="CK18" s="889">
        <v>0</v>
      </c>
      <c r="DA18" s="80"/>
    </row>
    <row r="19" spans="1:105" ht="16.350000000000001" customHeight="1" x14ac:dyDescent="0.2">
      <c r="A19" s="2449" t="s">
        <v>3021</v>
      </c>
      <c r="B19" s="2630" t="s">
        <v>3022</v>
      </c>
      <c r="C19" s="3502" t="s">
        <v>2777</v>
      </c>
      <c r="D19" s="3902" t="s">
        <v>2778</v>
      </c>
      <c r="E19" s="3903" t="s">
        <v>2779</v>
      </c>
      <c r="F19" s="2395" t="s">
        <v>2780</v>
      </c>
      <c r="G19" s="258" t="s">
        <v>2781</v>
      </c>
      <c r="H19" s="2395" t="s">
        <v>2782</v>
      </c>
      <c r="I19" s="258" t="s">
        <v>2783</v>
      </c>
      <c r="J19" s="2395" t="s">
        <v>2784</v>
      </c>
      <c r="K19" s="118" t="s">
        <v>2785</v>
      </c>
      <c r="L19" s="173" t="s">
        <v>2786</v>
      </c>
      <c r="M19" s="183" t="s">
        <v>2787</v>
      </c>
      <c r="N19" s="1371" t="s">
        <v>2788</v>
      </c>
      <c r="O19" s="183" t="s">
        <v>2789</v>
      </c>
      <c r="P19" s="1371" t="s">
        <v>2790</v>
      </c>
      <c r="Q19" s="183" t="s">
        <v>2791</v>
      </c>
      <c r="R19" s="1371" t="s">
        <v>2792</v>
      </c>
      <c r="S19" s="183" t="s">
        <v>2793</v>
      </c>
      <c r="T19" s="1371" t="s">
        <v>2794</v>
      </c>
      <c r="U19" s="183" t="s">
        <v>2795</v>
      </c>
      <c r="V19" s="1371" t="s">
        <v>2796</v>
      </c>
      <c r="W19" s="183" t="s">
        <v>2797</v>
      </c>
      <c r="X19" s="1371" t="s">
        <v>2798</v>
      </c>
      <c r="Y19" s="183" t="s">
        <v>2799</v>
      </c>
      <c r="Z19" s="1371" t="s">
        <v>2800</v>
      </c>
      <c r="AA19" s="183" t="s">
        <v>2801</v>
      </c>
      <c r="AB19" s="1371" t="s">
        <v>2817</v>
      </c>
      <c r="AC19" s="183" t="s">
        <v>2818</v>
      </c>
      <c r="AD19" s="1371" t="s">
        <v>2819</v>
      </c>
      <c r="AE19" s="183" t="s">
        <v>2821</v>
      </c>
      <c r="AF19" s="1371" t="s">
        <v>2822</v>
      </c>
      <c r="AG19" s="183" t="s">
        <v>2823</v>
      </c>
      <c r="AH19" s="2395" t="s">
        <v>2824</v>
      </c>
      <c r="AI19" s="118" t="s">
        <v>2825</v>
      </c>
      <c r="AJ19" s="2395" t="s">
        <v>2826</v>
      </c>
      <c r="AK19" s="118" t="s">
        <v>2827</v>
      </c>
      <c r="AL19" s="2395" t="s">
        <v>2831</v>
      </c>
      <c r="AM19" s="118" t="s">
        <v>2832</v>
      </c>
      <c r="AN19" s="2631" t="s">
        <v>2833</v>
      </c>
      <c r="AO19" s="162" t="s">
        <v>2834</v>
      </c>
      <c r="AP19" s="2632" t="s">
        <v>3011</v>
      </c>
      <c r="AQ19" s="1473" t="s">
        <v>3012</v>
      </c>
      <c r="AR19" s="1473" t="s">
        <v>3013</v>
      </c>
      <c r="AS19" s="1474" t="s">
        <v>3014</v>
      </c>
      <c r="AT19" s="1474" t="s">
        <v>3015</v>
      </c>
      <c r="AU19" s="1170"/>
      <c r="AV19" s="1058"/>
      <c r="AW19" s="1058"/>
      <c r="AX19" s="1058"/>
      <c r="AY19" s="1058"/>
      <c r="AZ19" s="1058"/>
      <c r="BA19" s="1058"/>
      <c r="BB19" s="1058"/>
      <c r="BC19" s="1058"/>
      <c r="BD19" s="1058"/>
      <c r="BE19" s="94"/>
      <c r="BF19" s="94"/>
      <c r="BG19" s="94"/>
      <c r="BX19" s="79"/>
      <c r="BZ19" s="891"/>
      <c r="CB19" s="890"/>
      <c r="CG19" s="1020">
        <v>0</v>
      </c>
      <c r="CH19" s="1020">
        <v>0</v>
      </c>
      <c r="CI19" s="1020">
        <v>0</v>
      </c>
      <c r="CJ19" s="1020">
        <v>0</v>
      </c>
      <c r="CK19" s="889">
        <v>0</v>
      </c>
      <c r="DA19" s="80"/>
    </row>
    <row r="20" spans="1:105" ht="16.350000000000001" customHeight="1" x14ac:dyDescent="0.2">
      <c r="A20" s="2449" t="s">
        <v>3023</v>
      </c>
      <c r="B20" s="2630" t="s">
        <v>1875</v>
      </c>
      <c r="C20" s="3502" t="s">
        <v>2777</v>
      </c>
      <c r="D20" s="3902" t="s">
        <v>2778</v>
      </c>
      <c r="E20" s="3499" t="s">
        <v>2779</v>
      </c>
      <c r="F20" s="2395" t="s">
        <v>2780</v>
      </c>
      <c r="G20" s="198" t="s">
        <v>2781</v>
      </c>
      <c r="H20" s="2395" t="s">
        <v>2782</v>
      </c>
      <c r="I20" s="198" t="s">
        <v>2783</v>
      </c>
      <c r="J20" s="2395" t="s">
        <v>2784</v>
      </c>
      <c r="K20" s="183" t="s">
        <v>2785</v>
      </c>
      <c r="L20" s="2395" t="s">
        <v>2786</v>
      </c>
      <c r="M20" s="183" t="s">
        <v>2787</v>
      </c>
      <c r="N20" s="1371" t="s">
        <v>2788</v>
      </c>
      <c r="O20" s="183" t="s">
        <v>2789</v>
      </c>
      <c r="P20" s="1371" t="s">
        <v>2790</v>
      </c>
      <c r="Q20" s="183" t="s">
        <v>2791</v>
      </c>
      <c r="R20" s="1371" t="s">
        <v>2792</v>
      </c>
      <c r="S20" s="183" t="s">
        <v>2793</v>
      </c>
      <c r="T20" s="1371" t="s">
        <v>2794</v>
      </c>
      <c r="U20" s="183" t="s">
        <v>2795</v>
      </c>
      <c r="V20" s="1371" t="s">
        <v>2796</v>
      </c>
      <c r="W20" s="183" t="s">
        <v>2797</v>
      </c>
      <c r="X20" s="1371" t="s">
        <v>2798</v>
      </c>
      <c r="Y20" s="183" t="s">
        <v>2799</v>
      </c>
      <c r="Z20" s="1371" t="s">
        <v>2800</v>
      </c>
      <c r="AA20" s="183" t="s">
        <v>2801</v>
      </c>
      <c r="AB20" s="1371" t="s">
        <v>2817</v>
      </c>
      <c r="AC20" s="183" t="s">
        <v>2818</v>
      </c>
      <c r="AD20" s="1371" t="s">
        <v>2819</v>
      </c>
      <c r="AE20" s="183" t="s">
        <v>2821</v>
      </c>
      <c r="AF20" s="1371" t="s">
        <v>2822</v>
      </c>
      <c r="AG20" s="183" t="s">
        <v>2823</v>
      </c>
      <c r="AH20" s="1371" t="s">
        <v>2824</v>
      </c>
      <c r="AI20" s="183" t="s">
        <v>2825</v>
      </c>
      <c r="AJ20" s="1371" t="s">
        <v>2826</v>
      </c>
      <c r="AK20" s="183" t="s">
        <v>2827</v>
      </c>
      <c r="AL20" s="1371" t="s">
        <v>2831</v>
      </c>
      <c r="AM20" s="183" t="s">
        <v>2832</v>
      </c>
      <c r="AN20" s="1371" t="s">
        <v>2833</v>
      </c>
      <c r="AO20" s="183" t="s">
        <v>2834</v>
      </c>
      <c r="AP20" s="2632" t="s">
        <v>3011</v>
      </c>
      <c r="AQ20" s="1473" t="s">
        <v>3012</v>
      </c>
      <c r="AR20" s="1473" t="s">
        <v>3013</v>
      </c>
      <c r="AS20" s="1474" t="s">
        <v>3014</v>
      </c>
      <c r="AT20" s="1474" t="s">
        <v>3015</v>
      </c>
      <c r="AU20" s="1170"/>
      <c r="AV20" s="1058"/>
      <c r="AW20" s="1058"/>
      <c r="AX20" s="1058"/>
      <c r="AY20" s="1058"/>
      <c r="AZ20" s="1058"/>
      <c r="BA20" s="1058"/>
      <c r="BB20" s="1058"/>
      <c r="BC20" s="1058"/>
      <c r="BD20" s="1058"/>
      <c r="BE20" s="94"/>
      <c r="BF20" s="94"/>
      <c r="BG20" s="94"/>
      <c r="BX20" s="79"/>
      <c r="BZ20" s="891"/>
      <c r="CB20" s="890"/>
      <c r="CG20" s="1020">
        <v>0</v>
      </c>
      <c r="CH20" s="1020">
        <v>0</v>
      </c>
      <c r="CI20" s="1020">
        <v>0</v>
      </c>
      <c r="CJ20" s="1020">
        <v>0</v>
      </c>
      <c r="CK20" s="889">
        <v>0</v>
      </c>
      <c r="DA20" s="80"/>
    </row>
    <row r="21" spans="1:105" ht="16.350000000000001" customHeight="1" x14ac:dyDescent="0.2">
      <c r="A21" s="2449" t="s">
        <v>3024</v>
      </c>
      <c r="B21" s="2630" t="s">
        <v>1876</v>
      </c>
      <c r="C21" s="3610" t="s">
        <v>2777</v>
      </c>
      <c r="D21" s="3506" t="s">
        <v>2778</v>
      </c>
      <c r="E21" s="3499" t="s">
        <v>2779</v>
      </c>
      <c r="F21" s="2395" t="s">
        <v>2780</v>
      </c>
      <c r="G21" s="258" t="s">
        <v>2781</v>
      </c>
      <c r="H21" s="2395" t="s">
        <v>2782</v>
      </c>
      <c r="I21" s="258" t="s">
        <v>2783</v>
      </c>
      <c r="J21" s="2395" t="s">
        <v>2784</v>
      </c>
      <c r="K21" s="118" t="s">
        <v>2785</v>
      </c>
      <c r="L21" s="173" t="s">
        <v>2786</v>
      </c>
      <c r="M21" s="118" t="s">
        <v>2787</v>
      </c>
      <c r="N21" s="2395" t="s">
        <v>2788</v>
      </c>
      <c r="O21" s="118" t="s">
        <v>2789</v>
      </c>
      <c r="P21" s="2245" t="s">
        <v>2790</v>
      </c>
      <c r="Q21" s="183" t="s">
        <v>2791</v>
      </c>
      <c r="R21" s="2245" t="s">
        <v>2792</v>
      </c>
      <c r="S21" s="183" t="s">
        <v>2793</v>
      </c>
      <c r="T21" s="2245" t="s">
        <v>2794</v>
      </c>
      <c r="U21" s="183" t="s">
        <v>2795</v>
      </c>
      <c r="V21" s="2245" t="s">
        <v>2796</v>
      </c>
      <c r="W21" s="183" t="s">
        <v>2797</v>
      </c>
      <c r="X21" s="2245" t="s">
        <v>2798</v>
      </c>
      <c r="Y21" s="183" t="s">
        <v>2799</v>
      </c>
      <c r="Z21" s="2245" t="s">
        <v>2800</v>
      </c>
      <c r="AA21" s="183" t="s">
        <v>2801</v>
      </c>
      <c r="AB21" s="2245" t="s">
        <v>2817</v>
      </c>
      <c r="AC21" s="183" t="s">
        <v>2818</v>
      </c>
      <c r="AD21" s="2395" t="s">
        <v>2819</v>
      </c>
      <c r="AE21" s="118" t="s">
        <v>2821</v>
      </c>
      <c r="AF21" s="2395" t="s">
        <v>2822</v>
      </c>
      <c r="AG21" s="118" t="s">
        <v>2823</v>
      </c>
      <c r="AH21" s="1371" t="s">
        <v>2824</v>
      </c>
      <c r="AI21" s="118" t="s">
        <v>2825</v>
      </c>
      <c r="AJ21" s="2395" t="s">
        <v>2826</v>
      </c>
      <c r="AK21" s="118" t="s">
        <v>2827</v>
      </c>
      <c r="AL21" s="2395" t="s">
        <v>2831</v>
      </c>
      <c r="AM21" s="118" t="s">
        <v>2832</v>
      </c>
      <c r="AN21" s="2631" t="s">
        <v>2833</v>
      </c>
      <c r="AO21" s="162" t="s">
        <v>2834</v>
      </c>
      <c r="AP21" s="2632" t="s">
        <v>3011</v>
      </c>
      <c r="AQ21" s="1473" t="s">
        <v>3012</v>
      </c>
      <c r="AR21" s="1473" t="s">
        <v>3013</v>
      </c>
      <c r="AS21" s="1474" t="s">
        <v>3014</v>
      </c>
      <c r="AT21" s="1474" t="s">
        <v>3015</v>
      </c>
      <c r="AU21" s="1170"/>
      <c r="AV21" s="1058"/>
      <c r="AW21" s="1058"/>
      <c r="AX21" s="1058"/>
      <c r="AY21" s="1058"/>
      <c r="AZ21" s="1058"/>
      <c r="BA21" s="1058"/>
      <c r="BB21" s="1058"/>
      <c r="BC21" s="1058"/>
      <c r="BD21" s="1058"/>
      <c r="BE21" s="94"/>
      <c r="BF21" s="94"/>
      <c r="BG21" s="94"/>
      <c r="BX21" s="79"/>
      <c r="BZ21" s="891"/>
      <c r="CB21" s="890"/>
      <c r="CG21" s="1020">
        <v>0</v>
      </c>
      <c r="CH21" s="1020">
        <v>0</v>
      </c>
      <c r="CI21" s="1020">
        <v>0</v>
      </c>
      <c r="CJ21" s="1020">
        <v>0</v>
      </c>
      <c r="CK21" s="889">
        <v>0</v>
      </c>
      <c r="DA21" s="80"/>
    </row>
    <row r="22" spans="1:105" ht="16.350000000000001" customHeight="1" x14ac:dyDescent="0.2">
      <c r="A22" s="2449" t="s">
        <v>3025</v>
      </c>
      <c r="B22" s="2630" t="s">
        <v>1877</v>
      </c>
      <c r="C22" s="3610" t="s">
        <v>2777</v>
      </c>
      <c r="D22" s="3506" t="s">
        <v>2778</v>
      </c>
      <c r="E22" s="3903" t="s">
        <v>2779</v>
      </c>
      <c r="F22" s="2245" t="s">
        <v>2780</v>
      </c>
      <c r="G22" s="240" t="s">
        <v>2781</v>
      </c>
      <c r="H22" s="2245" t="s">
        <v>2782</v>
      </c>
      <c r="I22" s="240" t="s">
        <v>2783</v>
      </c>
      <c r="J22" s="2245" t="s">
        <v>2784</v>
      </c>
      <c r="K22" s="183" t="s">
        <v>2785</v>
      </c>
      <c r="L22" s="2577" t="s">
        <v>2786</v>
      </c>
      <c r="M22" s="183" t="s">
        <v>2787</v>
      </c>
      <c r="N22" s="2245" t="s">
        <v>2788</v>
      </c>
      <c r="O22" s="183" t="s">
        <v>2789</v>
      </c>
      <c r="P22" s="2245" t="s">
        <v>2790</v>
      </c>
      <c r="Q22" s="183" t="s">
        <v>2791</v>
      </c>
      <c r="R22" s="2245" t="s">
        <v>2792</v>
      </c>
      <c r="S22" s="183" t="s">
        <v>2793</v>
      </c>
      <c r="T22" s="2245" t="s">
        <v>2794</v>
      </c>
      <c r="U22" s="183" t="s">
        <v>2795</v>
      </c>
      <c r="V22" s="2245" t="s">
        <v>2796</v>
      </c>
      <c r="W22" s="183" t="s">
        <v>2797</v>
      </c>
      <c r="X22" s="2245" t="s">
        <v>2798</v>
      </c>
      <c r="Y22" s="183" t="s">
        <v>2799</v>
      </c>
      <c r="Z22" s="2245" t="s">
        <v>2800</v>
      </c>
      <c r="AA22" s="183" t="s">
        <v>2801</v>
      </c>
      <c r="AB22" s="2245" t="s">
        <v>2817</v>
      </c>
      <c r="AC22" s="183" t="s">
        <v>2818</v>
      </c>
      <c r="AD22" s="2245" t="s">
        <v>2819</v>
      </c>
      <c r="AE22" s="183" t="s">
        <v>2821</v>
      </c>
      <c r="AF22" s="2245" t="s">
        <v>2822</v>
      </c>
      <c r="AG22" s="183" t="s">
        <v>2823</v>
      </c>
      <c r="AH22" s="2245" t="s">
        <v>2824</v>
      </c>
      <c r="AI22" s="183" t="s">
        <v>2825</v>
      </c>
      <c r="AJ22" s="2245" t="s">
        <v>2826</v>
      </c>
      <c r="AK22" s="183" t="s">
        <v>2827</v>
      </c>
      <c r="AL22" s="2245" t="s">
        <v>2831</v>
      </c>
      <c r="AM22" s="183" t="s">
        <v>2832</v>
      </c>
      <c r="AN22" s="2246" t="s">
        <v>2833</v>
      </c>
      <c r="AO22" s="183" t="s">
        <v>2834</v>
      </c>
      <c r="AP22" s="2632" t="s">
        <v>3011</v>
      </c>
      <c r="AQ22" s="1473" t="s">
        <v>3012</v>
      </c>
      <c r="AR22" s="1473" t="s">
        <v>3013</v>
      </c>
      <c r="AS22" s="1474" t="s">
        <v>3014</v>
      </c>
      <c r="AT22" s="1474" t="s">
        <v>3015</v>
      </c>
      <c r="AU22" s="1170"/>
      <c r="AV22" s="1058"/>
      <c r="AW22" s="1058"/>
      <c r="AX22" s="1058"/>
      <c r="AY22" s="1058"/>
      <c r="AZ22" s="1058"/>
      <c r="BA22" s="1058"/>
      <c r="BB22" s="1058"/>
      <c r="BC22" s="1058"/>
      <c r="BD22" s="1058"/>
      <c r="BE22" s="94"/>
      <c r="BF22" s="94"/>
      <c r="BG22" s="94"/>
      <c r="BX22" s="79"/>
      <c r="BZ22" s="891"/>
      <c r="CG22" s="1020">
        <v>0</v>
      </c>
      <c r="CH22" s="1020">
        <v>0</v>
      </c>
      <c r="CI22" s="1020">
        <v>0</v>
      </c>
      <c r="CJ22" s="1020">
        <v>0</v>
      </c>
      <c r="CK22" s="889">
        <v>0</v>
      </c>
      <c r="DA22" s="80"/>
    </row>
    <row r="23" spans="1:105" ht="16.350000000000001" customHeight="1" x14ac:dyDescent="0.2">
      <c r="A23" s="2449" t="s">
        <v>3026</v>
      </c>
      <c r="B23" s="2425" t="s">
        <v>1878</v>
      </c>
      <c r="C23" s="3610" t="s">
        <v>2777</v>
      </c>
      <c r="D23" s="3506" t="s">
        <v>2778</v>
      </c>
      <c r="E23" s="3903" t="s">
        <v>2779</v>
      </c>
      <c r="F23" s="2245" t="s">
        <v>2780</v>
      </c>
      <c r="G23" s="240" t="s">
        <v>2781</v>
      </c>
      <c r="H23" s="2245" t="s">
        <v>2782</v>
      </c>
      <c r="I23" s="240" t="s">
        <v>2783</v>
      </c>
      <c r="J23" s="2245" t="s">
        <v>2784</v>
      </c>
      <c r="K23" s="183" t="s">
        <v>2785</v>
      </c>
      <c r="L23" s="2577" t="s">
        <v>2786</v>
      </c>
      <c r="M23" s="183" t="s">
        <v>2787</v>
      </c>
      <c r="N23" s="2245" t="s">
        <v>2788</v>
      </c>
      <c r="O23" s="183" t="s">
        <v>2789</v>
      </c>
      <c r="P23" s="2245" t="s">
        <v>2790</v>
      </c>
      <c r="Q23" s="183" t="s">
        <v>2791</v>
      </c>
      <c r="R23" s="2245" t="s">
        <v>2792</v>
      </c>
      <c r="S23" s="183" t="s">
        <v>2793</v>
      </c>
      <c r="T23" s="2245" t="s">
        <v>2794</v>
      </c>
      <c r="U23" s="183" t="s">
        <v>2795</v>
      </c>
      <c r="V23" s="2245" t="s">
        <v>2796</v>
      </c>
      <c r="W23" s="183" t="s">
        <v>2797</v>
      </c>
      <c r="X23" s="2245" t="s">
        <v>2798</v>
      </c>
      <c r="Y23" s="183" t="s">
        <v>2799</v>
      </c>
      <c r="Z23" s="2245" t="s">
        <v>2800</v>
      </c>
      <c r="AA23" s="183" t="s">
        <v>2801</v>
      </c>
      <c r="AB23" s="2245" t="s">
        <v>2817</v>
      </c>
      <c r="AC23" s="183" t="s">
        <v>2818</v>
      </c>
      <c r="AD23" s="2245" t="s">
        <v>2819</v>
      </c>
      <c r="AE23" s="183" t="s">
        <v>2821</v>
      </c>
      <c r="AF23" s="2245" t="s">
        <v>2822</v>
      </c>
      <c r="AG23" s="183" t="s">
        <v>2823</v>
      </c>
      <c r="AH23" s="2245" t="s">
        <v>2824</v>
      </c>
      <c r="AI23" s="183" t="s">
        <v>2825</v>
      </c>
      <c r="AJ23" s="2245" t="s">
        <v>2826</v>
      </c>
      <c r="AK23" s="183" t="s">
        <v>2827</v>
      </c>
      <c r="AL23" s="2245" t="s">
        <v>2831</v>
      </c>
      <c r="AM23" s="183" t="s">
        <v>2832</v>
      </c>
      <c r="AN23" s="2246" t="s">
        <v>2833</v>
      </c>
      <c r="AO23" s="183" t="s">
        <v>2834</v>
      </c>
      <c r="AP23" s="2632" t="s">
        <v>3011</v>
      </c>
      <c r="AQ23" s="1473" t="s">
        <v>3012</v>
      </c>
      <c r="AR23" s="1473" t="s">
        <v>3013</v>
      </c>
      <c r="AS23" s="1474" t="s">
        <v>3014</v>
      </c>
      <c r="AT23" s="1474" t="s">
        <v>3015</v>
      </c>
      <c r="AU23" s="1170"/>
      <c r="AV23" s="1058"/>
      <c r="AW23" s="1058"/>
      <c r="AX23" s="1058"/>
      <c r="AY23" s="1058"/>
      <c r="AZ23" s="1058"/>
      <c r="BA23" s="1058"/>
      <c r="BB23" s="1058"/>
      <c r="BC23" s="1058"/>
      <c r="BD23" s="1058"/>
      <c r="BE23" s="94"/>
      <c r="BF23" s="94"/>
      <c r="BG23" s="94"/>
      <c r="BX23" s="79"/>
      <c r="BZ23" s="891"/>
      <c r="CG23" s="1020">
        <v>0</v>
      </c>
      <c r="CH23" s="1020">
        <v>0</v>
      </c>
      <c r="CI23" s="1020">
        <v>0</v>
      </c>
      <c r="CJ23" s="1020">
        <v>0</v>
      </c>
      <c r="CK23" s="889">
        <v>0</v>
      </c>
      <c r="DA23" s="80"/>
    </row>
    <row r="24" spans="1:105" ht="16.350000000000001" customHeight="1" x14ac:dyDescent="0.2">
      <c r="A24" s="2449" t="s">
        <v>3027</v>
      </c>
      <c r="B24" s="2425" t="s">
        <v>1879</v>
      </c>
      <c r="C24" s="3502" t="s">
        <v>2777</v>
      </c>
      <c r="D24" s="3503" t="s">
        <v>2778</v>
      </c>
      <c r="E24" s="3499" t="s">
        <v>2779</v>
      </c>
      <c r="F24" s="173" t="s">
        <v>2780</v>
      </c>
      <c r="G24" s="162" t="s">
        <v>2781</v>
      </c>
      <c r="H24" s="2245" t="s">
        <v>2782</v>
      </c>
      <c r="I24" s="240" t="s">
        <v>2783</v>
      </c>
      <c r="J24" s="2245" t="s">
        <v>2784</v>
      </c>
      <c r="K24" s="183" t="s">
        <v>2785</v>
      </c>
      <c r="L24" s="2577" t="s">
        <v>2786</v>
      </c>
      <c r="M24" s="183" t="s">
        <v>2787</v>
      </c>
      <c r="N24" s="2245" t="s">
        <v>2788</v>
      </c>
      <c r="O24" s="183" t="s">
        <v>2789</v>
      </c>
      <c r="P24" s="2245" t="s">
        <v>2790</v>
      </c>
      <c r="Q24" s="183" t="s">
        <v>2791</v>
      </c>
      <c r="R24" s="2245" t="s">
        <v>2792</v>
      </c>
      <c r="S24" s="183" t="s">
        <v>2793</v>
      </c>
      <c r="T24" s="2245" t="s">
        <v>2794</v>
      </c>
      <c r="U24" s="183" t="s">
        <v>2795</v>
      </c>
      <c r="V24" s="2245" t="s">
        <v>2796</v>
      </c>
      <c r="W24" s="183" t="s">
        <v>2797</v>
      </c>
      <c r="X24" s="2245" t="s">
        <v>2798</v>
      </c>
      <c r="Y24" s="183" t="s">
        <v>2799</v>
      </c>
      <c r="Z24" s="2245" t="s">
        <v>2800</v>
      </c>
      <c r="AA24" s="183" t="s">
        <v>2801</v>
      </c>
      <c r="AB24" s="2245" t="s">
        <v>2817</v>
      </c>
      <c r="AC24" s="183" t="s">
        <v>2818</v>
      </c>
      <c r="AD24" s="2245" t="s">
        <v>2819</v>
      </c>
      <c r="AE24" s="183" t="s">
        <v>2821</v>
      </c>
      <c r="AF24" s="2245" t="s">
        <v>2822</v>
      </c>
      <c r="AG24" s="183" t="s">
        <v>2823</v>
      </c>
      <c r="AH24" s="2245" t="s">
        <v>2824</v>
      </c>
      <c r="AI24" s="183" t="s">
        <v>2825</v>
      </c>
      <c r="AJ24" s="2245" t="s">
        <v>2826</v>
      </c>
      <c r="AK24" s="183" t="s">
        <v>2827</v>
      </c>
      <c r="AL24" s="2245" t="s">
        <v>2831</v>
      </c>
      <c r="AM24" s="183" t="s">
        <v>2832</v>
      </c>
      <c r="AN24" s="2246" t="s">
        <v>2833</v>
      </c>
      <c r="AO24" s="183" t="s">
        <v>2834</v>
      </c>
      <c r="AP24" s="2632" t="s">
        <v>3011</v>
      </c>
      <c r="AQ24" s="1473" t="s">
        <v>3012</v>
      </c>
      <c r="AR24" s="1473" t="s">
        <v>3013</v>
      </c>
      <c r="AS24" s="1474" t="s">
        <v>3014</v>
      </c>
      <c r="AT24" s="1474" t="s">
        <v>3015</v>
      </c>
      <c r="AU24" s="1170"/>
      <c r="AV24" s="1058"/>
      <c r="AW24" s="1058"/>
      <c r="AX24" s="1058"/>
      <c r="AY24" s="1058"/>
      <c r="AZ24" s="1058"/>
      <c r="BA24" s="1058"/>
      <c r="BB24" s="1058"/>
      <c r="BC24" s="1058"/>
      <c r="BD24" s="1058"/>
      <c r="BE24" s="94"/>
      <c r="BF24" s="94"/>
      <c r="BG24" s="94"/>
      <c r="BX24" s="79"/>
      <c r="BZ24" s="891"/>
      <c r="CG24" s="1020">
        <v>0</v>
      </c>
      <c r="CH24" s="1020">
        <v>0</v>
      </c>
      <c r="CI24" s="1020">
        <v>0</v>
      </c>
      <c r="CJ24" s="1020">
        <v>0</v>
      </c>
      <c r="CK24" s="889">
        <v>0</v>
      </c>
      <c r="DA24" s="80"/>
    </row>
    <row r="25" spans="1:105" ht="16.350000000000001" customHeight="1" x14ac:dyDescent="0.2">
      <c r="A25" s="2449" t="s">
        <v>3028</v>
      </c>
      <c r="B25" s="2425" t="s">
        <v>1193</v>
      </c>
      <c r="C25" s="3502" t="s">
        <v>2777</v>
      </c>
      <c r="D25" s="3503" t="s">
        <v>2778</v>
      </c>
      <c r="E25" s="3499" t="s">
        <v>2779</v>
      </c>
      <c r="F25" s="2578" t="s">
        <v>2780</v>
      </c>
      <c r="G25" s="118" t="s">
        <v>2781</v>
      </c>
      <c r="H25" s="2395" t="s">
        <v>2782</v>
      </c>
      <c r="I25" s="258" t="s">
        <v>2783</v>
      </c>
      <c r="J25" s="2395" t="s">
        <v>2784</v>
      </c>
      <c r="K25" s="258" t="s">
        <v>2785</v>
      </c>
      <c r="L25" s="2395" t="s">
        <v>2786</v>
      </c>
      <c r="M25" s="258" t="s">
        <v>2787</v>
      </c>
      <c r="N25" s="2245" t="s">
        <v>2788</v>
      </c>
      <c r="O25" s="183" t="s">
        <v>2789</v>
      </c>
      <c r="P25" s="2245" t="s">
        <v>2790</v>
      </c>
      <c r="Q25" s="183" t="s">
        <v>2791</v>
      </c>
      <c r="R25" s="2245" t="s">
        <v>2792</v>
      </c>
      <c r="S25" s="183" t="s">
        <v>2793</v>
      </c>
      <c r="T25" s="2245" t="s">
        <v>2794</v>
      </c>
      <c r="U25" s="183" t="s">
        <v>2795</v>
      </c>
      <c r="V25" s="2245" t="s">
        <v>2796</v>
      </c>
      <c r="W25" s="183" t="s">
        <v>2797</v>
      </c>
      <c r="X25" s="2245" t="s">
        <v>2798</v>
      </c>
      <c r="Y25" s="183" t="s">
        <v>2799</v>
      </c>
      <c r="Z25" s="2245" t="s">
        <v>2800</v>
      </c>
      <c r="AA25" s="183" t="s">
        <v>2801</v>
      </c>
      <c r="AB25" s="2245" t="s">
        <v>2817</v>
      </c>
      <c r="AC25" s="183" t="s">
        <v>2818</v>
      </c>
      <c r="AD25" s="2245" t="s">
        <v>2819</v>
      </c>
      <c r="AE25" s="183" t="s">
        <v>2821</v>
      </c>
      <c r="AF25" s="2245" t="s">
        <v>2822</v>
      </c>
      <c r="AG25" s="183" t="s">
        <v>2823</v>
      </c>
      <c r="AH25" s="2245" t="s">
        <v>2824</v>
      </c>
      <c r="AI25" s="183" t="s">
        <v>2825</v>
      </c>
      <c r="AJ25" s="2245" t="s">
        <v>2826</v>
      </c>
      <c r="AK25" s="183" t="s">
        <v>2827</v>
      </c>
      <c r="AL25" s="2245" t="s">
        <v>2831</v>
      </c>
      <c r="AM25" s="183" t="s">
        <v>2832</v>
      </c>
      <c r="AN25" s="2246" t="s">
        <v>2833</v>
      </c>
      <c r="AO25" s="183" t="s">
        <v>2834</v>
      </c>
      <c r="AP25" s="2632" t="s">
        <v>3011</v>
      </c>
      <c r="AQ25" s="1473" t="s">
        <v>3012</v>
      </c>
      <c r="AR25" s="1473" t="s">
        <v>3013</v>
      </c>
      <c r="AS25" s="1474" t="s">
        <v>3014</v>
      </c>
      <c r="AT25" s="1474" t="s">
        <v>3015</v>
      </c>
      <c r="AU25" s="1170"/>
      <c r="AV25" s="1058"/>
      <c r="AW25" s="1058"/>
      <c r="AX25" s="1058"/>
      <c r="AY25" s="1058"/>
      <c r="AZ25" s="1058"/>
      <c r="BA25" s="1058"/>
      <c r="BB25" s="1058"/>
      <c r="BC25" s="1058"/>
      <c r="BD25" s="1058"/>
      <c r="BE25" s="94"/>
      <c r="BF25" s="94"/>
      <c r="BG25" s="94"/>
      <c r="BX25" s="79"/>
      <c r="BZ25" s="891"/>
      <c r="CG25" s="1020">
        <v>0</v>
      </c>
      <c r="CH25" s="1020">
        <v>0</v>
      </c>
      <c r="CI25" s="1020">
        <v>0</v>
      </c>
      <c r="CJ25" s="1020">
        <v>0</v>
      </c>
      <c r="CK25" s="889">
        <v>0</v>
      </c>
      <c r="DA25" s="80"/>
    </row>
    <row r="26" spans="1:105" ht="16.350000000000001" customHeight="1" x14ac:dyDescent="0.2">
      <c r="A26" s="2449" t="s">
        <v>3029</v>
      </c>
      <c r="B26" s="1250" t="s">
        <v>1880</v>
      </c>
      <c r="C26" s="3904" t="s">
        <v>2777</v>
      </c>
      <c r="D26" s="2909" t="s">
        <v>2778</v>
      </c>
      <c r="E26" s="3905" t="s">
        <v>2779</v>
      </c>
      <c r="F26" s="2314" t="s">
        <v>2780</v>
      </c>
      <c r="G26" s="125" t="s">
        <v>2781</v>
      </c>
      <c r="H26" s="166" t="s">
        <v>2782</v>
      </c>
      <c r="I26" s="168" t="s">
        <v>2783</v>
      </c>
      <c r="J26" s="166" t="s">
        <v>2784</v>
      </c>
      <c r="K26" s="125" t="s">
        <v>2785</v>
      </c>
      <c r="L26" s="2540" t="s">
        <v>2786</v>
      </c>
      <c r="M26" s="125" t="s">
        <v>2787</v>
      </c>
      <c r="N26" s="166" t="s">
        <v>2788</v>
      </c>
      <c r="O26" s="125" t="s">
        <v>2789</v>
      </c>
      <c r="P26" s="166" t="s">
        <v>2790</v>
      </c>
      <c r="Q26" s="125" t="s">
        <v>2791</v>
      </c>
      <c r="R26" s="166" t="s">
        <v>2792</v>
      </c>
      <c r="S26" s="125" t="s">
        <v>2793</v>
      </c>
      <c r="T26" s="166" t="s">
        <v>2794</v>
      </c>
      <c r="U26" s="125" t="s">
        <v>2795</v>
      </c>
      <c r="V26" s="166" t="s">
        <v>2796</v>
      </c>
      <c r="W26" s="125" t="s">
        <v>2797</v>
      </c>
      <c r="X26" s="166" t="s">
        <v>2798</v>
      </c>
      <c r="Y26" s="125" t="s">
        <v>2799</v>
      </c>
      <c r="Z26" s="166" t="s">
        <v>2800</v>
      </c>
      <c r="AA26" s="125" t="s">
        <v>2801</v>
      </c>
      <c r="AB26" s="166" t="s">
        <v>2817</v>
      </c>
      <c r="AC26" s="125" t="s">
        <v>2818</v>
      </c>
      <c r="AD26" s="166" t="s">
        <v>2819</v>
      </c>
      <c r="AE26" s="125" t="s">
        <v>2821</v>
      </c>
      <c r="AF26" s="166" t="s">
        <v>2822</v>
      </c>
      <c r="AG26" s="125" t="s">
        <v>2823</v>
      </c>
      <c r="AH26" s="166" t="s">
        <v>2824</v>
      </c>
      <c r="AI26" s="125" t="s">
        <v>2825</v>
      </c>
      <c r="AJ26" s="166" t="s">
        <v>2826</v>
      </c>
      <c r="AK26" s="125" t="s">
        <v>2827</v>
      </c>
      <c r="AL26" s="166" t="s">
        <v>2831</v>
      </c>
      <c r="AM26" s="125" t="s">
        <v>2832</v>
      </c>
      <c r="AN26" s="227" t="s">
        <v>2833</v>
      </c>
      <c r="AO26" s="125" t="s">
        <v>2834</v>
      </c>
      <c r="AP26" s="375" t="s">
        <v>3011</v>
      </c>
      <c r="AQ26" s="1476" t="s">
        <v>3012</v>
      </c>
      <c r="AR26" s="1476" t="s">
        <v>3013</v>
      </c>
      <c r="AS26" s="287" t="s">
        <v>3014</v>
      </c>
      <c r="AT26" s="287" t="s">
        <v>3015</v>
      </c>
      <c r="AU26" s="1170"/>
      <c r="AV26" s="1058"/>
      <c r="AW26" s="1058"/>
      <c r="AX26" s="1058"/>
      <c r="AY26" s="1058"/>
      <c r="AZ26" s="1058"/>
      <c r="BA26" s="1058"/>
      <c r="BB26" s="1058"/>
      <c r="BC26" s="1058"/>
      <c r="BD26" s="1058"/>
      <c r="BE26" s="94"/>
      <c r="BF26" s="94"/>
      <c r="BG26" s="94"/>
      <c r="BX26" s="79"/>
      <c r="BZ26" s="891"/>
      <c r="CG26" s="1020">
        <v>0</v>
      </c>
      <c r="CH26" s="1020">
        <v>0</v>
      </c>
      <c r="CI26" s="1020">
        <v>0</v>
      </c>
      <c r="CJ26" s="1020">
        <v>0</v>
      </c>
      <c r="CK26" s="889">
        <v>0</v>
      </c>
      <c r="DA26" s="80"/>
    </row>
    <row r="27" spans="1:105" ht="31.35" customHeight="1" x14ac:dyDescent="0.2">
      <c r="B27" s="1325" t="s">
        <v>1881</v>
      </c>
      <c r="C27" s="85"/>
      <c r="D27" s="85"/>
      <c r="E27" s="85"/>
      <c r="F27" s="85"/>
      <c r="G27" s="1404"/>
      <c r="H27" s="1404" t="s">
        <v>211</v>
      </c>
      <c r="I27" s="1477"/>
      <c r="J27" s="1477"/>
      <c r="K27" s="1404"/>
      <c r="L27" s="1404"/>
      <c r="M27" s="1404"/>
      <c r="N27" s="1404"/>
      <c r="O27" s="1404"/>
      <c r="P27" s="1404"/>
      <c r="Q27" s="1404"/>
      <c r="R27" s="1404"/>
      <c r="S27" s="1404"/>
      <c r="T27" s="1404"/>
      <c r="U27" s="1404"/>
      <c r="V27" s="1404"/>
      <c r="W27" s="1404"/>
      <c r="X27" s="1404"/>
      <c r="Y27" s="1404"/>
      <c r="Z27" s="1478"/>
      <c r="AA27" s="1478"/>
      <c r="AB27" s="1478"/>
      <c r="AC27" s="1478"/>
      <c r="AD27" s="1478"/>
      <c r="AE27" s="1478"/>
      <c r="AF27" s="1478"/>
      <c r="AG27" s="1478"/>
      <c r="AH27" s="1478"/>
      <c r="AI27" s="1478"/>
      <c r="AJ27" s="1478"/>
      <c r="AK27" s="1478"/>
      <c r="AL27" s="1478"/>
      <c r="AM27" s="1478"/>
      <c r="AN27" s="1478"/>
      <c r="AO27" s="1478"/>
      <c r="AP27" s="1478"/>
      <c r="AQ27" s="1479"/>
      <c r="AR27" s="1480"/>
      <c r="AS27" s="881"/>
      <c r="AT27" s="94"/>
      <c r="AU27" s="94"/>
      <c r="AV27" s="94"/>
      <c r="AW27" s="94"/>
      <c r="AX27" s="94"/>
      <c r="AY27" s="94"/>
      <c r="AZ27" s="94"/>
      <c r="BA27" s="94"/>
      <c r="BB27" s="94"/>
      <c r="BC27" s="94"/>
      <c r="BD27" s="94"/>
      <c r="BE27" s="94"/>
      <c r="BF27" s="94"/>
      <c r="BG27" s="94"/>
      <c r="BH27" s="94"/>
      <c r="CH27" s="1020"/>
      <c r="CI27" s="1020"/>
      <c r="CJ27" s="1020"/>
      <c r="CK27" s="1020"/>
    </row>
    <row r="28" spans="1:105" ht="20.100000000000001" customHeight="1" x14ac:dyDescent="0.2">
      <c r="B28" s="5396" t="s">
        <v>3</v>
      </c>
      <c r="C28" s="5398" t="s">
        <v>4</v>
      </c>
      <c r="D28" s="5399"/>
      <c r="E28" s="5400"/>
      <c r="F28" s="5404" t="s">
        <v>274</v>
      </c>
      <c r="G28" s="5405"/>
      <c r="H28" s="5405"/>
      <c r="I28" s="5405"/>
      <c r="J28" s="5405"/>
      <c r="K28" s="5405"/>
      <c r="L28" s="5405"/>
      <c r="M28" s="5405"/>
      <c r="N28" s="5405"/>
      <c r="O28" s="5405"/>
      <c r="P28" s="5405"/>
      <c r="Q28" s="5405"/>
      <c r="R28" s="5405"/>
      <c r="S28" s="5405"/>
      <c r="T28" s="5405"/>
      <c r="U28" s="5405"/>
      <c r="V28" s="5405"/>
      <c r="W28" s="5405"/>
      <c r="X28" s="5405"/>
      <c r="Y28" s="5405"/>
      <c r="Z28" s="5405"/>
      <c r="AA28" s="5405"/>
      <c r="AB28" s="5405"/>
      <c r="AC28" s="5405"/>
      <c r="AD28" s="5405"/>
      <c r="AE28" s="5405"/>
      <c r="AF28" s="5405"/>
      <c r="AG28" s="5405"/>
      <c r="AH28" s="5405"/>
      <c r="AI28" s="5405"/>
      <c r="AJ28" s="5405"/>
      <c r="AK28" s="5405"/>
      <c r="AL28" s="5405"/>
      <c r="AM28" s="5405"/>
      <c r="AN28" s="5405"/>
      <c r="AO28" s="5406"/>
      <c r="AP28" s="5407" t="s">
        <v>1357</v>
      </c>
      <c r="AQ28" s="5418" t="s">
        <v>1359</v>
      </c>
      <c r="AR28" s="5418" t="s">
        <v>1358</v>
      </c>
      <c r="AS28" s="5418" t="s">
        <v>1567</v>
      </c>
      <c r="AT28" s="5415" t="s">
        <v>1483</v>
      </c>
      <c r="AU28" s="94"/>
      <c r="AV28" s="94"/>
      <c r="AW28" s="94"/>
      <c r="AX28" s="94"/>
      <c r="AY28" s="94"/>
      <c r="AZ28" s="94"/>
      <c r="BA28" s="94"/>
      <c r="BB28" s="94"/>
      <c r="BC28" s="94"/>
      <c r="BD28" s="94"/>
      <c r="BE28" s="94"/>
      <c r="BF28" s="94"/>
      <c r="BG28" s="94"/>
      <c r="BH28" s="94"/>
      <c r="BY28" s="80"/>
      <c r="CH28" s="1020"/>
      <c r="CI28" s="1020"/>
      <c r="CJ28" s="1020"/>
      <c r="CK28" s="1020"/>
    </row>
    <row r="29" spans="1:105" ht="20.100000000000001" customHeight="1" x14ac:dyDescent="0.2">
      <c r="B29" s="5135"/>
      <c r="C29" s="5401"/>
      <c r="D29" s="5402"/>
      <c r="E29" s="5403"/>
      <c r="F29" s="5404" t="s">
        <v>1871</v>
      </c>
      <c r="G29" s="5406"/>
      <c r="H29" s="5404" t="s">
        <v>1872</v>
      </c>
      <c r="I29" s="5406"/>
      <c r="J29" s="5404" t="s">
        <v>275</v>
      </c>
      <c r="K29" s="5406"/>
      <c r="L29" s="5404" t="s">
        <v>1761</v>
      </c>
      <c r="M29" s="5406"/>
      <c r="N29" s="5404" t="s">
        <v>9</v>
      </c>
      <c r="O29" s="5406"/>
      <c r="P29" s="5404" t="s">
        <v>1762</v>
      </c>
      <c r="Q29" s="5406"/>
      <c r="R29" s="5405" t="s">
        <v>11</v>
      </c>
      <c r="S29" s="5406"/>
      <c r="T29" s="5404" t="s">
        <v>12</v>
      </c>
      <c r="U29" s="5406"/>
      <c r="V29" s="5405" t="s">
        <v>13</v>
      </c>
      <c r="W29" s="5421"/>
      <c r="X29" s="5422" t="s">
        <v>14</v>
      </c>
      <c r="Y29" s="5421"/>
      <c r="Z29" s="5422" t="s">
        <v>15</v>
      </c>
      <c r="AA29" s="5405"/>
      <c r="AB29" s="5404" t="s">
        <v>16</v>
      </c>
      <c r="AC29" s="5406"/>
      <c r="AD29" s="5405" t="s">
        <v>17</v>
      </c>
      <c r="AE29" s="5405"/>
      <c r="AF29" s="5404" t="s">
        <v>18</v>
      </c>
      <c r="AG29" s="5406"/>
      <c r="AH29" s="5404" t="s">
        <v>19</v>
      </c>
      <c r="AI29" s="5406"/>
      <c r="AJ29" s="5404" t="s">
        <v>20</v>
      </c>
      <c r="AK29" s="5406"/>
      <c r="AL29" s="5404" t="s">
        <v>21</v>
      </c>
      <c r="AM29" s="5406"/>
      <c r="AN29" s="5405" t="s">
        <v>22</v>
      </c>
      <c r="AO29" s="5406"/>
      <c r="AP29" s="5408"/>
      <c r="AQ29" s="5419"/>
      <c r="AR29" s="5419"/>
      <c r="AS29" s="5419"/>
      <c r="AT29" s="5416"/>
      <c r="AU29" s="94"/>
      <c r="AV29" s="94"/>
      <c r="AW29" s="94"/>
      <c r="AX29" s="94"/>
      <c r="AY29" s="94"/>
      <c r="AZ29" s="94"/>
      <c r="BA29" s="94"/>
      <c r="BB29" s="94"/>
      <c r="BC29" s="94"/>
      <c r="BD29" s="94"/>
      <c r="BE29" s="94"/>
      <c r="BF29" s="94"/>
      <c r="BG29" s="94"/>
      <c r="BH29" s="94"/>
      <c r="BY29" s="80"/>
      <c r="CH29" s="1020"/>
      <c r="CI29" s="1020"/>
      <c r="CJ29" s="1020"/>
      <c r="CK29" s="1020"/>
    </row>
    <row r="30" spans="1:105" ht="20.100000000000001" customHeight="1" x14ac:dyDescent="0.2">
      <c r="B30" s="5397"/>
      <c r="C30" s="1116" t="s">
        <v>184</v>
      </c>
      <c r="D30" s="1149" t="s">
        <v>24</v>
      </c>
      <c r="E30" s="1481" t="s">
        <v>25</v>
      </c>
      <c r="F30" s="1482" t="s">
        <v>24</v>
      </c>
      <c r="G30" s="1333" t="s">
        <v>25</v>
      </c>
      <c r="H30" s="1482" t="s">
        <v>24</v>
      </c>
      <c r="I30" s="1333" t="s">
        <v>25</v>
      </c>
      <c r="J30" s="1482" t="s">
        <v>24</v>
      </c>
      <c r="K30" s="1333" t="s">
        <v>25</v>
      </c>
      <c r="L30" s="1482" t="s">
        <v>24</v>
      </c>
      <c r="M30" s="1333" t="s">
        <v>25</v>
      </c>
      <c r="N30" s="1482" t="s">
        <v>24</v>
      </c>
      <c r="O30" s="1333" t="s">
        <v>25</v>
      </c>
      <c r="P30" s="1482" t="s">
        <v>24</v>
      </c>
      <c r="Q30" s="1333" t="s">
        <v>25</v>
      </c>
      <c r="R30" s="1483" t="s">
        <v>24</v>
      </c>
      <c r="S30" s="1333" t="s">
        <v>25</v>
      </c>
      <c r="T30" s="1482" t="s">
        <v>24</v>
      </c>
      <c r="U30" s="1333" t="s">
        <v>25</v>
      </c>
      <c r="V30" s="1483" t="s">
        <v>24</v>
      </c>
      <c r="W30" s="1349" t="s">
        <v>25</v>
      </c>
      <c r="X30" s="1482" t="s">
        <v>24</v>
      </c>
      <c r="Y30" s="1349" t="s">
        <v>25</v>
      </c>
      <c r="Z30" s="1482" t="s">
        <v>24</v>
      </c>
      <c r="AA30" s="1349" t="s">
        <v>25</v>
      </c>
      <c r="AB30" s="1482" t="s">
        <v>24</v>
      </c>
      <c r="AC30" s="1349" t="s">
        <v>25</v>
      </c>
      <c r="AD30" s="1482" t="s">
        <v>24</v>
      </c>
      <c r="AE30" s="1349" t="s">
        <v>25</v>
      </c>
      <c r="AF30" s="1482" t="s">
        <v>24</v>
      </c>
      <c r="AG30" s="1349" t="s">
        <v>25</v>
      </c>
      <c r="AH30" s="1482" t="s">
        <v>24</v>
      </c>
      <c r="AI30" s="1349" t="s">
        <v>25</v>
      </c>
      <c r="AJ30" s="1482" t="s">
        <v>24</v>
      </c>
      <c r="AK30" s="1349" t="s">
        <v>25</v>
      </c>
      <c r="AL30" s="1482" t="s">
        <v>24</v>
      </c>
      <c r="AM30" s="1349" t="s">
        <v>25</v>
      </c>
      <c r="AN30" s="1482" t="s">
        <v>24</v>
      </c>
      <c r="AO30" s="1333" t="s">
        <v>25</v>
      </c>
      <c r="AP30" s="5409"/>
      <c r="AQ30" s="5420"/>
      <c r="AR30" s="5420"/>
      <c r="AS30" s="5420"/>
      <c r="AT30" s="5417"/>
      <c r="AU30" s="94"/>
      <c r="AV30" s="94"/>
      <c r="AW30" s="94"/>
      <c r="AX30" s="94"/>
      <c r="AY30" s="94"/>
      <c r="AZ30" s="94"/>
      <c r="BA30" s="94"/>
      <c r="BB30" s="94"/>
      <c r="BC30" s="94"/>
      <c r="BD30" s="94"/>
      <c r="BE30" s="94"/>
      <c r="BF30" s="94"/>
      <c r="BG30" s="94"/>
      <c r="BH30" s="94"/>
      <c r="BY30" s="80"/>
      <c r="CH30" s="1020"/>
      <c r="CI30" s="1020"/>
      <c r="CJ30" s="1020"/>
      <c r="CK30" s="1020"/>
    </row>
    <row r="31" spans="1:105" ht="16.350000000000001" customHeight="1" x14ac:dyDescent="0.2">
      <c r="A31" s="2449" t="s">
        <v>3030</v>
      </c>
      <c r="B31" s="95" t="s">
        <v>41</v>
      </c>
      <c r="C31" s="3906" t="s">
        <v>2777</v>
      </c>
      <c r="D31" s="3899" t="s">
        <v>2778</v>
      </c>
      <c r="E31" s="3900" t="s">
        <v>2779</v>
      </c>
      <c r="F31" s="2483" t="s">
        <v>2780</v>
      </c>
      <c r="G31" s="2499" t="s">
        <v>2781</v>
      </c>
      <c r="H31" s="2483" t="s">
        <v>2782</v>
      </c>
      <c r="I31" s="2480" t="s">
        <v>2783</v>
      </c>
      <c r="J31" s="2483" t="s">
        <v>2784</v>
      </c>
      <c r="K31" s="2480" t="s">
        <v>2785</v>
      </c>
      <c r="L31" s="2483" t="s">
        <v>2786</v>
      </c>
      <c r="M31" s="2480" t="s">
        <v>2787</v>
      </c>
      <c r="N31" s="2483" t="s">
        <v>2788</v>
      </c>
      <c r="O31" s="2480" t="s">
        <v>2789</v>
      </c>
      <c r="P31" s="2483" t="s">
        <v>2790</v>
      </c>
      <c r="Q31" s="2480" t="s">
        <v>2791</v>
      </c>
      <c r="R31" s="2487" t="s">
        <v>2792</v>
      </c>
      <c r="S31" s="2480" t="s">
        <v>2793</v>
      </c>
      <c r="T31" s="2483" t="s">
        <v>2794</v>
      </c>
      <c r="U31" s="2480" t="s">
        <v>2795</v>
      </c>
      <c r="V31" s="2487" t="s">
        <v>2796</v>
      </c>
      <c r="W31" s="2480" t="s">
        <v>2797</v>
      </c>
      <c r="X31" s="2487" t="s">
        <v>2798</v>
      </c>
      <c r="Y31" s="2480" t="s">
        <v>2799</v>
      </c>
      <c r="Z31" s="2487" t="s">
        <v>2800</v>
      </c>
      <c r="AA31" s="2480" t="s">
        <v>2801</v>
      </c>
      <c r="AB31" s="2487" t="s">
        <v>2817</v>
      </c>
      <c r="AC31" s="2480" t="s">
        <v>2818</v>
      </c>
      <c r="AD31" s="2487" t="s">
        <v>2819</v>
      </c>
      <c r="AE31" s="2480" t="s">
        <v>2821</v>
      </c>
      <c r="AF31" s="2487" t="s">
        <v>2822</v>
      </c>
      <c r="AG31" s="2480" t="s">
        <v>2823</v>
      </c>
      <c r="AH31" s="2487" t="s">
        <v>2824</v>
      </c>
      <c r="AI31" s="2480" t="s">
        <v>2825</v>
      </c>
      <c r="AJ31" s="2487" t="s">
        <v>2826</v>
      </c>
      <c r="AK31" s="2480" t="s">
        <v>2827</v>
      </c>
      <c r="AL31" s="2487" t="s">
        <v>2831</v>
      </c>
      <c r="AM31" s="2480" t="s">
        <v>2832</v>
      </c>
      <c r="AN31" s="2487" t="s">
        <v>2833</v>
      </c>
      <c r="AO31" s="2480" t="s">
        <v>2834</v>
      </c>
      <c r="AP31" s="2626" t="s">
        <v>3011</v>
      </c>
      <c r="AQ31" s="2634" t="s">
        <v>3012</v>
      </c>
      <c r="AR31" s="2634" t="s">
        <v>3013</v>
      </c>
      <c r="AS31" s="2635" t="s">
        <v>3014</v>
      </c>
      <c r="AT31" s="2487" t="s">
        <v>3015</v>
      </c>
      <c r="AU31" s="1170"/>
      <c r="AV31" s="1058"/>
      <c r="AW31" s="1058"/>
      <c r="AX31" s="1058"/>
      <c r="AY31" s="1058"/>
      <c r="AZ31" s="1058"/>
      <c r="BA31" s="1058"/>
      <c r="BB31" s="1058"/>
      <c r="BC31" s="1058"/>
      <c r="BD31" s="94"/>
      <c r="BE31" s="94"/>
      <c r="BF31" s="94"/>
      <c r="BG31" s="94"/>
      <c r="BH31" s="94"/>
      <c r="BY31" s="80"/>
      <c r="CB31" s="890"/>
      <c r="CC31" s="890"/>
      <c r="CH31" s="1020">
        <v>0</v>
      </c>
      <c r="CI31" s="1020">
        <v>0</v>
      </c>
      <c r="CJ31" s="1020"/>
      <c r="CK31" s="1020"/>
    </row>
    <row r="32" spans="1:105" ht="16.350000000000001" customHeight="1" x14ac:dyDescent="0.2">
      <c r="A32" s="2449" t="s">
        <v>3031</v>
      </c>
      <c r="B32" s="140" t="s">
        <v>1882</v>
      </c>
      <c r="C32" s="3502" t="s">
        <v>2777</v>
      </c>
      <c r="D32" s="3503" t="s">
        <v>2778</v>
      </c>
      <c r="E32" s="3499" t="s">
        <v>2779</v>
      </c>
      <c r="F32" s="141" t="s">
        <v>2780</v>
      </c>
      <c r="G32" s="198" t="s">
        <v>2781</v>
      </c>
      <c r="H32" s="141" t="s">
        <v>2782</v>
      </c>
      <c r="I32" s="163" t="s">
        <v>2783</v>
      </c>
      <c r="J32" s="141" t="s">
        <v>2784</v>
      </c>
      <c r="K32" s="163" t="s">
        <v>2785</v>
      </c>
      <c r="L32" s="141" t="s">
        <v>2786</v>
      </c>
      <c r="M32" s="163" t="s">
        <v>2787</v>
      </c>
      <c r="N32" s="141" t="s">
        <v>2788</v>
      </c>
      <c r="O32" s="163" t="s">
        <v>2789</v>
      </c>
      <c r="P32" s="141" t="s">
        <v>2790</v>
      </c>
      <c r="Q32" s="163" t="s">
        <v>2791</v>
      </c>
      <c r="R32" s="180" t="s">
        <v>2792</v>
      </c>
      <c r="S32" s="163" t="s">
        <v>2793</v>
      </c>
      <c r="T32" s="141" t="s">
        <v>2794</v>
      </c>
      <c r="U32" s="163" t="s">
        <v>2795</v>
      </c>
      <c r="V32" s="180" t="s">
        <v>2796</v>
      </c>
      <c r="W32" s="163" t="s">
        <v>2797</v>
      </c>
      <c r="X32" s="180" t="s">
        <v>2798</v>
      </c>
      <c r="Y32" s="163" t="s">
        <v>2799</v>
      </c>
      <c r="Z32" s="180" t="s">
        <v>2800</v>
      </c>
      <c r="AA32" s="163" t="s">
        <v>2801</v>
      </c>
      <c r="AB32" s="180" t="s">
        <v>2817</v>
      </c>
      <c r="AC32" s="163" t="s">
        <v>2818</v>
      </c>
      <c r="AD32" s="180" t="s">
        <v>2819</v>
      </c>
      <c r="AE32" s="163" t="s">
        <v>2821</v>
      </c>
      <c r="AF32" s="180" t="s">
        <v>2822</v>
      </c>
      <c r="AG32" s="163" t="s">
        <v>2823</v>
      </c>
      <c r="AH32" s="180" t="s">
        <v>2824</v>
      </c>
      <c r="AI32" s="163" t="s">
        <v>2825</v>
      </c>
      <c r="AJ32" s="180" t="s">
        <v>2826</v>
      </c>
      <c r="AK32" s="163" t="s">
        <v>2827</v>
      </c>
      <c r="AL32" s="180" t="s">
        <v>2831</v>
      </c>
      <c r="AM32" s="163" t="s">
        <v>2832</v>
      </c>
      <c r="AN32" s="180" t="s">
        <v>2833</v>
      </c>
      <c r="AO32" s="163" t="s">
        <v>2834</v>
      </c>
      <c r="AP32" s="513" t="s">
        <v>3011</v>
      </c>
      <c r="AQ32" s="1742" t="s">
        <v>3012</v>
      </c>
      <c r="AR32" s="1742" t="s">
        <v>3013</v>
      </c>
      <c r="AS32" s="498" t="s">
        <v>3014</v>
      </c>
      <c r="AT32" s="180" t="s">
        <v>3015</v>
      </c>
      <c r="AU32" s="1170"/>
      <c r="AV32" s="1058"/>
      <c r="AW32" s="1058"/>
      <c r="AX32" s="1058"/>
      <c r="AY32" s="1058"/>
      <c r="AZ32" s="1058"/>
      <c r="BA32" s="1058"/>
      <c r="BB32" s="1058"/>
      <c r="BC32" s="1058"/>
      <c r="BD32" s="94"/>
      <c r="BE32" s="94"/>
      <c r="BF32" s="94"/>
      <c r="BG32" s="94"/>
      <c r="BH32" s="94"/>
      <c r="BY32" s="80"/>
      <c r="CC32" s="890"/>
      <c r="CH32" s="1020">
        <v>0</v>
      </c>
      <c r="CI32" s="1020">
        <v>0</v>
      </c>
      <c r="CJ32" s="1020"/>
      <c r="CK32" s="1020"/>
    </row>
    <row r="33" spans="1:89" ht="16.350000000000001" customHeight="1" x14ac:dyDescent="0.2">
      <c r="A33" s="2449" t="s">
        <v>3032</v>
      </c>
      <c r="B33" s="107" t="s">
        <v>1883</v>
      </c>
      <c r="C33" s="3502" t="s">
        <v>2777</v>
      </c>
      <c r="D33" s="3503" t="s">
        <v>2778</v>
      </c>
      <c r="E33" s="3903" t="s">
        <v>2779</v>
      </c>
      <c r="F33" s="141" t="s">
        <v>2780</v>
      </c>
      <c r="G33" s="198" t="s">
        <v>2781</v>
      </c>
      <c r="H33" s="141" t="s">
        <v>2782</v>
      </c>
      <c r="I33" s="163" t="s">
        <v>2783</v>
      </c>
      <c r="J33" s="141" t="s">
        <v>2784</v>
      </c>
      <c r="K33" s="163" t="s">
        <v>2785</v>
      </c>
      <c r="L33" s="141" t="s">
        <v>2786</v>
      </c>
      <c r="M33" s="163" t="s">
        <v>2787</v>
      </c>
      <c r="N33" s="141" t="s">
        <v>2788</v>
      </c>
      <c r="O33" s="163" t="s">
        <v>2789</v>
      </c>
      <c r="P33" s="141" t="s">
        <v>2790</v>
      </c>
      <c r="Q33" s="163" t="s">
        <v>2791</v>
      </c>
      <c r="R33" s="180" t="s">
        <v>2792</v>
      </c>
      <c r="S33" s="163" t="s">
        <v>2793</v>
      </c>
      <c r="T33" s="141" t="s">
        <v>2794</v>
      </c>
      <c r="U33" s="163" t="s">
        <v>2795</v>
      </c>
      <c r="V33" s="180" t="s">
        <v>2796</v>
      </c>
      <c r="W33" s="163" t="s">
        <v>2797</v>
      </c>
      <c r="X33" s="180" t="s">
        <v>2798</v>
      </c>
      <c r="Y33" s="163" t="s">
        <v>2799</v>
      </c>
      <c r="Z33" s="180" t="s">
        <v>2800</v>
      </c>
      <c r="AA33" s="163" t="s">
        <v>2801</v>
      </c>
      <c r="AB33" s="180" t="s">
        <v>2817</v>
      </c>
      <c r="AC33" s="163" t="s">
        <v>2818</v>
      </c>
      <c r="AD33" s="180" t="s">
        <v>2819</v>
      </c>
      <c r="AE33" s="163" t="s">
        <v>2821</v>
      </c>
      <c r="AF33" s="180" t="s">
        <v>2822</v>
      </c>
      <c r="AG33" s="163" t="s">
        <v>2823</v>
      </c>
      <c r="AH33" s="180" t="s">
        <v>2824</v>
      </c>
      <c r="AI33" s="163" t="s">
        <v>2825</v>
      </c>
      <c r="AJ33" s="180" t="s">
        <v>2826</v>
      </c>
      <c r="AK33" s="163" t="s">
        <v>2827</v>
      </c>
      <c r="AL33" s="180" t="s">
        <v>2831</v>
      </c>
      <c r="AM33" s="163" t="s">
        <v>2832</v>
      </c>
      <c r="AN33" s="180" t="s">
        <v>2833</v>
      </c>
      <c r="AO33" s="163" t="s">
        <v>2834</v>
      </c>
      <c r="AP33" s="513" t="s">
        <v>3011</v>
      </c>
      <c r="AQ33" s="1742" t="s">
        <v>3012</v>
      </c>
      <c r="AR33" s="1742" t="s">
        <v>3013</v>
      </c>
      <c r="AS33" s="498" t="s">
        <v>3014</v>
      </c>
      <c r="AT33" s="180" t="s">
        <v>3015</v>
      </c>
      <c r="AU33" s="1170"/>
      <c r="AV33" s="1058"/>
      <c r="AW33" s="1058"/>
      <c r="AX33" s="1058"/>
      <c r="AY33" s="1058"/>
      <c r="AZ33" s="1058"/>
      <c r="BA33" s="1058"/>
      <c r="BB33" s="1058"/>
      <c r="BC33" s="1058"/>
      <c r="BD33" s="94"/>
      <c r="BE33" s="94"/>
      <c r="BF33" s="94"/>
      <c r="BG33" s="94"/>
      <c r="BH33" s="94"/>
      <c r="BY33" s="80"/>
      <c r="CC33" s="890"/>
      <c r="CH33" s="1020">
        <v>0</v>
      </c>
      <c r="CI33" s="1020">
        <v>0</v>
      </c>
      <c r="CJ33" s="1020"/>
      <c r="CK33" s="1020"/>
    </row>
    <row r="34" spans="1:89" ht="16.350000000000001" customHeight="1" x14ac:dyDescent="0.2">
      <c r="A34" s="2449" t="s">
        <v>3033</v>
      </c>
      <c r="B34" s="107" t="s">
        <v>1884</v>
      </c>
      <c r="C34" s="3502" t="s">
        <v>2777</v>
      </c>
      <c r="D34" s="3503" t="s">
        <v>2778</v>
      </c>
      <c r="E34" s="3903" t="s">
        <v>2779</v>
      </c>
      <c r="F34" s="2395" t="s">
        <v>2780</v>
      </c>
      <c r="G34" s="258" t="s">
        <v>2781</v>
      </c>
      <c r="H34" s="2395" t="s">
        <v>2782</v>
      </c>
      <c r="I34" s="118" t="s">
        <v>2783</v>
      </c>
      <c r="J34" s="2395" t="s">
        <v>2784</v>
      </c>
      <c r="K34" s="118" t="s">
        <v>2785</v>
      </c>
      <c r="L34" s="2395" t="s">
        <v>2786</v>
      </c>
      <c r="M34" s="118" t="s">
        <v>2787</v>
      </c>
      <c r="N34" s="2395" t="s">
        <v>2788</v>
      </c>
      <c r="O34" s="118" t="s">
        <v>2789</v>
      </c>
      <c r="P34" s="141" t="s">
        <v>2790</v>
      </c>
      <c r="Q34" s="163" t="s">
        <v>2791</v>
      </c>
      <c r="R34" s="180" t="s">
        <v>2792</v>
      </c>
      <c r="S34" s="163" t="s">
        <v>2793</v>
      </c>
      <c r="T34" s="141" t="s">
        <v>2794</v>
      </c>
      <c r="U34" s="163" t="s">
        <v>2795</v>
      </c>
      <c r="V34" s="180" t="s">
        <v>2796</v>
      </c>
      <c r="W34" s="163" t="s">
        <v>2797</v>
      </c>
      <c r="X34" s="180" t="s">
        <v>2798</v>
      </c>
      <c r="Y34" s="163" t="s">
        <v>2799</v>
      </c>
      <c r="Z34" s="180" t="s">
        <v>2800</v>
      </c>
      <c r="AA34" s="163" t="s">
        <v>2801</v>
      </c>
      <c r="AB34" s="180" t="s">
        <v>2817</v>
      </c>
      <c r="AC34" s="163" t="s">
        <v>2818</v>
      </c>
      <c r="AD34" s="497" t="s">
        <v>2819</v>
      </c>
      <c r="AE34" s="118" t="s">
        <v>2821</v>
      </c>
      <c r="AF34" s="497" t="s">
        <v>2822</v>
      </c>
      <c r="AG34" s="118" t="s">
        <v>2823</v>
      </c>
      <c r="AH34" s="497" t="s">
        <v>2824</v>
      </c>
      <c r="AI34" s="118" t="s">
        <v>2825</v>
      </c>
      <c r="AJ34" s="497" t="s">
        <v>2826</v>
      </c>
      <c r="AK34" s="1371" t="s">
        <v>2827</v>
      </c>
      <c r="AL34" s="1371" t="s">
        <v>2831</v>
      </c>
      <c r="AM34" s="1372" t="s">
        <v>2832</v>
      </c>
      <c r="AN34" s="1372" t="s">
        <v>2833</v>
      </c>
      <c r="AO34" s="162" t="s">
        <v>2834</v>
      </c>
      <c r="AP34" s="1484" t="s">
        <v>3011</v>
      </c>
      <c r="AQ34" s="1471" t="s">
        <v>3012</v>
      </c>
      <c r="AR34" s="1471" t="s">
        <v>3013</v>
      </c>
      <c r="AS34" s="1471" t="s">
        <v>3014</v>
      </c>
      <c r="AT34" s="285" t="s">
        <v>3015</v>
      </c>
      <c r="AU34" s="1170"/>
      <c r="AV34" s="1058"/>
      <c r="AW34" s="1058"/>
      <c r="AX34" s="1058"/>
      <c r="AY34" s="1058"/>
      <c r="AZ34" s="1058"/>
      <c r="BA34" s="1058"/>
      <c r="BB34" s="1058"/>
      <c r="BC34" s="1058"/>
      <c r="BD34" s="94"/>
      <c r="BE34" s="94"/>
      <c r="BF34" s="94"/>
      <c r="BG34" s="94"/>
      <c r="BH34" s="94"/>
      <c r="BY34" s="80"/>
      <c r="CC34" s="890"/>
      <c r="CH34" s="1020">
        <v>0</v>
      </c>
      <c r="CI34" s="1020">
        <v>0</v>
      </c>
      <c r="CJ34" s="1020"/>
      <c r="CK34" s="1020"/>
    </row>
    <row r="35" spans="1:89" ht="16.350000000000001" customHeight="1" x14ac:dyDescent="0.2">
      <c r="A35" s="2449" t="s">
        <v>3034</v>
      </c>
      <c r="B35" s="107" t="s">
        <v>1885</v>
      </c>
      <c r="C35" s="3907" t="s">
        <v>2777</v>
      </c>
      <c r="D35" s="3908" t="s">
        <v>2778</v>
      </c>
      <c r="E35" s="3903" t="s">
        <v>2779</v>
      </c>
      <c r="F35" s="141" t="s">
        <v>2780</v>
      </c>
      <c r="G35" s="198" t="s">
        <v>2781</v>
      </c>
      <c r="H35" s="141" t="s">
        <v>2782</v>
      </c>
      <c r="I35" s="163" t="s">
        <v>2783</v>
      </c>
      <c r="J35" s="141" t="s">
        <v>2784</v>
      </c>
      <c r="K35" s="163" t="s">
        <v>2785</v>
      </c>
      <c r="L35" s="141" t="s">
        <v>2786</v>
      </c>
      <c r="M35" s="163" t="s">
        <v>2787</v>
      </c>
      <c r="N35" s="141" t="s">
        <v>2788</v>
      </c>
      <c r="O35" s="163" t="s">
        <v>2789</v>
      </c>
      <c r="P35" s="141" t="s">
        <v>2790</v>
      </c>
      <c r="Q35" s="163" t="s">
        <v>2791</v>
      </c>
      <c r="R35" s="180" t="s">
        <v>2792</v>
      </c>
      <c r="S35" s="163" t="s">
        <v>2793</v>
      </c>
      <c r="T35" s="141" t="s">
        <v>2794</v>
      </c>
      <c r="U35" s="163" t="s">
        <v>2795</v>
      </c>
      <c r="V35" s="180" t="s">
        <v>2796</v>
      </c>
      <c r="W35" s="163" t="s">
        <v>2797</v>
      </c>
      <c r="X35" s="180" t="s">
        <v>2798</v>
      </c>
      <c r="Y35" s="163" t="s">
        <v>2799</v>
      </c>
      <c r="Z35" s="180" t="s">
        <v>2800</v>
      </c>
      <c r="AA35" s="163" t="s">
        <v>2801</v>
      </c>
      <c r="AB35" s="180" t="s">
        <v>2817</v>
      </c>
      <c r="AC35" s="163" t="s">
        <v>2818</v>
      </c>
      <c r="AD35" s="180" t="s">
        <v>2819</v>
      </c>
      <c r="AE35" s="163" t="s">
        <v>2821</v>
      </c>
      <c r="AF35" s="180" t="s">
        <v>2822</v>
      </c>
      <c r="AG35" s="163" t="s">
        <v>2823</v>
      </c>
      <c r="AH35" s="180" t="s">
        <v>2824</v>
      </c>
      <c r="AI35" s="163" t="s">
        <v>2825</v>
      </c>
      <c r="AJ35" s="180" t="s">
        <v>2826</v>
      </c>
      <c r="AK35" s="142" t="s">
        <v>2827</v>
      </c>
      <c r="AL35" s="142" t="s">
        <v>2831</v>
      </c>
      <c r="AM35" s="247" t="s">
        <v>2832</v>
      </c>
      <c r="AN35" s="247" t="s">
        <v>2833</v>
      </c>
      <c r="AO35" s="163" t="s">
        <v>2834</v>
      </c>
      <c r="AP35" s="2637" t="s">
        <v>3011</v>
      </c>
      <c r="AQ35" s="2638" t="s">
        <v>3012</v>
      </c>
      <c r="AR35" s="2638" t="s">
        <v>3013</v>
      </c>
      <c r="AS35" s="2638" t="s">
        <v>3014</v>
      </c>
      <c r="AT35" s="286" t="s">
        <v>3015</v>
      </c>
      <c r="AU35" s="1170"/>
      <c r="AV35" s="1058"/>
      <c r="AW35" s="1058"/>
      <c r="AX35" s="1058"/>
      <c r="AY35" s="1058"/>
      <c r="AZ35" s="1058"/>
      <c r="BA35" s="1058"/>
      <c r="BB35" s="1058"/>
      <c r="BC35" s="1058"/>
      <c r="BD35" s="94"/>
      <c r="BE35" s="94"/>
      <c r="BF35" s="94"/>
      <c r="BG35" s="94"/>
      <c r="BH35" s="94"/>
      <c r="BY35" s="80"/>
      <c r="CC35" s="890"/>
      <c r="CH35" s="1020">
        <v>0</v>
      </c>
      <c r="CI35" s="1020">
        <v>0</v>
      </c>
      <c r="CJ35" s="1020"/>
      <c r="CK35" s="1020"/>
    </row>
    <row r="36" spans="1:89" ht="16.350000000000001" customHeight="1" x14ac:dyDescent="0.2">
      <c r="A36" s="2449" t="s">
        <v>3035</v>
      </c>
      <c r="B36" s="1008" t="s">
        <v>1886</v>
      </c>
      <c r="C36" s="3907" t="s">
        <v>2777</v>
      </c>
      <c r="D36" s="3908" t="s">
        <v>2778</v>
      </c>
      <c r="E36" s="3903" t="s">
        <v>2779</v>
      </c>
      <c r="F36" s="1104" t="s">
        <v>2780</v>
      </c>
      <c r="G36" s="1105" t="s">
        <v>2781</v>
      </c>
      <c r="H36" s="1104" t="s">
        <v>2782</v>
      </c>
      <c r="I36" s="1485" t="s">
        <v>2783</v>
      </c>
      <c r="J36" s="1104" t="s">
        <v>2784</v>
      </c>
      <c r="K36" s="1485" t="s">
        <v>2785</v>
      </c>
      <c r="L36" s="141" t="s">
        <v>2786</v>
      </c>
      <c r="M36" s="163" t="s">
        <v>2787</v>
      </c>
      <c r="N36" s="141" t="s">
        <v>2788</v>
      </c>
      <c r="O36" s="163" t="s">
        <v>2789</v>
      </c>
      <c r="P36" s="141" t="s">
        <v>2790</v>
      </c>
      <c r="Q36" s="163" t="s">
        <v>2791</v>
      </c>
      <c r="R36" s="180" t="s">
        <v>2792</v>
      </c>
      <c r="S36" s="163" t="s">
        <v>2793</v>
      </c>
      <c r="T36" s="141" t="s">
        <v>2794</v>
      </c>
      <c r="U36" s="163" t="s">
        <v>2795</v>
      </c>
      <c r="V36" s="180" t="s">
        <v>2796</v>
      </c>
      <c r="W36" s="163" t="s">
        <v>2797</v>
      </c>
      <c r="X36" s="180" t="s">
        <v>2798</v>
      </c>
      <c r="Y36" s="163" t="s">
        <v>2799</v>
      </c>
      <c r="Z36" s="180" t="s">
        <v>2800</v>
      </c>
      <c r="AA36" s="163" t="s">
        <v>2801</v>
      </c>
      <c r="AB36" s="180" t="s">
        <v>2817</v>
      </c>
      <c r="AC36" s="163" t="s">
        <v>2818</v>
      </c>
      <c r="AD36" s="180" t="s">
        <v>2819</v>
      </c>
      <c r="AE36" s="163" t="s">
        <v>2821</v>
      </c>
      <c r="AF36" s="180" t="s">
        <v>2822</v>
      </c>
      <c r="AG36" s="163" t="s">
        <v>2823</v>
      </c>
      <c r="AH36" s="180" t="s">
        <v>2824</v>
      </c>
      <c r="AI36" s="163" t="s">
        <v>2825</v>
      </c>
      <c r="AJ36" s="180" t="s">
        <v>2826</v>
      </c>
      <c r="AK36" s="142" t="s">
        <v>2827</v>
      </c>
      <c r="AL36" s="142" t="s">
        <v>2831</v>
      </c>
      <c r="AM36" s="247" t="s">
        <v>2832</v>
      </c>
      <c r="AN36" s="247" t="s">
        <v>2833</v>
      </c>
      <c r="AO36" s="163" t="s">
        <v>2834</v>
      </c>
      <c r="AP36" s="2637" t="s">
        <v>3011</v>
      </c>
      <c r="AQ36" s="2638" t="s">
        <v>3012</v>
      </c>
      <c r="AR36" s="2638" t="s">
        <v>3013</v>
      </c>
      <c r="AS36" s="2638" t="s">
        <v>3014</v>
      </c>
      <c r="AT36" s="286" t="s">
        <v>3015</v>
      </c>
      <c r="AU36" s="1170"/>
      <c r="AV36" s="1058"/>
      <c r="AW36" s="1058"/>
      <c r="AX36" s="1058"/>
      <c r="AY36" s="1058"/>
      <c r="AZ36" s="1058"/>
      <c r="BA36" s="1058"/>
      <c r="BB36" s="1058"/>
      <c r="BC36" s="1058"/>
      <c r="BD36" s="94"/>
      <c r="BE36" s="94"/>
      <c r="BF36" s="94"/>
      <c r="BG36" s="94"/>
      <c r="BH36" s="94"/>
      <c r="BY36" s="80"/>
      <c r="CC36" s="890"/>
      <c r="CH36" s="1020">
        <v>0</v>
      </c>
      <c r="CI36" s="1020">
        <v>0</v>
      </c>
      <c r="CJ36" s="1020"/>
      <c r="CK36" s="1020"/>
    </row>
    <row r="37" spans="1:89" ht="16.350000000000001" customHeight="1" x14ac:dyDescent="0.2">
      <c r="A37" s="2449" t="s">
        <v>3036</v>
      </c>
      <c r="B37" s="845" t="s">
        <v>1887</v>
      </c>
      <c r="C37" s="3502" t="s">
        <v>2777</v>
      </c>
      <c r="D37" s="3503" t="s">
        <v>2778</v>
      </c>
      <c r="E37" s="3499" t="s">
        <v>2779</v>
      </c>
      <c r="F37" s="141" t="s">
        <v>2780</v>
      </c>
      <c r="G37" s="198" t="s">
        <v>2781</v>
      </c>
      <c r="H37" s="141" t="s">
        <v>2782</v>
      </c>
      <c r="I37" s="163" t="s">
        <v>2783</v>
      </c>
      <c r="J37" s="141" t="s">
        <v>2784</v>
      </c>
      <c r="K37" s="163" t="s">
        <v>2785</v>
      </c>
      <c r="L37" s="141" t="s">
        <v>2786</v>
      </c>
      <c r="M37" s="163" t="s">
        <v>2787</v>
      </c>
      <c r="N37" s="141" t="s">
        <v>2788</v>
      </c>
      <c r="O37" s="163" t="s">
        <v>2789</v>
      </c>
      <c r="P37" s="141" t="s">
        <v>2790</v>
      </c>
      <c r="Q37" s="163" t="s">
        <v>2791</v>
      </c>
      <c r="R37" s="180" t="s">
        <v>2792</v>
      </c>
      <c r="S37" s="163" t="s">
        <v>2793</v>
      </c>
      <c r="T37" s="141" t="s">
        <v>2794</v>
      </c>
      <c r="U37" s="163" t="s">
        <v>2795</v>
      </c>
      <c r="V37" s="180" t="s">
        <v>2796</v>
      </c>
      <c r="W37" s="163" t="s">
        <v>2797</v>
      </c>
      <c r="X37" s="180" t="s">
        <v>2798</v>
      </c>
      <c r="Y37" s="163" t="s">
        <v>2799</v>
      </c>
      <c r="Z37" s="180" t="s">
        <v>2800</v>
      </c>
      <c r="AA37" s="163" t="s">
        <v>2801</v>
      </c>
      <c r="AB37" s="180" t="s">
        <v>2817</v>
      </c>
      <c r="AC37" s="163" t="s">
        <v>2818</v>
      </c>
      <c r="AD37" s="180" t="s">
        <v>2819</v>
      </c>
      <c r="AE37" s="163" t="s">
        <v>2821</v>
      </c>
      <c r="AF37" s="180" t="s">
        <v>2822</v>
      </c>
      <c r="AG37" s="163" t="s">
        <v>2823</v>
      </c>
      <c r="AH37" s="180" t="s">
        <v>2824</v>
      </c>
      <c r="AI37" s="163" t="s">
        <v>2825</v>
      </c>
      <c r="AJ37" s="180" t="s">
        <v>2826</v>
      </c>
      <c r="AK37" s="142" t="s">
        <v>2827</v>
      </c>
      <c r="AL37" s="142" t="s">
        <v>2831</v>
      </c>
      <c r="AM37" s="247" t="s">
        <v>2832</v>
      </c>
      <c r="AN37" s="247" t="s">
        <v>2833</v>
      </c>
      <c r="AO37" s="163" t="s">
        <v>2834</v>
      </c>
      <c r="AP37" s="1484" t="s">
        <v>3011</v>
      </c>
      <c r="AQ37" s="1471" t="s">
        <v>3012</v>
      </c>
      <c r="AR37" s="1471" t="s">
        <v>3013</v>
      </c>
      <c r="AS37" s="1471" t="s">
        <v>3014</v>
      </c>
      <c r="AT37" s="285" t="s">
        <v>3015</v>
      </c>
      <c r="AU37" s="1170"/>
      <c r="AV37" s="1058"/>
      <c r="AW37" s="1058"/>
      <c r="AX37" s="1058"/>
      <c r="AY37" s="1058"/>
      <c r="AZ37" s="1058"/>
      <c r="BA37" s="1058"/>
      <c r="BB37" s="1058"/>
      <c r="BC37" s="1058"/>
      <c r="BD37" s="94"/>
      <c r="BE37" s="94"/>
      <c r="BF37" s="94"/>
      <c r="BG37" s="94"/>
      <c r="BH37" s="94"/>
      <c r="BY37" s="80"/>
      <c r="CH37" s="1020">
        <v>0</v>
      </c>
      <c r="CI37" s="1020">
        <v>0</v>
      </c>
      <c r="CJ37" s="1020"/>
      <c r="CK37" s="1020"/>
    </row>
    <row r="38" spans="1:89" ht="16.350000000000001" customHeight="1" x14ac:dyDescent="0.2">
      <c r="A38" s="2449" t="s">
        <v>3037</v>
      </c>
      <c r="B38" s="845" t="s">
        <v>1888</v>
      </c>
      <c r="C38" s="3502" t="s">
        <v>2777</v>
      </c>
      <c r="D38" s="3503" t="s">
        <v>2778</v>
      </c>
      <c r="E38" s="3499" t="s">
        <v>2779</v>
      </c>
      <c r="F38" s="141" t="s">
        <v>2780</v>
      </c>
      <c r="G38" s="198" t="s">
        <v>2781</v>
      </c>
      <c r="H38" s="141" t="s">
        <v>2782</v>
      </c>
      <c r="I38" s="163" t="s">
        <v>2783</v>
      </c>
      <c r="J38" s="141" t="s">
        <v>2784</v>
      </c>
      <c r="K38" s="163" t="s">
        <v>2785</v>
      </c>
      <c r="L38" s="141" t="s">
        <v>2786</v>
      </c>
      <c r="M38" s="163" t="s">
        <v>2787</v>
      </c>
      <c r="N38" s="141" t="s">
        <v>2788</v>
      </c>
      <c r="O38" s="163" t="s">
        <v>2789</v>
      </c>
      <c r="P38" s="141" t="s">
        <v>2790</v>
      </c>
      <c r="Q38" s="163" t="s">
        <v>2791</v>
      </c>
      <c r="R38" s="180" t="s">
        <v>2792</v>
      </c>
      <c r="S38" s="163" t="s">
        <v>2793</v>
      </c>
      <c r="T38" s="141" t="s">
        <v>2794</v>
      </c>
      <c r="U38" s="163" t="s">
        <v>2795</v>
      </c>
      <c r="V38" s="180" t="s">
        <v>2796</v>
      </c>
      <c r="W38" s="163" t="s">
        <v>2797</v>
      </c>
      <c r="X38" s="180" t="s">
        <v>2798</v>
      </c>
      <c r="Y38" s="163" t="s">
        <v>2799</v>
      </c>
      <c r="Z38" s="180" t="s">
        <v>2800</v>
      </c>
      <c r="AA38" s="163" t="s">
        <v>2801</v>
      </c>
      <c r="AB38" s="180" t="s">
        <v>2817</v>
      </c>
      <c r="AC38" s="163" t="s">
        <v>2818</v>
      </c>
      <c r="AD38" s="180" t="s">
        <v>2819</v>
      </c>
      <c r="AE38" s="163" t="s">
        <v>2821</v>
      </c>
      <c r="AF38" s="180" t="s">
        <v>2822</v>
      </c>
      <c r="AG38" s="163" t="s">
        <v>2823</v>
      </c>
      <c r="AH38" s="180" t="s">
        <v>2824</v>
      </c>
      <c r="AI38" s="163" t="s">
        <v>2825</v>
      </c>
      <c r="AJ38" s="180" t="s">
        <v>2826</v>
      </c>
      <c r="AK38" s="142" t="s">
        <v>2827</v>
      </c>
      <c r="AL38" s="142" t="s">
        <v>2831</v>
      </c>
      <c r="AM38" s="247" t="s">
        <v>2832</v>
      </c>
      <c r="AN38" s="247" t="s">
        <v>2833</v>
      </c>
      <c r="AO38" s="163" t="s">
        <v>2834</v>
      </c>
      <c r="AP38" s="1484" t="s">
        <v>3011</v>
      </c>
      <c r="AQ38" s="1471" t="s">
        <v>3012</v>
      </c>
      <c r="AR38" s="1471" t="s">
        <v>3013</v>
      </c>
      <c r="AS38" s="1471" t="s">
        <v>3014</v>
      </c>
      <c r="AT38" s="285" t="s">
        <v>3015</v>
      </c>
      <c r="AU38" s="1170"/>
      <c r="AV38" s="1058"/>
      <c r="AW38" s="1058"/>
      <c r="AX38" s="1058"/>
      <c r="AY38" s="1058"/>
      <c r="AZ38" s="1058"/>
      <c r="BA38" s="1058"/>
      <c r="BB38" s="1058"/>
      <c r="BC38" s="1058"/>
      <c r="BD38" s="94"/>
      <c r="BE38" s="94"/>
      <c r="BF38" s="94"/>
      <c r="BG38" s="94"/>
      <c r="BH38" s="94"/>
      <c r="BY38" s="80"/>
      <c r="CH38" s="1020">
        <v>0</v>
      </c>
      <c r="CI38" s="1020">
        <v>0</v>
      </c>
      <c r="CJ38" s="1020"/>
      <c r="CK38" s="1020"/>
    </row>
    <row r="39" spans="1:89" ht="16.350000000000001" customHeight="1" x14ac:dyDescent="0.2">
      <c r="A39" s="2449" t="s">
        <v>3038</v>
      </c>
      <c r="B39" s="845" t="s">
        <v>2617</v>
      </c>
      <c r="C39" s="3502" t="s">
        <v>2777</v>
      </c>
      <c r="D39" s="3503" t="s">
        <v>2778</v>
      </c>
      <c r="E39" s="3499" t="s">
        <v>2779</v>
      </c>
      <c r="F39" s="141" t="s">
        <v>2780</v>
      </c>
      <c r="G39" s="198" t="s">
        <v>2781</v>
      </c>
      <c r="H39" s="141" t="s">
        <v>2782</v>
      </c>
      <c r="I39" s="163" t="s">
        <v>2783</v>
      </c>
      <c r="J39" s="141" t="s">
        <v>2784</v>
      </c>
      <c r="K39" s="163" t="s">
        <v>2785</v>
      </c>
      <c r="L39" s="141" t="s">
        <v>2786</v>
      </c>
      <c r="M39" s="163" t="s">
        <v>2787</v>
      </c>
      <c r="N39" s="141" t="s">
        <v>2788</v>
      </c>
      <c r="O39" s="163" t="s">
        <v>2789</v>
      </c>
      <c r="P39" s="141" t="s">
        <v>2790</v>
      </c>
      <c r="Q39" s="163" t="s">
        <v>2791</v>
      </c>
      <c r="R39" s="180" t="s">
        <v>2792</v>
      </c>
      <c r="S39" s="163" t="s">
        <v>2793</v>
      </c>
      <c r="T39" s="141" t="s">
        <v>2794</v>
      </c>
      <c r="U39" s="163" t="s">
        <v>2795</v>
      </c>
      <c r="V39" s="180" t="s">
        <v>2796</v>
      </c>
      <c r="W39" s="163" t="s">
        <v>2797</v>
      </c>
      <c r="X39" s="180" t="s">
        <v>2798</v>
      </c>
      <c r="Y39" s="163" t="s">
        <v>2799</v>
      </c>
      <c r="Z39" s="180" t="s">
        <v>2800</v>
      </c>
      <c r="AA39" s="163" t="s">
        <v>2801</v>
      </c>
      <c r="AB39" s="180" t="s">
        <v>2817</v>
      </c>
      <c r="AC39" s="163" t="s">
        <v>2818</v>
      </c>
      <c r="AD39" s="180" t="s">
        <v>2819</v>
      </c>
      <c r="AE39" s="163" t="s">
        <v>2821</v>
      </c>
      <c r="AF39" s="180" t="s">
        <v>2822</v>
      </c>
      <c r="AG39" s="163" t="s">
        <v>2823</v>
      </c>
      <c r="AH39" s="180" t="s">
        <v>2824</v>
      </c>
      <c r="AI39" s="163" t="s">
        <v>2825</v>
      </c>
      <c r="AJ39" s="180" t="s">
        <v>2826</v>
      </c>
      <c r="AK39" s="142" t="s">
        <v>2827</v>
      </c>
      <c r="AL39" s="142" t="s">
        <v>2831</v>
      </c>
      <c r="AM39" s="247" t="s">
        <v>2832</v>
      </c>
      <c r="AN39" s="247" t="s">
        <v>2833</v>
      </c>
      <c r="AO39" s="163" t="s">
        <v>2834</v>
      </c>
      <c r="AP39" s="1484" t="s">
        <v>3011</v>
      </c>
      <c r="AQ39" s="1471" t="s">
        <v>3012</v>
      </c>
      <c r="AR39" s="1471" t="s">
        <v>3013</v>
      </c>
      <c r="AS39" s="1471" t="s">
        <v>3014</v>
      </c>
      <c r="AT39" s="285" t="s">
        <v>3015</v>
      </c>
      <c r="AU39" s="1170"/>
      <c r="AV39" s="1058"/>
      <c r="AW39" s="1058"/>
      <c r="AX39" s="1058"/>
      <c r="AY39" s="1058"/>
      <c r="AZ39" s="1058"/>
      <c r="BA39" s="1058"/>
      <c r="BB39" s="1058"/>
      <c r="BC39" s="1058"/>
      <c r="BD39" s="94"/>
      <c r="BE39" s="94"/>
      <c r="BF39" s="94"/>
      <c r="BG39" s="94"/>
      <c r="BH39" s="94"/>
      <c r="BY39" s="80"/>
      <c r="CH39" s="1020">
        <v>0</v>
      </c>
      <c r="CI39" s="1020">
        <v>0</v>
      </c>
      <c r="CJ39" s="1020"/>
      <c r="CK39" s="1020"/>
    </row>
    <row r="40" spans="1:89" ht="16.350000000000001" customHeight="1" x14ac:dyDescent="0.2">
      <c r="A40" s="2449" t="s">
        <v>3039</v>
      </c>
      <c r="B40" s="1314" t="s">
        <v>280</v>
      </c>
      <c r="C40" s="3502" t="s">
        <v>2777</v>
      </c>
      <c r="D40" s="3503" t="s">
        <v>2778</v>
      </c>
      <c r="E40" s="3499" t="s">
        <v>2779</v>
      </c>
      <c r="F40" s="141" t="s">
        <v>2780</v>
      </c>
      <c r="G40" s="198" t="s">
        <v>2781</v>
      </c>
      <c r="H40" s="141" t="s">
        <v>2782</v>
      </c>
      <c r="I40" s="163" t="s">
        <v>2783</v>
      </c>
      <c r="J40" s="141" t="s">
        <v>2784</v>
      </c>
      <c r="K40" s="163" t="s">
        <v>2785</v>
      </c>
      <c r="L40" s="141" t="s">
        <v>2786</v>
      </c>
      <c r="M40" s="163" t="s">
        <v>2787</v>
      </c>
      <c r="N40" s="141" t="s">
        <v>2788</v>
      </c>
      <c r="O40" s="163" t="s">
        <v>2789</v>
      </c>
      <c r="P40" s="141" t="s">
        <v>2790</v>
      </c>
      <c r="Q40" s="163" t="s">
        <v>2791</v>
      </c>
      <c r="R40" s="180" t="s">
        <v>2792</v>
      </c>
      <c r="S40" s="163" t="s">
        <v>2793</v>
      </c>
      <c r="T40" s="141" t="s">
        <v>2794</v>
      </c>
      <c r="U40" s="163" t="s">
        <v>2795</v>
      </c>
      <c r="V40" s="180" t="s">
        <v>2796</v>
      </c>
      <c r="W40" s="163" t="s">
        <v>2797</v>
      </c>
      <c r="X40" s="180" t="s">
        <v>2798</v>
      </c>
      <c r="Y40" s="163" t="s">
        <v>2799</v>
      </c>
      <c r="Z40" s="180" t="s">
        <v>2800</v>
      </c>
      <c r="AA40" s="163" t="s">
        <v>2801</v>
      </c>
      <c r="AB40" s="180" t="s">
        <v>2817</v>
      </c>
      <c r="AC40" s="163" t="s">
        <v>2818</v>
      </c>
      <c r="AD40" s="180" t="s">
        <v>2819</v>
      </c>
      <c r="AE40" s="163" t="s">
        <v>2821</v>
      </c>
      <c r="AF40" s="180" t="s">
        <v>2822</v>
      </c>
      <c r="AG40" s="163" t="s">
        <v>2823</v>
      </c>
      <c r="AH40" s="180" t="s">
        <v>2824</v>
      </c>
      <c r="AI40" s="163" t="s">
        <v>2825</v>
      </c>
      <c r="AJ40" s="180" t="s">
        <v>2826</v>
      </c>
      <c r="AK40" s="142" t="s">
        <v>2827</v>
      </c>
      <c r="AL40" s="142" t="s">
        <v>2831</v>
      </c>
      <c r="AM40" s="247" t="s">
        <v>2832</v>
      </c>
      <c r="AN40" s="247" t="s">
        <v>2833</v>
      </c>
      <c r="AO40" s="163" t="s">
        <v>2834</v>
      </c>
      <c r="AP40" s="1484" t="s">
        <v>3011</v>
      </c>
      <c r="AQ40" s="1471" t="s">
        <v>3012</v>
      </c>
      <c r="AR40" s="1471" t="s">
        <v>3013</v>
      </c>
      <c r="AS40" s="1471" t="s">
        <v>3014</v>
      </c>
      <c r="AT40" s="285" t="s">
        <v>3015</v>
      </c>
      <c r="AU40" s="1170"/>
      <c r="AV40" s="1058"/>
      <c r="AW40" s="1058"/>
      <c r="AX40" s="1058"/>
      <c r="AY40" s="1058"/>
      <c r="AZ40" s="1058"/>
      <c r="BA40" s="1058"/>
      <c r="BB40" s="1058"/>
      <c r="BC40" s="1058"/>
      <c r="BD40" s="94"/>
      <c r="BE40" s="94"/>
      <c r="BF40" s="94"/>
      <c r="BG40" s="94"/>
      <c r="BH40" s="94"/>
      <c r="BY40" s="80"/>
      <c r="CH40" s="1020">
        <v>0</v>
      </c>
      <c r="CI40" s="1020">
        <v>0</v>
      </c>
      <c r="CJ40" s="1020"/>
      <c r="CK40" s="1020"/>
    </row>
    <row r="41" spans="1:89" ht="16.350000000000001" customHeight="1" x14ac:dyDescent="0.2">
      <c r="A41" s="2449" t="s">
        <v>3040</v>
      </c>
      <c r="B41" s="1314" t="s">
        <v>281</v>
      </c>
      <c r="C41" s="3502" t="s">
        <v>2777</v>
      </c>
      <c r="D41" s="3503" t="s">
        <v>2778</v>
      </c>
      <c r="E41" s="3499" t="s">
        <v>2779</v>
      </c>
      <c r="F41" s="141" t="s">
        <v>2780</v>
      </c>
      <c r="G41" s="198" t="s">
        <v>2781</v>
      </c>
      <c r="H41" s="141" t="s">
        <v>2782</v>
      </c>
      <c r="I41" s="163" t="s">
        <v>2783</v>
      </c>
      <c r="J41" s="141" t="s">
        <v>2784</v>
      </c>
      <c r="K41" s="163" t="s">
        <v>2785</v>
      </c>
      <c r="L41" s="141" t="s">
        <v>2786</v>
      </c>
      <c r="M41" s="163" t="s">
        <v>2787</v>
      </c>
      <c r="N41" s="141" t="s">
        <v>2788</v>
      </c>
      <c r="O41" s="163" t="s">
        <v>2789</v>
      </c>
      <c r="P41" s="141" t="s">
        <v>2790</v>
      </c>
      <c r="Q41" s="163" t="s">
        <v>2791</v>
      </c>
      <c r="R41" s="180" t="s">
        <v>2792</v>
      </c>
      <c r="S41" s="163" t="s">
        <v>2793</v>
      </c>
      <c r="T41" s="141" t="s">
        <v>2794</v>
      </c>
      <c r="U41" s="163" t="s">
        <v>2795</v>
      </c>
      <c r="V41" s="180" t="s">
        <v>2796</v>
      </c>
      <c r="W41" s="163" t="s">
        <v>2797</v>
      </c>
      <c r="X41" s="180" t="s">
        <v>2798</v>
      </c>
      <c r="Y41" s="163" t="s">
        <v>2799</v>
      </c>
      <c r="Z41" s="180" t="s">
        <v>2800</v>
      </c>
      <c r="AA41" s="163" t="s">
        <v>2801</v>
      </c>
      <c r="AB41" s="180" t="s">
        <v>2817</v>
      </c>
      <c r="AC41" s="163" t="s">
        <v>2818</v>
      </c>
      <c r="AD41" s="180" t="s">
        <v>2819</v>
      </c>
      <c r="AE41" s="163" t="s">
        <v>2821</v>
      </c>
      <c r="AF41" s="180" t="s">
        <v>2822</v>
      </c>
      <c r="AG41" s="163" t="s">
        <v>2823</v>
      </c>
      <c r="AH41" s="180" t="s">
        <v>2824</v>
      </c>
      <c r="AI41" s="163" t="s">
        <v>2825</v>
      </c>
      <c r="AJ41" s="180" t="s">
        <v>2826</v>
      </c>
      <c r="AK41" s="142" t="s">
        <v>2827</v>
      </c>
      <c r="AL41" s="142" t="s">
        <v>2831</v>
      </c>
      <c r="AM41" s="247" t="s">
        <v>2832</v>
      </c>
      <c r="AN41" s="247" t="s">
        <v>2833</v>
      </c>
      <c r="AO41" s="163" t="s">
        <v>2834</v>
      </c>
      <c r="AP41" s="2639" t="s">
        <v>3011</v>
      </c>
      <c r="AQ41" s="1473" t="s">
        <v>3012</v>
      </c>
      <c r="AR41" s="1473" t="s">
        <v>3013</v>
      </c>
      <c r="AS41" s="1473" t="s">
        <v>3014</v>
      </c>
      <c r="AT41" s="1474" t="s">
        <v>3015</v>
      </c>
      <c r="AU41" s="1170"/>
      <c r="AV41" s="1058"/>
      <c r="AW41" s="1058"/>
      <c r="AX41" s="1058"/>
      <c r="AY41" s="1058"/>
      <c r="AZ41" s="1058"/>
      <c r="BA41" s="1058"/>
      <c r="BB41" s="1058"/>
      <c r="BC41" s="1058"/>
      <c r="BD41" s="94"/>
      <c r="BE41" s="94"/>
      <c r="BF41" s="94"/>
      <c r="BG41" s="94"/>
      <c r="BH41" s="94"/>
      <c r="BY41" s="80"/>
      <c r="CH41" s="1020">
        <v>0</v>
      </c>
      <c r="CI41" s="1020">
        <v>0</v>
      </c>
      <c r="CJ41" s="1020"/>
      <c r="CK41" s="1020"/>
    </row>
    <row r="42" spans="1:89" ht="16.350000000000001" customHeight="1" x14ac:dyDescent="0.2">
      <c r="A42" s="2449" t="s">
        <v>3041</v>
      </c>
      <c r="B42" s="2425" t="s">
        <v>282</v>
      </c>
      <c r="C42" s="3502" t="s">
        <v>2777</v>
      </c>
      <c r="D42" s="3503" t="s">
        <v>2778</v>
      </c>
      <c r="E42" s="3499" t="s">
        <v>2779</v>
      </c>
      <c r="F42" s="141" t="s">
        <v>2780</v>
      </c>
      <c r="G42" s="198" t="s">
        <v>2781</v>
      </c>
      <c r="H42" s="141" t="s">
        <v>2782</v>
      </c>
      <c r="I42" s="163" t="s">
        <v>2783</v>
      </c>
      <c r="J42" s="141" t="s">
        <v>2784</v>
      </c>
      <c r="K42" s="163" t="s">
        <v>2785</v>
      </c>
      <c r="L42" s="141" t="s">
        <v>2786</v>
      </c>
      <c r="M42" s="163" t="s">
        <v>2787</v>
      </c>
      <c r="N42" s="141" t="s">
        <v>2788</v>
      </c>
      <c r="O42" s="163" t="s">
        <v>2789</v>
      </c>
      <c r="P42" s="141" t="s">
        <v>2790</v>
      </c>
      <c r="Q42" s="163" t="s">
        <v>2791</v>
      </c>
      <c r="R42" s="180" t="s">
        <v>2792</v>
      </c>
      <c r="S42" s="163" t="s">
        <v>2793</v>
      </c>
      <c r="T42" s="141" t="s">
        <v>2794</v>
      </c>
      <c r="U42" s="163" t="s">
        <v>2795</v>
      </c>
      <c r="V42" s="180" t="s">
        <v>2796</v>
      </c>
      <c r="W42" s="163" t="s">
        <v>2797</v>
      </c>
      <c r="X42" s="180" t="s">
        <v>2798</v>
      </c>
      <c r="Y42" s="163" t="s">
        <v>2799</v>
      </c>
      <c r="Z42" s="180" t="s">
        <v>2800</v>
      </c>
      <c r="AA42" s="163" t="s">
        <v>2801</v>
      </c>
      <c r="AB42" s="180" t="s">
        <v>2817</v>
      </c>
      <c r="AC42" s="163" t="s">
        <v>2818</v>
      </c>
      <c r="AD42" s="180" t="s">
        <v>2819</v>
      </c>
      <c r="AE42" s="163" t="s">
        <v>2821</v>
      </c>
      <c r="AF42" s="180" t="s">
        <v>2822</v>
      </c>
      <c r="AG42" s="163" t="s">
        <v>2823</v>
      </c>
      <c r="AH42" s="180" t="s">
        <v>2824</v>
      </c>
      <c r="AI42" s="163" t="s">
        <v>2825</v>
      </c>
      <c r="AJ42" s="180" t="s">
        <v>2826</v>
      </c>
      <c r="AK42" s="142" t="s">
        <v>2827</v>
      </c>
      <c r="AL42" s="142" t="s">
        <v>2831</v>
      </c>
      <c r="AM42" s="247" t="s">
        <v>2832</v>
      </c>
      <c r="AN42" s="247" t="s">
        <v>2833</v>
      </c>
      <c r="AO42" s="163" t="s">
        <v>2834</v>
      </c>
      <c r="AP42" s="2639" t="s">
        <v>3011</v>
      </c>
      <c r="AQ42" s="1473" t="s">
        <v>3012</v>
      </c>
      <c r="AR42" s="1473" t="s">
        <v>3013</v>
      </c>
      <c r="AS42" s="1473" t="s">
        <v>3014</v>
      </c>
      <c r="AT42" s="1474" t="s">
        <v>3015</v>
      </c>
      <c r="AU42" s="1170"/>
      <c r="AV42" s="1058"/>
      <c r="AW42" s="1058"/>
      <c r="AX42" s="1058"/>
      <c r="AY42" s="1058"/>
      <c r="AZ42" s="1058"/>
      <c r="BA42" s="1058"/>
      <c r="BB42" s="1058"/>
      <c r="BC42" s="1058"/>
      <c r="BD42" s="94"/>
      <c r="BE42" s="94"/>
      <c r="BF42" s="94"/>
      <c r="BG42" s="94"/>
      <c r="BH42" s="94"/>
      <c r="BY42" s="80"/>
      <c r="CH42" s="1020">
        <v>0</v>
      </c>
      <c r="CI42" s="1020">
        <v>0</v>
      </c>
      <c r="CJ42" s="1020"/>
      <c r="CK42" s="1020"/>
    </row>
    <row r="43" spans="1:89" ht="16.350000000000001" customHeight="1" x14ac:dyDescent="0.2">
      <c r="A43" s="2449" t="s">
        <v>3042</v>
      </c>
      <c r="B43" s="1314" t="s">
        <v>1889</v>
      </c>
      <c r="C43" s="3502" t="s">
        <v>2777</v>
      </c>
      <c r="D43" s="3503" t="s">
        <v>2778</v>
      </c>
      <c r="E43" s="3499" t="s">
        <v>2779</v>
      </c>
      <c r="F43" s="141" t="s">
        <v>2780</v>
      </c>
      <c r="G43" s="198" t="s">
        <v>2781</v>
      </c>
      <c r="H43" s="141" t="s">
        <v>2782</v>
      </c>
      <c r="I43" s="163" t="s">
        <v>2783</v>
      </c>
      <c r="J43" s="141" t="s">
        <v>2784</v>
      </c>
      <c r="K43" s="163" t="s">
        <v>2785</v>
      </c>
      <c r="L43" s="141" t="s">
        <v>2786</v>
      </c>
      <c r="M43" s="163" t="s">
        <v>2787</v>
      </c>
      <c r="N43" s="141" t="s">
        <v>2788</v>
      </c>
      <c r="O43" s="163" t="s">
        <v>2789</v>
      </c>
      <c r="P43" s="141" t="s">
        <v>2790</v>
      </c>
      <c r="Q43" s="163" t="s">
        <v>2791</v>
      </c>
      <c r="R43" s="180" t="s">
        <v>2792</v>
      </c>
      <c r="S43" s="163" t="s">
        <v>2793</v>
      </c>
      <c r="T43" s="141" t="s">
        <v>2794</v>
      </c>
      <c r="U43" s="163" t="s">
        <v>2795</v>
      </c>
      <c r="V43" s="180" t="s">
        <v>2796</v>
      </c>
      <c r="W43" s="163" t="s">
        <v>2797</v>
      </c>
      <c r="X43" s="180" t="s">
        <v>2798</v>
      </c>
      <c r="Y43" s="163" t="s">
        <v>2799</v>
      </c>
      <c r="Z43" s="180" t="s">
        <v>2800</v>
      </c>
      <c r="AA43" s="163" t="s">
        <v>2801</v>
      </c>
      <c r="AB43" s="180" t="s">
        <v>2817</v>
      </c>
      <c r="AC43" s="163" t="s">
        <v>2818</v>
      </c>
      <c r="AD43" s="180" t="s">
        <v>2819</v>
      </c>
      <c r="AE43" s="163" t="s">
        <v>2821</v>
      </c>
      <c r="AF43" s="180" t="s">
        <v>2822</v>
      </c>
      <c r="AG43" s="163" t="s">
        <v>2823</v>
      </c>
      <c r="AH43" s="180" t="s">
        <v>2824</v>
      </c>
      <c r="AI43" s="163" t="s">
        <v>2825</v>
      </c>
      <c r="AJ43" s="180" t="s">
        <v>2826</v>
      </c>
      <c r="AK43" s="142" t="s">
        <v>2827</v>
      </c>
      <c r="AL43" s="142" t="s">
        <v>2831</v>
      </c>
      <c r="AM43" s="247" t="s">
        <v>2832</v>
      </c>
      <c r="AN43" s="247" t="s">
        <v>2833</v>
      </c>
      <c r="AO43" s="163" t="s">
        <v>2834</v>
      </c>
      <c r="AP43" s="2639" t="s">
        <v>3011</v>
      </c>
      <c r="AQ43" s="1473" t="s">
        <v>3012</v>
      </c>
      <c r="AR43" s="1473" t="s">
        <v>3013</v>
      </c>
      <c r="AS43" s="1473" t="s">
        <v>3014</v>
      </c>
      <c r="AT43" s="1474" t="s">
        <v>3015</v>
      </c>
      <c r="AU43" s="1170"/>
      <c r="AV43" s="1058"/>
      <c r="AW43" s="1058"/>
      <c r="AX43" s="1058"/>
      <c r="AY43" s="1058"/>
      <c r="AZ43" s="1058"/>
      <c r="BA43" s="1058"/>
      <c r="BB43" s="1058"/>
      <c r="BC43" s="1058"/>
      <c r="BD43" s="94"/>
      <c r="BE43" s="94"/>
      <c r="BF43" s="94"/>
      <c r="BG43" s="94"/>
      <c r="BH43" s="94"/>
      <c r="BY43" s="80"/>
      <c r="CH43" s="1020">
        <v>0</v>
      </c>
      <c r="CI43" s="1020">
        <v>0</v>
      </c>
      <c r="CJ43" s="1020"/>
      <c r="CK43" s="1020"/>
    </row>
    <row r="44" spans="1:89" ht="16.350000000000001" customHeight="1" x14ac:dyDescent="0.2">
      <c r="A44" s="2449" t="s">
        <v>3043</v>
      </c>
      <c r="B44" s="1315" t="s">
        <v>283</v>
      </c>
      <c r="C44" s="3504" t="s">
        <v>2777</v>
      </c>
      <c r="D44" s="3505" t="s">
        <v>2778</v>
      </c>
      <c r="E44" s="3500" t="s">
        <v>2779</v>
      </c>
      <c r="F44" s="166" t="s">
        <v>2780</v>
      </c>
      <c r="G44" s="168" t="s">
        <v>2781</v>
      </c>
      <c r="H44" s="166" t="s">
        <v>2782</v>
      </c>
      <c r="I44" s="125" t="s">
        <v>2783</v>
      </c>
      <c r="J44" s="166" t="s">
        <v>2784</v>
      </c>
      <c r="K44" s="125" t="s">
        <v>2785</v>
      </c>
      <c r="L44" s="166" t="s">
        <v>2786</v>
      </c>
      <c r="M44" s="125" t="s">
        <v>2787</v>
      </c>
      <c r="N44" s="166" t="s">
        <v>2788</v>
      </c>
      <c r="O44" s="125" t="s">
        <v>2789</v>
      </c>
      <c r="P44" s="166" t="s">
        <v>2790</v>
      </c>
      <c r="Q44" s="125" t="s">
        <v>2791</v>
      </c>
      <c r="R44" s="126" t="s">
        <v>2792</v>
      </c>
      <c r="S44" s="125" t="s">
        <v>2793</v>
      </c>
      <c r="T44" s="166" t="s">
        <v>2794</v>
      </c>
      <c r="U44" s="125" t="s">
        <v>2795</v>
      </c>
      <c r="V44" s="126" t="s">
        <v>2796</v>
      </c>
      <c r="W44" s="125" t="s">
        <v>2797</v>
      </c>
      <c r="X44" s="126" t="s">
        <v>2798</v>
      </c>
      <c r="Y44" s="125" t="s">
        <v>2799</v>
      </c>
      <c r="Z44" s="126" t="s">
        <v>2800</v>
      </c>
      <c r="AA44" s="125" t="s">
        <v>2801</v>
      </c>
      <c r="AB44" s="126" t="s">
        <v>2817</v>
      </c>
      <c r="AC44" s="125" t="s">
        <v>2818</v>
      </c>
      <c r="AD44" s="126" t="s">
        <v>2819</v>
      </c>
      <c r="AE44" s="125" t="s">
        <v>2821</v>
      </c>
      <c r="AF44" s="126" t="s">
        <v>2822</v>
      </c>
      <c r="AG44" s="125" t="s">
        <v>2823</v>
      </c>
      <c r="AH44" s="126" t="s">
        <v>2824</v>
      </c>
      <c r="AI44" s="125" t="s">
        <v>2825</v>
      </c>
      <c r="AJ44" s="126" t="s">
        <v>2826</v>
      </c>
      <c r="AK44" s="102" t="s">
        <v>2827</v>
      </c>
      <c r="AL44" s="102" t="s">
        <v>2831</v>
      </c>
      <c r="AM44" s="270" t="s">
        <v>2832</v>
      </c>
      <c r="AN44" s="270" t="s">
        <v>2833</v>
      </c>
      <c r="AO44" s="125" t="s">
        <v>2834</v>
      </c>
      <c r="AP44" s="1486" t="s">
        <v>3011</v>
      </c>
      <c r="AQ44" s="1476" t="s">
        <v>3012</v>
      </c>
      <c r="AR44" s="1476" t="s">
        <v>3013</v>
      </c>
      <c r="AS44" s="1476" t="s">
        <v>3014</v>
      </c>
      <c r="AT44" s="287" t="s">
        <v>3015</v>
      </c>
      <c r="AU44" s="1170"/>
      <c r="AV44" s="1058"/>
      <c r="AW44" s="1058"/>
      <c r="AX44" s="1058"/>
      <c r="AY44" s="1058"/>
      <c r="AZ44" s="1058"/>
      <c r="BA44" s="1058"/>
      <c r="BB44" s="1058"/>
      <c r="BC44" s="1058"/>
      <c r="BD44" s="94"/>
      <c r="BE44" s="94"/>
      <c r="BF44" s="94"/>
      <c r="BG44" s="94"/>
      <c r="BH44" s="94"/>
      <c r="BY44" s="80"/>
      <c r="CH44" s="1020">
        <v>0</v>
      </c>
      <c r="CI44" s="1020">
        <v>0</v>
      </c>
      <c r="CJ44" s="1020"/>
      <c r="CK44" s="1020"/>
    </row>
    <row r="45" spans="1:89" ht="31.35" customHeight="1" x14ac:dyDescent="0.2">
      <c r="B45" s="177" t="s">
        <v>1890</v>
      </c>
      <c r="C45" s="177"/>
      <c r="D45" s="177"/>
      <c r="E45" s="177"/>
      <c r="F45" s="177"/>
      <c r="G45" s="177"/>
      <c r="H45" s="177"/>
      <c r="I45" s="177"/>
      <c r="J45" s="85"/>
      <c r="K45" s="85"/>
      <c r="L45" s="85"/>
      <c r="M45" s="85"/>
      <c r="N45" s="85"/>
      <c r="O45" s="190"/>
      <c r="P45" s="190"/>
      <c r="Q45" s="190"/>
      <c r="R45" s="190"/>
      <c r="S45" s="190"/>
      <c r="T45" s="190"/>
      <c r="U45" s="190"/>
      <c r="V45" s="190"/>
      <c r="W45" s="190"/>
      <c r="X45" s="190"/>
      <c r="Y45" s="85"/>
      <c r="Z45" s="85"/>
      <c r="AA45" s="85"/>
      <c r="AB45" s="85"/>
      <c r="AC45" s="85"/>
      <c r="AD45" s="85"/>
      <c r="AE45" s="85"/>
      <c r="AF45" s="85"/>
      <c r="AG45" s="85"/>
      <c r="AH45" s="85"/>
      <c r="AI45" s="85"/>
      <c r="AJ45" s="85"/>
      <c r="AK45" s="85"/>
      <c r="AL45" s="85"/>
      <c r="AM45" s="85"/>
      <c r="AN45" s="85"/>
      <c r="AO45" s="85"/>
      <c r="AP45" s="219"/>
      <c r="AQ45" s="220"/>
      <c r="AR45" s="1487"/>
      <c r="AS45" s="1488"/>
      <c r="AT45" s="94"/>
      <c r="AU45" s="94"/>
      <c r="AV45" s="94"/>
      <c r="AW45" s="94"/>
      <c r="AX45" s="94"/>
      <c r="AY45" s="94"/>
      <c r="AZ45" s="94"/>
      <c r="BA45" s="94"/>
      <c r="BB45" s="94"/>
      <c r="BC45" s="94"/>
      <c r="BD45" s="94"/>
      <c r="BE45" s="94"/>
      <c r="BF45" s="94"/>
      <c r="BG45" s="94"/>
      <c r="BH45" s="94"/>
      <c r="CH45" s="1020"/>
      <c r="CI45" s="1020"/>
      <c r="CJ45" s="1020"/>
      <c r="CK45" s="1020"/>
    </row>
    <row r="46" spans="1:89" ht="16.350000000000001" customHeight="1" x14ac:dyDescent="0.25">
      <c r="B46" s="5396" t="s">
        <v>3</v>
      </c>
      <c r="C46" s="5158" t="s">
        <v>4</v>
      </c>
      <c r="D46" s="5413" t="s">
        <v>1891</v>
      </c>
      <c r="E46" s="5426"/>
      <c r="F46" s="5426"/>
      <c r="G46" s="5414"/>
      <c r="H46" s="5413" t="s">
        <v>1892</v>
      </c>
      <c r="I46" s="5426"/>
      <c r="J46" s="5426"/>
      <c r="K46" s="5414"/>
      <c r="L46" s="190"/>
      <c r="M46" s="5427"/>
      <c r="N46" s="5427"/>
      <c r="O46" s="5427"/>
      <c r="P46" s="5427"/>
      <c r="Q46" s="5427"/>
      <c r="R46" s="5427"/>
      <c r="S46" s="5427"/>
      <c r="T46" s="190"/>
      <c r="U46" s="190"/>
      <c r="V46" s="190"/>
      <c r="W46" s="190"/>
      <c r="X46" s="190"/>
      <c r="Y46" s="190"/>
      <c r="Z46" s="190"/>
      <c r="AA46" s="190"/>
      <c r="AB46" s="190"/>
      <c r="AC46" s="190"/>
      <c r="AD46" s="190"/>
      <c r="AE46" s="190"/>
      <c r="AF46" s="190"/>
      <c r="AG46" s="190"/>
      <c r="AH46" s="190"/>
      <c r="AI46" s="190"/>
      <c r="AJ46" s="190"/>
      <c r="AK46" s="190"/>
      <c r="AL46" s="190"/>
      <c r="AM46" s="190"/>
      <c r="AN46" s="190"/>
      <c r="AO46" s="190"/>
      <c r="AP46" s="190"/>
      <c r="AQ46" s="190"/>
      <c r="AR46" s="1489"/>
      <c r="AS46" s="922"/>
      <c r="AT46" s="94"/>
      <c r="AU46" s="94"/>
      <c r="AV46" s="94"/>
      <c r="AW46" s="94"/>
      <c r="AX46" s="94"/>
      <c r="AY46" s="94"/>
      <c r="AZ46" s="94"/>
      <c r="BA46" s="94"/>
      <c r="BB46" s="94"/>
      <c r="BC46" s="94"/>
      <c r="BD46" s="94"/>
      <c r="BE46" s="94"/>
      <c r="BF46" s="94"/>
      <c r="BG46" s="94"/>
      <c r="BH46" s="94"/>
      <c r="CH46" s="1020"/>
      <c r="CI46" s="1020"/>
      <c r="CJ46" s="1020"/>
      <c r="CK46" s="1020"/>
    </row>
    <row r="47" spans="1:89" ht="27.75" customHeight="1" x14ac:dyDescent="0.2">
      <c r="B47" s="5397"/>
      <c r="C47" s="5424"/>
      <c r="D47" s="1130" t="s">
        <v>125</v>
      </c>
      <c r="E47" s="1130" t="s">
        <v>126</v>
      </c>
      <c r="F47" s="1149" t="s">
        <v>167</v>
      </c>
      <c r="G47" s="1435" t="s">
        <v>1893</v>
      </c>
      <c r="H47" s="1130" t="s">
        <v>125</v>
      </c>
      <c r="I47" s="1130" t="s">
        <v>126</v>
      </c>
      <c r="J47" s="1149" t="s">
        <v>167</v>
      </c>
      <c r="K47" s="1435" t="s">
        <v>1893</v>
      </c>
      <c r="L47" s="190"/>
      <c r="M47" s="1490"/>
      <c r="N47" s="1490"/>
      <c r="O47" s="1491"/>
      <c r="P47" s="1490"/>
      <c r="Q47" s="1490"/>
      <c r="R47" s="1490"/>
      <c r="S47" s="1490"/>
      <c r="T47" s="1490"/>
      <c r="U47" s="1490"/>
      <c r="V47" s="1490"/>
      <c r="W47" s="1490"/>
      <c r="X47" s="1490"/>
      <c r="Y47" s="1490"/>
      <c r="Z47" s="1490"/>
      <c r="AA47" s="1490"/>
      <c r="AB47" s="1490"/>
      <c r="AC47" s="1490"/>
      <c r="AD47" s="1490"/>
      <c r="AE47" s="1490"/>
      <c r="AF47" s="1490"/>
      <c r="AG47" s="1490"/>
      <c r="AH47" s="1490"/>
      <c r="AI47" s="1490"/>
      <c r="AJ47" s="1490"/>
      <c r="AK47" s="1490"/>
      <c r="AL47" s="1490"/>
      <c r="AM47" s="1490"/>
      <c r="AN47" s="1490"/>
      <c r="AO47" s="1490"/>
      <c r="AP47" s="1490"/>
      <c r="AQ47" s="1490"/>
      <c r="AR47" s="1492"/>
      <c r="AS47" s="1492"/>
      <c r="AT47" s="94"/>
      <c r="AU47" s="94"/>
      <c r="AV47" s="94"/>
      <c r="AW47" s="94"/>
      <c r="AX47" s="94"/>
      <c r="AY47" s="94"/>
      <c r="AZ47" s="94"/>
      <c r="BA47" s="94"/>
      <c r="BB47" s="94"/>
      <c r="BC47" s="94"/>
      <c r="BD47" s="94"/>
      <c r="BE47" s="94"/>
      <c r="BF47" s="94"/>
      <c r="BG47" s="94"/>
      <c r="BH47" s="94"/>
      <c r="CH47" s="1020"/>
      <c r="CI47" s="1020"/>
      <c r="CJ47" s="1020"/>
      <c r="CK47" s="1020"/>
    </row>
    <row r="48" spans="1:89" ht="16.350000000000001" customHeight="1" x14ac:dyDescent="0.2">
      <c r="A48" s="2449" t="s">
        <v>3044</v>
      </c>
      <c r="B48" s="1249" t="s">
        <v>29</v>
      </c>
      <c r="C48" s="192" t="s">
        <v>2777</v>
      </c>
      <c r="D48" s="2483" t="s">
        <v>2778</v>
      </c>
      <c r="E48" s="2462" t="s">
        <v>2779</v>
      </c>
      <c r="F48" s="2462" t="s">
        <v>2780</v>
      </c>
      <c r="G48" s="2499" t="s">
        <v>2781</v>
      </c>
      <c r="H48" s="2483" t="s">
        <v>2782</v>
      </c>
      <c r="I48" s="2462" t="s">
        <v>2783</v>
      </c>
      <c r="J48" s="2462" t="s">
        <v>2784</v>
      </c>
      <c r="K48" s="2480" t="s">
        <v>2785</v>
      </c>
      <c r="L48" s="457"/>
      <c r="M48" s="1490"/>
      <c r="N48" s="1490"/>
      <c r="O48" s="1493"/>
      <c r="P48" s="1490"/>
      <c r="Q48" s="1490"/>
      <c r="R48" s="1490"/>
      <c r="S48" s="1490"/>
      <c r="T48" s="1490"/>
      <c r="U48" s="1490"/>
      <c r="V48" s="1490"/>
      <c r="W48" s="1490"/>
      <c r="X48" s="1490"/>
      <c r="Y48" s="1494"/>
      <c r="Z48" s="1495"/>
      <c r="AA48" s="1495"/>
      <c r="AB48" s="1495"/>
      <c r="AC48" s="1495"/>
      <c r="AD48" s="1495"/>
      <c r="AE48" s="1495"/>
      <c r="AF48" s="1495"/>
      <c r="AG48" s="1495"/>
      <c r="AH48" s="1495"/>
      <c r="AI48" s="1495"/>
      <c r="AJ48" s="1495"/>
      <c r="AK48" s="1495"/>
      <c r="AL48" s="1495"/>
      <c r="AM48" s="1495"/>
      <c r="AN48" s="1495"/>
      <c r="AO48" s="1495"/>
      <c r="AP48" s="1495"/>
      <c r="AQ48" s="1495"/>
      <c r="AR48" s="1492"/>
      <c r="AS48" s="1492"/>
      <c r="AT48" s="94"/>
      <c r="AU48" s="94"/>
      <c r="AV48" s="94"/>
      <c r="AW48" s="94"/>
      <c r="AX48" s="94"/>
      <c r="AY48" s="94"/>
      <c r="AZ48" s="94"/>
      <c r="BA48" s="94"/>
      <c r="BB48" s="94"/>
      <c r="BC48" s="94"/>
      <c r="BD48" s="94"/>
      <c r="BE48" s="94"/>
      <c r="BF48" s="94"/>
      <c r="BG48" s="94"/>
      <c r="BH48" s="94"/>
      <c r="CH48" s="1020"/>
      <c r="CI48" s="1020"/>
      <c r="CJ48" s="1020"/>
      <c r="CK48" s="1020"/>
    </row>
    <row r="49" spans="1:89" ht="16.350000000000001" customHeight="1" x14ac:dyDescent="0.2">
      <c r="A49" s="2449" t="s">
        <v>3045</v>
      </c>
      <c r="B49" s="1250" t="s">
        <v>30</v>
      </c>
      <c r="C49" s="193" t="s">
        <v>2777</v>
      </c>
      <c r="D49" s="166" t="s">
        <v>2778</v>
      </c>
      <c r="E49" s="102" t="s">
        <v>2779</v>
      </c>
      <c r="F49" s="102" t="s">
        <v>2780</v>
      </c>
      <c r="G49" s="168" t="s">
        <v>2781</v>
      </c>
      <c r="H49" s="166" t="s">
        <v>2782</v>
      </c>
      <c r="I49" s="102" t="s">
        <v>2783</v>
      </c>
      <c r="J49" s="102" t="s">
        <v>2784</v>
      </c>
      <c r="K49" s="125" t="s">
        <v>2785</v>
      </c>
      <c r="L49" s="457"/>
      <c r="M49" s="1490"/>
      <c r="N49" s="1490"/>
      <c r="O49" s="1496"/>
      <c r="P49" s="1490"/>
      <c r="Q49" s="1490"/>
      <c r="R49" s="1490"/>
      <c r="S49" s="1490"/>
      <c r="T49" s="1490"/>
      <c r="U49" s="1490"/>
      <c r="V49" s="1490"/>
      <c r="W49" s="1490"/>
      <c r="X49" s="1490"/>
      <c r="Y49" s="1494"/>
      <c r="Z49" s="1495"/>
      <c r="AA49" s="1495"/>
      <c r="AB49" s="1495"/>
      <c r="AC49" s="1495"/>
      <c r="AD49" s="1495"/>
      <c r="AE49" s="1495"/>
      <c r="AF49" s="1495"/>
      <c r="AG49" s="1495"/>
      <c r="AH49" s="1495"/>
      <c r="AI49" s="1495"/>
      <c r="AJ49" s="1495"/>
      <c r="AK49" s="1495"/>
      <c r="AL49" s="1495"/>
      <c r="AM49" s="1495"/>
      <c r="AN49" s="1495"/>
      <c r="AO49" s="1495"/>
      <c r="AP49" s="1495"/>
      <c r="AQ49" s="1495"/>
      <c r="AR49" s="1492"/>
      <c r="AS49" s="1492"/>
      <c r="AT49" s="94"/>
      <c r="AU49" s="94"/>
      <c r="AV49" s="94"/>
      <c r="AW49" s="94"/>
      <c r="AX49" s="94"/>
      <c r="AY49" s="94"/>
      <c r="AZ49" s="94"/>
      <c r="BA49" s="94"/>
      <c r="BB49" s="94"/>
      <c r="BC49" s="94"/>
      <c r="BD49" s="94"/>
      <c r="BE49" s="94"/>
      <c r="BF49" s="94"/>
      <c r="BG49" s="94"/>
      <c r="BH49" s="94"/>
      <c r="CH49" s="1020"/>
      <c r="CI49" s="1020"/>
      <c r="CJ49" s="1020"/>
      <c r="CK49" s="1020"/>
    </row>
    <row r="50" spans="1:89" ht="31.35" customHeight="1" x14ac:dyDescent="0.2">
      <c r="B50" s="1497" t="s">
        <v>1894</v>
      </c>
      <c r="C50" s="1497"/>
      <c r="D50" s="1497"/>
      <c r="E50" s="1497"/>
      <c r="F50" s="1497"/>
      <c r="G50" s="1497"/>
      <c r="H50" s="1498"/>
      <c r="I50" s="1498"/>
      <c r="J50" s="1498"/>
      <c r="K50" s="1498"/>
      <c r="L50" s="1498"/>
      <c r="M50" s="1498"/>
      <c r="N50" s="1498"/>
      <c r="O50" s="1498"/>
      <c r="P50" s="1499"/>
      <c r="Q50" s="1497"/>
      <c r="R50" s="1498"/>
      <c r="S50" s="1498"/>
      <c r="T50" s="1499"/>
      <c r="U50" s="1497"/>
      <c r="V50" s="1498"/>
      <c r="W50" s="1499"/>
      <c r="X50" s="1497"/>
      <c r="Y50" s="190"/>
      <c r="Z50" s="190"/>
      <c r="AA50" s="190"/>
      <c r="AB50" s="190"/>
      <c r="AC50" s="190"/>
      <c r="AD50" s="190"/>
      <c r="AE50" s="190"/>
      <c r="AF50" s="190"/>
      <c r="AG50" s="190"/>
      <c r="AH50" s="190"/>
      <c r="AI50" s="190"/>
      <c r="AJ50" s="190"/>
      <c r="AK50" s="190"/>
      <c r="AL50" s="190"/>
      <c r="AM50" s="1495"/>
      <c r="AN50" s="1500"/>
      <c r="AO50" s="1500"/>
      <c r="AR50" s="94"/>
      <c r="AS50" s="94"/>
      <c r="AT50" s="94"/>
      <c r="AU50" s="94"/>
      <c r="AV50" s="94"/>
      <c r="AW50" s="94"/>
      <c r="AX50" s="94"/>
      <c r="AY50" s="94"/>
      <c r="AZ50" s="94"/>
      <c r="BA50" s="94"/>
      <c r="BB50" s="94"/>
      <c r="BC50" s="94"/>
      <c r="BD50" s="94"/>
      <c r="BE50" s="94"/>
      <c r="BF50" s="94"/>
      <c r="BG50" s="94"/>
      <c r="BH50" s="94"/>
      <c r="CH50" s="1020"/>
      <c r="CI50" s="1020"/>
      <c r="CJ50" s="1020"/>
      <c r="CK50" s="1020"/>
    </row>
    <row r="51" spans="1:89" ht="16.350000000000001" customHeight="1" x14ac:dyDescent="0.2">
      <c r="B51" s="5435" t="s">
        <v>1895</v>
      </c>
      <c r="C51" s="5436" t="s">
        <v>42</v>
      </c>
      <c r="D51" s="5425"/>
      <c r="E51" s="5428"/>
      <c r="F51" s="5404" t="s">
        <v>274</v>
      </c>
      <c r="G51" s="5437"/>
      <c r="H51" s="5437"/>
      <c r="I51" s="5437"/>
      <c r="J51" s="5437"/>
      <c r="K51" s="5437"/>
      <c r="L51" s="5437"/>
      <c r="M51" s="5437"/>
      <c r="N51" s="5437"/>
      <c r="O51" s="5437"/>
      <c r="P51" s="5437"/>
      <c r="Q51" s="5437"/>
      <c r="R51" s="5437"/>
      <c r="S51" s="5437"/>
      <c r="T51" s="5437"/>
      <c r="U51" s="5437"/>
      <c r="V51" s="5437"/>
      <c r="W51" s="5438"/>
      <c r="X51" s="5423" t="s">
        <v>1357</v>
      </c>
      <c r="Y51" s="94"/>
      <c r="Z51" s="94"/>
      <c r="AA51" s="94"/>
      <c r="AB51" s="94"/>
      <c r="AC51" s="94"/>
      <c r="AD51" s="94"/>
      <c r="AE51" s="94"/>
      <c r="AF51" s="94"/>
      <c r="AG51" s="94"/>
      <c r="AH51" s="94"/>
      <c r="AI51" s="94"/>
      <c r="AJ51" s="94"/>
      <c r="AK51" s="94"/>
      <c r="AL51" s="94"/>
      <c r="CH51" s="1020"/>
      <c r="CI51" s="1020"/>
      <c r="CJ51" s="1020"/>
      <c r="CK51" s="1020"/>
    </row>
    <row r="52" spans="1:89" ht="16.350000000000001" customHeight="1" x14ac:dyDescent="0.2">
      <c r="B52" s="5135"/>
      <c r="C52" s="5401"/>
      <c r="D52" s="5402"/>
      <c r="E52" s="5403"/>
      <c r="F52" s="5423" t="s">
        <v>1871</v>
      </c>
      <c r="G52" s="5425" t="s">
        <v>1872</v>
      </c>
      <c r="H52" s="5423" t="s">
        <v>275</v>
      </c>
      <c r="I52" s="5425" t="s">
        <v>1761</v>
      </c>
      <c r="J52" s="5423" t="s">
        <v>9</v>
      </c>
      <c r="K52" s="5425" t="s">
        <v>1762</v>
      </c>
      <c r="L52" s="5423" t="s">
        <v>11</v>
      </c>
      <c r="M52" s="5425" t="s">
        <v>12</v>
      </c>
      <c r="N52" s="5423" t="s">
        <v>13</v>
      </c>
      <c r="O52" s="5425" t="s">
        <v>14</v>
      </c>
      <c r="P52" s="5423" t="s">
        <v>15</v>
      </c>
      <c r="Q52" s="5425" t="s">
        <v>16</v>
      </c>
      <c r="R52" s="5423" t="s">
        <v>17</v>
      </c>
      <c r="S52" s="5425" t="s">
        <v>18</v>
      </c>
      <c r="T52" s="5423" t="s">
        <v>19</v>
      </c>
      <c r="U52" s="5425" t="s">
        <v>20</v>
      </c>
      <c r="V52" s="5423" t="s">
        <v>21</v>
      </c>
      <c r="W52" s="5428" t="s">
        <v>22</v>
      </c>
      <c r="X52" s="5113"/>
      <c r="Y52" s="94"/>
      <c r="Z52" s="94"/>
      <c r="AA52" s="94"/>
      <c r="AB52" s="94"/>
      <c r="AC52" s="94"/>
      <c r="AD52" s="94"/>
      <c r="AE52" s="94"/>
      <c r="AF52" s="94"/>
      <c r="AG52" s="94"/>
      <c r="AH52" s="94"/>
      <c r="AI52" s="94"/>
      <c r="AJ52" s="94"/>
      <c r="AK52" s="94"/>
      <c r="AL52" s="94"/>
      <c r="CH52" s="1020"/>
      <c r="CI52" s="1020"/>
      <c r="CJ52" s="1020"/>
      <c r="CK52" s="1020"/>
    </row>
    <row r="53" spans="1:89" ht="16.350000000000001" customHeight="1" x14ac:dyDescent="0.2">
      <c r="B53" s="5397"/>
      <c r="C53" s="1334" t="s">
        <v>184</v>
      </c>
      <c r="D53" s="1501" t="s">
        <v>24</v>
      </c>
      <c r="E53" s="1334" t="s">
        <v>25</v>
      </c>
      <c r="F53" s="5424"/>
      <c r="G53" s="5402"/>
      <c r="H53" s="5424"/>
      <c r="I53" s="5402"/>
      <c r="J53" s="5424"/>
      <c r="K53" s="5402"/>
      <c r="L53" s="5424"/>
      <c r="M53" s="5402"/>
      <c r="N53" s="5424"/>
      <c r="O53" s="5402"/>
      <c r="P53" s="5424"/>
      <c r="Q53" s="5402"/>
      <c r="R53" s="5424"/>
      <c r="S53" s="5402"/>
      <c r="T53" s="5424"/>
      <c r="U53" s="5402"/>
      <c r="V53" s="5424"/>
      <c r="W53" s="5403"/>
      <c r="X53" s="5424"/>
      <c r="Y53" s="94"/>
      <c r="Z53" s="94"/>
      <c r="AA53" s="94"/>
      <c r="AB53" s="94"/>
      <c r="AC53" s="94"/>
      <c r="AD53" s="94"/>
      <c r="AE53" s="94"/>
      <c r="AF53" s="94"/>
      <c r="AG53" s="94"/>
      <c r="AH53" s="94"/>
      <c r="AI53" s="94"/>
      <c r="AJ53" s="94"/>
      <c r="AK53" s="94"/>
      <c r="AL53" s="94"/>
      <c r="CH53" s="1020"/>
      <c r="CI53" s="1020"/>
      <c r="CJ53" s="1020"/>
      <c r="CK53" s="1020"/>
    </row>
    <row r="54" spans="1:89" ht="16.350000000000001" customHeight="1" x14ac:dyDescent="0.2">
      <c r="A54" s="2640"/>
      <c r="B54" s="2641" t="s">
        <v>1896</v>
      </c>
      <c r="C54" s="3490">
        <f>SUM(C55:C56)</f>
        <v>0</v>
      </c>
      <c r="D54" s="2742">
        <f>SUM(D55:D56)</f>
        <v>0</v>
      </c>
      <c r="E54" s="2558">
        <f>SUM(E55:E56)</f>
        <v>0</v>
      </c>
      <c r="F54" s="2450">
        <f t="shared" ref="F54:X54" si="1">SUM(F55:F56)</f>
        <v>0</v>
      </c>
      <c r="G54" s="2642">
        <f t="shared" si="1"/>
        <v>0</v>
      </c>
      <c r="H54" s="2450">
        <f t="shared" si="1"/>
        <v>0</v>
      </c>
      <c r="I54" s="2642">
        <f t="shared" si="1"/>
        <v>0</v>
      </c>
      <c r="J54" s="2450">
        <f t="shared" si="1"/>
        <v>0</v>
      </c>
      <c r="K54" s="2642">
        <f t="shared" si="1"/>
        <v>0</v>
      </c>
      <c r="L54" s="2450">
        <f t="shared" si="1"/>
        <v>0</v>
      </c>
      <c r="M54" s="2642">
        <f t="shared" si="1"/>
        <v>0</v>
      </c>
      <c r="N54" s="2450">
        <f t="shared" si="1"/>
        <v>0</v>
      </c>
      <c r="O54" s="2642">
        <f t="shared" si="1"/>
        <v>0</v>
      </c>
      <c r="P54" s="2450">
        <f t="shared" si="1"/>
        <v>0</v>
      </c>
      <c r="Q54" s="2642">
        <f t="shared" si="1"/>
        <v>0</v>
      </c>
      <c r="R54" s="2450">
        <f t="shared" si="1"/>
        <v>0</v>
      </c>
      <c r="S54" s="2642">
        <f t="shared" si="1"/>
        <v>0</v>
      </c>
      <c r="T54" s="2450">
        <f t="shared" si="1"/>
        <v>0</v>
      </c>
      <c r="U54" s="2642">
        <f t="shared" si="1"/>
        <v>0</v>
      </c>
      <c r="V54" s="2450">
        <f t="shared" si="1"/>
        <v>0</v>
      </c>
      <c r="W54" s="2642">
        <f t="shared" si="1"/>
        <v>0</v>
      </c>
      <c r="X54" s="2450">
        <f t="shared" si="1"/>
        <v>0</v>
      </c>
      <c r="Y54" s="956" t="s">
        <v>883</v>
      </c>
      <c r="Z54" s="94"/>
      <c r="AA54" s="94"/>
      <c r="AB54" s="94"/>
      <c r="AC54" s="94"/>
      <c r="AD54" s="94"/>
      <c r="AE54" s="94"/>
      <c r="AF54" s="94"/>
      <c r="AG54" s="94"/>
      <c r="AH54" s="94"/>
      <c r="AI54" s="94"/>
      <c r="AJ54" s="94"/>
      <c r="AK54" s="94"/>
      <c r="AL54" s="94"/>
      <c r="CH54" s="1020"/>
      <c r="CI54" s="1020"/>
      <c r="CJ54" s="1020"/>
      <c r="CK54" s="1020"/>
    </row>
    <row r="55" spans="1:89" ht="16.350000000000001" customHeight="1" x14ac:dyDescent="0.2">
      <c r="A55" s="2449" t="s">
        <v>3046</v>
      </c>
      <c r="B55" s="2429" t="s">
        <v>29</v>
      </c>
      <c r="C55" s="3494" t="s">
        <v>2777</v>
      </c>
      <c r="D55" s="3909" t="s">
        <v>2778</v>
      </c>
      <c r="E55" s="2643" t="s">
        <v>2779</v>
      </c>
      <c r="F55" s="164" t="s">
        <v>2780</v>
      </c>
      <c r="G55" s="143" t="s">
        <v>2781</v>
      </c>
      <c r="H55" s="164" t="s">
        <v>2782</v>
      </c>
      <c r="I55" s="143" t="s">
        <v>2783</v>
      </c>
      <c r="J55" s="164" t="s">
        <v>2784</v>
      </c>
      <c r="K55" s="143" t="s">
        <v>2785</v>
      </c>
      <c r="L55" s="164" t="s">
        <v>2786</v>
      </c>
      <c r="M55" s="143" t="s">
        <v>2787</v>
      </c>
      <c r="N55" s="164" t="s">
        <v>2788</v>
      </c>
      <c r="O55" s="143" t="s">
        <v>2789</v>
      </c>
      <c r="P55" s="164" t="s">
        <v>2790</v>
      </c>
      <c r="Q55" s="143" t="s">
        <v>2791</v>
      </c>
      <c r="R55" s="164" t="s">
        <v>2792</v>
      </c>
      <c r="S55" s="143" t="s">
        <v>2793</v>
      </c>
      <c r="T55" s="164" t="s">
        <v>2794</v>
      </c>
      <c r="U55" s="143" t="s">
        <v>2795</v>
      </c>
      <c r="V55" s="164" t="s">
        <v>2796</v>
      </c>
      <c r="W55" s="143" t="s">
        <v>2797</v>
      </c>
      <c r="X55" s="164" t="s">
        <v>2798</v>
      </c>
      <c r="Y55" s="1057"/>
      <c r="Z55" s="1058"/>
      <c r="AA55" s="1058"/>
      <c r="AB55" s="1058"/>
      <c r="AC55" s="1058"/>
      <c r="AD55" s="1058"/>
      <c r="AE55" s="1058"/>
      <c r="AF55" s="1058"/>
      <c r="AG55" s="1058"/>
      <c r="AH55" s="1058"/>
      <c r="AI55" s="1058"/>
      <c r="AJ55" s="1058"/>
      <c r="AK55" s="94"/>
      <c r="AL55" s="94"/>
      <c r="CB55" s="890"/>
      <c r="CD55" s="890"/>
      <c r="CH55" s="1020">
        <v>0</v>
      </c>
      <c r="CI55" s="1020">
        <v>0</v>
      </c>
      <c r="CJ55" s="1020">
        <v>0</v>
      </c>
      <c r="CK55" s="1020"/>
    </row>
    <row r="56" spans="1:89" ht="16.350000000000001" customHeight="1" x14ac:dyDescent="0.2">
      <c r="A56" s="2449" t="s">
        <v>3047</v>
      </c>
      <c r="B56" s="2437" t="s">
        <v>285</v>
      </c>
      <c r="C56" s="3491" t="s">
        <v>2777</v>
      </c>
      <c r="D56" s="3910" t="s">
        <v>2778</v>
      </c>
      <c r="E56" s="2645" t="s">
        <v>2779</v>
      </c>
      <c r="F56" s="105" t="s">
        <v>2780</v>
      </c>
      <c r="G56" s="265" t="s">
        <v>2781</v>
      </c>
      <c r="H56" s="105" t="s">
        <v>2782</v>
      </c>
      <c r="I56" s="265" t="s">
        <v>2783</v>
      </c>
      <c r="J56" s="105" t="s">
        <v>2784</v>
      </c>
      <c r="K56" s="265" t="s">
        <v>2785</v>
      </c>
      <c r="L56" s="105" t="s">
        <v>2786</v>
      </c>
      <c r="M56" s="265" t="s">
        <v>2787</v>
      </c>
      <c r="N56" s="105" t="s">
        <v>2788</v>
      </c>
      <c r="O56" s="265" t="s">
        <v>2789</v>
      </c>
      <c r="P56" s="105" t="s">
        <v>2790</v>
      </c>
      <c r="Q56" s="265" t="s">
        <v>2791</v>
      </c>
      <c r="R56" s="105" t="s">
        <v>2792</v>
      </c>
      <c r="S56" s="265" t="s">
        <v>2793</v>
      </c>
      <c r="T56" s="105" t="s">
        <v>2794</v>
      </c>
      <c r="U56" s="265" t="s">
        <v>2795</v>
      </c>
      <c r="V56" s="105" t="s">
        <v>2796</v>
      </c>
      <c r="W56" s="265" t="s">
        <v>2797</v>
      </c>
      <c r="X56" s="105" t="s">
        <v>2798</v>
      </c>
      <c r="Y56" s="1057"/>
      <c r="Z56" s="1058"/>
      <c r="AA56" s="1058"/>
      <c r="AB56" s="1058"/>
      <c r="AC56" s="1058"/>
      <c r="AD56" s="1058"/>
      <c r="AE56" s="1058"/>
      <c r="AF56" s="1058"/>
      <c r="AG56" s="1058"/>
      <c r="AH56" s="1058"/>
      <c r="AI56" s="1058"/>
      <c r="AJ56" s="1058"/>
      <c r="AK56" s="94"/>
      <c r="AL56" s="94"/>
      <c r="CH56" s="1020">
        <v>0</v>
      </c>
      <c r="CI56" s="1020">
        <v>0</v>
      </c>
      <c r="CJ56" s="1020">
        <v>0</v>
      </c>
      <c r="CK56" s="1020"/>
    </row>
    <row r="57" spans="1:89" ht="16.350000000000001" customHeight="1" x14ac:dyDescent="0.2">
      <c r="A57" s="2640"/>
      <c r="B57" s="2646" t="s">
        <v>286</v>
      </c>
      <c r="C57" s="3897">
        <f t="shared" ref="C57:X57" si="2">SUM(C58:C59)</f>
        <v>0</v>
      </c>
      <c r="D57" s="3911">
        <f t="shared" si="2"/>
        <v>0</v>
      </c>
      <c r="E57" s="216">
        <f t="shared" si="2"/>
        <v>0</v>
      </c>
      <c r="F57" s="2636">
        <f t="shared" si="2"/>
        <v>0</v>
      </c>
      <c r="G57" s="1502">
        <f t="shared" si="2"/>
        <v>0</v>
      </c>
      <c r="H57" s="2636">
        <f t="shared" si="2"/>
        <v>0</v>
      </c>
      <c r="I57" s="1502">
        <f t="shared" si="2"/>
        <v>0</v>
      </c>
      <c r="J57" s="2636">
        <f t="shared" si="2"/>
        <v>0</v>
      </c>
      <c r="K57" s="1502">
        <f t="shared" si="2"/>
        <v>0</v>
      </c>
      <c r="L57" s="2636">
        <f t="shared" si="2"/>
        <v>0</v>
      </c>
      <c r="M57" s="1502">
        <f t="shared" si="2"/>
        <v>0</v>
      </c>
      <c r="N57" s="2636">
        <f t="shared" si="2"/>
        <v>0</v>
      </c>
      <c r="O57" s="1502">
        <f t="shared" si="2"/>
        <v>0</v>
      </c>
      <c r="P57" s="2636">
        <f t="shared" si="2"/>
        <v>0</v>
      </c>
      <c r="Q57" s="1502">
        <f t="shared" si="2"/>
        <v>0</v>
      </c>
      <c r="R57" s="2636">
        <f t="shared" si="2"/>
        <v>0</v>
      </c>
      <c r="S57" s="1502">
        <f t="shared" si="2"/>
        <v>0</v>
      </c>
      <c r="T57" s="2636">
        <f t="shared" si="2"/>
        <v>0</v>
      </c>
      <c r="U57" s="1502">
        <f t="shared" si="2"/>
        <v>0</v>
      </c>
      <c r="V57" s="2636">
        <f t="shared" si="2"/>
        <v>0</v>
      </c>
      <c r="W57" s="1502">
        <f t="shared" si="2"/>
        <v>0</v>
      </c>
      <c r="X57" s="2450">
        <f t="shared" si="2"/>
        <v>0</v>
      </c>
      <c r="Y57" s="956" t="s">
        <v>883</v>
      </c>
      <c r="Z57" s="94"/>
      <c r="AA57" s="94"/>
      <c r="AB57" s="94"/>
      <c r="AC57" s="94"/>
      <c r="AD57" s="94"/>
      <c r="AE57" s="94"/>
      <c r="AF57" s="94"/>
      <c r="AG57" s="94"/>
      <c r="AH57" s="94"/>
      <c r="AI57" s="94"/>
      <c r="AJ57" s="94"/>
      <c r="AK57" s="94"/>
      <c r="AL57" s="94"/>
      <c r="CH57" s="1020"/>
      <c r="CI57" s="1020"/>
      <c r="CJ57" s="1020"/>
      <c r="CK57" s="1020"/>
    </row>
    <row r="58" spans="1:89" ht="16.350000000000001" customHeight="1" x14ac:dyDescent="0.2">
      <c r="A58" s="2449" t="s">
        <v>3048</v>
      </c>
      <c r="B58" s="2429" t="s">
        <v>29</v>
      </c>
      <c r="C58" s="3494" t="s">
        <v>2777</v>
      </c>
      <c r="D58" s="3909" t="s">
        <v>2778</v>
      </c>
      <c r="E58" s="2643" t="s">
        <v>2779</v>
      </c>
      <c r="F58" s="164" t="s">
        <v>2780</v>
      </c>
      <c r="G58" s="143" t="s">
        <v>2781</v>
      </c>
      <c r="H58" s="164" t="s">
        <v>2782</v>
      </c>
      <c r="I58" s="143" t="s">
        <v>2783</v>
      </c>
      <c r="J58" s="164" t="s">
        <v>2784</v>
      </c>
      <c r="K58" s="143" t="s">
        <v>2785</v>
      </c>
      <c r="L58" s="164" t="s">
        <v>2786</v>
      </c>
      <c r="M58" s="143" t="s">
        <v>2787</v>
      </c>
      <c r="N58" s="164" t="s">
        <v>2788</v>
      </c>
      <c r="O58" s="143" t="s">
        <v>2789</v>
      </c>
      <c r="P58" s="164" t="s">
        <v>2790</v>
      </c>
      <c r="Q58" s="143" t="s">
        <v>2791</v>
      </c>
      <c r="R58" s="164" t="s">
        <v>2792</v>
      </c>
      <c r="S58" s="143" t="s">
        <v>2793</v>
      </c>
      <c r="T58" s="164" t="s">
        <v>2794</v>
      </c>
      <c r="U58" s="143" t="s">
        <v>2795</v>
      </c>
      <c r="V58" s="164" t="s">
        <v>2796</v>
      </c>
      <c r="W58" s="143" t="s">
        <v>2797</v>
      </c>
      <c r="X58" s="164" t="s">
        <v>2798</v>
      </c>
      <c r="Y58" s="1057"/>
      <c r="Z58" s="1058"/>
      <c r="AA58" s="1058"/>
      <c r="AB58" s="1058"/>
      <c r="AC58" s="1058"/>
      <c r="AD58" s="1058"/>
      <c r="AE58" s="1058"/>
      <c r="AF58" s="1058"/>
      <c r="AG58" s="1058"/>
      <c r="AH58" s="1058"/>
      <c r="AI58" s="1058"/>
      <c r="AJ58" s="1058"/>
      <c r="AK58" s="94"/>
      <c r="AL58" s="94"/>
      <c r="CH58" s="1020">
        <v>0</v>
      </c>
      <c r="CI58" s="1020">
        <v>0</v>
      </c>
      <c r="CJ58" s="1020">
        <v>0</v>
      </c>
      <c r="CK58" s="1020"/>
    </row>
    <row r="59" spans="1:89" ht="16.350000000000001" customHeight="1" x14ac:dyDescent="0.2">
      <c r="A59" s="2449" t="s">
        <v>3049</v>
      </c>
      <c r="B59" s="2437" t="s">
        <v>285</v>
      </c>
      <c r="C59" s="3491" t="s">
        <v>2777</v>
      </c>
      <c r="D59" s="3910" t="s">
        <v>2778</v>
      </c>
      <c r="E59" s="2644" t="s">
        <v>2779</v>
      </c>
      <c r="F59" s="105" t="s">
        <v>2780</v>
      </c>
      <c r="G59" s="265" t="s">
        <v>2781</v>
      </c>
      <c r="H59" s="105" t="s">
        <v>2782</v>
      </c>
      <c r="I59" s="265" t="s">
        <v>2783</v>
      </c>
      <c r="J59" s="105" t="s">
        <v>2784</v>
      </c>
      <c r="K59" s="265" t="s">
        <v>2785</v>
      </c>
      <c r="L59" s="105" t="s">
        <v>2786</v>
      </c>
      <c r="M59" s="265" t="s">
        <v>2787</v>
      </c>
      <c r="N59" s="105" t="s">
        <v>2788</v>
      </c>
      <c r="O59" s="265" t="s">
        <v>2789</v>
      </c>
      <c r="P59" s="105" t="s">
        <v>2790</v>
      </c>
      <c r="Q59" s="265" t="s">
        <v>2791</v>
      </c>
      <c r="R59" s="105" t="s">
        <v>2792</v>
      </c>
      <c r="S59" s="265" t="s">
        <v>2793</v>
      </c>
      <c r="T59" s="105" t="s">
        <v>2794</v>
      </c>
      <c r="U59" s="265" t="s">
        <v>2795</v>
      </c>
      <c r="V59" s="105" t="s">
        <v>2796</v>
      </c>
      <c r="W59" s="265" t="s">
        <v>2797</v>
      </c>
      <c r="X59" s="105" t="s">
        <v>2798</v>
      </c>
      <c r="Y59" s="1057"/>
      <c r="Z59" s="1058"/>
      <c r="AA59" s="1058"/>
      <c r="AB59" s="1058"/>
      <c r="AC59" s="1058"/>
      <c r="AD59" s="1058"/>
      <c r="AE59" s="1058"/>
      <c r="AF59" s="1058"/>
      <c r="AG59" s="1058"/>
      <c r="AH59" s="1058"/>
      <c r="AI59" s="1058"/>
      <c r="AJ59" s="1058"/>
      <c r="AK59" s="94"/>
      <c r="AL59" s="94"/>
      <c r="CH59" s="1020">
        <v>0</v>
      </c>
      <c r="CI59" s="1020">
        <v>0</v>
      </c>
      <c r="CJ59" s="1020">
        <v>0</v>
      </c>
      <c r="CK59" s="1020"/>
    </row>
    <row r="60" spans="1:89" ht="31.35" customHeight="1" x14ac:dyDescent="0.2">
      <c r="B60" s="1497" t="s">
        <v>1897</v>
      </c>
      <c r="C60" s="1497"/>
      <c r="D60" s="1497"/>
      <c r="E60" s="1497"/>
      <c r="F60" s="1497"/>
      <c r="G60" s="177"/>
      <c r="H60" s="177"/>
      <c r="I60" s="928"/>
      <c r="J60" s="928"/>
      <c r="K60" s="1503"/>
      <c r="L60" s="1504"/>
      <c r="M60" s="1505"/>
      <c r="N60" s="1504"/>
      <c r="O60" s="190"/>
      <c r="P60" s="190"/>
      <c r="Q60" s="190"/>
      <c r="R60" s="190"/>
      <c r="S60" s="190"/>
      <c r="T60" s="190"/>
      <c r="U60" s="190"/>
      <c r="V60" s="190"/>
      <c r="W60" s="190"/>
      <c r="X60" s="190"/>
      <c r="Y60" s="897"/>
      <c r="Z60" s="897"/>
      <c r="AA60" s="897"/>
      <c r="AB60" s="1066"/>
      <c r="AC60" s="1506"/>
      <c r="AD60" s="1066"/>
      <c r="AE60" s="897"/>
      <c r="AF60" s="1506"/>
      <c r="AG60" s="1066"/>
      <c r="AH60" s="1066"/>
      <c r="AI60" s="1066"/>
      <c r="AJ60" s="1506"/>
      <c r="AK60" s="881"/>
      <c r="AL60" s="1507"/>
      <c r="AM60" s="1508"/>
      <c r="AN60" s="1509"/>
      <c r="AO60" s="1509"/>
      <c r="CH60" s="1020"/>
      <c r="CI60" s="1020"/>
      <c r="CJ60" s="1020"/>
      <c r="CK60" s="1020"/>
    </row>
    <row r="61" spans="1:89" ht="16.350000000000001" customHeight="1" x14ac:dyDescent="0.2">
      <c r="B61" s="5430" t="s">
        <v>1895</v>
      </c>
      <c r="C61" s="5440" t="s">
        <v>1898</v>
      </c>
      <c r="D61" s="5441"/>
      <c r="E61" s="5440" t="s">
        <v>1899</v>
      </c>
      <c r="F61" s="5442"/>
      <c r="G61" s="5443" t="s">
        <v>287</v>
      </c>
      <c r="H61" s="5443"/>
      <c r="I61" s="881"/>
      <c r="J61" s="881"/>
      <c r="K61" s="190"/>
      <c r="L61" s="190"/>
      <c r="M61" s="190"/>
      <c r="N61" s="190"/>
      <c r="O61" s="190"/>
      <c r="P61" s="190"/>
      <c r="Q61" s="190"/>
      <c r="R61" s="190"/>
      <c r="S61" s="190"/>
      <c r="T61" s="190"/>
      <c r="U61" s="190"/>
      <c r="V61" s="219"/>
      <c r="W61" s="1510"/>
      <c r="X61" s="219"/>
      <c r="Y61" s="1511"/>
      <c r="Z61" s="1511"/>
      <c r="AA61" s="1511"/>
      <c r="AB61" s="1066"/>
      <c r="AC61" s="1511"/>
      <c r="AD61" s="1066"/>
      <c r="AE61" s="1511"/>
      <c r="AF61" s="1066"/>
      <c r="AG61" s="1066"/>
      <c r="AH61" s="1512"/>
      <c r="AI61" s="1066"/>
      <c r="AJ61" s="1512"/>
      <c r="AK61" s="1511"/>
      <c r="AL61" s="1512"/>
      <c r="AM61" s="1513"/>
      <c r="AN61" s="1514"/>
      <c r="AO61" s="1514"/>
      <c r="CH61" s="1020"/>
      <c r="CI61" s="1020"/>
      <c r="CJ61" s="1020"/>
      <c r="CK61" s="1020"/>
    </row>
    <row r="62" spans="1:89" ht="36" customHeight="1" x14ac:dyDescent="0.2">
      <c r="B62" s="5424"/>
      <c r="C62" s="1515" t="s">
        <v>1900</v>
      </c>
      <c r="D62" s="1516" t="s">
        <v>1901</v>
      </c>
      <c r="E62" s="1515" t="s">
        <v>1900</v>
      </c>
      <c r="F62" s="1517" t="s">
        <v>1901</v>
      </c>
      <c r="G62" s="1518" t="s">
        <v>1900</v>
      </c>
      <c r="H62" s="1519" t="s">
        <v>1901</v>
      </c>
      <c r="I62" s="190" t="s">
        <v>883</v>
      </c>
      <c r="J62" s="190"/>
      <c r="K62" s="1520"/>
      <c r="L62" s="1521"/>
      <c r="M62" s="1521"/>
      <c r="N62" s="1521"/>
      <c r="O62" s="1521"/>
      <c r="P62" s="1521"/>
      <c r="Q62" s="1521"/>
      <c r="R62" s="1508"/>
      <c r="S62" s="1508"/>
      <c r="T62" s="1508"/>
      <c r="U62" s="1508"/>
      <c r="V62" s="1508"/>
      <c r="W62" s="1508"/>
      <c r="X62" s="1508"/>
      <c r="Y62" s="1522"/>
      <c r="Z62" s="1508"/>
      <c r="AA62" s="1508"/>
      <c r="AB62" s="1508"/>
      <c r="AC62" s="1508"/>
      <c r="AD62" s="1508"/>
      <c r="AE62" s="1508"/>
      <c r="AF62" s="1508"/>
      <c r="AG62" s="1508"/>
      <c r="AH62" s="1508"/>
      <c r="AI62" s="1508"/>
      <c r="AJ62" s="1508"/>
      <c r="AK62" s="1508"/>
      <c r="AL62" s="1508"/>
      <c r="AM62" s="1508"/>
      <c r="AN62" s="1508"/>
      <c r="AO62" s="1508"/>
      <c r="AP62" s="1508"/>
      <c r="AQ62" s="1521"/>
      <c r="AR62" s="1509"/>
      <c r="AS62" s="1509"/>
      <c r="CH62" s="1020"/>
      <c r="CI62" s="1020"/>
      <c r="CJ62" s="1020"/>
      <c r="CK62" s="1020"/>
    </row>
    <row r="63" spans="1:89" ht="16.350000000000001" customHeight="1" x14ac:dyDescent="0.2">
      <c r="A63" s="2449" t="s">
        <v>3050</v>
      </c>
      <c r="B63" s="2557" t="s">
        <v>1902</v>
      </c>
      <c r="C63" s="2483" t="s">
        <v>2777</v>
      </c>
      <c r="D63" s="2480" t="s">
        <v>2778</v>
      </c>
      <c r="E63" s="2483" t="s">
        <v>2779</v>
      </c>
      <c r="F63" s="2480" t="s">
        <v>2780</v>
      </c>
      <c r="G63" s="2577" t="s">
        <v>2781</v>
      </c>
      <c r="H63" s="197" t="s">
        <v>2782</v>
      </c>
      <c r="I63" s="1057"/>
      <c r="J63" s="1058"/>
      <c r="K63" s="1058"/>
      <c r="L63" s="1058"/>
      <c r="M63" s="1058"/>
      <c r="N63" s="1058"/>
      <c r="O63" s="1058"/>
      <c r="P63" s="1058"/>
      <c r="Q63" s="1058"/>
      <c r="R63" s="1058"/>
      <c r="S63" s="1058"/>
      <c r="T63" s="1058"/>
      <c r="U63" s="1512"/>
      <c r="V63" s="1512"/>
      <c r="W63" s="1508"/>
      <c r="X63" s="1508"/>
      <c r="Y63" s="1522"/>
      <c r="Z63" s="1508"/>
      <c r="AA63" s="1508"/>
      <c r="AB63" s="1508"/>
      <c r="AC63" s="1508"/>
      <c r="AD63" s="1508"/>
      <c r="AE63" s="1508"/>
      <c r="AF63" s="1508"/>
      <c r="AG63" s="1508"/>
      <c r="AH63" s="1508"/>
      <c r="AI63" s="1508"/>
      <c r="AJ63" s="1508"/>
      <c r="AK63" s="1508"/>
      <c r="AL63" s="1508"/>
      <c r="AM63" s="1508"/>
      <c r="AN63" s="1508"/>
      <c r="AO63" s="1508"/>
      <c r="AP63" s="1508"/>
      <c r="AQ63" s="1509"/>
      <c r="AR63" s="1509"/>
      <c r="AS63" s="1509"/>
      <c r="CB63" s="890"/>
      <c r="CC63" s="890"/>
      <c r="CD63" s="890"/>
      <c r="CH63" s="1020">
        <f>IF(C63&lt;D63,1,0)</f>
        <v>1</v>
      </c>
      <c r="CI63" s="1020">
        <f>IF(E63&lt;F63,1,0)</f>
        <v>1</v>
      </c>
      <c r="CJ63" s="1020">
        <f>IF(G63&lt;H63,1,0)</f>
        <v>1</v>
      </c>
      <c r="CK63" s="1020"/>
    </row>
    <row r="64" spans="1:89" ht="25.35" customHeight="1" x14ac:dyDescent="0.2">
      <c r="A64" s="2449" t="s">
        <v>3051</v>
      </c>
      <c r="B64" s="2543" t="s">
        <v>1903</v>
      </c>
      <c r="C64" s="2540" t="s">
        <v>2777</v>
      </c>
      <c r="D64" s="2541" t="s">
        <v>2778</v>
      </c>
      <c r="E64" s="2540" t="s">
        <v>2779</v>
      </c>
      <c r="F64" s="2541" t="s">
        <v>2780</v>
      </c>
      <c r="G64" s="2540" t="s">
        <v>2781</v>
      </c>
      <c r="H64" s="2600" t="s">
        <v>2782</v>
      </c>
      <c r="I64" s="1057"/>
      <c r="J64" s="1058"/>
      <c r="K64" s="1058"/>
      <c r="L64" s="1058"/>
      <c r="M64" s="1058"/>
      <c r="N64" s="1058"/>
      <c r="O64" s="1058"/>
      <c r="P64" s="1058"/>
      <c r="Q64" s="1058"/>
      <c r="R64" s="1058"/>
      <c r="S64" s="1058"/>
      <c r="T64" s="1058"/>
      <c r="U64" s="1512"/>
      <c r="V64" s="1512"/>
      <c r="W64" s="1508"/>
      <c r="X64" s="1508"/>
      <c r="Y64" s="1522"/>
      <c r="Z64" s="1508"/>
      <c r="AA64" s="1508"/>
      <c r="AB64" s="1508"/>
      <c r="AC64" s="1508"/>
      <c r="AD64" s="1508"/>
      <c r="AE64" s="1508"/>
      <c r="AF64" s="1508"/>
      <c r="AG64" s="1508"/>
      <c r="AH64" s="1508"/>
      <c r="AI64" s="1508"/>
      <c r="AJ64" s="1508"/>
      <c r="AK64" s="1508"/>
      <c r="AL64" s="1508"/>
      <c r="AM64" s="1508"/>
      <c r="AN64" s="1508"/>
      <c r="AO64" s="1508"/>
      <c r="AP64" s="1508"/>
      <c r="AQ64" s="1509"/>
      <c r="AR64" s="1509"/>
      <c r="AS64" s="1509"/>
      <c r="CB64" s="890"/>
      <c r="CC64" s="890"/>
      <c r="CD64" s="890"/>
      <c r="CH64" s="1020">
        <f>IF(C64&lt;D64,1,0)</f>
        <v>1</v>
      </c>
      <c r="CI64" s="1020">
        <f>IF(E64&lt;F64,1,0)</f>
        <v>1</v>
      </c>
      <c r="CJ64" s="1020">
        <f>IF(G64&lt;H64,1,0)</f>
        <v>1</v>
      </c>
      <c r="CK64" s="1020"/>
    </row>
    <row r="65" spans="1:91" ht="31.35" customHeight="1" x14ac:dyDescent="0.2">
      <c r="B65" s="1497" t="s">
        <v>1904</v>
      </c>
      <c r="C65" s="1523"/>
      <c r="D65" s="1523"/>
      <c r="E65" s="1523"/>
      <c r="F65" s="1316"/>
      <c r="G65" s="1316"/>
      <c r="H65" s="1316"/>
      <c r="I65" s="881"/>
      <c r="J65" s="881"/>
      <c r="K65" s="1512"/>
      <c r="L65" s="1512"/>
      <c r="M65" s="1512"/>
      <c r="N65" s="1512"/>
      <c r="O65" s="1512"/>
      <c r="P65" s="1512"/>
      <c r="Q65" s="1512"/>
      <c r="R65" s="1512"/>
      <c r="S65" s="1512"/>
      <c r="T65" s="1512"/>
      <c r="U65" s="1512"/>
      <c r="V65" s="1512"/>
      <c r="W65" s="1521"/>
      <c r="X65" s="1521"/>
      <c r="Y65" s="1522"/>
      <c r="Z65" s="1508"/>
      <c r="AA65" s="1508"/>
      <c r="AB65" s="1508"/>
      <c r="AC65" s="1508"/>
      <c r="AD65" s="1508"/>
      <c r="AE65" s="1508"/>
      <c r="AF65" s="1508"/>
      <c r="AG65" s="1508"/>
      <c r="AH65" s="1508"/>
      <c r="AI65" s="1508"/>
      <c r="AJ65" s="1508"/>
      <c r="AK65" s="1508"/>
      <c r="AL65" s="1508"/>
      <c r="AM65" s="1508"/>
      <c r="AN65" s="1508"/>
      <c r="AO65" s="1508"/>
      <c r="AP65" s="1508"/>
      <c r="AQ65" s="1509"/>
      <c r="AR65" s="1509"/>
      <c r="AS65" s="1509"/>
      <c r="CH65" s="1020"/>
      <c r="CI65" s="1020"/>
      <c r="CJ65" s="1020"/>
      <c r="CK65" s="1020"/>
    </row>
    <row r="66" spans="1:91" ht="16.350000000000001" customHeight="1" x14ac:dyDescent="0.2">
      <c r="B66" s="1524" t="s">
        <v>3</v>
      </c>
      <c r="C66" s="1524" t="s">
        <v>42</v>
      </c>
      <c r="D66" s="1525"/>
      <c r="E66" s="139"/>
      <c r="F66" s="139"/>
      <c r="G66" s="139"/>
      <c r="H66" s="139"/>
      <c r="I66" s="881"/>
      <c r="J66" s="881"/>
      <c r="K66" s="1512"/>
      <c r="L66" s="1512"/>
      <c r="M66" s="1526"/>
      <c r="N66" s="1526"/>
      <c r="O66" s="1512"/>
      <c r="P66" s="1512"/>
      <c r="Q66" s="1512"/>
      <c r="R66" s="1512"/>
      <c r="S66" s="1512"/>
      <c r="T66" s="1512"/>
      <c r="U66" s="1512"/>
      <c r="V66" s="1512"/>
      <c r="W66" s="1521"/>
      <c r="X66" s="1521"/>
      <c r="Y66" s="1522"/>
      <c r="Z66" s="1508"/>
      <c r="AA66" s="1508"/>
      <c r="AB66" s="1508"/>
      <c r="AC66" s="1508"/>
      <c r="AD66" s="1508"/>
      <c r="AE66" s="1508"/>
      <c r="AF66" s="1508"/>
      <c r="AG66" s="1508"/>
      <c r="AH66" s="1508"/>
      <c r="AI66" s="1508"/>
      <c r="AJ66" s="1508"/>
      <c r="AK66" s="1508"/>
      <c r="AL66" s="1508"/>
      <c r="AM66" s="1508"/>
      <c r="AN66" s="1508"/>
      <c r="AO66" s="1508"/>
      <c r="AP66" s="1508"/>
      <c r="AQ66" s="1509"/>
      <c r="AR66" s="1509"/>
      <c r="AS66" s="1509"/>
      <c r="CH66" s="1020"/>
      <c r="CI66" s="1020"/>
      <c r="CJ66" s="1020"/>
      <c r="CK66" s="1020"/>
    </row>
    <row r="67" spans="1:91" ht="16.350000000000001" customHeight="1" x14ac:dyDescent="0.2">
      <c r="A67" s="2449" t="s">
        <v>3052</v>
      </c>
      <c r="B67" s="2647" t="s">
        <v>29</v>
      </c>
      <c r="C67" s="2648" t="s">
        <v>2777</v>
      </c>
      <c r="D67" s="1525"/>
      <c r="E67" s="139"/>
      <c r="F67" s="139"/>
      <c r="G67" s="139"/>
      <c r="H67" s="139"/>
      <c r="I67" s="190"/>
      <c r="J67" s="219"/>
      <c r="K67" s="1521"/>
      <c r="L67" s="1521"/>
      <c r="M67" s="1527"/>
      <c r="N67" s="1527"/>
      <c r="O67" s="1521"/>
      <c r="P67" s="1521"/>
      <c r="Q67" s="1521"/>
      <c r="R67" s="1521"/>
      <c r="S67" s="1521"/>
      <c r="T67" s="1521"/>
      <c r="U67" s="1521"/>
      <c r="V67" s="1521"/>
      <c r="W67" s="1521"/>
      <c r="X67" s="1521"/>
      <c r="Y67" s="1522"/>
      <c r="Z67" s="1508"/>
      <c r="AA67" s="1508"/>
      <c r="AB67" s="1508"/>
      <c r="AC67" s="1508"/>
      <c r="AD67" s="1508"/>
      <c r="AE67" s="1508"/>
      <c r="AF67" s="1508"/>
      <c r="AG67" s="1508"/>
      <c r="AH67" s="1508"/>
      <c r="AI67" s="1508"/>
      <c r="AJ67" s="1508"/>
      <c r="AK67" s="1508"/>
      <c r="AL67" s="1508"/>
      <c r="AM67" s="1508"/>
      <c r="AN67" s="1508"/>
      <c r="AO67" s="1508"/>
      <c r="AP67" s="1508"/>
      <c r="AQ67" s="1509"/>
      <c r="AR67" s="1509"/>
      <c r="AS67" s="1509"/>
      <c r="CH67" s="1020"/>
      <c r="CI67" s="1020"/>
      <c r="CJ67" s="1020"/>
      <c r="CK67" s="1020"/>
    </row>
    <row r="68" spans="1:91" ht="16.350000000000001" customHeight="1" x14ac:dyDescent="0.2">
      <c r="A68" s="2449" t="s">
        <v>3053</v>
      </c>
      <c r="B68" s="1250" t="s">
        <v>288</v>
      </c>
      <c r="C68" s="294" t="s">
        <v>2777</v>
      </c>
      <c r="D68" s="177"/>
      <c r="E68" s="295"/>
      <c r="F68" s="177"/>
      <c r="G68" s="1528"/>
      <c r="H68" s="1529"/>
      <c r="I68" s="190"/>
      <c r="J68" s="190"/>
      <c r="K68" s="1521"/>
      <c r="L68" s="1521"/>
      <c r="M68" s="1521"/>
      <c r="N68" s="1521"/>
      <c r="O68" s="1521"/>
      <c r="P68" s="1521"/>
      <c r="Q68" s="1521"/>
      <c r="R68" s="1521"/>
      <c r="S68" s="1521"/>
      <c r="T68" s="1521"/>
      <c r="U68" s="1521"/>
      <c r="V68" s="1521"/>
      <c r="W68" s="1521"/>
      <c r="X68" s="1521"/>
      <c r="Y68" s="1522"/>
      <c r="Z68" s="1508"/>
      <c r="AA68" s="1508"/>
      <c r="AB68" s="1508"/>
      <c r="AC68" s="1508"/>
      <c r="AD68" s="1508"/>
      <c r="AE68" s="1508"/>
      <c r="AF68" s="1508"/>
      <c r="AG68" s="1508"/>
      <c r="AH68" s="1508"/>
      <c r="AI68" s="1508"/>
      <c r="AJ68" s="1508"/>
      <c r="AK68" s="1508"/>
      <c r="AL68" s="1508"/>
      <c r="AM68" s="1508"/>
      <c r="AN68" s="1508"/>
      <c r="AO68" s="1508"/>
      <c r="AP68" s="1508"/>
      <c r="AQ68" s="1509"/>
      <c r="AR68" s="1509"/>
      <c r="AS68" s="1509"/>
      <c r="CH68" s="1020"/>
      <c r="CI68" s="1020"/>
      <c r="CJ68" s="1020"/>
      <c r="CK68" s="1020"/>
    </row>
    <row r="69" spans="1:91" ht="31.35" customHeight="1" x14ac:dyDescent="0.2">
      <c r="B69" s="177" t="s">
        <v>2618</v>
      </c>
      <c r="C69" s="177"/>
      <c r="D69" s="1530"/>
      <c r="E69" s="1530"/>
      <c r="F69" s="190"/>
      <c r="G69" s="190"/>
      <c r="H69" s="190"/>
      <c r="I69" s="190"/>
      <c r="J69" s="190"/>
      <c r="K69" s="1521"/>
      <c r="L69" s="1521"/>
      <c r="M69" s="1521"/>
      <c r="N69" s="1521"/>
      <c r="O69" s="1521"/>
      <c r="P69" s="1521"/>
      <c r="Q69" s="1521"/>
      <c r="R69" s="1521"/>
      <c r="S69" s="1521"/>
      <c r="T69" s="1521"/>
      <c r="U69" s="1521"/>
      <c r="V69" s="1521"/>
      <c r="W69" s="1521"/>
      <c r="X69" s="1531"/>
      <c r="Y69" s="1522"/>
      <c r="Z69" s="1508"/>
      <c r="AA69" s="1508"/>
      <c r="AB69" s="1508"/>
      <c r="AC69" s="1508"/>
      <c r="AD69" s="1508"/>
      <c r="AE69" s="1508"/>
      <c r="AF69" s="1508"/>
      <c r="AG69" s="1513"/>
      <c r="AH69" s="1508"/>
      <c r="AI69" s="1532"/>
      <c r="AJ69" s="1508"/>
      <c r="AK69" s="1508"/>
      <c r="AL69" s="1508"/>
      <c r="AM69" s="1508"/>
      <c r="AN69" s="1508"/>
      <c r="AO69" s="1508"/>
      <c r="AP69" s="1508"/>
      <c r="AQ69" s="1509"/>
      <c r="AR69" s="1509"/>
      <c r="AS69" s="1509"/>
      <c r="CH69" s="1020"/>
      <c r="CI69" s="1020"/>
      <c r="CJ69" s="1020"/>
      <c r="CK69" s="1020"/>
    </row>
    <row r="70" spans="1:91" ht="16.350000000000001" customHeight="1" x14ac:dyDescent="0.2">
      <c r="B70" s="5429" t="s">
        <v>119</v>
      </c>
      <c r="C70" s="5430" t="s">
        <v>42</v>
      </c>
      <c r="D70" s="5431" t="s">
        <v>6</v>
      </c>
      <c r="E70" s="5433" t="s">
        <v>1905</v>
      </c>
      <c r="F70" s="190"/>
      <c r="G70" s="190"/>
      <c r="H70" s="190"/>
      <c r="I70" s="190"/>
      <c r="J70" s="190"/>
      <c r="K70" s="190"/>
      <c r="L70" s="190"/>
      <c r="M70" s="190"/>
      <c r="N70" s="190"/>
      <c r="O70" s="190"/>
      <c r="P70" s="190"/>
      <c r="Q70" s="190"/>
      <c r="R70" s="190"/>
      <c r="S70" s="190"/>
      <c r="T70" s="190"/>
      <c r="U70" s="190"/>
      <c r="V70" s="190"/>
      <c r="W70" s="190"/>
      <c r="X70" s="190"/>
      <c r="Y70" s="1522"/>
      <c r="Z70" s="1508"/>
      <c r="AA70" s="1508"/>
      <c r="AB70" s="1508"/>
      <c r="AC70" s="1508"/>
      <c r="AD70" s="1508"/>
      <c r="AE70" s="1508"/>
      <c r="AF70" s="1508"/>
      <c r="AG70" s="1513"/>
      <c r="AH70" s="1508"/>
      <c r="AI70" s="1508"/>
      <c r="AJ70" s="1508"/>
      <c r="AK70" s="1508"/>
      <c r="AL70" s="1508"/>
      <c r="AM70" s="1508"/>
      <c r="AN70" s="1508"/>
      <c r="AO70" s="1508"/>
      <c r="AP70" s="1508"/>
      <c r="AQ70" s="1509"/>
      <c r="AR70" s="1509"/>
      <c r="AS70" s="1509"/>
      <c r="CH70" s="1020"/>
      <c r="CI70" s="1020"/>
      <c r="CJ70" s="1020"/>
      <c r="CK70" s="1020"/>
    </row>
    <row r="71" spans="1:91" ht="16.350000000000001" customHeight="1" x14ac:dyDescent="0.2">
      <c r="B71" s="5397"/>
      <c r="C71" s="5424"/>
      <c r="D71" s="5432"/>
      <c r="E71" s="5434"/>
      <c r="F71" s="190"/>
      <c r="G71" s="190"/>
      <c r="H71" s="190"/>
      <c r="I71" s="190"/>
      <c r="J71" s="190"/>
      <c r="K71" s="190"/>
      <c r="L71" s="190"/>
      <c r="M71" s="190"/>
      <c r="N71" s="190"/>
      <c r="O71" s="190"/>
      <c r="P71" s="190"/>
      <c r="Q71" s="190"/>
      <c r="R71" s="190"/>
      <c r="S71" s="190"/>
      <c r="T71" s="190"/>
      <c r="U71" s="190"/>
      <c r="V71" s="190"/>
      <c r="W71" s="190"/>
      <c r="X71" s="190"/>
      <c r="Y71" s="1522"/>
      <c r="Z71" s="1508"/>
      <c r="AA71" s="1508"/>
      <c r="AB71" s="1508"/>
      <c r="AC71" s="1508"/>
      <c r="AD71" s="1508"/>
      <c r="AE71" s="1508"/>
      <c r="AF71" s="1508"/>
      <c r="AG71" s="1533"/>
      <c r="AH71" s="1534"/>
      <c r="AI71" s="1534"/>
      <c r="AJ71" s="1508"/>
      <c r="AK71" s="1508"/>
      <c r="AL71" s="1508"/>
      <c r="AM71" s="1508"/>
      <c r="AN71" s="1508"/>
      <c r="AO71" s="1508"/>
      <c r="AP71" s="1508"/>
      <c r="AQ71" s="1509"/>
      <c r="AR71" s="1509"/>
      <c r="AS71" s="1509"/>
      <c r="CH71" s="1020"/>
      <c r="CI71" s="1020"/>
      <c r="CJ71" s="1020"/>
      <c r="CK71" s="1020"/>
    </row>
    <row r="72" spans="1:91" ht="25.5" customHeight="1" x14ac:dyDescent="0.2">
      <c r="A72" s="2449" t="s">
        <v>3054</v>
      </c>
      <c r="B72" s="2649" t="s">
        <v>3055</v>
      </c>
      <c r="C72" s="100" t="s">
        <v>2777</v>
      </c>
      <c r="D72" s="2551" t="s">
        <v>2778</v>
      </c>
      <c r="E72" s="2552" t="s">
        <v>2779</v>
      </c>
      <c r="F72" s="190"/>
      <c r="G72" s="190"/>
      <c r="H72" s="190"/>
      <c r="I72" s="190"/>
      <c r="J72" s="190"/>
      <c r="K72" s="190"/>
      <c r="L72" s="190"/>
      <c r="M72" s="190"/>
      <c r="N72" s="190"/>
      <c r="O72" s="190"/>
      <c r="P72" s="190"/>
      <c r="Q72" s="190"/>
      <c r="R72" s="190"/>
      <c r="S72" s="190"/>
      <c r="T72" s="190"/>
      <c r="U72" s="190"/>
      <c r="V72" s="190"/>
      <c r="W72" s="190"/>
      <c r="X72" s="190"/>
      <c r="Y72" s="138"/>
      <c r="Z72" s="190"/>
      <c r="AA72" s="190"/>
      <c r="AB72" s="190"/>
      <c r="AC72" s="190"/>
      <c r="AD72" s="190"/>
      <c r="AE72" s="190"/>
      <c r="AF72" s="190"/>
      <c r="AG72" s="190"/>
      <c r="AH72" s="190"/>
      <c r="AI72" s="190"/>
      <c r="AJ72" s="1521"/>
      <c r="AK72" s="1521"/>
      <c r="AL72" s="1521"/>
      <c r="AM72" s="1521"/>
      <c r="AN72" s="1521"/>
      <c r="AO72" s="1521"/>
      <c r="AP72" s="1521"/>
      <c r="AQ72" s="1509"/>
      <c r="AR72" s="1509"/>
      <c r="AS72" s="1509"/>
      <c r="CH72" s="1020"/>
      <c r="CI72" s="1020"/>
      <c r="CJ72" s="1020"/>
      <c r="CK72" s="1020"/>
    </row>
    <row r="73" spans="1:91" ht="31.35" customHeight="1" x14ac:dyDescent="0.2">
      <c r="B73" s="5439" t="s">
        <v>1906</v>
      </c>
      <c r="C73" s="5439"/>
      <c r="D73" s="5439"/>
      <c r="E73" s="5439"/>
      <c r="F73" s="5439"/>
      <c r="G73" s="5439"/>
      <c r="H73" s="5439"/>
      <c r="I73" s="961"/>
      <c r="J73" s="961"/>
      <c r="K73" s="961"/>
      <c r="L73" s="961"/>
      <c r="M73" s="961"/>
      <c r="N73" s="961"/>
      <c r="O73" s="208"/>
      <c r="P73" s="208"/>
      <c r="Q73" s="208"/>
      <c r="R73" s="1233"/>
      <c r="S73" s="1233"/>
      <c r="T73" s="1233"/>
      <c r="U73" s="1233"/>
      <c r="V73" s="1233"/>
      <c r="W73" s="1233"/>
      <c r="X73" s="208"/>
      <c r="Y73" s="1233"/>
      <c r="Z73" s="1233"/>
      <c r="AA73" s="1535"/>
      <c r="AB73" s="1536"/>
      <c r="AC73" s="1536"/>
      <c r="AD73" s="1536"/>
      <c r="AE73" s="1536"/>
      <c r="AF73" s="1537"/>
      <c r="AG73" s="1537"/>
      <c r="AH73" s="1537"/>
      <c r="AI73" s="1538"/>
      <c r="AJ73" s="1539"/>
      <c r="AK73" s="1509"/>
      <c r="AL73" s="1509"/>
      <c r="AM73" s="1509"/>
      <c r="AN73" s="1509"/>
      <c r="AO73" s="1509"/>
      <c r="AP73" s="1509"/>
      <c r="AQ73" s="1509"/>
      <c r="AR73" s="1509"/>
      <c r="AS73" s="1509"/>
      <c r="CH73" s="1020"/>
      <c r="CI73" s="1020"/>
      <c r="CJ73" s="1020"/>
      <c r="CK73" s="1020"/>
    </row>
    <row r="74" spans="1:91" ht="16.350000000000001" customHeight="1" x14ac:dyDescent="0.2">
      <c r="B74" s="5444" t="s">
        <v>3</v>
      </c>
      <c r="C74" s="5447" t="s">
        <v>2619</v>
      </c>
      <c r="D74" s="5447" t="s">
        <v>42</v>
      </c>
      <c r="E74" s="5450"/>
      <c r="F74" s="5451"/>
      <c r="G74" s="5453" t="s">
        <v>274</v>
      </c>
      <c r="H74" s="5454"/>
      <c r="I74" s="5454"/>
      <c r="J74" s="5454"/>
      <c r="K74" s="5454"/>
      <c r="L74" s="5454"/>
      <c r="M74" s="5454"/>
      <c r="N74" s="5454"/>
      <c r="O74" s="5454"/>
      <c r="P74" s="5454"/>
      <c r="Q74" s="5454"/>
      <c r="R74" s="5454"/>
      <c r="S74" s="5454"/>
      <c r="T74" s="5454"/>
      <c r="U74" s="5454"/>
      <c r="V74" s="5454"/>
      <c r="W74" s="5454"/>
      <c r="X74" s="5454"/>
      <c r="Y74" s="5454"/>
      <c r="Z74" s="5454"/>
      <c r="AA74" s="5454"/>
      <c r="AB74" s="5454"/>
      <c r="AC74" s="5454"/>
      <c r="AD74" s="5454"/>
      <c r="AE74" s="5454"/>
      <c r="AF74" s="5454"/>
      <c r="AG74" s="5454"/>
      <c r="AH74" s="5454"/>
      <c r="AI74" s="5454"/>
      <c r="AJ74" s="5455"/>
      <c r="AK74" s="5456" t="s">
        <v>353</v>
      </c>
      <c r="AL74" s="5451" t="s">
        <v>1819</v>
      </c>
      <c r="AM74" s="1508"/>
      <c r="AN74" s="1508"/>
      <c r="AO74" s="1508"/>
      <c r="AP74" s="1508"/>
      <c r="AQ74" s="1508"/>
      <c r="AR74" s="1508"/>
      <c r="AS74" s="1508"/>
      <c r="AT74" s="1509"/>
      <c r="AU74" s="1509"/>
      <c r="BY74" s="80"/>
      <c r="BZ74" s="80"/>
      <c r="CA74" s="79"/>
      <c r="CB74" s="79"/>
      <c r="CC74" s="891"/>
      <c r="CJ74" s="1020"/>
      <c r="CK74" s="1020"/>
      <c r="CL74" s="1020"/>
      <c r="CM74" s="1020"/>
    </row>
    <row r="75" spans="1:91" ht="16.350000000000001" customHeight="1" x14ac:dyDescent="0.2">
      <c r="B75" s="5445"/>
      <c r="C75" s="5448"/>
      <c r="D75" s="5449"/>
      <c r="E75" s="5452"/>
      <c r="F75" s="5417"/>
      <c r="G75" s="5459" t="s">
        <v>1907</v>
      </c>
      <c r="H75" s="5460"/>
      <c r="I75" s="5459" t="s">
        <v>1821</v>
      </c>
      <c r="J75" s="5460"/>
      <c r="K75" s="5459" t="s">
        <v>275</v>
      </c>
      <c r="L75" s="5460"/>
      <c r="M75" s="5459" t="s">
        <v>1761</v>
      </c>
      <c r="N75" s="5460"/>
      <c r="O75" s="5459" t="s">
        <v>1908</v>
      </c>
      <c r="P75" s="5460"/>
      <c r="Q75" s="5459">
        <v>19</v>
      </c>
      <c r="R75" s="5460"/>
      <c r="S75" s="5459" t="s">
        <v>1762</v>
      </c>
      <c r="T75" s="5460"/>
      <c r="U75" s="5459" t="s">
        <v>11</v>
      </c>
      <c r="V75" s="5460"/>
      <c r="W75" s="5459" t="s">
        <v>12</v>
      </c>
      <c r="X75" s="5460"/>
      <c r="Y75" s="5459" t="s">
        <v>13</v>
      </c>
      <c r="Z75" s="5460"/>
      <c r="AA75" s="5459" t="s">
        <v>14</v>
      </c>
      <c r="AB75" s="5460"/>
      <c r="AC75" s="5459" t="s">
        <v>15</v>
      </c>
      <c r="AD75" s="5460"/>
      <c r="AE75" s="5459" t="s">
        <v>16</v>
      </c>
      <c r="AF75" s="5460"/>
      <c r="AG75" s="5459" t="s">
        <v>17</v>
      </c>
      <c r="AH75" s="5460"/>
      <c r="AI75" s="5459" t="s">
        <v>18</v>
      </c>
      <c r="AJ75" s="5461"/>
      <c r="AK75" s="5457"/>
      <c r="AL75" s="5416"/>
      <c r="AM75" s="1246"/>
      <c r="AN75" s="1245"/>
      <c r="AO75" s="1246"/>
      <c r="AP75" s="1246"/>
      <c r="AQ75" s="1246"/>
      <c r="AR75" s="1246"/>
      <c r="AS75" s="1246"/>
      <c r="AT75" s="1540"/>
      <c r="AU75" s="1540"/>
      <c r="BY75" s="80"/>
      <c r="BZ75" s="80"/>
      <c r="CA75" s="79"/>
      <c r="CB75" s="79"/>
      <c r="CC75" s="891"/>
      <c r="CJ75" s="1020"/>
      <c r="CK75" s="1020"/>
      <c r="CL75" s="1020"/>
      <c r="CM75" s="1020"/>
    </row>
    <row r="76" spans="1:91" ht="16.350000000000001" customHeight="1" x14ac:dyDescent="0.2">
      <c r="B76" s="5446"/>
      <c r="C76" s="5449"/>
      <c r="D76" s="1541" t="s">
        <v>184</v>
      </c>
      <c r="E76" s="1542" t="s">
        <v>24</v>
      </c>
      <c r="F76" s="1543" t="s">
        <v>25</v>
      </c>
      <c r="G76" s="1541" t="s">
        <v>24</v>
      </c>
      <c r="H76" s="1543" t="s">
        <v>25</v>
      </c>
      <c r="I76" s="1460" t="s">
        <v>24</v>
      </c>
      <c r="J76" s="1543" t="s">
        <v>25</v>
      </c>
      <c r="K76" s="1541" t="s">
        <v>24</v>
      </c>
      <c r="L76" s="1543" t="s">
        <v>25</v>
      </c>
      <c r="M76" s="1541" t="s">
        <v>24</v>
      </c>
      <c r="N76" s="1543" t="s">
        <v>25</v>
      </c>
      <c r="O76" s="1541" t="s">
        <v>24</v>
      </c>
      <c r="P76" s="1543" t="s">
        <v>25</v>
      </c>
      <c r="Q76" s="1541" t="s">
        <v>24</v>
      </c>
      <c r="R76" s="1543" t="s">
        <v>25</v>
      </c>
      <c r="S76" s="1541" t="s">
        <v>24</v>
      </c>
      <c r="T76" s="1543" t="s">
        <v>25</v>
      </c>
      <c r="U76" s="1541" t="s">
        <v>24</v>
      </c>
      <c r="V76" s="1543" t="s">
        <v>25</v>
      </c>
      <c r="W76" s="1541" t="s">
        <v>24</v>
      </c>
      <c r="X76" s="1543" t="s">
        <v>25</v>
      </c>
      <c r="Y76" s="1541" t="s">
        <v>24</v>
      </c>
      <c r="Z76" s="1543" t="s">
        <v>25</v>
      </c>
      <c r="AA76" s="1541" t="s">
        <v>24</v>
      </c>
      <c r="AB76" s="1543" t="s">
        <v>25</v>
      </c>
      <c r="AC76" s="1541" t="s">
        <v>24</v>
      </c>
      <c r="AD76" s="1543" t="s">
        <v>25</v>
      </c>
      <c r="AE76" s="1541" t="s">
        <v>24</v>
      </c>
      <c r="AF76" s="1543" t="s">
        <v>25</v>
      </c>
      <c r="AG76" s="1541" t="s">
        <v>24</v>
      </c>
      <c r="AH76" s="1543" t="s">
        <v>25</v>
      </c>
      <c r="AI76" s="1541" t="s">
        <v>24</v>
      </c>
      <c r="AJ76" s="1322" t="s">
        <v>25</v>
      </c>
      <c r="AK76" s="5458"/>
      <c r="AL76" s="5417"/>
      <c r="AM76" s="1246"/>
      <c r="AN76" s="1245"/>
      <c r="AO76" s="1246"/>
      <c r="AP76" s="1246"/>
      <c r="AQ76" s="1246"/>
      <c r="AR76" s="1246"/>
      <c r="AS76" s="1246"/>
      <c r="AT76" s="1540"/>
      <c r="AU76" s="1540"/>
      <c r="BY76" s="80"/>
      <c r="BZ76" s="80"/>
      <c r="CA76" s="79"/>
      <c r="CB76" s="79"/>
      <c r="CC76" s="891"/>
      <c r="CJ76" s="1020"/>
      <c r="CK76" s="1020"/>
      <c r="CL76" s="1020"/>
      <c r="CM76" s="1020"/>
    </row>
    <row r="77" spans="1:91" ht="16.350000000000001" customHeight="1" x14ac:dyDescent="0.2">
      <c r="A77" s="2449" t="s">
        <v>3056</v>
      </c>
      <c r="B77" s="2650" t="s">
        <v>3057</v>
      </c>
      <c r="C77" s="2672" t="s">
        <v>1566</v>
      </c>
      <c r="D77" s="3890" t="s">
        <v>2777</v>
      </c>
      <c r="E77" s="3891" t="s">
        <v>2778</v>
      </c>
      <c r="F77" s="2918" t="s">
        <v>2779</v>
      </c>
      <c r="G77" s="2651" t="s">
        <v>2780</v>
      </c>
      <c r="H77" s="2652" t="s">
        <v>2781</v>
      </c>
      <c r="I77" s="2653" t="s">
        <v>2782</v>
      </c>
      <c r="J77" s="2652" t="s">
        <v>2783</v>
      </c>
      <c r="K77" s="2651" t="s">
        <v>2784</v>
      </c>
      <c r="L77" s="2654" t="s">
        <v>2785</v>
      </c>
      <c r="M77" s="2651" t="s">
        <v>2786</v>
      </c>
      <c r="N77" s="2654" t="s">
        <v>2787</v>
      </c>
      <c r="O77" s="2651" t="s">
        <v>2788</v>
      </c>
      <c r="P77" s="2654" t="s">
        <v>2789</v>
      </c>
      <c r="Q77" s="2651" t="s">
        <v>2790</v>
      </c>
      <c r="R77" s="2654" t="s">
        <v>2791</v>
      </c>
      <c r="S77" s="2651" t="s">
        <v>2792</v>
      </c>
      <c r="T77" s="2654" t="s">
        <v>2793</v>
      </c>
      <c r="U77" s="2651" t="s">
        <v>2794</v>
      </c>
      <c r="V77" s="2654" t="s">
        <v>2795</v>
      </c>
      <c r="W77" s="2651" t="s">
        <v>2796</v>
      </c>
      <c r="X77" s="2654" t="s">
        <v>2797</v>
      </c>
      <c r="Y77" s="2651" t="s">
        <v>2798</v>
      </c>
      <c r="Z77" s="2654" t="s">
        <v>2799</v>
      </c>
      <c r="AA77" s="2651" t="s">
        <v>2800</v>
      </c>
      <c r="AB77" s="2654" t="s">
        <v>2801</v>
      </c>
      <c r="AC77" s="2651" t="s">
        <v>2817</v>
      </c>
      <c r="AD77" s="2654" t="s">
        <v>2818</v>
      </c>
      <c r="AE77" s="2651" t="s">
        <v>2819</v>
      </c>
      <c r="AF77" s="2654" t="s">
        <v>2821</v>
      </c>
      <c r="AG77" s="2651" t="s">
        <v>2822</v>
      </c>
      <c r="AH77" s="2654" t="s">
        <v>2823</v>
      </c>
      <c r="AI77" s="2651" t="s">
        <v>2824</v>
      </c>
      <c r="AJ77" s="2655" t="s">
        <v>2825</v>
      </c>
      <c r="AK77" s="2656" t="s">
        <v>2826</v>
      </c>
      <c r="AL77" s="2657" t="s">
        <v>2827</v>
      </c>
      <c r="AM77" s="1545"/>
      <c r="AN77" s="1245"/>
      <c r="AO77" s="1246"/>
      <c r="AP77" s="1246"/>
      <c r="AQ77" s="1246"/>
      <c r="AR77" s="1246"/>
      <c r="AS77" s="1246"/>
      <c r="AT77" s="1540"/>
      <c r="AU77" s="1540"/>
      <c r="BY77" s="80"/>
      <c r="BZ77" s="80"/>
      <c r="CA77" s="79"/>
      <c r="CB77" s="79"/>
      <c r="CC77" s="891"/>
      <c r="CH77" s="889">
        <v>0</v>
      </c>
      <c r="CI77" s="889">
        <v>0</v>
      </c>
      <c r="CJ77" s="1020"/>
      <c r="CK77" s="1020"/>
      <c r="CL77" s="1020"/>
      <c r="CM77" s="1020"/>
    </row>
    <row r="78" spans="1:91" ht="16.350000000000001" customHeight="1" x14ac:dyDescent="0.2">
      <c r="A78" s="2449" t="s">
        <v>3058</v>
      </c>
      <c r="B78" s="5479" t="s">
        <v>68</v>
      </c>
      <c r="C78" s="2673" t="s">
        <v>1909</v>
      </c>
      <c r="D78" s="3892" t="s">
        <v>2777</v>
      </c>
      <c r="E78" s="3893" t="s">
        <v>2778</v>
      </c>
      <c r="F78" s="3893" t="s">
        <v>2779</v>
      </c>
      <c r="G78" s="2658" t="s">
        <v>2780</v>
      </c>
      <c r="H78" s="787" t="s">
        <v>2781</v>
      </c>
      <c r="I78" s="2659" t="s">
        <v>2782</v>
      </c>
      <c r="J78" s="787" t="s">
        <v>2783</v>
      </c>
      <c r="K78" s="2658" t="s">
        <v>2784</v>
      </c>
      <c r="L78" s="2660" t="s">
        <v>2785</v>
      </c>
      <c r="M78" s="2658" t="s">
        <v>2786</v>
      </c>
      <c r="N78" s="2660" t="s">
        <v>2787</v>
      </c>
      <c r="O78" s="2658" t="s">
        <v>2788</v>
      </c>
      <c r="P78" s="2660" t="s">
        <v>2789</v>
      </c>
      <c r="Q78" s="2658" t="s">
        <v>2790</v>
      </c>
      <c r="R78" s="2660" t="s">
        <v>2791</v>
      </c>
      <c r="S78" s="2658" t="s">
        <v>2792</v>
      </c>
      <c r="T78" s="2660" t="s">
        <v>2793</v>
      </c>
      <c r="U78" s="2658" t="s">
        <v>2794</v>
      </c>
      <c r="V78" s="2660" t="s">
        <v>2795</v>
      </c>
      <c r="W78" s="2658" t="s">
        <v>2796</v>
      </c>
      <c r="X78" s="2660" t="s">
        <v>2797</v>
      </c>
      <c r="Y78" s="2658" t="s">
        <v>2798</v>
      </c>
      <c r="Z78" s="2660" t="s">
        <v>2799</v>
      </c>
      <c r="AA78" s="2658" t="s">
        <v>2800</v>
      </c>
      <c r="AB78" s="2660" t="s">
        <v>2801</v>
      </c>
      <c r="AC78" s="2658" t="s">
        <v>2817</v>
      </c>
      <c r="AD78" s="2660" t="s">
        <v>2818</v>
      </c>
      <c r="AE78" s="2658" t="s">
        <v>2819</v>
      </c>
      <c r="AF78" s="2660" t="s">
        <v>2821</v>
      </c>
      <c r="AG78" s="2658" t="s">
        <v>2822</v>
      </c>
      <c r="AH78" s="2660" t="s">
        <v>2823</v>
      </c>
      <c r="AI78" s="2658" t="s">
        <v>2824</v>
      </c>
      <c r="AJ78" s="2661" t="s">
        <v>2825</v>
      </c>
      <c r="AK78" s="2662" t="s">
        <v>2826</v>
      </c>
      <c r="AL78" s="302" t="s">
        <v>2827</v>
      </c>
      <c r="AM78" s="1545"/>
      <c r="AN78" s="1245"/>
      <c r="AO78" s="1246"/>
      <c r="AP78" s="1246"/>
      <c r="AQ78" s="1246"/>
      <c r="AR78" s="1246"/>
      <c r="AS78" s="1246"/>
      <c r="AT78" s="1540"/>
      <c r="AU78" s="1540"/>
      <c r="BY78" s="80"/>
      <c r="BZ78" s="80"/>
      <c r="CA78" s="79"/>
      <c r="CB78" s="79"/>
      <c r="CC78" s="891"/>
      <c r="CH78" s="889">
        <v>0</v>
      </c>
      <c r="CI78" s="889">
        <v>0</v>
      </c>
      <c r="CJ78" s="1020"/>
      <c r="CK78" s="1020"/>
      <c r="CL78" s="1020"/>
      <c r="CM78" s="1020"/>
    </row>
    <row r="79" spans="1:91" ht="25.35" customHeight="1" x14ac:dyDescent="0.2">
      <c r="A79" s="2449" t="s">
        <v>3059</v>
      </c>
      <c r="B79" s="5479"/>
      <c r="C79" s="788" t="s">
        <v>1910</v>
      </c>
      <c r="D79" s="3894" t="s">
        <v>2777</v>
      </c>
      <c r="E79" s="3893" t="s">
        <v>2778</v>
      </c>
      <c r="F79" s="3893" t="s">
        <v>2779</v>
      </c>
      <c r="G79" s="2663" t="s">
        <v>2780</v>
      </c>
      <c r="H79" s="795" t="s">
        <v>2781</v>
      </c>
      <c r="I79" s="798" t="s">
        <v>2782</v>
      </c>
      <c r="J79" s="795" t="s">
        <v>2783</v>
      </c>
      <c r="K79" s="2663" t="s">
        <v>2784</v>
      </c>
      <c r="L79" s="796" t="s">
        <v>2785</v>
      </c>
      <c r="M79" s="2663" t="s">
        <v>2786</v>
      </c>
      <c r="N79" s="796" t="s">
        <v>2787</v>
      </c>
      <c r="O79" s="2663" t="s">
        <v>2788</v>
      </c>
      <c r="P79" s="796" t="s">
        <v>2789</v>
      </c>
      <c r="Q79" s="2663" t="s">
        <v>2790</v>
      </c>
      <c r="R79" s="796" t="s">
        <v>2791</v>
      </c>
      <c r="S79" s="2663" t="s">
        <v>2792</v>
      </c>
      <c r="T79" s="796" t="s">
        <v>2793</v>
      </c>
      <c r="U79" s="2663" t="s">
        <v>2794</v>
      </c>
      <c r="V79" s="796" t="s">
        <v>2795</v>
      </c>
      <c r="W79" s="2663" t="s">
        <v>2796</v>
      </c>
      <c r="X79" s="796" t="s">
        <v>2797</v>
      </c>
      <c r="Y79" s="2663" t="s">
        <v>2798</v>
      </c>
      <c r="Z79" s="796" t="s">
        <v>2799</v>
      </c>
      <c r="AA79" s="2663" t="s">
        <v>2800</v>
      </c>
      <c r="AB79" s="796" t="s">
        <v>2801</v>
      </c>
      <c r="AC79" s="2663" t="s">
        <v>2817</v>
      </c>
      <c r="AD79" s="796" t="s">
        <v>2818</v>
      </c>
      <c r="AE79" s="2663" t="s">
        <v>2819</v>
      </c>
      <c r="AF79" s="796" t="s">
        <v>2821</v>
      </c>
      <c r="AG79" s="2663" t="s">
        <v>2822</v>
      </c>
      <c r="AH79" s="796" t="s">
        <v>2823</v>
      </c>
      <c r="AI79" s="2663" t="s">
        <v>2824</v>
      </c>
      <c r="AJ79" s="1546" t="s">
        <v>2825</v>
      </c>
      <c r="AK79" s="1547" t="s">
        <v>2826</v>
      </c>
      <c r="AL79" s="304" t="s">
        <v>2827</v>
      </c>
      <c r="AM79" s="1545"/>
      <c r="AN79" s="1245"/>
      <c r="AO79" s="1246"/>
      <c r="AP79" s="1246"/>
      <c r="AQ79" s="1246"/>
      <c r="AR79" s="1246"/>
      <c r="AS79" s="1246"/>
      <c r="AT79" s="1540"/>
      <c r="AU79" s="1540"/>
      <c r="BY79" s="80"/>
      <c r="BZ79" s="80"/>
      <c r="CA79" s="79"/>
      <c r="CB79" s="79"/>
      <c r="CC79" s="891"/>
      <c r="CH79" s="889">
        <v>0</v>
      </c>
      <c r="CI79" s="889">
        <v>0</v>
      </c>
      <c r="CJ79" s="1020"/>
      <c r="CK79" s="1020"/>
      <c r="CL79" s="1020"/>
      <c r="CM79" s="1020"/>
    </row>
    <row r="80" spans="1:91" ht="16.350000000000001" customHeight="1" x14ac:dyDescent="0.2">
      <c r="A80" s="2449" t="s">
        <v>3060</v>
      </c>
      <c r="B80" s="2664" t="s">
        <v>280</v>
      </c>
      <c r="C80" s="2674" t="s">
        <v>1911</v>
      </c>
      <c r="D80" s="3890" t="s">
        <v>2777</v>
      </c>
      <c r="E80" s="3891" t="s">
        <v>2778</v>
      </c>
      <c r="F80" s="2918" t="s">
        <v>2779</v>
      </c>
      <c r="G80" s="2665" t="s">
        <v>2780</v>
      </c>
      <c r="H80" s="2666" t="s">
        <v>2781</v>
      </c>
      <c r="I80" s="2667" t="s">
        <v>2782</v>
      </c>
      <c r="J80" s="2666" t="s">
        <v>2783</v>
      </c>
      <c r="K80" s="2665" t="s">
        <v>2784</v>
      </c>
      <c r="L80" s="2668" t="s">
        <v>2785</v>
      </c>
      <c r="M80" s="2665" t="s">
        <v>2786</v>
      </c>
      <c r="N80" s="2668" t="s">
        <v>2787</v>
      </c>
      <c r="O80" s="2665" t="s">
        <v>2788</v>
      </c>
      <c r="P80" s="2668" t="s">
        <v>2789</v>
      </c>
      <c r="Q80" s="2665" t="s">
        <v>2790</v>
      </c>
      <c r="R80" s="2668" t="s">
        <v>2791</v>
      </c>
      <c r="S80" s="2665" t="s">
        <v>2792</v>
      </c>
      <c r="T80" s="2668" t="s">
        <v>2793</v>
      </c>
      <c r="U80" s="2665" t="s">
        <v>2794</v>
      </c>
      <c r="V80" s="2668" t="s">
        <v>2795</v>
      </c>
      <c r="W80" s="2665" t="s">
        <v>2796</v>
      </c>
      <c r="X80" s="2668" t="s">
        <v>2797</v>
      </c>
      <c r="Y80" s="2665" t="s">
        <v>2798</v>
      </c>
      <c r="Z80" s="2668" t="s">
        <v>2799</v>
      </c>
      <c r="AA80" s="2665" t="s">
        <v>2800</v>
      </c>
      <c r="AB80" s="2668" t="s">
        <v>2801</v>
      </c>
      <c r="AC80" s="2665" t="s">
        <v>2817</v>
      </c>
      <c r="AD80" s="2668" t="s">
        <v>2818</v>
      </c>
      <c r="AE80" s="2665" t="s">
        <v>2819</v>
      </c>
      <c r="AF80" s="2668" t="s">
        <v>2821</v>
      </c>
      <c r="AG80" s="2665" t="s">
        <v>2822</v>
      </c>
      <c r="AH80" s="2668" t="s">
        <v>2823</v>
      </c>
      <c r="AI80" s="2665" t="s">
        <v>2824</v>
      </c>
      <c r="AJ80" s="2669" t="s">
        <v>2825</v>
      </c>
      <c r="AK80" s="2670" t="s">
        <v>2826</v>
      </c>
      <c r="AL80" s="2671" t="s">
        <v>2827</v>
      </c>
      <c r="AM80" s="1545"/>
      <c r="AN80" s="1245"/>
      <c r="AO80" s="1246"/>
      <c r="AP80" s="1246"/>
      <c r="AQ80" s="1246"/>
      <c r="AR80" s="1246"/>
      <c r="AS80" s="1246"/>
      <c r="AT80" s="1540"/>
      <c r="AU80" s="1540"/>
      <c r="BY80" s="80"/>
      <c r="BZ80" s="80"/>
      <c r="CA80" s="79"/>
      <c r="CB80" s="79"/>
      <c r="CC80" s="891"/>
      <c r="CH80" s="889">
        <v>0</v>
      </c>
      <c r="CI80" s="889">
        <v>0</v>
      </c>
      <c r="CJ80" s="1020"/>
      <c r="CK80" s="1020"/>
      <c r="CL80" s="1020"/>
      <c r="CM80" s="1020"/>
    </row>
    <row r="81" spans="1:105" ht="31.35" customHeight="1" x14ac:dyDescent="0.2">
      <c r="B81" s="1325" t="s">
        <v>2620</v>
      </c>
      <c r="C81" s="208"/>
      <c r="D81" s="1326"/>
      <c r="E81" s="208"/>
      <c r="F81" s="190"/>
      <c r="G81" s="190"/>
      <c r="H81" s="190"/>
      <c r="I81" s="190"/>
      <c r="J81" s="190"/>
      <c r="K81" s="190"/>
      <c r="L81" s="190"/>
      <c r="M81" s="190"/>
      <c r="N81" s="190"/>
      <c r="O81" s="190"/>
      <c r="P81" s="190"/>
      <c r="Q81" s="190"/>
      <c r="R81" s="298"/>
      <c r="S81" s="298"/>
      <c r="T81" s="298"/>
      <c r="U81" s="298"/>
      <c r="V81" s="298"/>
      <c r="W81" s="298"/>
      <c r="X81" s="190"/>
      <c r="Y81" s="1548"/>
      <c r="Z81" s="298"/>
      <c r="AA81" s="1549"/>
      <c r="AB81" s="1550"/>
      <c r="AC81" s="1551"/>
      <c r="AD81" s="1551"/>
      <c r="AE81" s="1551"/>
      <c r="AF81" s="1551"/>
      <c r="AG81" s="1551"/>
      <c r="AH81" s="1540"/>
      <c r="AI81" s="219"/>
      <c r="AJ81" s="1246"/>
      <c r="AK81" s="1246"/>
      <c r="AL81" s="1246"/>
      <c r="AM81" s="1246"/>
      <c r="AN81" s="1246"/>
      <c r="AO81" s="1246"/>
      <c r="AP81" s="1246"/>
      <c r="AQ81" s="1246"/>
      <c r="AR81" s="1540"/>
      <c r="AS81" s="1540"/>
      <c r="CH81" s="1020"/>
      <c r="CI81" s="1020"/>
      <c r="CJ81" s="1020"/>
      <c r="CK81" s="1020"/>
    </row>
    <row r="82" spans="1:105" ht="16.350000000000001" customHeight="1" x14ac:dyDescent="0.2">
      <c r="B82" s="5480" t="s">
        <v>119</v>
      </c>
      <c r="C82" s="5481" t="s">
        <v>42</v>
      </c>
      <c r="D82" s="5481" t="s">
        <v>2621</v>
      </c>
      <c r="E82" s="5481" t="s">
        <v>2622</v>
      </c>
      <c r="F82" s="190"/>
      <c r="G82" s="190"/>
      <c r="H82" s="190"/>
      <c r="I82" s="1245"/>
      <c r="J82" s="1245"/>
      <c r="K82" s="1245"/>
      <c r="L82" s="1245"/>
      <c r="M82" s="1245"/>
      <c r="N82" s="1245"/>
      <c r="O82" s="1245"/>
      <c r="P82" s="1245"/>
      <c r="Q82" s="1552"/>
      <c r="R82" s="1552"/>
      <c r="S82" s="1552"/>
      <c r="T82" s="1552"/>
      <c r="U82" s="1552"/>
      <c r="V82" s="1552"/>
      <c r="W82" s="1552"/>
      <c r="X82" s="1245"/>
      <c r="Y82" s="1552"/>
      <c r="Z82" s="1540"/>
      <c r="AA82" s="1540"/>
      <c r="AB82" s="1540"/>
      <c r="AC82" s="1540"/>
      <c r="AD82" s="1540"/>
      <c r="AE82" s="1540"/>
      <c r="AF82" s="1540"/>
      <c r="AG82" s="1540"/>
      <c r="AH82" s="1540"/>
      <c r="AI82" s="1246"/>
      <c r="AJ82" s="1246"/>
      <c r="AK82" s="1246"/>
      <c r="AL82" s="1246"/>
      <c r="AM82" s="1246"/>
      <c r="AN82" s="1246"/>
      <c r="AO82" s="1246"/>
      <c r="AP82" s="1246"/>
      <c r="AQ82" s="1246"/>
      <c r="AR82" s="1540"/>
      <c r="AS82" s="1540"/>
      <c r="CH82" s="1020"/>
      <c r="CI82" s="1020"/>
      <c r="CJ82" s="1020"/>
      <c r="CK82" s="1020"/>
    </row>
    <row r="83" spans="1:105" ht="16.350000000000001" customHeight="1" x14ac:dyDescent="0.2">
      <c r="B83" s="5480"/>
      <c r="C83" s="5481"/>
      <c r="D83" s="5481"/>
      <c r="E83" s="5481"/>
      <c r="F83" s="190"/>
      <c r="G83" s="190"/>
      <c r="H83" s="190"/>
      <c r="I83" s="1245"/>
      <c r="J83" s="1245"/>
      <c r="K83" s="1245"/>
      <c r="L83" s="1245"/>
      <c r="M83" s="1245"/>
      <c r="N83" s="1245"/>
      <c r="O83" s="1245"/>
      <c r="P83" s="1245"/>
      <c r="Q83" s="1552"/>
      <c r="R83" s="1552"/>
      <c r="S83" s="1552"/>
      <c r="T83" s="1552"/>
      <c r="U83" s="1552"/>
      <c r="V83" s="1552"/>
      <c r="W83" s="1552"/>
      <c r="X83" s="1245"/>
      <c r="Y83" s="1552"/>
      <c r="Z83" s="1540"/>
      <c r="AA83" s="1540"/>
      <c r="AB83" s="1540"/>
      <c r="AC83" s="1540"/>
      <c r="AD83" s="1540"/>
      <c r="AE83" s="1540"/>
      <c r="AF83" s="1540"/>
      <c r="AG83" s="1540"/>
      <c r="AH83" s="1540"/>
      <c r="AI83" s="1246"/>
      <c r="AJ83" s="1246"/>
      <c r="AK83" s="1246"/>
      <c r="AL83" s="1246"/>
      <c r="AM83" s="1246"/>
      <c r="AN83" s="1246"/>
      <c r="AO83" s="1246"/>
      <c r="AP83" s="1246"/>
      <c r="AQ83" s="1246"/>
      <c r="AR83" s="1540"/>
      <c r="AS83" s="1540"/>
      <c r="CH83" s="1020"/>
      <c r="CI83" s="1020"/>
      <c r="CJ83" s="1020"/>
      <c r="CK83" s="1020"/>
    </row>
    <row r="84" spans="1:105" ht="16.350000000000001" customHeight="1" x14ac:dyDescent="0.2">
      <c r="B84" s="5462" t="s">
        <v>1912</v>
      </c>
      <c r="C84" s="5463"/>
      <c r="D84" s="5463"/>
      <c r="E84" s="5464"/>
      <c r="F84" s="190"/>
      <c r="G84" s="190"/>
      <c r="H84" s="190"/>
      <c r="I84" s="1245"/>
      <c r="J84" s="1245"/>
      <c r="K84" s="1245"/>
      <c r="L84" s="1245"/>
      <c r="M84" s="1245"/>
      <c r="N84" s="1245"/>
      <c r="O84" s="1245"/>
      <c r="P84" s="1245"/>
      <c r="Q84" s="1552"/>
      <c r="R84" s="1552"/>
      <c r="S84" s="1552"/>
      <c r="T84" s="1552"/>
      <c r="U84" s="1552"/>
      <c r="V84" s="1552"/>
      <c r="W84" s="1552"/>
      <c r="X84" s="1245"/>
      <c r="Y84" s="1552"/>
      <c r="Z84" s="1540"/>
      <c r="AA84" s="1540"/>
      <c r="AB84" s="1540"/>
      <c r="AC84" s="1540"/>
      <c r="AD84" s="1540"/>
      <c r="AE84" s="1540"/>
      <c r="AF84" s="1540"/>
      <c r="AG84" s="1540"/>
      <c r="AH84" s="1540"/>
      <c r="AI84" s="1246"/>
      <c r="AJ84" s="1246"/>
      <c r="AK84" s="1246"/>
      <c r="AL84" s="1246"/>
      <c r="AM84" s="1246"/>
      <c r="AN84" s="1246"/>
      <c r="AO84" s="1246"/>
      <c r="AP84" s="1246"/>
      <c r="AQ84" s="1246"/>
      <c r="AR84" s="1540"/>
      <c r="AS84" s="1540"/>
      <c r="CH84" s="1020"/>
      <c r="CI84" s="1020"/>
      <c r="CJ84" s="1020"/>
      <c r="CK84" s="1020"/>
    </row>
    <row r="85" spans="1:105" ht="16.350000000000001" customHeight="1" x14ac:dyDescent="0.2">
      <c r="A85" s="2449" t="s">
        <v>3061</v>
      </c>
      <c r="B85" s="2673" t="s">
        <v>1913</v>
      </c>
      <c r="C85" s="2559" t="s">
        <v>2777</v>
      </c>
      <c r="D85" s="2675" t="s">
        <v>2778</v>
      </c>
      <c r="E85" s="2675" t="s">
        <v>2779</v>
      </c>
      <c r="F85" s="190"/>
      <c r="G85" s="190"/>
      <c r="H85" s="190"/>
      <c r="I85" s="1245"/>
      <c r="J85" s="1245"/>
      <c r="K85" s="1245"/>
      <c r="L85" s="1245"/>
      <c r="M85" s="1245"/>
      <c r="N85" s="1245"/>
      <c r="O85" s="1245"/>
      <c r="P85" s="1245"/>
      <c r="Q85" s="1552"/>
      <c r="R85" s="1552"/>
      <c r="S85" s="1552"/>
      <c r="T85" s="1552"/>
      <c r="U85" s="1552"/>
      <c r="V85" s="1552"/>
      <c r="W85" s="1552"/>
      <c r="X85" s="1245"/>
      <c r="Y85" s="1552"/>
      <c r="Z85" s="1540"/>
      <c r="AA85" s="1540"/>
      <c r="AB85" s="1540"/>
      <c r="AC85" s="1540"/>
      <c r="AD85" s="1540"/>
      <c r="AE85" s="1540"/>
      <c r="AF85" s="1540"/>
      <c r="AG85" s="1540"/>
      <c r="AH85" s="1540"/>
      <c r="AI85" s="1246"/>
      <c r="AJ85" s="1246"/>
      <c r="AK85" s="1246"/>
      <c r="AL85" s="1246"/>
      <c r="AM85" s="1246"/>
      <c r="AN85" s="1246"/>
      <c r="AO85" s="1246"/>
      <c r="AP85" s="1246"/>
      <c r="AQ85" s="1246"/>
      <c r="AR85" s="1540"/>
      <c r="AS85" s="1540"/>
      <c r="CH85" s="1020"/>
      <c r="CI85" s="1020"/>
      <c r="CJ85" s="1020"/>
      <c r="CK85" s="1020"/>
    </row>
    <row r="86" spans="1:105" ht="16.350000000000001" customHeight="1" x14ac:dyDescent="0.2">
      <c r="A86" s="2449" t="s">
        <v>3062</v>
      </c>
      <c r="B86" s="1364" t="s">
        <v>1914</v>
      </c>
      <c r="C86" s="788" t="s">
        <v>2777</v>
      </c>
      <c r="D86" s="852" t="s">
        <v>2778</v>
      </c>
      <c r="E86" s="852" t="s">
        <v>2779</v>
      </c>
      <c r="F86" s="190"/>
      <c r="G86" s="190"/>
      <c r="H86" s="190"/>
      <c r="I86" s="1245"/>
      <c r="J86" s="1245"/>
      <c r="K86" s="1245"/>
      <c r="L86" s="1245"/>
      <c r="M86" s="1245"/>
      <c r="N86" s="1245"/>
      <c r="O86" s="1245"/>
      <c r="P86" s="1245"/>
      <c r="Q86" s="1552"/>
      <c r="R86" s="1552"/>
      <c r="S86" s="1552"/>
      <c r="T86" s="1552"/>
      <c r="U86" s="1552"/>
      <c r="V86" s="1552"/>
      <c r="W86" s="1552"/>
      <c r="X86" s="1245"/>
      <c r="Y86" s="1552"/>
      <c r="Z86" s="1540"/>
      <c r="AA86" s="1540"/>
      <c r="AB86" s="1540"/>
      <c r="AC86" s="1540"/>
      <c r="AD86" s="1540"/>
      <c r="AE86" s="1540"/>
      <c r="AF86" s="1540"/>
      <c r="AG86" s="1540"/>
      <c r="AH86" s="1540"/>
      <c r="AI86" s="1246"/>
      <c r="AJ86" s="1246"/>
      <c r="AK86" s="1246"/>
      <c r="AL86" s="1246"/>
      <c r="AM86" s="1246"/>
      <c r="AN86" s="1246"/>
      <c r="AO86" s="1246"/>
      <c r="AP86" s="1246"/>
      <c r="AQ86" s="1246"/>
      <c r="AR86" s="1540"/>
      <c r="AS86" s="1540"/>
      <c r="CH86" s="1020"/>
      <c r="CI86" s="1020"/>
      <c r="CJ86" s="1020"/>
      <c r="CK86" s="1020"/>
    </row>
    <row r="87" spans="1:105" ht="16.350000000000001" customHeight="1" x14ac:dyDescent="0.2">
      <c r="A87" s="2449" t="s">
        <v>3063</v>
      </c>
      <c r="B87" s="1364" t="s">
        <v>1915</v>
      </c>
      <c r="C87" s="788" t="s">
        <v>2777</v>
      </c>
      <c r="D87" s="852" t="s">
        <v>2778</v>
      </c>
      <c r="E87" s="852" t="s">
        <v>2779</v>
      </c>
      <c r="F87" s="190"/>
      <c r="G87" s="190"/>
      <c r="H87" s="190"/>
      <c r="I87" s="1245"/>
      <c r="J87" s="1245"/>
      <c r="K87" s="1245"/>
      <c r="L87" s="1245"/>
      <c r="M87" s="1245"/>
      <c r="N87" s="1245"/>
      <c r="O87" s="1245"/>
      <c r="P87" s="1245"/>
      <c r="Q87" s="1552"/>
      <c r="R87" s="1552"/>
      <c r="S87" s="1552"/>
      <c r="T87" s="1552"/>
      <c r="U87" s="1552"/>
      <c r="V87" s="1552"/>
      <c r="W87" s="1552"/>
      <c r="X87" s="1245"/>
      <c r="Y87" s="1552"/>
      <c r="Z87" s="1540"/>
      <c r="AA87" s="1540"/>
      <c r="AB87" s="1540"/>
      <c r="AC87" s="1540"/>
      <c r="AD87" s="1540"/>
      <c r="AE87" s="1540"/>
      <c r="AF87" s="1540"/>
      <c r="AG87" s="1540"/>
      <c r="AH87" s="1540"/>
      <c r="AI87" s="1246"/>
      <c r="AJ87" s="1246"/>
      <c r="AK87" s="1246"/>
      <c r="AL87" s="1246"/>
      <c r="AM87" s="1246"/>
      <c r="AN87" s="1246"/>
      <c r="AO87" s="1246"/>
      <c r="AP87" s="1246"/>
      <c r="AQ87" s="1246"/>
      <c r="AR87" s="1540"/>
      <c r="AS87" s="1540"/>
      <c r="CH87" s="1020"/>
      <c r="CI87" s="1020"/>
      <c r="CJ87" s="1020"/>
      <c r="CK87" s="1020"/>
    </row>
    <row r="88" spans="1:105" ht="16.350000000000001" customHeight="1" x14ac:dyDescent="0.2">
      <c r="A88" s="2449" t="s">
        <v>3064</v>
      </c>
      <c r="B88" s="1364" t="s">
        <v>1916</v>
      </c>
      <c r="C88" s="788" t="s">
        <v>2777</v>
      </c>
      <c r="D88" s="852" t="s">
        <v>2778</v>
      </c>
      <c r="E88" s="852" t="s">
        <v>2779</v>
      </c>
      <c r="F88" s="190"/>
      <c r="G88" s="190"/>
      <c r="H88" s="190"/>
      <c r="I88" s="1245"/>
      <c r="J88" s="1245"/>
      <c r="K88" s="1245"/>
      <c r="L88" s="1245"/>
      <c r="M88" s="1245"/>
      <c r="N88" s="1245"/>
      <c r="O88" s="1245"/>
      <c r="P88" s="1245"/>
      <c r="Q88" s="1552"/>
      <c r="R88" s="1552"/>
      <c r="S88" s="1552"/>
      <c r="T88" s="1552"/>
      <c r="U88" s="1552"/>
      <c r="V88" s="1552"/>
      <c r="W88" s="1552"/>
      <c r="X88" s="1245"/>
      <c r="Y88" s="1552"/>
      <c r="Z88" s="1540"/>
      <c r="AA88" s="1540"/>
      <c r="AB88" s="1540"/>
      <c r="AC88" s="1540"/>
      <c r="AD88" s="1540"/>
      <c r="AE88" s="1540"/>
      <c r="AF88" s="1540"/>
      <c r="AG88" s="1540"/>
      <c r="AH88" s="1540"/>
      <c r="AI88" s="1246"/>
      <c r="AJ88" s="1246"/>
      <c r="AK88" s="1246"/>
      <c r="AL88" s="1246"/>
      <c r="AM88" s="1246"/>
      <c r="AN88" s="1246"/>
      <c r="AO88" s="1246"/>
      <c r="AP88" s="1246"/>
      <c r="AQ88" s="1246"/>
      <c r="AR88" s="1540"/>
      <c r="AS88" s="1540"/>
      <c r="CH88" s="1020"/>
      <c r="CI88" s="1020"/>
      <c r="CJ88" s="1020"/>
      <c r="CK88" s="1020"/>
    </row>
    <row r="89" spans="1:105" ht="16.350000000000001" customHeight="1" x14ac:dyDescent="0.2">
      <c r="A89" s="2449" t="s">
        <v>3065</v>
      </c>
      <c r="B89" s="2676" t="s">
        <v>1917</v>
      </c>
      <c r="C89" s="2678" t="s">
        <v>2777</v>
      </c>
      <c r="D89" s="2677" t="s">
        <v>2778</v>
      </c>
      <c r="E89" s="2677" t="s">
        <v>2779</v>
      </c>
      <c r="F89" s="190"/>
      <c r="G89" s="190"/>
      <c r="H89" s="190"/>
      <c r="I89" s="1245"/>
      <c r="J89" s="1245"/>
      <c r="K89" s="1245"/>
      <c r="L89" s="1245"/>
      <c r="M89" s="1245"/>
      <c r="N89" s="1245"/>
      <c r="O89" s="1245"/>
      <c r="P89" s="1245"/>
      <c r="Q89" s="1552"/>
      <c r="R89" s="1552"/>
      <c r="S89" s="1552"/>
      <c r="T89" s="1552"/>
      <c r="U89" s="1552"/>
      <c r="V89" s="1552"/>
      <c r="W89" s="1552"/>
      <c r="X89" s="1245"/>
      <c r="Y89" s="1552"/>
      <c r="Z89" s="1540"/>
      <c r="AA89" s="1540"/>
      <c r="AB89" s="1540"/>
      <c r="AC89" s="1540"/>
      <c r="AD89" s="1540"/>
      <c r="AE89" s="1540"/>
      <c r="AF89" s="1540"/>
      <c r="AG89" s="1540"/>
      <c r="AH89" s="1540"/>
      <c r="AI89" s="1246"/>
      <c r="AJ89" s="1246"/>
      <c r="AK89" s="1246"/>
      <c r="AL89" s="1246"/>
      <c r="AM89" s="1246"/>
      <c r="AN89" s="1246"/>
      <c r="AO89" s="1246"/>
      <c r="AP89" s="1246"/>
      <c r="AQ89" s="1246"/>
      <c r="AR89" s="1540"/>
      <c r="AS89" s="1540"/>
      <c r="CH89" s="1020"/>
      <c r="CI89" s="1020"/>
      <c r="CJ89" s="1020"/>
      <c r="CK89" s="1020"/>
    </row>
    <row r="90" spans="1:105" ht="16.350000000000001" customHeight="1" x14ac:dyDescent="0.2">
      <c r="B90" s="5465" t="s">
        <v>1918</v>
      </c>
      <c r="C90" s="5466"/>
      <c r="D90" s="5466"/>
      <c r="E90" s="5467"/>
      <c r="F90" s="190"/>
      <c r="G90" s="190"/>
      <c r="H90" s="190"/>
      <c r="I90" s="1245"/>
      <c r="J90" s="1245"/>
      <c r="K90" s="1245"/>
      <c r="L90" s="1245"/>
      <c r="M90" s="1245"/>
      <c r="N90" s="1245"/>
      <c r="O90" s="1245"/>
      <c r="P90" s="1245"/>
      <c r="Q90" s="1552"/>
      <c r="R90" s="1552"/>
      <c r="S90" s="1552"/>
      <c r="T90" s="1552"/>
      <c r="U90" s="1552"/>
      <c r="V90" s="1552"/>
      <c r="W90" s="1552"/>
      <c r="X90" s="1245"/>
      <c r="Y90" s="1552"/>
      <c r="Z90" s="1540"/>
      <c r="AA90" s="1540"/>
      <c r="AB90" s="1540"/>
      <c r="AC90" s="1540"/>
      <c r="AD90" s="1540"/>
      <c r="AE90" s="1540"/>
      <c r="AF90" s="1540"/>
      <c r="AG90" s="1540"/>
      <c r="AH90" s="1540"/>
      <c r="AI90" s="1246"/>
      <c r="AJ90" s="1246"/>
      <c r="AK90" s="1246"/>
      <c r="AL90" s="1246"/>
      <c r="AM90" s="1246"/>
      <c r="AN90" s="1246"/>
      <c r="AO90" s="1246"/>
      <c r="AP90" s="1246"/>
      <c r="AQ90" s="1246"/>
      <c r="AR90" s="1540"/>
      <c r="AS90" s="1540"/>
      <c r="CH90" s="1020"/>
      <c r="CI90" s="1020"/>
      <c r="CJ90" s="1020"/>
      <c r="CK90" s="1020"/>
    </row>
    <row r="91" spans="1:105" ht="16.350000000000001" customHeight="1" x14ac:dyDescent="0.2">
      <c r="A91" s="2449" t="s">
        <v>3066</v>
      </c>
      <c r="B91" s="2559" t="s">
        <v>1919</v>
      </c>
      <c r="C91" s="3895" t="s">
        <v>2777</v>
      </c>
      <c r="D91" s="2675" t="s">
        <v>2778</v>
      </c>
      <c r="E91" s="2675" t="s">
        <v>2779</v>
      </c>
      <c r="F91" s="190"/>
      <c r="G91" s="190"/>
      <c r="H91" s="190"/>
      <c r="I91" s="1245"/>
      <c r="J91" s="1245"/>
      <c r="K91" s="1245"/>
      <c r="L91" s="1245"/>
      <c r="M91" s="1245"/>
      <c r="N91" s="1245"/>
      <c r="O91" s="1245"/>
      <c r="P91" s="1245"/>
      <c r="Q91" s="1552"/>
      <c r="R91" s="1552"/>
      <c r="S91" s="1552"/>
      <c r="T91" s="1552"/>
      <c r="U91" s="1552"/>
      <c r="V91" s="1552"/>
      <c r="W91" s="1552"/>
      <c r="X91" s="1245"/>
      <c r="Y91" s="1552"/>
      <c r="Z91" s="1540"/>
      <c r="AA91" s="1540"/>
      <c r="AB91" s="1540"/>
      <c r="AC91" s="1540"/>
      <c r="AD91" s="1540"/>
      <c r="AE91" s="1540"/>
      <c r="AF91" s="1540"/>
      <c r="AG91" s="1540"/>
      <c r="AH91" s="1540"/>
      <c r="AI91" s="1540"/>
      <c r="AJ91" s="1540"/>
      <c r="AK91" s="1540"/>
      <c r="AL91" s="1540"/>
      <c r="AM91" s="1540"/>
      <c r="AN91" s="1540"/>
      <c r="AO91" s="1540"/>
      <c r="AP91" s="1540"/>
      <c r="AQ91" s="1540"/>
      <c r="AR91" s="1540"/>
      <c r="AS91" s="1540"/>
      <c r="CH91" s="1020"/>
      <c r="CI91" s="1020"/>
      <c r="CJ91" s="1020"/>
      <c r="CK91" s="1020"/>
    </row>
    <row r="92" spans="1:105" ht="16.350000000000001" customHeight="1" x14ac:dyDescent="0.2">
      <c r="A92" s="2449" t="s">
        <v>3067</v>
      </c>
      <c r="B92" s="2678" t="s">
        <v>1920</v>
      </c>
      <c r="C92" s="845" t="s">
        <v>2777</v>
      </c>
      <c r="D92" s="852" t="s">
        <v>2778</v>
      </c>
      <c r="E92" s="852" t="s">
        <v>2779</v>
      </c>
      <c r="F92" s="190"/>
      <c r="G92" s="190"/>
      <c r="H92" s="190"/>
      <c r="I92" s="1245"/>
      <c r="J92" s="1245"/>
      <c r="K92" s="1245"/>
      <c r="L92" s="1245"/>
      <c r="M92" s="1245"/>
      <c r="N92" s="1245"/>
      <c r="O92" s="1245"/>
      <c r="P92" s="1245"/>
      <c r="Q92" s="1552"/>
      <c r="R92" s="1552"/>
      <c r="S92" s="1552"/>
      <c r="T92" s="1552"/>
      <c r="U92" s="1552"/>
      <c r="V92" s="1552"/>
      <c r="W92" s="1552"/>
      <c r="X92" s="1245"/>
      <c r="Y92" s="1552"/>
      <c r="Z92" s="1540"/>
      <c r="AA92" s="1540"/>
      <c r="AB92" s="1540"/>
      <c r="AC92" s="1540"/>
      <c r="AD92" s="1540"/>
      <c r="AE92" s="1540"/>
      <c r="AF92" s="1540"/>
      <c r="AG92" s="1540"/>
      <c r="AH92" s="1540"/>
      <c r="AI92" s="1540"/>
      <c r="AJ92" s="1540"/>
      <c r="AK92" s="1540"/>
      <c r="AL92" s="1540"/>
      <c r="AM92" s="1540"/>
      <c r="AN92" s="1540"/>
      <c r="AO92" s="1540"/>
      <c r="AP92" s="1540"/>
      <c r="AQ92" s="1540"/>
      <c r="AR92" s="1540"/>
      <c r="AS92" s="1540"/>
      <c r="CH92" s="1020"/>
      <c r="CI92" s="1020"/>
      <c r="CJ92" s="1020"/>
      <c r="CK92" s="1020"/>
    </row>
    <row r="93" spans="1:105" ht="24.75" customHeight="1" x14ac:dyDescent="0.2">
      <c r="A93" s="2449" t="s">
        <v>3068</v>
      </c>
      <c r="B93" s="2679" t="s">
        <v>1921</v>
      </c>
      <c r="C93" s="3896" t="s">
        <v>2777</v>
      </c>
      <c r="D93" s="2680" t="s">
        <v>2778</v>
      </c>
      <c r="E93" s="2680" t="s">
        <v>2779</v>
      </c>
      <c r="F93" s="190"/>
      <c r="G93" s="190"/>
      <c r="H93" s="190"/>
      <c r="I93" s="1245"/>
      <c r="J93" s="1245"/>
      <c r="K93" s="1245"/>
      <c r="L93" s="1245"/>
      <c r="M93" s="1245"/>
      <c r="N93" s="1245"/>
      <c r="O93" s="1245"/>
      <c r="P93" s="1245"/>
      <c r="Q93" s="1552"/>
      <c r="R93" s="1552"/>
      <c r="S93" s="1552"/>
      <c r="T93" s="1552"/>
      <c r="U93" s="1552"/>
      <c r="V93" s="1552"/>
      <c r="W93" s="1552"/>
      <c r="X93" s="1245"/>
      <c r="Y93" s="1552"/>
      <c r="Z93" s="1540"/>
      <c r="AA93" s="1540"/>
      <c r="AB93" s="1540"/>
      <c r="AC93" s="1540"/>
      <c r="AD93" s="1540"/>
      <c r="AE93" s="1540"/>
      <c r="AF93" s="1540"/>
      <c r="AG93" s="1540"/>
      <c r="AH93" s="1540"/>
      <c r="AI93" s="1540"/>
      <c r="AJ93" s="1540"/>
      <c r="AK93" s="1540"/>
      <c r="AL93" s="1540"/>
      <c r="AM93" s="1540"/>
      <c r="AN93" s="1540"/>
      <c r="AO93" s="1540"/>
      <c r="AP93" s="1540"/>
      <c r="AQ93" s="1540"/>
      <c r="AR93" s="1540"/>
      <c r="AS93" s="1540"/>
      <c r="CH93" s="1020"/>
      <c r="CI93" s="1020"/>
      <c r="CJ93" s="1020"/>
      <c r="CK93" s="1020"/>
    </row>
    <row r="94" spans="1:105" s="94" customFormat="1" ht="31.35" customHeight="1" x14ac:dyDescent="0.2">
      <c r="B94" s="5468" t="s">
        <v>1922</v>
      </c>
      <c r="C94" s="5468"/>
      <c r="D94" s="5468"/>
      <c r="E94" s="5468"/>
      <c r="F94" s="5468"/>
      <c r="G94" s="5468"/>
      <c r="H94" s="1553"/>
      <c r="I94" s="1553"/>
      <c r="J94" s="1553"/>
      <c r="K94" s="1553"/>
      <c r="L94" s="1553"/>
      <c r="M94" s="1553"/>
      <c r="N94" s="1553"/>
      <c r="O94" s="1553"/>
      <c r="P94" s="1553"/>
      <c r="Q94" s="1553"/>
      <c r="R94" s="1554"/>
      <c r="S94" s="1554"/>
      <c r="T94" s="1554"/>
      <c r="U94" s="1554"/>
      <c r="V94" s="1554"/>
      <c r="W94" s="1554"/>
      <c r="X94" s="1553"/>
      <c r="Y94" s="1555"/>
      <c r="Z94" s="1554"/>
      <c r="AA94" s="1554"/>
      <c r="AB94" s="1554"/>
      <c r="AC94" s="1554"/>
      <c r="AD94" s="1554"/>
      <c r="AE94" s="1554"/>
      <c r="AF94" s="1554"/>
      <c r="AG94" s="1554"/>
      <c r="AH94" s="1554"/>
      <c r="AI94" s="1554"/>
      <c r="AJ94" s="1554"/>
      <c r="AK94" s="1554"/>
      <c r="AL94" s="1554"/>
      <c r="AM94" s="1554"/>
      <c r="AN94" s="1554"/>
      <c r="AO94" s="1554"/>
      <c r="AP94" s="1554"/>
      <c r="AQ94" s="1554"/>
      <c r="AR94" s="1554"/>
      <c r="AS94" s="1554"/>
      <c r="BY94" s="891"/>
      <c r="BZ94" s="891"/>
      <c r="CA94" s="891"/>
      <c r="CB94" s="891"/>
      <c r="CC94" s="891"/>
      <c r="CD94" s="891"/>
      <c r="CE94" s="891"/>
      <c r="CF94" s="891"/>
      <c r="CG94" s="891"/>
      <c r="CH94" s="1020"/>
      <c r="CI94" s="1020"/>
      <c r="CJ94" s="1020"/>
      <c r="CK94" s="1020"/>
      <c r="CL94" s="891"/>
      <c r="CM94" s="891"/>
      <c r="CN94" s="891"/>
      <c r="CO94" s="891"/>
      <c r="CP94" s="891"/>
      <c r="CQ94" s="891"/>
      <c r="CR94" s="891"/>
      <c r="CS94" s="891"/>
      <c r="CT94" s="891"/>
      <c r="CU94" s="891"/>
      <c r="CV94" s="891"/>
      <c r="CW94" s="891"/>
      <c r="CX94" s="891"/>
      <c r="CY94" s="891"/>
      <c r="CZ94" s="891"/>
      <c r="DA94" s="891"/>
    </row>
    <row r="95" spans="1:105" ht="16.350000000000001" customHeight="1" x14ac:dyDescent="0.2">
      <c r="B95" s="5469" t="s">
        <v>1923</v>
      </c>
      <c r="C95" s="5472" t="s">
        <v>1924</v>
      </c>
      <c r="D95" s="5473"/>
      <c r="E95" s="5472" t="s">
        <v>1925</v>
      </c>
      <c r="F95" s="5473"/>
      <c r="G95" s="5476" t="s">
        <v>1926</v>
      </c>
      <c r="H95" s="5495" t="s">
        <v>2221</v>
      </c>
      <c r="I95" s="5496"/>
      <c r="J95" s="5495" t="s">
        <v>2222</v>
      </c>
      <c r="K95" s="5496"/>
      <c r="L95" s="190"/>
      <c r="M95" s="190"/>
      <c r="N95" s="190"/>
      <c r="O95" s="190"/>
      <c r="P95" s="190"/>
      <c r="Q95" s="298"/>
      <c r="R95" s="298"/>
      <c r="S95" s="298"/>
      <c r="T95" s="298"/>
      <c r="U95" s="298"/>
      <c r="V95" s="298"/>
      <c r="W95" s="190"/>
      <c r="X95" s="1548"/>
      <c r="Y95" s="307"/>
      <c r="Z95" s="1557"/>
      <c r="AA95" s="1557"/>
      <c r="AB95" s="1557"/>
      <c r="AC95" s="1557"/>
      <c r="AD95" s="1557"/>
      <c r="AE95" s="1557"/>
      <c r="AF95" s="1557"/>
      <c r="AG95" s="1557"/>
      <c r="AH95" s="1557"/>
      <c r="AI95" s="1557"/>
      <c r="AJ95" s="1540"/>
      <c r="AK95" s="1540"/>
      <c r="AL95" s="1540"/>
      <c r="AM95" s="1540"/>
      <c r="AN95" s="1540"/>
      <c r="AO95" s="1540"/>
      <c r="AP95" s="1540"/>
      <c r="AQ95" s="1540"/>
      <c r="AR95" s="1540"/>
      <c r="AS95" s="1540"/>
      <c r="CH95" s="1020"/>
      <c r="CI95" s="1020"/>
      <c r="CJ95" s="1020"/>
      <c r="CK95" s="1020"/>
    </row>
    <row r="96" spans="1:105" ht="22.5" customHeight="1" x14ac:dyDescent="0.2">
      <c r="B96" s="5470"/>
      <c r="C96" s="5474"/>
      <c r="D96" s="5475"/>
      <c r="E96" s="5474"/>
      <c r="F96" s="5475"/>
      <c r="G96" s="5477"/>
      <c r="H96" s="5497"/>
      <c r="I96" s="5498"/>
      <c r="J96" s="5497"/>
      <c r="K96" s="5498"/>
      <c r="L96" s="190"/>
      <c r="M96" s="190"/>
      <c r="N96" s="190"/>
      <c r="O96" s="190"/>
      <c r="P96" s="190"/>
      <c r="Q96" s="298"/>
      <c r="R96" s="298"/>
      <c r="S96" s="298"/>
      <c r="T96" s="298"/>
      <c r="U96" s="298"/>
      <c r="V96" s="298"/>
      <c r="W96" s="190"/>
      <c r="X96" s="1548"/>
      <c r="Y96" s="1552"/>
      <c r="Z96" s="1540"/>
      <c r="AA96" s="1540"/>
      <c r="AB96" s="1540"/>
      <c r="AC96" s="1540"/>
      <c r="AD96" s="1540"/>
      <c r="AE96" s="1540"/>
      <c r="AF96" s="1540"/>
      <c r="AG96" s="1540"/>
      <c r="AH96" s="1540"/>
      <c r="AI96" s="1540"/>
      <c r="AJ96" s="1540"/>
      <c r="AK96" s="1540"/>
      <c r="AL96" s="1540"/>
      <c r="AM96" s="1540"/>
      <c r="AN96" s="1540"/>
      <c r="AO96" s="1540"/>
      <c r="AP96" s="1540"/>
      <c r="AQ96" s="1540"/>
      <c r="AR96" s="1540"/>
      <c r="AS96" s="1540"/>
      <c r="CH96" s="1020"/>
      <c r="CI96" s="1020"/>
      <c r="CJ96" s="1020"/>
      <c r="CK96" s="1020"/>
    </row>
    <row r="97" spans="1:89" ht="40.5" customHeight="1" x14ac:dyDescent="0.2">
      <c r="B97" s="5471"/>
      <c r="C97" s="1558" t="s">
        <v>1927</v>
      </c>
      <c r="D97" s="1559" t="s">
        <v>1928</v>
      </c>
      <c r="E97" s="2252" t="s">
        <v>3741</v>
      </c>
      <c r="F97" s="2253" t="s">
        <v>2624</v>
      </c>
      <c r="G97" s="5478"/>
      <c r="H97" s="1592" t="s">
        <v>1927</v>
      </c>
      <c r="I97" s="1593" t="s">
        <v>1928</v>
      </c>
      <c r="J97" s="1592" t="s">
        <v>3741</v>
      </c>
      <c r="K97" s="1593" t="s">
        <v>1929</v>
      </c>
      <c r="L97" s="190"/>
      <c r="M97" s="190"/>
      <c r="N97" s="190"/>
      <c r="O97" s="190"/>
      <c r="P97" s="190"/>
      <c r="Q97" s="298"/>
      <c r="R97" s="298"/>
      <c r="S97" s="298"/>
      <c r="T97" s="298"/>
      <c r="U97" s="298"/>
      <c r="V97" s="298"/>
      <c r="W97" s="190"/>
      <c r="X97" s="1548"/>
      <c r="Y97" s="1552"/>
      <c r="Z97" s="1540"/>
      <c r="AA97" s="1540"/>
      <c r="AB97" s="1540"/>
      <c r="AC97" s="1540"/>
      <c r="AD97" s="1540"/>
      <c r="AE97" s="1540"/>
      <c r="AF97" s="1540"/>
      <c r="AG97" s="1540"/>
      <c r="AH97" s="1540"/>
      <c r="AI97" s="1540"/>
      <c r="AJ97" s="1540"/>
      <c r="AK97" s="1540"/>
      <c r="AL97" s="1540"/>
      <c r="AM97" s="1540"/>
      <c r="AN97" s="1540"/>
      <c r="AO97" s="1540"/>
      <c r="AP97" s="1540"/>
      <c r="AQ97" s="1540"/>
      <c r="AR97" s="1540"/>
      <c r="AS97" s="1540"/>
      <c r="CH97" s="1020"/>
      <c r="CI97" s="1020"/>
      <c r="CJ97" s="1020"/>
      <c r="CK97" s="1020"/>
    </row>
    <row r="98" spans="1:89" ht="16.350000000000001" customHeight="1" x14ac:dyDescent="0.2">
      <c r="A98" s="2449" t="s">
        <v>3069</v>
      </c>
      <c r="B98" s="2681" t="s">
        <v>1930</v>
      </c>
      <c r="C98" s="2682" t="s">
        <v>2777</v>
      </c>
      <c r="D98" s="2683" t="s">
        <v>2778</v>
      </c>
      <c r="E98" s="2682" t="s">
        <v>2779</v>
      </c>
      <c r="F98" s="2683" t="s">
        <v>2780</v>
      </c>
      <c r="G98" s="2683" t="s">
        <v>2781</v>
      </c>
      <c r="H98" s="5069" t="s">
        <v>2782</v>
      </c>
      <c r="I98" s="5070" t="s">
        <v>2783</v>
      </c>
      <c r="J98" s="5069" t="s">
        <v>2784</v>
      </c>
      <c r="K98" s="5070" t="s">
        <v>2785</v>
      </c>
      <c r="L98" s="190"/>
      <c r="M98" s="190"/>
      <c r="N98" s="190"/>
      <c r="O98" s="190"/>
      <c r="P98" s="190"/>
      <c r="Q98" s="298"/>
      <c r="R98" s="298"/>
      <c r="S98" s="298"/>
      <c r="T98" s="298"/>
      <c r="U98" s="298"/>
      <c r="V98" s="298"/>
      <c r="W98" s="190"/>
      <c r="X98" s="1548"/>
      <c r="Y98" s="1552"/>
      <c r="Z98" s="1540"/>
      <c r="AA98" s="1540"/>
      <c r="AB98" s="1540"/>
      <c r="AC98" s="1540"/>
      <c r="AD98" s="1540"/>
      <c r="AE98" s="1540"/>
      <c r="AF98" s="1540"/>
      <c r="AG98" s="1540"/>
      <c r="AH98" s="1540"/>
      <c r="AI98" s="1540"/>
      <c r="AJ98" s="1540"/>
      <c r="AK98" s="1540"/>
      <c r="AL98" s="1540"/>
      <c r="AM98" s="1540"/>
      <c r="AN98" s="1540"/>
      <c r="AO98" s="1540"/>
      <c r="AP98" s="1540"/>
      <c r="AQ98" s="1540"/>
      <c r="AR98" s="1540"/>
      <c r="AS98" s="1540"/>
      <c r="CH98" s="1020"/>
      <c r="CI98" s="1020"/>
      <c r="CJ98" s="1020"/>
      <c r="CK98" s="1020"/>
    </row>
    <row r="99" spans="1:89" ht="16.350000000000001" customHeight="1" x14ac:dyDescent="0.2">
      <c r="A99" s="2449" t="s">
        <v>3070</v>
      </c>
      <c r="B99" s="1560" t="s">
        <v>1931</v>
      </c>
      <c r="C99" s="2684" t="s">
        <v>2777</v>
      </c>
      <c r="D99" s="2685" t="s">
        <v>2778</v>
      </c>
      <c r="E99" s="2684" t="s">
        <v>2779</v>
      </c>
      <c r="F99" s="2685" t="s">
        <v>2780</v>
      </c>
      <c r="G99" s="2685" t="s">
        <v>2781</v>
      </c>
      <c r="H99" s="5071" t="s">
        <v>2782</v>
      </c>
      <c r="I99" s="5072" t="s">
        <v>2783</v>
      </c>
      <c r="J99" s="5071" t="s">
        <v>2784</v>
      </c>
      <c r="K99" s="5072" t="s">
        <v>2785</v>
      </c>
      <c r="L99" s="190"/>
      <c r="M99" s="190"/>
      <c r="N99" s="190"/>
      <c r="O99" s="190"/>
      <c r="P99" s="190"/>
      <c r="Q99" s="298"/>
      <c r="R99" s="298"/>
      <c r="S99" s="298"/>
      <c r="T99" s="298"/>
      <c r="U99" s="298"/>
      <c r="V99" s="298"/>
      <c r="W99" s="190"/>
      <c r="X99" s="1548"/>
      <c r="Y99" s="1552"/>
      <c r="Z99" s="1540"/>
      <c r="AA99" s="1540"/>
      <c r="AB99" s="1540"/>
      <c r="AC99" s="1540"/>
      <c r="AD99" s="1540"/>
      <c r="AE99" s="1540"/>
      <c r="AF99" s="1540"/>
      <c r="AG99" s="1540"/>
      <c r="AH99" s="1540"/>
      <c r="AI99" s="1540"/>
      <c r="AJ99" s="1540"/>
      <c r="AK99" s="1540"/>
      <c r="AL99" s="1540"/>
      <c r="AM99" s="1540"/>
      <c r="AN99" s="1540"/>
      <c r="AO99" s="1540"/>
      <c r="AP99" s="1540"/>
      <c r="AQ99" s="1540"/>
      <c r="AR99" s="1540"/>
      <c r="AS99" s="1540"/>
      <c r="CH99" s="1020"/>
      <c r="CI99" s="1020"/>
      <c r="CJ99" s="1020"/>
      <c r="CK99" s="1020"/>
    </row>
    <row r="100" spans="1:89" ht="16.350000000000001" customHeight="1" x14ac:dyDescent="0.2">
      <c r="A100" s="2449" t="s">
        <v>3071</v>
      </c>
      <c r="B100" s="2686" t="s">
        <v>1932</v>
      </c>
      <c r="C100" s="2687" t="s">
        <v>2777</v>
      </c>
      <c r="D100" s="2688" t="s">
        <v>2778</v>
      </c>
      <c r="E100" s="2687" t="s">
        <v>2779</v>
      </c>
      <c r="F100" s="2688" t="s">
        <v>2780</v>
      </c>
      <c r="G100" s="2688" t="s">
        <v>2781</v>
      </c>
      <c r="H100" s="5073" t="s">
        <v>2782</v>
      </c>
      <c r="I100" s="5074" t="s">
        <v>2783</v>
      </c>
      <c r="J100" s="5073" t="s">
        <v>2784</v>
      </c>
      <c r="K100" s="5074" t="s">
        <v>2785</v>
      </c>
      <c r="L100" s="190"/>
      <c r="M100" s="190"/>
      <c r="N100" s="190"/>
      <c r="O100" s="190"/>
      <c r="P100" s="190"/>
      <c r="Q100" s="298"/>
      <c r="R100" s="298"/>
      <c r="S100" s="298"/>
      <c r="T100" s="298"/>
      <c r="U100" s="298"/>
      <c r="V100" s="298"/>
      <c r="W100" s="190"/>
      <c r="X100" s="1548"/>
      <c r="Y100" s="1552"/>
      <c r="Z100" s="1540"/>
      <c r="AA100" s="1540"/>
      <c r="AB100" s="1540"/>
      <c r="AC100" s="1540"/>
      <c r="AD100" s="1540"/>
      <c r="AE100" s="1540"/>
      <c r="AF100" s="1540"/>
      <c r="AG100" s="1540"/>
      <c r="AH100" s="1540"/>
      <c r="AI100" s="1540"/>
      <c r="AJ100" s="1540"/>
      <c r="AK100" s="1540"/>
      <c r="AL100" s="1540"/>
      <c r="AM100" s="1540"/>
      <c r="AN100" s="1540"/>
      <c r="AO100" s="1540"/>
      <c r="AP100" s="1540"/>
      <c r="AQ100" s="1540"/>
      <c r="AR100" s="1540"/>
      <c r="AS100" s="1540"/>
      <c r="CH100" s="1020">
        <v>0</v>
      </c>
      <c r="CI100" s="1020">
        <v>0</v>
      </c>
      <c r="CJ100" s="1020">
        <v>0</v>
      </c>
      <c r="CK100" s="1020"/>
    </row>
    <row r="101" spans="1:89" ht="16.350000000000001" customHeight="1" x14ac:dyDescent="0.2">
      <c r="A101" s="2527"/>
      <c r="B101" s="2689" t="s">
        <v>42</v>
      </c>
      <c r="C101" s="2690">
        <f>SUM(C98:C100)</f>
        <v>0</v>
      </c>
      <c r="D101" s="2691">
        <f>SUM(D98:D100)</f>
        <v>0</v>
      </c>
      <c r="E101" s="2690">
        <f>SUM(E98:E100)</f>
        <v>0</v>
      </c>
      <c r="F101" s="2691">
        <f>SUM(F98:F100)</f>
        <v>0</v>
      </c>
      <c r="G101" s="2691">
        <f>SUM(G98:G100)</f>
        <v>0</v>
      </c>
      <c r="H101" s="1561">
        <f t="shared" ref="H101:K101" si="3">SUM(H98:H100)</f>
        <v>0</v>
      </c>
      <c r="I101" s="1562">
        <f t="shared" si="3"/>
        <v>0</v>
      </c>
      <c r="J101" s="1561">
        <f t="shared" si="3"/>
        <v>0</v>
      </c>
      <c r="K101" s="1562">
        <f t="shared" si="3"/>
        <v>0</v>
      </c>
      <c r="L101" s="190"/>
      <c r="M101" s="190"/>
      <c r="N101" s="190"/>
      <c r="O101" s="190"/>
      <c r="P101" s="190"/>
      <c r="Q101" s="298"/>
      <c r="R101" s="298"/>
      <c r="S101" s="298"/>
      <c r="T101" s="298"/>
      <c r="U101" s="298"/>
      <c r="V101" s="298"/>
      <c r="W101" s="190"/>
      <c r="X101" s="1548"/>
      <c r="Y101" s="1552"/>
      <c r="Z101" s="1540"/>
      <c r="AA101" s="1540"/>
      <c r="AB101" s="1540"/>
      <c r="AC101" s="1540"/>
      <c r="AD101" s="1540"/>
      <c r="AE101" s="1540"/>
      <c r="AF101" s="1540"/>
      <c r="AG101" s="1540"/>
      <c r="AH101" s="1540"/>
      <c r="AI101" s="1540"/>
      <c r="AJ101" s="1540"/>
      <c r="AK101" s="1540"/>
      <c r="AL101" s="1540"/>
      <c r="AM101" s="1540"/>
      <c r="AN101" s="1540"/>
      <c r="AO101" s="1540"/>
      <c r="AP101" s="1540"/>
      <c r="AQ101" s="1540"/>
      <c r="AR101" s="1540"/>
      <c r="AS101" s="1540"/>
      <c r="CH101" s="1020">
        <v>0</v>
      </c>
      <c r="CI101" s="1020">
        <v>0</v>
      </c>
      <c r="CJ101" s="1020">
        <v>0</v>
      </c>
      <c r="CK101" s="1020"/>
    </row>
    <row r="102" spans="1:89" ht="31.35" customHeight="1" x14ac:dyDescent="0.2">
      <c r="B102" s="308" t="s">
        <v>1933</v>
      </c>
      <c r="C102" s="1563"/>
      <c r="D102" s="1564"/>
      <c r="E102" s="1556"/>
      <c r="F102" s="1565"/>
      <c r="G102" s="1565"/>
      <c r="H102" s="157"/>
      <c r="I102" s="157"/>
      <c r="J102" s="156"/>
      <c r="K102" s="154"/>
      <c r="L102" s="156"/>
      <c r="M102" s="154"/>
      <c r="N102" s="190"/>
      <c r="O102" s="190"/>
      <c r="P102" s="190"/>
      <c r="Q102" s="190"/>
      <c r="R102" s="298"/>
      <c r="S102" s="298"/>
      <c r="T102" s="298"/>
      <c r="U102" s="298"/>
      <c r="V102" s="298"/>
      <c r="W102" s="298"/>
      <c r="X102" s="190"/>
      <c r="Y102" s="1566"/>
      <c r="Z102" s="1552"/>
      <c r="AA102" s="1540"/>
      <c r="AB102" s="1540"/>
      <c r="AC102" s="1540"/>
      <c r="AD102" s="1540"/>
      <c r="AE102" s="1540"/>
      <c r="AF102" s="1540"/>
      <c r="AG102" s="1540"/>
      <c r="AH102" s="1540"/>
      <c r="AI102" s="1540"/>
      <c r="AJ102" s="1540"/>
      <c r="AK102" s="1540"/>
      <c r="AL102" s="1540"/>
      <c r="AM102" s="1540"/>
      <c r="AN102" s="1540"/>
      <c r="AO102" s="1540"/>
      <c r="AP102" s="1540"/>
      <c r="AQ102" s="1540"/>
      <c r="AR102" s="1540"/>
      <c r="AS102" s="1540"/>
      <c r="CH102" s="1020">
        <v>0</v>
      </c>
      <c r="CI102" s="1020">
        <v>0</v>
      </c>
      <c r="CJ102" s="1020">
        <v>0</v>
      </c>
      <c r="CK102" s="1020"/>
    </row>
    <row r="103" spans="1:89" ht="31.35" customHeight="1" x14ac:dyDescent="0.2">
      <c r="B103" s="5510" t="s">
        <v>1934</v>
      </c>
      <c r="C103" s="5512" t="s">
        <v>1935</v>
      </c>
      <c r="D103" s="5510" t="s">
        <v>1936</v>
      </c>
      <c r="E103" s="5514"/>
      <c r="F103" s="5514"/>
      <c r="G103" s="5514"/>
      <c r="H103" s="5514"/>
      <c r="I103" s="5514"/>
      <c r="J103" s="5514"/>
      <c r="K103" s="5514"/>
      <c r="L103" s="5515"/>
      <c r="M103" s="5512" t="s">
        <v>1937</v>
      </c>
      <c r="N103" s="190"/>
      <c r="O103" s="1556"/>
      <c r="P103" s="1556"/>
      <c r="Q103" s="1556"/>
      <c r="R103" s="298"/>
      <c r="S103" s="298"/>
      <c r="T103" s="298"/>
      <c r="U103" s="298"/>
      <c r="V103" s="298"/>
      <c r="W103" s="298"/>
      <c r="X103" s="298"/>
      <c r="Y103" s="1548"/>
      <c r="Z103" s="1552"/>
      <c r="AA103" s="1540"/>
      <c r="AB103" s="1540"/>
      <c r="AC103" s="1540"/>
      <c r="AD103" s="1540"/>
      <c r="AE103" s="1540"/>
      <c r="AF103" s="1540"/>
      <c r="AG103" s="1540"/>
      <c r="AH103" s="1540"/>
      <c r="AI103" s="1540"/>
      <c r="AJ103" s="1540"/>
      <c r="AK103" s="1540"/>
      <c r="AL103" s="1540"/>
      <c r="AM103" s="1540"/>
      <c r="AN103" s="1540"/>
      <c r="AO103" s="1540"/>
      <c r="AP103" s="1540"/>
      <c r="AQ103" s="1540"/>
      <c r="AR103" s="1540"/>
      <c r="AS103" s="1540"/>
      <c r="AT103" s="1540"/>
      <c r="CH103" s="1020"/>
      <c r="CI103" s="1020"/>
      <c r="CJ103" s="1020"/>
      <c r="CK103" s="1020"/>
    </row>
    <row r="104" spans="1:89" ht="28.5" customHeight="1" x14ac:dyDescent="0.2">
      <c r="B104" s="5511"/>
      <c r="C104" s="5513"/>
      <c r="D104" s="1567" t="s">
        <v>289</v>
      </c>
      <c r="E104" s="1567" t="s">
        <v>1938</v>
      </c>
      <c r="F104" s="1567" t="s">
        <v>1939</v>
      </c>
      <c r="G104" s="1567" t="s">
        <v>1940</v>
      </c>
      <c r="H104" s="1567" t="s">
        <v>212</v>
      </c>
      <c r="I104" s="1567" t="s">
        <v>1941</v>
      </c>
      <c r="J104" s="1567" t="s">
        <v>1942</v>
      </c>
      <c r="K104" s="1568" t="s">
        <v>290</v>
      </c>
      <c r="L104" s="1567" t="s">
        <v>727</v>
      </c>
      <c r="M104" s="5513"/>
      <c r="N104" s="190"/>
      <c r="O104" s="1556"/>
      <c r="P104" s="1556"/>
      <c r="Q104" s="1556"/>
      <c r="R104" s="298"/>
      <c r="S104" s="298"/>
      <c r="T104" s="298"/>
      <c r="U104" s="298"/>
      <c r="V104" s="298"/>
      <c r="W104" s="298"/>
      <c r="X104" s="298"/>
      <c r="Y104" s="1548"/>
      <c r="Z104" s="1552"/>
      <c r="AA104" s="1540"/>
      <c r="AB104" s="1540"/>
      <c r="AC104" s="1540"/>
      <c r="AD104" s="1540"/>
      <c r="AE104" s="1540"/>
      <c r="AF104" s="1540"/>
      <c r="AG104" s="1540"/>
      <c r="AH104" s="1540"/>
      <c r="AI104" s="1540"/>
      <c r="AJ104" s="1540"/>
      <c r="AK104" s="1540"/>
      <c r="AL104" s="1540"/>
      <c r="AM104" s="1540"/>
      <c r="AN104" s="1540"/>
      <c r="AO104" s="1540"/>
      <c r="AP104" s="1540"/>
      <c r="AQ104" s="1540"/>
      <c r="AR104" s="1540"/>
      <c r="AS104" s="1540"/>
      <c r="AT104" s="1540"/>
      <c r="CH104" s="1020"/>
      <c r="CI104" s="1020"/>
      <c r="CJ104" s="1020"/>
      <c r="CK104" s="1020"/>
    </row>
    <row r="105" spans="1:89" ht="16.350000000000001" customHeight="1" x14ac:dyDescent="0.2">
      <c r="A105" s="2449" t="s">
        <v>3072</v>
      </c>
      <c r="B105" s="2692" t="s">
        <v>579</v>
      </c>
      <c r="C105" s="2693" t="s">
        <v>2777</v>
      </c>
      <c r="D105" s="2693" t="s">
        <v>2778</v>
      </c>
      <c r="E105" s="2693" t="s">
        <v>2779</v>
      </c>
      <c r="F105" s="2693" t="s">
        <v>2780</v>
      </c>
      <c r="G105" s="2693" t="s">
        <v>2781</v>
      </c>
      <c r="H105" s="2693" t="s">
        <v>2782</v>
      </c>
      <c r="I105" s="2693" t="s">
        <v>2783</v>
      </c>
      <c r="J105" s="2693" t="s">
        <v>2784</v>
      </c>
      <c r="K105" s="2693" t="s">
        <v>2785</v>
      </c>
      <c r="L105" s="2693" t="s">
        <v>2786</v>
      </c>
      <c r="M105" s="2694" t="s">
        <v>2787</v>
      </c>
      <c r="N105" s="190"/>
      <c r="O105" s="1556"/>
      <c r="P105" s="1556"/>
      <c r="Q105" s="1556"/>
      <c r="R105" s="298"/>
      <c r="S105" s="298"/>
      <c r="T105" s="298"/>
      <c r="U105" s="298"/>
      <c r="V105" s="298"/>
      <c r="W105" s="298"/>
      <c r="X105" s="298"/>
      <c r="Y105" s="1548"/>
      <c r="Z105" s="1552"/>
      <c r="AA105" s="1540"/>
      <c r="AB105" s="1540"/>
      <c r="AC105" s="1540"/>
      <c r="AD105" s="1540"/>
      <c r="AE105" s="1540"/>
      <c r="AF105" s="1540"/>
      <c r="AG105" s="1540"/>
      <c r="AH105" s="1540"/>
      <c r="AI105" s="1540"/>
      <c r="AJ105" s="1540"/>
      <c r="AK105" s="1540"/>
      <c r="AL105" s="1540"/>
      <c r="AM105" s="1540"/>
      <c r="AN105" s="1540"/>
      <c r="AO105" s="1540"/>
      <c r="AP105" s="1540"/>
      <c r="AQ105" s="1540"/>
      <c r="AR105" s="1540"/>
      <c r="AS105" s="1540"/>
      <c r="AT105" s="1540"/>
      <c r="CH105" s="1020"/>
      <c r="CI105" s="1020"/>
      <c r="CJ105" s="1020"/>
      <c r="CK105" s="1020"/>
    </row>
    <row r="106" spans="1:89" ht="16.350000000000001" customHeight="1" x14ac:dyDescent="0.2">
      <c r="A106" s="2449" t="s">
        <v>3073</v>
      </c>
      <c r="B106" s="310" t="s">
        <v>1943</v>
      </c>
      <c r="C106" s="1569" t="s">
        <v>2777</v>
      </c>
      <c r="D106" s="1569" t="s">
        <v>2778</v>
      </c>
      <c r="E106" s="1569" t="s">
        <v>2779</v>
      </c>
      <c r="F106" s="1569" t="s">
        <v>2780</v>
      </c>
      <c r="G106" s="1569" t="s">
        <v>2781</v>
      </c>
      <c r="H106" s="1569" t="s">
        <v>2782</v>
      </c>
      <c r="I106" s="1569" t="s">
        <v>2783</v>
      </c>
      <c r="J106" s="1569" t="s">
        <v>2784</v>
      </c>
      <c r="K106" s="1569" t="s">
        <v>2785</v>
      </c>
      <c r="L106" s="1569" t="s">
        <v>2786</v>
      </c>
      <c r="M106" s="1570" t="s">
        <v>2787</v>
      </c>
      <c r="N106" s="327"/>
      <c r="O106" s="1556"/>
      <c r="P106" s="1556"/>
      <c r="Q106" s="1556"/>
      <c r="R106" s="298"/>
      <c r="S106" s="298"/>
      <c r="T106" s="298"/>
      <c r="U106" s="298"/>
      <c r="V106" s="298"/>
      <c r="W106" s="298"/>
      <c r="X106" s="298"/>
      <c r="Y106" s="1548"/>
      <c r="Z106" s="1552"/>
      <c r="AA106" s="1540"/>
      <c r="AB106" s="1540"/>
      <c r="AC106" s="1540"/>
      <c r="AD106" s="1540"/>
      <c r="AE106" s="1540"/>
      <c r="AF106" s="1540"/>
      <c r="AG106" s="1540"/>
      <c r="AH106" s="1540"/>
      <c r="AI106" s="1540"/>
      <c r="AJ106" s="1540"/>
      <c r="AK106" s="1540"/>
      <c r="AL106" s="1540"/>
      <c r="AM106" s="1540"/>
      <c r="AN106" s="1540"/>
      <c r="AO106" s="1540"/>
      <c r="AP106" s="1540"/>
      <c r="AQ106" s="1540"/>
      <c r="AR106" s="1540"/>
      <c r="AS106" s="1540"/>
      <c r="AT106" s="1540"/>
      <c r="CH106" s="1020"/>
      <c r="CI106" s="1020"/>
      <c r="CJ106" s="1020"/>
      <c r="CK106" s="1020"/>
    </row>
    <row r="107" spans="1:89" ht="16.350000000000001" customHeight="1" x14ac:dyDescent="0.2">
      <c r="A107" s="2449" t="s">
        <v>3074</v>
      </c>
      <c r="B107" s="311" t="s">
        <v>1944</v>
      </c>
      <c r="C107" s="1571" t="s">
        <v>2777</v>
      </c>
      <c r="D107" s="1571" t="s">
        <v>2778</v>
      </c>
      <c r="E107" s="1571" t="s">
        <v>2779</v>
      </c>
      <c r="F107" s="1571" t="s">
        <v>2780</v>
      </c>
      <c r="G107" s="1571" t="s">
        <v>2781</v>
      </c>
      <c r="H107" s="1571" t="s">
        <v>2782</v>
      </c>
      <c r="I107" s="1571" t="s">
        <v>2783</v>
      </c>
      <c r="J107" s="1571" t="s">
        <v>2784</v>
      </c>
      <c r="K107" s="1571" t="s">
        <v>2785</v>
      </c>
      <c r="L107" s="1571" t="s">
        <v>2786</v>
      </c>
      <c r="M107" s="1572" t="s">
        <v>2787</v>
      </c>
      <c r="N107" s="1573"/>
      <c r="O107" s="1556"/>
      <c r="P107" s="1556"/>
      <c r="Q107" s="1556"/>
      <c r="R107" s="298"/>
      <c r="S107" s="298"/>
      <c r="T107" s="298"/>
      <c r="U107" s="298"/>
      <c r="V107" s="298"/>
      <c r="W107" s="298"/>
      <c r="X107" s="298"/>
      <c r="Y107" s="1548"/>
      <c r="Z107" s="1552"/>
      <c r="AA107" s="1540"/>
      <c r="AB107" s="1540"/>
      <c r="AC107" s="1540"/>
      <c r="AD107" s="1540"/>
      <c r="AE107" s="1540"/>
      <c r="AF107" s="1540"/>
      <c r="AG107" s="1540"/>
      <c r="AH107" s="1540"/>
      <c r="AI107" s="1540"/>
      <c r="AJ107" s="1540"/>
      <c r="AK107" s="1540"/>
      <c r="AL107" s="1540"/>
      <c r="AM107" s="1540"/>
      <c r="AN107" s="1540"/>
      <c r="AO107" s="1540"/>
      <c r="AP107" s="1540"/>
      <c r="AQ107" s="1540"/>
      <c r="AR107" s="1540"/>
      <c r="AS107" s="1540"/>
      <c r="AT107" s="1540"/>
      <c r="CH107" s="1020"/>
      <c r="CI107" s="1020"/>
      <c r="CJ107" s="1020"/>
      <c r="CK107" s="1020"/>
    </row>
    <row r="108" spans="1:89" ht="31.35" customHeight="1" x14ac:dyDescent="0.2">
      <c r="B108" s="961" t="s">
        <v>2623</v>
      </c>
      <c r="C108" s="1336"/>
      <c r="D108" s="1336"/>
      <c r="E108" s="1336"/>
      <c r="F108" s="1336"/>
      <c r="G108" s="1336"/>
      <c r="H108" s="1336"/>
      <c r="I108" s="1336"/>
      <c r="J108" s="1336"/>
      <c r="K108" s="1336"/>
      <c r="L108" s="1336"/>
      <c r="M108" s="1336"/>
      <c r="N108" s="1336"/>
      <c r="O108" s="1336"/>
      <c r="P108" s="1336"/>
      <c r="Q108" s="1336"/>
      <c r="R108" s="1336"/>
      <c r="S108" s="1336"/>
      <c r="T108" s="1336"/>
      <c r="U108" s="1336"/>
      <c r="V108" s="1336"/>
      <c r="W108" s="1336"/>
      <c r="X108" s="1336"/>
      <c r="Y108" s="1336"/>
      <c r="Z108" s="1336"/>
      <c r="AA108" s="1336"/>
      <c r="AB108" s="1336"/>
      <c r="AC108" s="1336"/>
      <c r="AD108" s="1336"/>
      <c r="AE108" s="1336"/>
      <c r="AF108" s="1336"/>
      <c r="AG108" s="1336"/>
      <c r="AH108" s="1336"/>
      <c r="AI108" s="1336"/>
      <c r="AJ108" s="1336"/>
      <c r="AK108" s="1336"/>
      <c r="AL108" s="1336"/>
      <c r="AM108" s="1336"/>
      <c r="AN108" s="1336"/>
      <c r="AO108" s="1336"/>
      <c r="AP108" s="1574"/>
      <c r="AQ108" s="1574"/>
      <c r="AR108" s="94"/>
      <c r="AS108" s="94"/>
      <c r="AT108" s="94"/>
      <c r="AU108" s="94"/>
      <c r="AV108" s="94"/>
      <c r="AW108" s="94"/>
      <c r="AX108" s="94"/>
      <c r="AY108" s="94"/>
      <c r="AZ108" s="94"/>
      <c r="BA108" s="94"/>
      <c r="BB108" s="94"/>
      <c r="BC108" s="94"/>
      <c r="BD108" s="94"/>
      <c r="BE108" s="94"/>
      <c r="BF108" s="94"/>
      <c r="BG108" s="94"/>
      <c r="CH108" s="1020"/>
      <c r="CI108" s="1020"/>
      <c r="CJ108" s="1020"/>
      <c r="CK108" s="1020"/>
    </row>
    <row r="109" spans="1:89" ht="16.350000000000001" customHeight="1" x14ac:dyDescent="0.2">
      <c r="B109" s="5482" t="s">
        <v>2625</v>
      </c>
      <c r="C109" s="5121" t="s">
        <v>4</v>
      </c>
      <c r="D109" s="5122"/>
      <c r="E109" s="5123"/>
      <c r="F109" s="5404" t="s">
        <v>274</v>
      </c>
      <c r="G109" s="5437"/>
      <c r="H109" s="5437"/>
      <c r="I109" s="5437"/>
      <c r="J109" s="5437"/>
      <c r="K109" s="5437"/>
      <c r="L109" s="5437"/>
      <c r="M109" s="5437"/>
      <c r="N109" s="5437"/>
      <c r="O109" s="5437"/>
      <c r="P109" s="5437"/>
      <c r="Q109" s="5437"/>
      <c r="R109" s="5437"/>
      <c r="S109" s="5437"/>
      <c r="T109" s="5437"/>
      <c r="U109" s="5437"/>
      <c r="V109" s="5437"/>
      <c r="W109" s="5437"/>
      <c r="X109" s="5437"/>
      <c r="Y109" s="5437"/>
      <c r="Z109" s="5437"/>
      <c r="AA109" s="5437"/>
      <c r="AB109" s="5437"/>
      <c r="AC109" s="5437"/>
      <c r="AD109" s="5437"/>
      <c r="AE109" s="5437"/>
      <c r="AF109" s="5437"/>
      <c r="AG109" s="5437"/>
      <c r="AH109" s="5437"/>
      <c r="AI109" s="5437"/>
      <c r="AJ109" s="5437"/>
      <c r="AK109" s="5437"/>
      <c r="AL109" s="5437"/>
      <c r="AM109" s="5437"/>
      <c r="AN109" s="5437"/>
      <c r="AO109" s="5488"/>
      <c r="AP109" s="5485" t="s">
        <v>1357</v>
      </c>
      <c r="AQ109" s="5143" t="s">
        <v>555</v>
      </c>
      <c r="AR109" s="94"/>
      <c r="AS109" s="94"/>
      <c r="AT109" s="94"/>
      <c r="AU109" s="94"/>
      <c r="AV109" s="94"/>
      <c r="AW109" s="94"/>
      <c r="AX109" s="94"/>
      <c r="AY109" s="94"/>
      <c r="AZ109" s="94"/>
      <c r="BA109" s="94"/>
      <c r="BB109" s="94"/>
      <c r="BC109" s="94"/>
      <c r="BD109" s="94"/>
      <c r="BE109" s="94"/>
      <c r="BF109" s="94"/>
      <c r="BG109" s="94"/>
      <c r="CH109" s="1020"/>
      <c r="CI109" s="1020"/>
      <c r="CJ109" s="1020"/>
      <c r="CK109" s="1020"/>
    </row>
    <row r="110" spans="1:89" ht="16.350000000000001" customHeight="1" x14ac:dyDescent="0.2">
      <c r="B110" s="5483"/>
      <c r="C110" s="5401"/>
      <c r="D110" s="5402"/>
      <c r="E110" s="5403"/>
      <c r="F110" s="5404" t="s">
        <v>1871</v>
      </c>
      <c r="G110" s="5438"/>
      <c r="H110" s="5404" t="s">
        <v>1872</v>
      </c>
      <c r="I110" s="5438"/>
      <c r="J110" s="5404" t="s">
        <v>275</v>
      </c>
      <c r="K110" s="5438"/>
      <c r="L110" s="5404" t="s">
        <v>1761</v>
      </c>
      <c r="M110" s="5438"/>
      <c r="N110" s="5404" t="s">
        <v>9</v>
      </c>
      <c r="O110" s="5438"/>
      <c r="P110" s="5404" t="s">
        <v>1762</v>
      </c>
      <c r="Q110" s="5438"/>
      <c r="R110" s="5437" t="s">
        <v>11</v>
      </c>
      <c r="S110" s="5438"/>
      <c r="T110" s="5404" t="s">
        <v>12</v>
      </c>
      <c r="U110" s="5438"/>
      <c r="V110" s="5404" t="s">
        <v>13</v>
      </c>
      <c r="W110" s="5438"/>
      <c r="X110" s="5404" t="s">
        <v>14</v>
      </c>
      <c r="Y110" s="5438"/>
      <c r="Z110" s="5404" t="s">
        <v>15</v>
      </c>
      <c r="AA110" s="5438"/>
      <c r="AB110" s="5404" t="s">
        <v>16</v>
      </c>
      <c r="AC110" s="5438"/>
      <c r="AD110" s="5404" t="s">
        <v>17</v>
      </c>
      <c r="AE110" s="5438"/>
      <c r="AF110" s="5404" t="s">
        <v>18</v>
      </c>
      <c r="AG110" s="5438"/>
      <c r="AH110" s="5404" t="s">
        <v>19</v>
      </c>
      <c r="AI110" s="5438"/>
      <c r="AJ110" s="5404" t="s">
        <v>20</v>
      </c>
      <c r="AK110" s="5438"/>
      <c r="AL110" s="5404" t="s">
        <v>21</v>
      </c>
      <c r="AM110" s="5438"/>
      <c r="AN110" s="5437" t="s">
        <v>22</v>
      </c>
      <c r="AO110" s="5488"/>
      <c r="AP110" s="5486"/>
      <c r="AQ110" s="5143"/>
      <c r="AR110" s="94"/>
      <c r="AS110" s="94"/>
      <c r="AT110" s="94"/>
      <c r="AU110" s="94"/>
      <c r="AV110" s="94"/>
      <c r="AW110" s="94"/>
      <c r="AX110" s="94"/>
      <c r="AY110" s="94"/>
      <c r="AZ110" s="94"/>
      <c r="BA110" s="94"/>
      <c r="BB110" s="94"/>
      <c r="BC110" s="94"/>
      <c r="BD110" s="94"/>
      <c r="BE110" s="94"/>
      <c r="BF110" s="94"/>
      <c r="BG110" s="94"/>
      <c r="CH110" s="1020"/>
      <c r="CI110" s="1020"/>
      <c r="CJ110" s="1020"/>
      <c r="CK110" s="1020"/>
    </row>
    <row r="111" spans="1:89" ht="16.350000000000001" customHeight="1" x14ac:dyDescent="0.2">
      <c r="B111" s="5484"/>
      <c r="C111" s="1515" t="s">
        <v>184</v>
      </c>
      <c r="D111" s="1575" t="s">
        <v>24</v>
      </c>
      <c r="E111" s="1481" t="s">
        <v>25</v>
      </c>
      <c r="F111" s="1515" t="s">
        <v>24</v>
      </c>
      <c r="G111" s="1576" t="s">
        <v>25</v>
      </c>
      <c r="H111" s="1515" t="s">
        <v>24</v>
      </c>
      <c r="I111" s="1576" t="s">
        <v>25</v>
      </c>
      <c r="J111" s="1515" t="s">
        <v>24</v>
      </c>
      <c r="K111" s="1576" t="s">
        <v>25</v>
      </c>
      <c r="L111" s="1515" t="s">
        <v>24</v>
      </c>
      <c r="M111" s="1576" t="s">
        <v>25</v>
      </c>
      <c r="N111" s="1515" t="s">
        <v>24</v>
      </c>
      <c r="O111" s="1576" t="s">
        <v>25</v>
      </c>
      <c r="P111" s="1515" t="s">
        <v>24</v>
      </c>
      <c r="Q111" s="1576" t="s">
        <v>25</v>
      </c>
      <c r="R111" s="1515" t="s">
        <v>24</v>
      </c>
      <c r="S111" s="1576" t="s">
        <v>25</v>
      </c>
      <c r="T111" s="1515" t="s">
        <v>24</v>
      </c>
      <c r="U111" s="1576" t="s">
        <v>25</v>
      </c>
      <c r="V111" s="1515" t="s">
        <v>24</v>
      </c>
      <c r="W111" s="1576" t="s">
        <v>25</v>
      </c>
      <c r="X111" s="1515" t="s">
        <v>24</v>
      </c>
      <c r="Y111" s="1576" t="s">
        <v>25</v>
      </c>
      <c r="Z111" s="1515" t="s">
        <v>24</v>
      </c>
      <c r="AA111" s="1576" t="s">
        <v>25</v>
      </c>
      <c r="AB111" s="1515" t="s">
        <v>24</v>
      </c>
      <c r="AC111" s="1576" t="s">
        <v>25</v>
      </c>
      <c r="AD111" s="1515" t="s">
        <v>24</v>
      </c>
      <c r="AE111" s="1576" t="s">
        <v>25</v>
      </c>
      <c r="AF111" s="1515" t="s">
        <v>24</v>
      </c>
      <c r="AG111" s="1576" t="s">
        <v>25</v>
      </c>
      <c r="AH111" s="1515" t="s">
        <v>24</v>
      </c>
      <c r="AI111" s="1576" t="s">
        <v>25</v>
      </c>
      <c r="AJ111" s="1515" t="s">
        <v>24</v>
      </c>
      <c r="AK111" s="1576" t="s">
        <v>25</v>
      </c>
      <c r="AL111" s="1515" t="s">
        <v>24</v>
      </c>
      <c r="AM111" s="1576" t="s">
        <v>25</v>
      </c>
      <c r="AN111" s="1515" t="s">
        <v>24</v>
      </c>
      <c r="AO111" s="1324" t="s">
        <v>25</v>
      </c>
      <c r="AP111" s="5487"/>
      <c r="AQ111" s="5144"/>
      <c r="AR111" s="94"/>
      <c r="AS111" s="94"/>
      <c r="AT111" s="94"/>
      <c r="AU111" s="94"/>
      <c r="AV111" s="94"/>
      <c r="AW111" s="94"/>
      <c r="AX111" s="94"/>
      <c r="AY111" s="94"/>
      <c r="AZ111" s="94"/>
      <c r="BA111" s="94"/>
      <c r="BB111" s="94"/>
      <c r="BC111" s="94"/>
      <c r="BD111" s="94"/>
      <c r="BE111" s="94"/>
      <c r="BF111" s="94"/>
      <c r="BG111" s="94"/>
      <c r="CH111" s="1020"/>
      <c r="CI111" s="1020"/>
      <c r="CJ111" s="1020"/>
      <c r="CK111" s="1020"/>
    </row>
    <row r="112" spans="1:89" ht="16.350000000000001" customHeight="1" x14ac:dyDescent="0.2">
      <c r="A112" s="2695" t="s">
        <v>3075</v>
      </c>
      <c r="B112" s="315" t="s">
        <v>1945</v>
      </c>
      <c r="C112" s="2442" t="s">
        <v>2777</v>
      </c>
      <c r="D112" s="2443" t="s">
        <v>2778</v>
      </c>
      <c r="E112" s="316" t="s">
        <v>2779</v>
      </c>
      <c r="F112" s="2577" t="s">
        <v>2780</v>
      </c>
      <c r="G112" s="197" t="s">
        <v>2781</v>
      </c>
      <c r="H112" s="2577" t="s">
        <v>2782</v>
      </c>
      <c r="I112" s="2270" t="s">
        <v>2783</v>
      </c>
      <c r="J112" s="2577" t="s">
        <v>2784</v>
      </c>
      <c r="K112" s="2270" t="s">
        <v>2785</v>
      </c>
      <c r="L112" s="2577" t="s">
        <v>2786</v>
      </c>
      <c r="M112" s="2270" t="s">
        <v>2787</v>
      </c>
      <c r="N112" s="2577" t="s">
        <v>2788</v>
      </c>
      <c r="O112" s="2270" t="s">
        <v>2789</v>
      </c>
      <c r="P112" s="2577" t="s">
        <v>2790</v>
      </c>
      <c r="Q112" s="2270" t="s">
        <v>2791</v>
      </c>
      <c r="R112" s="2271" t="s">
        <v>2792</v>
      </c>
      <c r="S112" s="2270" t="s">
        <v>2793</v>
      </c>
      <c r="T112" s="2577" t="s">
        <v>2794</v>
      </c>
      <c r="U112" s="2270" t="s">
        <v>2795</v>
      </c>
      <c r="V112" s="2577" t="s">
        <v>2796</v>
      </c>
      <c r="W112" s="2270" t="s">
        <v>2797</v>
      </c>
      <c r="X112" s="2577" t="s">
        <v>2798</v>
      </c>
      <c r="Y112" s="2270" t="s">
        <v>2799</v>
      </c>
      <c r="Z112" s="2577" t="s">
        <v>2800</v>
      </c>
      <c r="AA112" s="2270" t="s">
        <v>2801</v>
      </c>
      <c r="AB112" s="2577" t="s">
        <v>2817</v>
      </c>
      <c r="AC112" s="2270" t="s">
        <v>2818</v>
      </c>
      <c r="AD112" s="2577" t="s">
        <v>2819</v>
      </c>
      <c r="AE112" s="2270" t="s">
        <v>2821</v>
      </c>
      <c r="AF112" s="2577" t="s">
        <v>2822</v>
      </c>
      <c r="AG112" s="2270" t="s">
        <v>2823</v>
      </c>
      <c r="AH112" s="2577" t="s">
        <v>2824</v>
      </c>
      <c r="AI112" s="2270" t="s">
        <v>2825</v>
      </c>
      <c r="AJ112" s="2577" t="s">
        <v>2826</v>
      </c>
      <c r="AK112" s="2270" t="s">
        <v>2827</v>
      </c>
      <c r="AL112" s="2577" t="s">
        <v>2831</v>
      </c>
      <c r="AM112" s="2270" t="s">
        <v>2832</v>
      </c>
      <c r="AN112" s="2577" t="s">
        <v>2833</v>
      </c>
      <c r="AO112" s="2561" t="s">
        <v>2834</v>
      </c>
      <c r="AP112" s="2784" t="s">
        <v>3011</v>
      </c>
      <c r="AQ112" s="4378" t="s">
        <v>3012</v>
      </c>
      <c r="AR112" s="1057"/>
      <c r="AS112" s="1058"/>
      <c r="AT112" s="1058"/>
      <c r="AU112" s="1058"/>
      <c r="AV112" s="1058"/>
      <c r="AW112" s="1058"/>
      <c r="AX112" s="1058"/>
      <c r="AY112" s="1058"/>
      <c r="AZ112" s="1058"/>
      <c r="BA112" s="1058"/>
      <c r="BB112" s="1058"/>
      <c r="BC112" s="1058"/>
      <c r="BD112" s="94"/>
      <c r="BE112" s="94"/>
      <c r="BF112" s="94"/>
      <c r="BG112" s="94"/>
      <c r="CB112" s="890"/>
      <c r="CC112" s="890"/>
      <c r="CD112" s="890"/>
      <c r="CH112" s="1020">
        <v>0</v>
      </c>
      <c r="CI112" s="1020">
        <v>0</v>
      </c>
      <c r="CJ112" s="1020">
        <v>0</v>
      </c>
      <c r="CK112" s="1020"/>
    </row>
    <row r="113" spans="1:89" ht="16.350000000000001" customHeight="1" x14ac:dyDescent="0.2">
      <c r="A113" s="2695" t="s">
        <v>3076</v>
      </c>
      <c r="B113" s="315" t="s">
        <v>1946</v>
      </c>
      <c r="C113" s="2442" t="s">
        <v>2777</v>
      </c>
      <c r="D113" s="2443" t="s">
        <v>2778</v>
      </c>
      <c r="E113" s="316" t="s">
        <v>2779</v>
      </c>
      <c r="F113" s="141" t="s">
        <v>2780</v>
      </c>
      <c r="G113" s="198" t="s">
        <v>2781</v>
      </c>
      <c r="H113" s="141" t="s">
        <v>2782</v>
      </c>
      <c r="I113" s="163" t="s">
        <v>2783</v>
      </c>
      <c r="J113" s="141" t="s">
        <v>2784</v>
      </c>
      <c r="K113" s="163" t="s">
        <v>2785</v>
      </c>
      <c r="L113" s="141" t="s">
        <v>2786</v>
      </c>
      <c r="M113" s="163" t="s">
        <v>2787</v>
      </c>
      <c r="N113" s="141" t="s">
        <v>2788</v>
      </c>
      <c r="O113" s="163" t="s">
        <v>2789</v>
      </c>
      <c r="P113" s="141" t="s">
        <v>2790</v>
      </c>
      <c r="Q113" s="163" t="s">
        <v>2791</v>
      </c>
      <c r="R113" s="180" t="s">
        <v>2792</v>
      </c>
      <c r="S113" s="163" t="s">
        <v>2793</v>
      </c>
      <c r="T113" s="141" t="s">
        <v>2794</v>
      </c>
      <c r="U113" s="163" t="s">
        <v>2795</v>
      </c>
      <c r="V113" s="141" t="s">
        <v>2796</v>
      </c>
      <c r="W113" s="163" t="s">
        <v>2797</v>
      </c>
      <c r="X113" s="141" t="s">
        <v>2798</v>
      </c>
      <c r="Y113" s="163" t="s">
        <v>2799</v>
      </c>
      <c r="Z113" s="141" t="s">
        <v>2800</v>
      </c>
      <c r="AA113" s="163" t="s">
        <v>2801</v>
      </c>
      <c r="AB113" s="141" t="s">
        <v>2817</v>
      </c>
      <c r="AC113" s="163" t="s">
        <v>2818</v>
      </c>
      <c r="AD113" s="141" t="s">
        <v>2819</v>
      </c>
      <c r="AE113" s="163" t="s">
        <v>2821</v>
      </c>
      <c r="AF113" s="141" t="s">
        <v>2822</v>
      </c>
      <c r="AG113" s="163" t="s">
        <v>2823</v>
      </c>
      <c r="AH113" s="141" t="s">
        <v>2824</v>
      </c>
      <c r="AI113" s="163" t="s">
        <v>2825</v>
      </c>
      <c r="AJ113" s="141" t="s">
        <v>2826</v>
      </c>
      <c r="AK113" s="163" t="s">
        <v>2827</v>
      </c>
      <c r="AL113" s="141" t="s">
        <v>2831</v>
      </c>
      <c r="AM113" s="163" t="s">
        <v>2832</v>
      </c>
      <c r="AN113" s="141" t="s">
        <v>2833</v>
      </c>
      <c r="AO113" s="318" t="s">
        <v>2834</v>
      </c>
      <c r="AP113" s="355" t="s">
        <v>3011</v>
      </c>
      <c r="AQ113" s="198" t="s">
        <v>3012</v>
      </c>
      <c r="AR113" s="1057"/>
      <c r="AS113" s="1058"/>
      <c r="AT113" s="1058"/>
      <c r="AU113" s="1058"/>
      <c r="AV113" s="1058"/>
      <c r="AW113" s="1058"/>
      <c r="AX113" s="1058"/>
      <c r="AY113" s="1058"/>
      <c r="AZ113" s="1058"/>
      <c r="BA113" s="1058"/>
      <c r="BB113" s="1058"/>
      <c r="BC113" s="1058"/>
      <c r="BD113" s="94"/>
      <c r="BE113" s="94"/>
      <c r="BF113" s="94"/>
      <c r="BG113" s="94"/>
      <c r="CH113" s="1020">
        <v>0</v>
      </c>
      <c r="CI113" s="1020">
        <v>0</v>
      </c>
      <c r="CJ113" s="1020">
        <v>0</v>
      </c>
      <c r="CK113" s="1020"/>
    </row>
    <row r="114" spans="1:89" ht="16.350000000000001" customHeight="1" x14ac:dyDescent="0.2">
      <c r="A114" s="2695" t="s">
        <v>3077</v>
      </c>
      <c r="B114" s="2696" t="s">
        <v>1947</v>
      </c>
      <c r="C114" s="2444" t="s">
        <v>2777</v>
      </c>
      <c r="D114" s="2445" t="s">
        <v>2778</v>
      </c>
      <c r="E114" s="1577" t="s">
        <v>2779</v>
      </c>
      <c r="F114" s="166" t="s">
        <v>2780</v>
      </c>
      <c r="G114" s="168" t="s">
        <v>2781</v>
      </c>
      <c r="H114" s="166" t="s">
        <v>2782</v>
      </c>
      <c r="I114" s="125" t="s">
        <v>2783</v>
      </c>
      <c r="J114" s="166" t="s">
        <v>2784</v>
      </c>
      <c r="K114" s="125" t="s">
        <v>2785</v>
      </c>
      <c r="L114" s="166" t="s">
        <v>2786</v>
      </c>
      <c r="M114" s="125" t="s">
        <v>2787</v>
      </c>
      <c r="N114" s="166" t="s">
        <v>2788</v>
      </c>
      <c r="O114" s="125" t="s">
        <v>2789</v>
      </c>
      <c r="P114" s="166" t="s">
        <v>2790</v>
      </c>
      <c r="Q114" s="125" t="s">
        <v>2791</v>
      </c>
      <c r="R114" s="126" t="s">
        <v>2792</v>
      </c>
      <c r="S114" s="125" t="s">
        <v>2793</v>
      </c>
      <c r="T114" s="166" t="s">
        <v>2794</v>
      </c>
      <c r="U114" s="125" t="s">
        <v>2795</v>
      </c>
      <c r="V114" s="166" t="s">
        <v>2796</v>
      </c>
      <c r="W114" s="125" t="s">
        <v>2797</v>
      </c>
      <c r="X114" s="166" t="s">
        <v>2798</v>
      </c>
      <c r="Y114" s="125" t="s">
        <v>2799</v>
      </c>
      <c r="Z114" s="166" t="s">
        <v>2800</v>
      </c>
      <c r="AA114" s="125" t="s">
        <v>2801</v>
      </c>
      <c r="AB114" s="166" t="s">
        <v>2817</v>
      </c>
      <c r="AC114" s="125" t="s">
        <v>2818</v>
      </c>
      <c r="AD114" s="166" t="s">
        <v>2819</v>
      </c>
      <c r="AE114" s="125" t="s">
        <v>2821</v>
      </c>
      <c r="AF114" s="166" t="s">
        <v>2822</v>
      </c>
      <c r="AG114" s="125" t="s">
        <v>2823</v>
      </c>
      <c r="AH114" s="166" t="s">
        <v>2824</v>
      </c>
      <c r="AI114" s="125" t="s">
        <v>2825</v>
      </c>
      <c r="AJ114" s="166" t="s">
        <v>2826</v>
      </c>
      <c r="AK114" s="125" t="s">
        <v>2827</v>
      </c>
      <c r="AL114" s="166" t="s">
        <v>2831</v>
      </c>
      <c r="AM114" s="125" t="s">
        <v>2832</v>
      </c>
      <c r="AN114" s="166" t="s">
        <v>2833</v>
      </c>
      <c r="AO114" s="319" t="s">
        <v>2834</v>
      </c>
      <c r="AP114" s="372" t="s">
        <v>3011</v>
      </c>
      <c r="AQ114" s="168" t="s">
        <v>3012</v>
      </c>
      <c r="AR114" s="1057"/>
      <c r="AS114" s="1058"/>
      <c r="AT114" s="1058"/>
      <c r="AU114" s="1058"/>
      <c r="AV114" s="1058"/>
      <c r="AW114" s="1058"/>
      <c r="AX114" s="1058"/>
      <c r="AY114" s="1058"/>
      <c r="AZ114" s="1058"/>
      <c r="BA114" s="1058"/>
      <c r="BB114" s="1058"/>
      <c r="BC114" s="1058"/>
      <c r="BD114" s="94"/>
      <c r="BE114" s="94"/>
      <c r="BF114" s="94"/>
      <c r="BG114" s="94"/>
      <c r="CH114" s="1020">
        <v>0</v>
      </c>
      <c r="CI114" s="1020">
        <v>0</v>
      </c>
      <c r="CJ114" s="1020">
        <v>0</v>
      </c>
      <c r="CK114" s="1020"/>
    </row>
    <row r="115" spans="1:89" ht="31.35" customHeight="1" x14ac:dyDescent="0.2">
      <c r="B115" s="1497" t="s">
        <v>1948</v>
      </c>
      <c r="C115" s="263"/>
      <c r="D115" s="263"/>
      <c r="E115" s="263"/>
      <c r="F115" s="263"/>
      <c r="G115" s="190"/>
      <c r="H115" s="190"/>
      <c r="I115" s="190"/>
      <c r="J115" s="190"/>
      <c r="K115" s="190"/>
      <c r="L115" s="190"/>
      <c r="M115" s="136"/>
      <c r="N115" s="136"/>
      <c r="O115" s="136"/>
      <c r="P115" s="136"/>
      <c r="AR115" s="94"/>
      <c r="AS115" s="94"/>
      <c r="AT115" s="94"/>
      <c r="AU115" s="94"/>
      <c r="AV115" s="94"/>
      <c r="AW115" s="94"/>
      <c r="AX115" s="94"/>
      <c r="AY115" s="94"/>
      <c r="AZ115" s="94"/>
      <c r="BA115" s="94"/>
      <c r="BB115" s="94"/>
      <c r="BC115" s="94"/>
      <c r="BD115" s="94"/>
      <c r="BE115" s="94"/>
      <c r="BF115" s="94"/>
      <c r="BG115" s="94"/>
      <c r="CH115" s="1020"/>
      <c r="CI115" s="1020"/>
      <c r="CJ115" s="1020"/>
      <c r="CK115" s="1020"/>
    </row>
    <row r="116" spans="1:89" ht="16.350000000000001" customHeight="1" x14ac:dyDescent="0.2">
      <c r="B116" s="5499" t="s">
        <v>177</v>
      </c>
      <c r="C116" s="5500"/>
      <c r="D116" s="5499" t="s">
        <v>210</v>
      </c>
      <c r="E116" s="5505"/>
      <c r="F116" s="5500"/>
      <c r="G116" s="5499" t="s">
        <v>5</v>
      </c>
      <c r="H116" s="5505"/>
      <c r="I116" s="5505"/>
      <c r="J116" s="5505"/>
      <c r="K116" s="5505"/>
      <c r="L116" s="5505"/>
      <c r="M116" s="5505"/>
      <c r="N116" s="5505"/>
      <c r="O116" s="5505"/>
      <c r="P116" s="5500"/>
      <c r="AR116" s="94"/>
      <c r="AS116" s="94"/>
      <c r="AT116" s="94"/>
      <c r="AU116" s="94"/>
      <c r="AV116" s="94"/>
      <c r="AW116" s="94"/>
      <c r="AX116" s="94"/>
      <c r="AY116" s="94"/>
      <c r="AZ116" s="94"/>
      <c r="BA116" s="94"/>
      <c r="BB116" s="94"/>
      <c r="BC116" s="94"/>
      <c r="BD116" s="94"/>
      <c r="BE116" s="94"/>
      <c r="BF116" s="94"/>
      <c r="BG116" s="94"/>
      <c r="CH116" s="1020"/>
      <c r="CI116" s="1020"/>
      <c r="CJ116" s="1020"/>
      <c r="CK116" s="1020"/>
    </row>
    <row r="117" spans="1:89" ht="16.350000000000001" customHeight="1" x14ac:dyDescent="0.2">
      <c r="B117" s="5501"/>
      <c r="C117" s="5502"/>
      <c r="D117" s="5501"/>
      <c r="E117" s="5506"/>
      <c r="F117" s="5502"/>
      <c r="G117" s="5503"/>
      <c r="H117" s="5507"/>
      <c r="I117" s="5507"/>
      <c r="J117" s="5507"/>
      <c r="K117" s="5507"/>
      <c r="L117" s="5507"/>
      <c r="M117" s="5507"/>
      <c r="N117" s="5507"/>
      <c r="O117" s="5507"/>
      <c r="P117" s="5504"/>
      <c r="AR117" s="94"/>
      <c r="AS117" s="94"/>
      <c r="AT117" s="94"/>
      <c r="AU117" s="94"/>
      <c r="AV117" s="94"/>
      <c r="AW117" s="94"/>
      <c r="AX117" s="94"/>
      <c r="AY117" s="94"/>
      <c r="AZ117" s="94"/>
      <c r="BA117" s="94"/>
      <c r="BB117" s="94"/>
      <c r="BC117" s="94"/>
      <c r="BD117" s="94"/>
      <c r="BE117" s="94"/>
      <c r="BF117" s="94"/>
      <c r="BG117" s="94"/>
      <c r="CH117" s="1020"/>
      <c r="CI117" s="1020"/>
      <c r="CJ117" s="1020"/>
      <c r="CK117" s="1020"/>
    </row>
    <row r="118" spans="1:89" ht="24" customHeight="1" x14ac:dyDescent="0.2">
      <c r="B118" s="5501"/>
      <c r="C118" s="5502"/>
      <c r="D118" s="5503"/>
      <c r="E118" s="5507"/>
      <c r="F118" s="5504"/>
      <c r="G118" s="5508" t="s">
        <v>1276</v>
      </c>
      <c r="H118" s="5509"/>
      <c r="I118" s="5508" t="s">
        <v>1275</v>
      </c>
      <c r="J118" s="5509"/>
      <c r="K118" s="5508" t="s">
        <v>1274</v>
      </c>
      <c r="L118" s="5509"/>
      <c r="M118" s="5508" t="s">
        <v>1277</v>
      </c>
      <c r="N118" s="5509"/>
      <c r="O118" s="5508" t="s">
        <v>1949</v>
      </c>
      <c r="P118" s="5509"/>
      <c r="AR118" s="94"/>
      <c r="AS118" s="94"/>
      <c r="AT118" s="94"/>
      <c r="AU118" s="94"/>
      <c r="AV118" s="94"/>
      <c r="AW118" s="94"/>
      <c r="AX118" s="94"/>
      <c r="AY118" s="94"/>
      <c r="AZ118" s="94"/>
      <c r="BA118" s="94"/>
      <c r="BB118" s="94"/>
      <c r="BC118" s="94"/>
      <c r="BD118" s="94"/>
      <c r="BE118" s="94"/>
      <c r="BF118" s="94"/>
      <c r="BG118" s="94"/>
      <c r="CH118" s="1020"/>
      <c r="CI118" s="1020"/>
      <c r="CJ118" s="1020"/>
      <c r="CK118" s="1020"/>
    </row>
    <row r="119" spans="1:89" ht="22.5" customHeight="1" x14ac:dyDescent="0.2">
      <c r="B119" s="5503"/>
      <c r="C119" s="5504"/>
      <c r="D119" s="1578" t="s">
        <v>184</v>
      </c>
      <c r="E119" s="1579" t="s">
        <v>24</v>
      </c>
      <c r="F119" s="1568" t="s">
        <v>25</v>
      </c>
      <c r="G119" s="1578" t="s">
        <v>24</v>
      </c>
      <c r="H119" s="1568" t="s">
        <v>25</v>
      </c>
      <c r="I119" s="1578" t="s">
        <v>24</v>
      </c>
      <c r="J119" s="1568" t="s">
        <v>25</v>
      </c>
      <c r="K119" s="1578" t="s">
        <v>24</v>
      </c>
      <c r="L119" s="1568" t="s">
        <v>25</v>
      </c>
      <c r="M119" s="1578" t="s">
        <v>24</v>
      </c>
      <c r="N119" s="1568" t="s">
        <v>25</v>
      </c>
      <c r="O119" s="1578" t="s">
        <v>24</v>
      </c>
      <c r="P119" s="1568" t="s">
        <v>25</v>
      </c>
      <c r="AR119" s="94"/>
      <c r="AS119" s="94"/>
      <c r="AT119" s="94"/>
      <c r="AU119" s="94"/>
      <c r="AV119" s="94"/>
      <c r="AW119" s="94"/>
      <c r="AX119" s="94"/>
      <c r="AY119" s="94"/>
      <c r="AZ119" s="94"/>
      <c r="BA119" s="94"/>
      <c r="BB119" s="94"/>
      <c r="BC119" s="94"/>
      <c r="BD119" s="94"/>
      <c r="BE119" s="94"/>
      <c r="BF119" s="94"/>
      <c r="BG119" s="94"/>
      <c r="CH119" s="1020"/>
      <c r="CI119" s="1020"/>
      <c r="CJ119" s="1020"/>
      <c r="CK119" s="1020"/>
    </row>
    <row r="120" spans="1:89" ht="16.350000000000001" customHeight="1" x14ac:dyDescent="0.2">
      <c r="A120" s="2449" t="s">
        <v>3078</v>
      </c>
      <c r="B120" s="5489" t="s">
        <v>1950</v>
      </c>
      <c r="C120" s="2697" t="s">
        <v>1951</v>
      </c>
      <c r="D120" s="2698" t="s">
        <v>2777</v>
      </c>
      <c r="E120" s="2699" t="s">
        <v>2778</v>
      </c>
      <c r="F120" s="2700" t="s">
        <v>2779</v>
      </c>
      <c r="G120" s="2701" t="s">
        <v>2780</v>
      </c>
      <c r="H120" s="2702" t="s">
        <v>2781</v>
      </c>
      <c r="I120" s="2701" t="s">
        <v>2782</v>
      </c>
      <c r="J120" s="2702" t="s">
        <v>2783</v>
      </c>
      <c r="K120" s="2701" t="s">
        <v>2784</v>
      </c>
      <c r="L120" s="2702" t="s">
        <v>2785</v>
      </c>
      <c r="M120" s="2701" t="s">
        <v>2786</v>
      </c>
      <c r="N120" s="2702" t="s">
        <v>2787</v>
      </c>
      <c r="O120" s="2701" t="s">
        <v>2788</v>
      </c>
      <c r="P120" s="2702" t="s">
        <v>2789</v>
      </c>
      <c r="AR120" s="94"/>
      <c r="AS120" s="94"/>
      <c r="AT120" s="94"/>
      <c r="AU120" s="94"/>
      <c r="AV120" s="94"/>
      <c r="AW120" s="94"/>
      <c r="AX120" s="94"/>
      <c r="AY120" s="94"/>
      <c r="AZ120" s="94"/>
      <c r="BA120" s="94"/>
      <c r="BB120" s="94"/>
      <c r="BC120" s="94"/>
      <c r="BD120" s="94"/>
      <c r="BE120" s="94"/>
      <c r="BF120" s="94"/>
      <c r="BG120" s="94"/>
      <c r="CH120" s="1020"/>
      <c r="CI120" s="1020"/>
      <c r="CJ120" s="1020"/>
      <c r="CK120" s="1020"/>
    </row>
    <row r="121" spans="1:89" ht="16.350000000000001" customHeight="1" x14ac:dyDescent="0.2">
      <c r="A121" s="2449" t="s">
        <v>3079</v>
      </c>
      <c r="B121" s="5490"/>
      <c r="C121" s="2703" t="s">
        <v>1952</v>
      </c>
      <c r="D121" s="1580" t="s">
        <v>2777</v>
      </c>
      <c r="E121" s="1581" t="s">
        <v>2778</v>
      </c>
      <c r="F121" s="1582" t="s">
        <v>2779</v>
      </c>
      <c r="G121" s="2704" t="s">
        <v>2780</v>
      </c>
      <c r="H121" s="2705" t="s">
        <v>2781</v>
      </c>
      <c r="I121" s="2704" t="s">
        <v>2782</v>
      </c>
      <c r="J121" s="2705" t="s">
        <v>2783</v>
      </c>
      <c r="K121" s="2704" t="s">
        <v>2784</v>
      </c>
      <c r="L121" s="2705" t="s">
        <v>2785</v>
      </c>
      <c r="M121" s="2704" t="s">
        <v>2786</v>
      </c>
      <c r="N121" s="2705" t="s">
        <v>2787</v>
      </c>
      <c r="O121" s="2704" t="s">
        <v>2788</v>
      </c>
      <c r="P121" s="2705" t="s">
        <v>2789</v>
      </c>
      <c r="CH121" s="1020"/>
      <c r="CI121" s="1020"/>
      <c r="CJ121" s="1020"/>
      <c r="CK121" s="1020"/>
    </row>
    <row r="122" spans="1:89" ht="16.350000000000001" customHeight="1" thickBot="1" x14ac:dyDescent="0.3">
      <c r="A122" s="2449" t="s">
        <v>3080</v>
      </c>
      <c r="B122" s="5491"/>
      <c r="C122" s="1583" t="s">
        <v>1953</v>
      </c>
      <c r="D122" s="1584" t="s">
        <v>2777</v>
      </c>
      <c r="E122" s="1585" t="s">
        <v>2778</v>
      </c>
      <c r="F122" s="1586" t="s">
        <v>2779</v>
      </c>
      <c r="G122" s="2706" t="s">
        <v>2780</v>
      </c>
      <c r="H122" s="2707" t="s">
        <v>2781</v>
      </c>
      <c r="I122" s="2706" t="s">
        <v>2782</v>
      </c>
      <c r="J122" s="2707" t="s">
        <v>2783</v>
      </c>
      <c r="K122" s="2706" t="s">
        <v>2784</v>
      </c>
      <c r="L122" s="2707" t="s">
        <v>2785</v>
      </c>
      <c r="M122" s="2706" t="s">
        <v>2786</v>
      </c>
      <c r="N122" s="2707" t="s">
        <v>2787</v>
      </c>
      <c r="O122" s="2706" t="s">
        <v>2788</v>
      </c>
      <c r="P122" s="2707" t="s">
        <v>2789</v>
      </c>
      <c r="CH122" s="1020"/>
      <c r="CI122" s="1020"/>
      <c r="CJ122" s="1020"/>
      <c r="CK122" s="1020"/>
    </row>
    <row r="123" spans="1:89" ht="16.350000000000001" customHeight="1" thickTop="1" x14ac:dyDescent="0.2">
      <c r="A123" s="2449" t="s">
        <v>3081</v>
      </c>
      <c r="B123" s="5492" t="s">
        <v>1954</v>
      </c>
      <c r="C123" s="2708" t="s">
        <v>29</v>
      </c>
      <c r="D123" s="2709" t="s">
        <v>2777</v>
      </c>
      <c r="E123" s="2710" t="s">
        <v>2778</v>
      </c>
      <c r="F123" s="2700" t="s">
        <v>2779</v>
      </c>
      <c r="G123" s="2701" t="s">
        <v>2780</v>
      </c>
      <c r="H123" s="2702" t="s">
        <v>2781</v>
      </c>
      <c r="I123" s="2701" t="s">
        <v>2782</v>
      </c>
      <c r="J123" s="2702" t="s">
        <v>2783</v>
      </c>
      <c r="K123" s="2701" t="s">
        <v>2784</v>
      </c>
      <c r="L123" s="2702" t="s">
        <v>2785</v>
      </c>
      <c r="M123" s="2701" t="s">
        <v>2786</v>
      </c>
      <c r="N123" s="2702" t="s">
        <v>2787</v>
      </c>
      <c r="O123" s="2701" t="s">
        <v>2788</v>
      </c>
      <c r="P123" s="2702" t="s">
        <v>2789</v>
      </c>
      <c r="CH123" s="1020"/>
      <c r="CI123" s="1020"/>
      <c r="CJ123" s="1020"/>
      <c r="CK123" s="1020"/>
    </row>
    <row r="124" spans="1:89" ht="16.350000000000001" customHeight="1" x14ac:dyDescent="0.2">
      <c r="A124" s="2449" t="s">
        <v>3082</v>
      </c>
      <c r="B124" s="5493"/>
      <c r="C124" s="2708" t="s">
        <v>1955</v>
      </c>
      <c r="D124" s="2709" t="s">
        <v>2777</v>
      </c>
      <c r="E124" s="2710" t="s">
        <v>2778</v>
      </c>
      <c r="F124" s="2700" t="s">
        <v>2779</v>
      </c>
      <c r="G124" s="2701" t="s">
        <v>2780</v>
      </c>
      <c r="H124" s="2702" t="s">
        <v>2781</v>
      </c>
      <c r="I124" s="2701" t="s">
        <v>2782</v>
      </c>
      <c r="J124" s="2702" t="s">
        <v>2783</v>
      </c>
      <c r="K124" s="2701" t="s">
        <v>2784</v>
      </c>
      <c r="L124" s="2702" t="s">
        <v>2785</v>
      </c>
      <c r="M124" s="2701" t="s">
        <v>2786</v>
      </c>
      <c r="N124" s="2702" t="s">
        <v>2787</v>
      </c>
      <c r="O124" s="2701" t="s">
        <v>2788</v>
      </c>
      <c r="P124" s="2702" t="s">
        <v>2789</v>
      </c>
      <c r="CH124" s="1020"/>
      <c r="CI124" s="1020"/>
      <c r="CJ124" s="1020"/>
      <c r="CK124" s="1020"/>
    </row>
    <row r="125" spans="1:89" ht="16.350000000000001" customHeight="1" x14ac:dyDescent="0.2">
      <c r="A125" s="2449" t="s">
        <v>3083</v>
      </c>
      <c r="B125" s="5493"/>
      <c r="C125" s="1587" t="s">
        <v>495</v>
      </c>
      <c r="D125" s="1580" t="s">
        <v>2777</v>
      </c>
      <c r="E125" s="1581" t="s">
        <v>2778</v>
      </c>
      <c r="F125" s="1582" t="s">
        <v>2779</v>
      </c>
      <c r="G125" s="2704" t="s">
        <v>2780</v>
      </c>
      <c r="H125" s="2705" t="s">
        <v>2781</v>
      </c>
      <c r="I125" s="2704" t="s">
        <v>2782</v>
      </c>
      <c r="J125" s="2705" t="s">
        <v>2783</v>
      </c>
      <c r="K125" s="2704" t="s">
        <v>2784</v>
      </c>
      <c r="L125" s="2705" t="s">
        <v>2785</v>
      </c>
      <c r="M125" s="2704" t="s">
        <v>2786</v>
      </c>
      <c r="N125" s="2705" t="s">
        <v>2787</v>
      </c>
      <c r="O125" s="2704" t="s">
        <v>2788</v>
      </c>
      <c r="P125" s="2705" t="s">
        <v>2789</v>
      </c>
      <c r="CH125" s="1020"/>
      <c r="CI125" s="1020"/>
      <c r="CJ125" s="1020"/>
      <c r="CK125" s="1020"/>
    </row>
    <row r="126" spans="1:89" ht="16.350000000000001" customHeight="1" x14ac:dyDescent="0.2">
      <c r="A126" s="2449" t="s">
        <v>3084</v>
      </c>
      <c r="B126" s="5494"/>
      <c r="C126" s="1588" t="s">
        <v>68</v>
      </c>
      <c r="D126" s="1589" t="s">
        <v>2777</v>
      </c>
      <c r="E126" s="1590" t="s">
        <v>2778</v>
      </c>
      <c r="F126" s="1591" t="s">
        <v>2779</v>
      </c>
      <c r="G126" s="2711" t="s">
        <v>2780</v>
      </c>
      <c r="H126" s="2712" t="s">
        <v>2781</v>
      </c>
      <c r="I126" s="2711" t="s">
        <v>2782</v>
      </c>
      <c r="J126" s="2712" t="s">
        <v>2783</v>
      </c>
      <c r="K126" s="2711" t="s">
        <v>2784</v>
      </c>
      <c r="L126" s="2712" t="s">
        <v>2785</v>
      </c>
      <c r="M126" s="2711" t="s">
        <v>2786</v>
      </c>
      <c r="N126" s="2712" t="s">
        <v>2787</v>
      </c>
      <c r="O126" s="2711" t="s">
        <v>2788</v>
      </c>
      <c r="P126" s="2712" t="s">
        <v>2789</v>
      </c>
      <c r="CH126" s="1020"/>
      <c r="CI126" s="1020"/>
      <c r="CJ126" s="1020"/>
      <c r="CK126" s="1020"/>
    </row>
    <row r="127" spans="1:89" x14ac:dyDescent="0.2">
      <c r="CH127" s="1020"/>
      <c r="CI127" s="1020"/>
      <c r="CJ127" s="1020"/>
      <c r="CK127" s="1020"/>
    </row>
    <row r="128" spans="1:89" x14ac:dyDescent="0.2">
      <c r="CH128" s="1020"/>
      <c r="CI128" s="1020"/>
      <c r="CJ128" s="1020"/>
      <c r="CK128" s="1020"/>
    </row>
    <row r="129" spans="86:89" x14ac:dyDescent="0.2">
      <c r="CH129" s="1020"/>
      <c r="CI129" s="1020"/>
      <c r="CJ129" s="1020"/>
      <c r="CK129" s="1020"/>
    </row>
    <row r="208" spans="2:105" s="206" customFormat="1" ht="18.75" hidden="1" customHeight="1" x14ac:dyDescent="0.2">
      <c r="B208" s="206">
        <f>SUM(C12:E12,C31:C44,C48:C49,C54,C57,D77:F77,C91:C93,C101:G101,C105:C107,C112:C114,D120:D126,D78:D80,C72,C67:C68,C63:H64)</f>
        <v>0</v>
      </c>
      <c r="C208" s="206">
        <f>SUM(CH13:CK129)</f>
        <v>6</v>
      </c>
      <c r="BY208" s="1016"/>
      <c r="BZ208" s="1016"/>
      <c r="CA208" s="1016"/>
      <c r="CB208" s="1016"/>
      <c r="CC208" s="1016"/>
      <c r="CD208" s="1016"/>
      <c r="CE208" s="1016"/>
      <c r="CF208" s="1016"/>
      <c r="CG208" s="1016"/>
      <c r="CH208" s="1016"/>
      <c r="CI208" s="1016"/>
      <c r="CJ208" s="1016"/>
      <c r="CK208" s="1016"/>
      <c r="CL208" s="1016"/>
      <c r="CM208" s="1016"/>
      <c r="CN208" s="1016"/>
      <c r="CO208" s="1016"/>
      <c r="CP208" s="1016"/>
      <c r="CQ208" s="1016"/>
      <c r="CR208" s="1016"/>
      <c r="CS208" s="1016"/>
      <c r="CT208" s="1016"/>
      <c r="CU208" s="1016"/>
      <c r="CV208" s="1016"/>
      <c r="CW208" s="1016"/>
      <c r="CX208" s="1016"/>
      <c r="CY208" s="1016"/>
      <c r="CZ208" s="1016"/>
      <c r="DA208" s="1016"/>
    </row>
  </sheetData>
  <mergeCells count="162">
    <mergeCell ref="A9:A11"/>
    <mergeCell ref="B120:B122"/>
    <mergeCell ref="B123:B126"/>
    <mergeCell ref="H95:I96"/>
    <mergeCell ref="J95:K96"/>
    <mergeCell ref="AN110:AO110"/>
    <mergeCell ref="B116:C119"/>
    <mergeCell ref="D116:F118"/>
    <mergeCell ref="G116:P117"/>
    <mergeCell ref="G118:H118"/>
    <mergeCell ref="I118:J118"/>
    <mergeCell ref="K118:L118"/>
    <mergeCell ref="M118:N118"/>
    <mergeCell ref="O118:P118"/>
    <mergeCell ref="AB110:AC110"/>
    <mergeCell ref="AD110:AE110"/>
    <mergeCell ref="AF110:AG110"/>
    <mergeCell ref="AH110:AI110"/>
    <mergeCell ref="AJ110:AK110"/>
    <mergeCell ref="AL110:AM110"/>
    <mergeCell ref="B103:B104"/>
    <mergeCell ref="C103:C104"/>
    <mergeCell ref="D103:L103"/>
    <mergeCell ref="M103:M104"/>
    <mergeCell ref="B109:B111"/>
    <mergeCell ref="AP109:AP111"/>
    <mergeCell ref="AQ109:AQ111"/>
    <mergeCell ref="F110:G110"/>
    <mergeCell ref="H110:I110"/>
    <mergeCell ref="J110:K110"/>
    <mergeCell ref="L110:M110"/>
    <mergeCell ref="N110:O110"/>
    <mergeCell ref="P110:Q110"/>
    <mergeCell ref="R110:S110"/>
    <mergeCell ref="T110:U110"/>
    <mergeCell ref="C109:E110"/>
    <mergeCell ref="F109:AO109"/>
    <mergeCell ref="V110:W110"/>
    <mergeCell ref="X110:Y110"/>
    <mergeCell ref="Z110:AA110"/>
    <mergeCell ref="B84:E84"/>
    <mergeCell ref="B90:E90"/>
    <mergeCell ref="B94:G94"/>
    <mergeCell ref="B95:B97"/>
    <mergeCell ref="C95:D96"/>
    <mergeCell ref="E95:F96"/>
    <mergeCell ref="G95:G97"/>
    <mergeCell ref="B78:B79"/>
    <mergeCell ref="B82:B83"/>
    <mergeCell ref="C82:C83"/>
    <mergeCell ref="D82:D83"/>
    <mergeCell ref="E82:E83"/>
    <mergeCell ref="AL74:AL76"/>
    <mergeCell ref="G75:H75"/>
    <mergeCell ref="I75:J75"/>
    <mergeCell ref="K75:L75"/>
    <mergeCell ref="M75:N75"/>
    <mergeCell ref="O75:P75"/>
    <mergeCell ref="Q75:R75"/>
    <mergeCell ref="S75:T75"/>
    <mergeCell ref="U75:V75"/>
    <mergeCell ref="W75:X75"/>
    <mergeCell ref="B74:B76"/>
    <mergeCell ref="C74:C76"/>
    <mergeCell ref="D74:F75"/>
    <mergeCell ref="G74:AJ74"/>
    <mergeCell ref="AK74:AK76"/>
    <mergeCell ref="Y75:Z75"/>
    <mergeCell ref="AA75:AB75"/>
    <mergeCell ref="AC75:AD75"/>
    <mergeCell ref="AE75:AF75"/>
    <mergeCell ref="AG75:AH75"/>
    <mergeCell ref="AI75:AJ75"/>
    <mergeCell ref="B70:B71"/>
    <mergeCell ref="C70:C71"/>
    <mergeCell ref="D70:D71"/>
    <mergeCell ref="E70:E71"/>
    <mergeCell ref="R52:R53"/>
    <mergeCell ref="B51:B53"/>
    <mergeCell ref="C51:E52"/>
    <mergeCell ref="F51:W51"/>
    <mergeCell ref="B73:H73"/>
    <mergeCell ref="L52:L53"/>
    <mergeCell ref="M52:M53"/>
    <mergeCell ref="N52:N53"/>
    <mergeCell ref="O52:O53"/>
    <mergeCell ref="P52:P53"/>
    <mergeCell ref="Q52:Q53"/>
    <mergeCell ref="B61:B62"/>
    <mergeCell ref="C61:D61"/>
    <mergeCell ref="E61:F61"/>
    <mergeCell ref="G61:H61"/>
    <mergeCell ref="X51:X53"/>
    <mergeCell ref="F52:F53"/>
    <mergeCell ref="G52:G53"/>
    <mergeCell ref="H52:H53"/>
    <mergeCell ref="I52:I53"/>
    <mergeCell ref="J52:J53"/>
    <mergeCell ref="K52:K53"/>
    <mergeCell ref="AN29:AO29"/>
    <mergeCell ref="B46:B47"/>
    <mergeCell ref="C46:C47"/>
    <mergeCell ref="D46:G46"/>
    <mergeCell ref="H46:K46"/>
    <mergeCell ref="M46:S46"/>
    <mergeCell ref="AB29:AC29"/>
    <mergeCell ref="AD29:AE29"/>
    <mergeCell ref="AF29:AG29"/>
    <mergeCell ref="AH29:AI29"/>
    <mergeCell ref="AJ29:AK29"/>
    <mergeCell ref="AL29:AM29"/>
    <mergeCell ref="S52:S53"/>
    <mergeCell ref="T52:T53"/>
    <mergeCell ref="U52:U53"/>
    <mergeCell ref="V52:V53"/>
    <mergeCell ref="W52:W53"/>
    <mergeCell ref="B28:B30"/>
    <mergeCell ref="C28:E29"/>
    <mergeCell ref="AR28:AR30"/>
    <mergeCell ref="AS28:AS30"/>
    <mergeCell ref="AT28:AT30"/>
    <mergeCell ref="F29:G29"/>
    <mergeCell ref="H29:I29"/>
    <mergeCell ref="J29:K29"/>
    <mergeCell ref="L29:M29"/>
    <mergeCell ref="N29:O29"/>
    <mergeCell ref="P29:Q29"/>
    <mergeCell ref="R29:S29"/>
    <mergeCell ref="F28:AO28"/>
    <mergeCell ref="AP28:AP30"/>
    <mergeCell ref="AQ28:AQ30"/>
    <mergeCell ref="T29:U29"/>
    <mergeCell ref="V29:W29"/>
    <mergeCell ref="X29:Y29"/>
    <mergeCell ref="Z29:AA29"/>
    <mergeCell ref="AR9:AR11"/>
    <mergeCell ref="AS9:AS11"/>
    <mergeCell ref="AT9:AT11"/>
    <mergeCell ref="F10:G10"/>
    <mergeCell ref="H10:I10"/>
    <mergeCell ref="J10:K10"/>
    <mergeCell ref="L10:M10"/>
    <mergeCell ref="N10:O10"/>
    <mergeCell ref="P10:Q10"/>
    <mergeCell ref="R10:S10"/>
    <mergeCell ref="AN10:AO10"/>
    <mergeCell ref="AB10:AC10"/>
    <mergeCell ref="AD10:AE10"/>
    <mergeCell ref="AF10:AG10"/>
    <mergeCell ref="AH10:AI10"/>
    <mergeCell ref="AJ10:AK10"/>
    <mergeCell ref="AL10:AM10"/>
    <mergeCell ref="B6:X6"/>
    <mergeCell ref="B9:B11"/>
    <mergeCell ref="C9:E10"/>
    <mergeCell ref="F9:AO9"/>
    <mergeCell ref="AP9:AP11"/>
    <mergeCell ref="AQ9:AQ11"/>
    <mergeCell ref="T10:U10"/>
    <mergeCell ref="V10:W10"/>
    <mergeCell ref="X10:Y10"/>
    <mergeCell ref="Z10:AA10"/>
  </mergeCells>
  <phoneticPr fontId="87" type="noConversion"/>
  <dataValidations count="3">
    <dataValidation type="whole" operator="greaterThanOrEqual" allowBlank="1" showInputMessage="1" showErrorMessage="1" error="Valor no Permitido" sqref="F13:AT26 F31:AT44 D48:K49 D55:X59 C63:H64 C67:C68 D72:E72 G77:AL80 D85:E89 D91:E93 C98:K100 C105:M107 F112:AQ114 G120:P126" xr:uid="{00000000-0002-0000-0400-000000000000}">
      <formula1>0</formula1>
    </dataValidation>
    <dataValidation allowBlank="1" showInputMessage="1" showErrorMessage="1" errorTitle="Error de ingreso" error="Debe ingresar sólo números enteros positivos." sqref="B13:E26 C31:E44 B48:C49 D54:X54 B54:C59 B63:B64 B67:B68 B72:C72 B77:F80 B85:C93 D90:E90 B98:B101 C101:G101 B105:B107 B112:E114 B120:F126" xr:uid="{00000000-0002-0000-0400-000001000000}"/>
    <dataValidation type="whole" allowBlank="1" showInputMessage="1" showErrorMessage="1" errorTitle="ERROR" error="Por Favor ingrese solo Números." sqref="A54 A57" xr:uid="{00000000-0002-0000-0400-000002000000}">
      <formula1>0</formula1>
      <formula2>10000000000</formula2>
    </dataValidation>
  </dataValidations>
  <pageMargins left="0.7" right="0.7" top="0.75" bottom="0.75" header="0.3" footer="0.3"/>
  <pageSetup orientation="portrait" r:id="rId1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6">
    <tabColor theme="0"/>
  </sheetPr>
  <dimension ref="A1:DA324"/>
  <sheetViews>
    <sheetView zoomScaleNormal="100" workbookViewId="0"/>
  </sheetViews>
  <sheetFormatPr baseColWidth="10" defaultColWidth="11.42578125" defaultRowHeight="14.25" x14ac:dyDescent="0.2"/>
  <cols>
    <col min="1" max="1" width="14.5703125" style="80" customWidth="1"/>
    <col min="2" max="2" width="37.140625" style="80" customWidth="1"/>
    <col min="3" max="3" width="44.42578125" style="80" customWidth="1"/>
    <col min="4" max="4" width="11.85546875" style="80" customWidth="1"/>
    <col min="5" max="5" width="12.42578125" style="80" customWidth="1"/>
    <col min="6" max="12" width="11.42578125" style="80"/>
    <col min="13" max="13" width="13.140625" style="80" customWidth="1"/>
    <col min="14" max="16" width="11.42578125" style="80" customWidth="1"/>
    <col min="17" max="18" width="11.42578125" style="80"/>
    <col min="19" max="19" width="12.85546875" style="80" customWidth="1"/>
    <col min="20" max="20" width="11.42578125" style="80"/>
    <col min="21" max="21" width="12.42578125" style="80" customWidth="1"/>
    <col min="22" max="22" width="11.42578125" style="80"/>
    <col min="23" max="23" width="12.42578125" style="80" customWidth="1"/>
    <col min="24" max="24" width="11.42578125" style="80"/>
    <col min="25" max="25" width="11.85546875" style="80" customWidth="1"/>
    <col min="26" max="34" width="11.42578125" style="80"/>
    <col min="35" max="35" width="13" style="80" customWidth="1"/>
    <col min="36" max="36" width="11.7109375" style="80" customWidth="1"/>
    <col min="37" max="37" width="13" style="80" customWidth="1"/>
    <col min="38" max="42" width="11.42578125" style="80"/>
    <col min="43" max="43" width="12.140625" style="80" customWidth="1"/>
    <col min="44" max="50" width="11.42578125" style="80"/>
    <col min="51" max="51" width="11.7109375" style="80" customWidth="1"/>
    <col min="52" max="67" width="11.42578125" style="80"/>
    <col min="68" max="73" width="11.42578125" style="80" customWidth="1"/>
    <col min="74" max="78" width="11.7109375" style="80" customWidth="1"/>
    <col min="79" max="79" width="11.140625" style="79" customWidth="1"/>
    <col min="80" max="105" width="11.140625" style="889" customWidth="1"/>
    <col min="106" max="107" width="11.140625" style="80" customWidth="1"/>
    <col min="108" max="120" width="11.42578125" style="80" customWidth="1"/>
    <col min="121" max="16384" width="11.42578125" style="80"/>
  </cols>
  <sheetData>
    <row r="1" spans="1:93" ht="16.350000000000001" customHeight="1" x14ac:dyDescent="0.2">
      <c r="B1" s="78" t="s">
        <v>910</v>
      </c>
    </row>
    <row r="2" spans="1:93" ht="16.350000000000001" customHeight="1" x14ac:dyDescent="0.2">
      <c r="B2" s="78" t="str">
        <f>CONCATENATE("COMUNA: ",NOMBRE!B2," - ","( ",NOMBRE!C2,NOMBRE!D2,NOMBRE!E2,NOMBRE!F2,NOMBRE!G2," )")</f>
        <v>COMUNA:  - (  )</v>
      </c>
    </row>
    <row r="3" spans="1:93" ht="16.350000000000001" customHeight="1" x14ac:dyDescent="0.2">
      <c r="B3" s="78" t="str">
        <f>CONCATENATE("ESTABLECIMIENTO/ESTRATEGIA: ",NOMBRE!B3," - ","( ",NOMBRE!C3,NOMBRE!D3,NOMBRE!E3,NOMBRE!F3,NOMBRE!G3,NOMBRE!H3," )")</f>
        <v>ESTABLECIMIENTO/ESTRATEGIA:  - (  )</v>
      </c>
    </row>
    <row r="4" spans="1:93" ht="16.350000000000001" customHeight="1" x14ac:dyDescent="0.2">
      <c r="B4" s="78" t="str">
        <f>CONCATENATE("MES: ",NOMBRE!B6," - ","( ",NOMBRE!C6,NOMBRE!D6," )")</f>
        <v>MES:  - (  )</v>
      </c>
      <c r="AF4" s="321"/>
      <c r="AG4" s="321"/>
      <c r="AH4" s="321"/>
      <c r="AI4" s="321"/>
      <c r="AJ4" s="321"/>
      <c r="AK4" s="321"/>
      <c r="AL4" s="321"/>
      <c r="AM4" s="321"/>
      <c r="AN4" s="321"/>
      <c r="AO4" s="321"/>
      <c r="AP4" s="321"/>
      <c r="AQ4" s="321"/>
      <c r="AR4" s="321"/>
      <c r="AS4" s="321"/>
      <c r="AT4" s="321"/>
      <c r="AU4" s="321"/>
      <c r="AV4" s="321"/>
      <c r="AW4" s="321"/>
      <c r="AX4" s="321"/>
    </row>
    <row r="5" spans="1:93" ht="16.350000000000001" customHeight="1" x14ac:dyDescent="0.2">
      <c r="B5" s="78" t="str">
        <f>CONCATENATE("AÑO: ",NOMBRE!B7)</f>
        <v>AÑO: 2020</v>
      </c>
      <c r="AF5" s="321"/>
      <c r="AG5" s="321"/>
      <c r="AH5" s="321"/>
      <c r="AI5" s="321"/>
      <c r="AJ5" s="321"/>
      <c r="AK5" s="321"/>
      <c r="AL5" s="321"/>
      <c r="AM5" s="321"/>
      <c r="AN5" s="321"/>
      <c r="AO5" s="321"/>
      <c r="AP5" s="321"/>
      <c r="AQ5" s="321"/>
      <c r="AR5" s="321"/>
      <c r="AS5" s="321"/>
      <c r="AT5" s="321"/>
      <c r="AU5" s="321"/>
      <c r="AV5" s="321"/>
      <c r="AW5" s="321"/>
      <c r="AX5" s="321"/>
    </row>
    <row r="6" spans="1:93" ht="15" x14ac:dyDescent="0.2">
      <c r="B6" s="5148" t="s">
        <v>291</v>
      </c>
      <c r="C6" s="5148"/>
      <c r="D6" s="5148"/>
      <c r="E6" s="5148"/>
      <c r="F6" s="5148"/>
      <c r="G6" s="5148"/>
      <c r="H6" s="5148"/>
      <c r="I6" s="5148"/>
      <c r="J6" s="5148"/>
      <c r="K6" s="5148"/>
      <c r="L6" s="5148"/>
      <c r="M6" s="5148"/>
      <c r="N6" s="5148"/>
      <c r="O6" s="5148"/>
      <c r="P6" s="5148"/>
      <c r="Q6" s="5148"/>
      <c r="R6" s="322"/>
      <c r="S6" s="322"/>
      <c r="T6" s="322"/>
      <c r="U6" s="322"/>
      <c r="V6" s="322"/>
      <c r="W6" s="322"/>
      <c r="X6" s="205"/>
      <c r="Y6" s="81"/>
      <c r="Z6" s="81"/>
      <c r="AA6" s="81"/>
      <c r="AB6" s="81"/>
      <c r="AC6" s="81"/>
      <c r="AD6" s="81"/>
      <c r="AE6" s="81"/>
      <c r="AF6" s="323"/>
      <c r="AG6" s="323"/>
      <c r="AH6" s="323"/>
      <c r="AI6" s="323"/>
      <c r="AJ6" s="323"/>
      <c r="AK6" s="323"/>
      <c r="AL6" s="323"/>
      <c r="AM6" s="323"/>
      <c r="AN6" s="323"/>
      <c r="AO6" s="323"/>
      <c r="AP6" s="323"/>
      <c r="AQ6" s="323"/>
      <c r="AR6" s="323"/>
      <c r="AS6" s="323"/>
      <c r="AT6" s="323"/>
      <c r="AU6" s="323"/>
      <c r="AV6" s="323"/>
      <c r="AW6" s="323"/>
      <c r="AX6" s="321"/>
    </row>
    <row r="7" spans="1:93" ht="15" x14ac:dyDescent="0.2">
      <c r="B7" s="82"/>
      <c r="C7" s="82"/>
      <c r="D7" s="82"/>
      <c r="E7" s="82"/>
      <c r="F7" s="82"/>
      <c r="G7" s="82"/>
      <c r="H7" s="82"/>
      <c r="I7" s="82"/>
      <c r="J7" s="82"/>
      <c r="K7" s="82"/>
      <c r="L7" s="82"/>
      <c r="M7" s="82"/>
      <c r="N7" s="82"/>
      <c r="O7" s="82"/>
      <c r="P7" s="82"/>
      <c r="Q7" s="82"/>
      <c r="R7" s="322"/>
      <c r="S7" s="322"/>
      <c r="T7" s="322"/>
      <c r="U7" s="322"/>
      <c r="V7" s="322"/>
      <c r="W7" s="322"/>
      <c r="X7" s="205"/>
      <c r="Y7" s="81"/>
      <c r="Z7" s="81"/>
      <c r="AA7" s="81"/>
      <c r="AB7" s="81"/>
      <c r="AC7" s="81"/>
      <c r="AD7" s="81"/>
      <c r="AE7" s="81"/>
      <c r="AF7" s="323"/>
      <c r="AG7" s="323"/>
      <c r="AH7" s="323"/>
      <c r="AI7" s="323"/>
      <c r="AJ7" s="323"/>
      <c r="AK7" s="323"/>
      <c r="AL7" s="323"/>
      <c r="AM7" s="323"/>
      <c r="AN7" s="323"/>
      <c r="AO7" s="323"/>
      <c r="AP7" s="323"/>
      <c r="AQ7" s="323"/>
      <c r="AR7" s="323"/>
      <c r="AS7" s="323"/>
      <c r="AT7" s="323"/>
      <c r="AU7" s="323"/>
      <c r="AV7" s="323"/>
      <c r="AW7" s="323"/>
      <c r="AX7" s="321"/>
    </row>
    <row r="8" spans="1:93" ht="31.35" customHeight="1" x14ac:dyDescent="0.2">
      <c r="B8" s="85" t="s">
        <v>292</v>
      </c>
      <c r="C8" s="190"/>
      <c r="D8" s="190"/>
      <c r="E8" s="190"/>
      <c r="F8" s="190"/>
      <c r="G8" s="190"/>
      <c r="H8" s="190"/>
      <c r="I8" s="190"/>
      <c r="J8" s="190"/>
      <c r="K8" s="243"/>
      <c r="L8" s="243"/>
      <c r="M8" s="243"/>
      <c r="N8" s="243"/>
      <c r="O8" s="243"/>
      <c r="P8" s="243"/>
      <c r="Q8" s="243"/>
      <c r="R8" s="903"/>
      <c r="S8" s="903"/>
      <c r="T8" s="903"/>
      <c r="U8" s="903"/>
      <c r="V8" s="903"/>
      <c r="W8" s="903"/>
      <c r="X8" s="903"/>
      <c r="Y8" s="128"/>
      <c r="Z8" s="128"/>
      <c r="AA8" s="128"/>
      <c r="AB8" s="128"/>
      <c r="AC8" s="128"/>
      <c r="AD8" s="128"/>
      <c r="AE8" s="81"/>
      <c r="AF8" s="323"/>
      <c r="AG8" s="323"/>
      <c r="AH8" s="323"/>
      <c r="AI8" s="323"/>
      <c r="AJ8" s="323"/>
      <c r="AK8" s="323"/>
      <c r="AL8" s="323"/>
      <c r="AM8" s="323"/>
      <c r="AN8" s="323"/>
      <c r="AO8" s="323"/>
      <c r="AP8" s="323"/>
      <c r="AQ8" s="323"/>
      <c r="AR8" s="323"/>
      <c r="AS8" s="323"/>
      <c r="AT8" s="323"/>
      <c r="AU8" s="323"/>
      <c r="AV8" s="323"/>
      <c r="AW8" s="323"/>
      <c r="AX8" s="321"/>
      <c r="CA8" s="80"/>
      <c r="CH8" s="1020"/>
      <c r="CI8" s="1020"/>
      <c r="CJ8" s="1020"/>
      <c r="CK8" s="1020"/>
      <c r="CL8" s="1020"/>
      <c r="CM8" s="1020"/>
      <c r="CN8" s="1020"/>
      <c r="CO8" s="1020"/>
    </row>
    <row r="9" spans="1:93" ht="16.350000000000001" customHeight="1" x14ac:dyDescent="0.2">
      <c r="A9" s="5168" t="s">
        <v>2775</v>
      </c>
      <c r="B9" s="5545" t="s">
        <v>293</v>
      </c>
      <c r="C9" s="5546"/>
      <c r="D9" s="5112" t="s">
        <v>4</v>
      </c>
      <c r="E9" s="5105" t="s">
        <v>274</v>
      </c>
      <c r="F9" s="5137"/>
      <c r="G9" s="5137"/>
      <c r="H9" s="5137"/>
      <c r="I9" s="5137"/>
      <c r="J9" s="5137"/>
      <c r="K9" s="5137"/>
      <c r="L9" s="5137"/>
      <c r="M9" s="5137"/>
      <c r="N9" s="5593"/>
      <c r="O9" s="5120" t="s">
        <v>1360</v>
      </c>
      <c r="P9" s="5112" t="s">
        <v>1359</v>
      </c>
      <c r="Q9" s="5112" t="s">
        <v>1358</v>
      </c>
      <c r="R9" s="881"/>
      <c r="S9" s="881"/>
      <c r="T9" s="881"/>
      <c r="U9" s="881"/>
      <c r="V9" s="881"/>
      <c r="W9" s="881"/>
      <c r="X9" s="128"/>
      <c r="Y9" s="128"/>
      <c r="Z9" s="128"/>
      <c r="AA9" s="128"/>
      <c r="AB9" s="128"/>
      <c r="AC9" s="128"/>
      <c r="AD9" s="128"/>
      <c r="AE9" s="81"/>
      <c r="AF9" s="81"/>
      <c r="AG9" s="323"/>
      <c r="AH9" s="323"/>
      <c r="AI9" s="323"/>
      <c r="AJ9" s="323"/>
      <c r="AK9" s="323"/>
      <c r="AL9" s="323"/>
      <c r="AM9" s="323"/>
      <c r="AN9" s="323"/>
      <c r="AO9" s="323"/>
      <c r="AP9" s="323"/>
      <c r="AQ9" s="326"/>
      <c r="AR9" s="326"/>
      <c r="AS9" s="326"/>
      <c r="AT9" s="326"/>
      <c r="AU9" s="326"/>
      <c r="AV9" s="326"/>
      <c r="AW9" s="326"/>
      <c r="AX9" s="326"/>
      <c r="AY9" s="321"/>
      <c r="CH9" s="1020"/>
      <c r="CI9" s="1020"/>
      <c r="CJ9" s="1020"/>
      <c r="CK9" s="1020"/>
      <c r="CL9" s="1020"/>
      <c r="CM9" s="1020"/>
      <c r="CN9" s="1020"/>
      <c r="CO9" s="1020"/>
    </row>
    <row r="10" spans="1:93" ht="25.35" customHeight="1" x14ac:dyDescent="0.2">
      <c r="A10" s="5168"/>
      <c r="B10" s="5549"/>
      <c r="C10" s="5550"/>
      <c r="D10" s="5114"/>
      <c r="E10" s="253" t="s">
        <v>294</v>
      </c>
      <c r="F10" s="89" t="s">
        <v>295</v>
      </c>
      <c r="G10" s="89" t="s">
        <v>10</v>
      </c>
      <c r="H10" s="89" t="s">
        <v>11</v>
      </c>
      <c r="I10" s="89" t="s">
        <v>12</v>
      </c>
      <c r="J10" s="89" t="s">
        <v>13</v>
      </c>
      <c r="K10" s="89" t="s">
        <v>14</v>
      </c>
      <c r="L10" s="89" t="s">
        <v>15</v>
      </c>
      <c r="M10" s="89" t="s">
        <v>16</v>
      </c>
      <c r="N10" s="620" t="s">
        <v>1381</v>
      </c>
      <c r="O10" s="5126"/>
      <c r="P10" s="5114"/>
      <c r="Q10" s="5114"/>
      <c r="R10" s="903"/>
      <c r="S10" s="904"/>
      <c r="T10" s="904"/>
      <c r="U10" s="904"/>
      <c r="V10" s="904"/>
      <c r="W10" s="881"/>
      <c r="X10" s="881"/>
      <c r="Y10" s="881"/>
      <c r="Z10" s="881"/>
      <c r="AA10" s="881"/>
      <c r="AB10" s="881"/>
      <c r="AC10" s="881"/>
      <c r="AD10" s="881"/>
      <c r="AE10" s="190"/>
      <c r="AF10" s="190"/>
      <c r="AG10" s="288"/>
      <c r="AH10" s="288"/>
      <c r="AI10" s="288"/>
      <c r="AJ10" s="288"/>
      <c r="AK10" s="288"/>
      <c r="AL10" s="288"/>
      <c r="AM10" s="288"/>
      <c r="AN10" s="288"/>
      <c r="AO10" s="288"/>
      <c r="AP10" s="290"/>
      <c r="AQ10" s="290"/>
      <c r="AR10" s="290"/>
      <c r="AS10" s="290"/>
      <c r="AT10" s="290"/>
      <c r="AU10" s="290"/>
      <c r="AV10" s="290"/>
      <c r="AW10" s="290"/>
      <c r="AX10" s="290"/>
      <c r="AY10" s="321"/>
      <c r="CH10" s="1020"/>
      <c r="CI10" s="1020"/>
      <c r="CJ10" s="1020"/>
      <c r="CK10" s="1020"/>
      <c r="CL10" s="1020"/>
      <c r="CM10" s="1020"/>
      <c r="CN10" s="1020"/>
      <c r="CO10" s="1020"/>
    </row>
    <row r="11" spans="1:93" ht="16.350000000000001" customHeight="1" x14ac:dyDescent="0.2">
      <c r="A11" s="2449" t="s">
        <v>3085</v>
      </c>
      <c r="B11" s="5588" t="s">
        <v>827</v>
      </c>
      <c r="C11" s="5588"/>
      <c r="D11" s="2451" t="s">
        <v>2777</v>
      </c>
      <c r="E11" s="2483" t="s">
        <v>2778</v>
      </c>
      <c r="F11" s="4681" t="s">
        <v>2779</v>
      </c>
      <c r="G11" s="4680" t="s">
        <v>2780</v>
      </c>
      <c r="H11" s="4681" t="s">
        <v>2781</v>
      </c>
      <c r="I11" s="4680" t="s">
        <v>2782</v>
      </c>
      <c r="J11" s="4681" t="s">
        <v>2783</v>
      </c>
      <c r="K11" s="4680" t="s">
        <v>2784</v>
      </c>
      <c r="L11" s="4681" t="s">
        <v>2785</v>
      </c>
      <c r="M11" s="4680" t="s">
        <v>2786</v>
      </c>
      <c r="N11" s="2561" t="s">
        <v>2787</v>
      </c>
      <c r="O11" s="2487" t="s">
        <v>2788</v>
      </c>
      <c r="P11" s="2462" t="s">
        <v>2789</v>
      </c>
      <c r="Q11" s="2483" t="s">
        <v>2790</v>
      </c>
      <c r="R11" s="2384" t="str">
        <f>CB11&amp;CC11&amp;CD11&amp;CE11</f>
        <v xml:space="preserve">* El número de víctima de Violencia de Género NO DEBE ser diferente al Total. * Pueblo Originario y/o Migrantes NO DEBEN ser Mayor al Total. </v>
      </c>
      <c r="S11" s="1058"/>
      <c r="T11" s="1058"/>
      <c r="U11" s="1058"/>
      <c r="V11" s="1058"/>
      <c r="W11" s="1058"/>
      <c r="X11" s="1058"/>
      <c r="Y11" s="1058"/>
      <c r="Z11" s="1058"/>
      <c r="AA11" s="1058"/>
      <c r="AB11" s="1058"/>
      <c r="AC11" s="1058"/>
      <c r="AD11" s="881"/>
      <c r="AE11" s="190"/>
      <c r="AF11" s="190"/>
      <c r="AG11" s="288"/>
      <c r="AH11" s="288"/>
      <c r="AI11" s="288"/>
      <c r="AJ11" s="288"/>
      <c r="AK11" s="288"/>
      <c r="AL11" s="290"/>
      <c r="AM11" s="290"/>
      <c r="AN11" s="290"/>
      <c r="AO11" s="290"/>
      <c r="AP11" s="290"/>
      <c r="AQ11" s="290"/>
      <c r="AR11" s="290"/>
      <c r="AS11" s="290"/>
      <c r="AT11" s="290"/>
      <c r="AU11" s="290"/>
      <c r="AV11" s="290"/>
      <c r="AW11" s="290"/>
      <c r="AX11" s="290"/>
      <c r="AY11" s="321"/>
      <c r="CB11" s="2382" t="str">
        <f>IF(CI11=1,"* El número de víctima de Violencia de Género NO DEBE ser diferente al Total. ","")</f>
        <v xml:space="preserve">* El número de víctima de Violencia de Género NO DEBE ser diferente al Total. </v>
      </c>
      <c r="CC11" s="2382" t="str">
        <f>IF(AND(D11&lt;&gt;0,OR(P11="",Q11="")),"* No olvide digitar los campos Pueblo Originario y/o Migrantes (Digite CEROS si no tiene). ","")</f>
        <v/>
      </c>
      <c r="CD11" s="2382" t="str">
        <f>IF(CK11=1,"* Pueblo Originario y/o Migrantes NO DEBEN ser Mayor al Total. ","")</f>
        <v xml:space="preserve">* Pueblo Originario y/o Migrantes NO DEBEN ser Mayor al Total. </v>
      </c>
      <c r="CE11" s="2382" t="str">
        <f>IF(CL11=1,"* Total Gestantes Ingresadas a control prenatal debe ser Mayor o Igual que el Total de Evaluaciones a Gestantes de REM A03 Sección B2. ","")</f>
        <v/>
      </c>
      <c r="CH11" s="1020"/>
      <c r="CI11" s="2383">
        <f>IF(D11&lt;O11,1,0)</f>
        <v>1</v>
      </c>
      <c r="CJ11" s="1020"/>
      <c r="CK11" s="2383">
        <f>IF(OR(D11&lt;P11,D11&lt;Q11),1,0)</f>
        <v>1</v>
      </c>
      <c r="CL11" s="2383">
        <f>IF(D11&lt;'A03'!D75,1,0)</f>
        <v>0</v>
      </c>
      <c r="CM11" s="1020"/>
      <c r="CN11" s="1020"/>
      <c r="CO11" s="1020"/>
    </row>
    <row r="12" spans="1:93" ht="16.350000000000001" customHeight="1" x14ac:dyDescent="0.2">
      <c r="A12" s="2449" t="s">
        <v>3086</v>
      </c>
      <c r="B12" s="5281" t="s">
        <v>296</v>
      </c>
      <c r="C12" s="5281"/>
      <c r="D12" s="192" t="s">
        <v>2777</v>
      </c>
      <c r="E12" s="141" t="s">
        <v>2778</v>
      </c>
      <c r="F12" s="142" t="s">
        <v>2779</v>
      </c>
      <c r="G12" s="142" t="s">
        <v>2780</v>
      </c>
      <c r="H12" s="142" t="s">
        <v>2781</v>
      </c>
      <c r="I12" s="142" t="s">
        <v>2782</v>
      </c>
      <c r="J12" s="142" t="s">
        <v>2783</v>
      </c>
      <c r="K12" s="142" t="s">
        <v>2784</v>
      </c>
      <c r="L12" s="142" t="s">
        <v>2785</v>
      </c>
      <c r="M12" s="247" t="s">
        <v>2786</v>
      </c>
      <c r="N12" s="318" t="s">
        <v>2787</v>
      </c>
      <c r="O12" s="198" t="s">
        <v>2788</v>
      </c>
      <c r="P12" s="163" t="s">
        <v>2789</v>
      </c>
      <c r="Q12" s="163" t="s">
        <v>2790</v>
      </c>
      <c r="R12" s="2384" t="str">
        <f t="shared" ref="R12:R15" si="0">CB12&amp;CC12&amp;CD12&amp;CE12</f>
        <v xml:space="preserve">* El número de víctima de Violencia de Género NO DEBE ser diferente al Total. * Pueblo Originario y/o Migrantes NO DEBEN ser Mayor al Total. </v>
      </c>
      <c r="S12" s="1058"/>
      <c r="T12" s="1058"/>
      <c r="U12" s="1058"/>
      <c r="V12" s="1058"/>
      <c r="W12" s="1058"/>
      <c r="X12" s="1058"/>
      <c r="Y12" s="1058"/>
      <c r="Z12" s="1058"/>
      <c r="AA12" s="1058"/>
      <c r="AB12" s="1058"/>
      <c r="AC12" s="1058"/>
      <c r="AD12" s="881"/>
      <c r="AE12" s="190"/>
      <c r="AF12" s="190"/>
      <c r="AG12" s="288"/>
      <c r="AH12" s="288"/>
      <c r="AI12" s="288"/>
      <c r="AJ12" s="288"/>
      <c r="AK12" s="288"/>
      <c r="AL12" s="290"/>
      <c r="AM12" s="290"/>
      <c r="AN12" s="290"/>
      <c r="AO12" s="290"/>
      <c r="AP12" s="288"/>
      <c r="AQ12" s="288"/>
      <c r="AR12" s="290"/>
      <c r="AS12" s="290"/>
      <c r="AT12" s="290"/>
      <c r="AU12" s="290"/>
      <c r="AV12" s="290"/>
      <c r="AW12" s="290"/>
      <c r="AX12" s="290"/>
      <c r="AY12" s="321"/>
      <c r="CB12" s="2382" t="str">
        <f t="shared" ref="CB12:CB14" si="1">IF(CI12=1,"* El número de víctima de Violencia de Género NO DEBE ser diferente al Total. ","")</f>
        <v xml:space="preserve">* El número de víctima de Violencia de Género NO DEBE ser diferente al Total. </v>
      </c>
      <c r="CC12" s="2382" t="str">
        <f t="shared" ref="CC12:CC15" si="2">IF(AND(D12&lt;&gt;0,OR(P12="",Q12="")),"* No olvide digitar los campos Pueblo Originario y/o Migrantes (Digite CEROS si no tiene). ","")</f>
        <v/>
      </c>
      <c r="CD12" s="2382" t="str">
        <f t="shared" ref="CD12:CD15" si="3">IF(CK12=1,"* Pueblo Originario y/o Migrantes NO DEBEN ser Mayor al Total. ","")</f>
        <v xml:space="preserve">* Pueblo Originario y/o Migrantes NO DEBEN ser Mayor al Total. </v>
      </c>
      <c r="CE12" s="2382" t="str">
        <f>IF(CL12=1,"* Total Gestantes debe ser Mayor o Igual a "&amp;B12&amp;".","")</f>
        <v/>
      </c>
      <c r="CH12" s="1020"/>
      <c r="CI12" s="2383">
        <f t="shared" ref="CI12:CI15" si="4">IF(D12&lt;O12,1,0)</f>
        <v>1</v>
      </c>
      <c r="CJ12" s="1020"/>
      <c r="CK12" s="2383">
        <f t="shared" ref="CK12:CK15" si="5">IF(OR(D12&lt;P12,D12&lt;Q12),1,0)</f>
        <v>1</v>
      </c>
      <c r="CL12" s="2383">
        <f>IF($D$11&lt;D12,1,0)</f>
        <v>0</v>
      </c>
      <c r="CM12" s="1020"/>
      <c r="CN12" s="1020"/>
      <c r="CO12" s="1020"/>
    </row>
    <row r="13" spans="1:93" ht="16.350000000000001" customHeight="1" x14ac:dyDescent="0.2">
      <c r="A13" s="2449" t="s">
        <v>3087</v>
      </c>
      <c r="B13" s="5556" t="s">
        <v>297</v>
      </c>
      <c r="C13" s="5557"/>
      <c r="D13" s="192" t="s">
        <v>2777</v>
      </c>
      <c r="E13" s="141" t="s">
        <v>2778</v>
      </c>
      <c r="F13" s="142" t="s">
        <v>2779</v>
      </c>
      <c r="G13" s="142" t="s">
        <v>2780</v>
      </c>
      <c r="H13" s="142" t="s">
        <v>2781</v>
      </c>
      <c r="I13" s="142" t="s">
        <v>2782</v>
      </c>
      <c r="J13" s="142" t="s">
        <v>2783</v>
      </c>
      <c r="K13" s="142" t="s">
        <v>2784</v>
      </c>
      <c r="L13" s="142" t="s">
        <v>2785</v>
      </c>
      <c r="M13" s="247" t="s">
        <v>2786</v>
      </c>
      <c r="N13" s="318" t="s">
        <v>2787</v>
      </c>
      <c r="O13" s="198" t="s">
        <v>2788</v>
      </c>
      <c r="P13" s="163" t="s">
        <v>2789</v>
      </c>
      <c r="Q13" s="163" t="s">
        <v>2790</v>
      </c>
      <c r="R13" s="2384" t="str">
        <f t="shared" si="0"/>
        <v xml:space="preserve">* El número de víctima de Violencia de Género NO DEBE ser diferente al Total. * Pueblo Originario y/o Migrantes NO DEBEN ser Mayor al Total. </v>
      </c>
      <c r="S13" s="1058"/>
      <c r="T13" s="1058"/>
      <c r="U13" s="1058"/>
      <c r="V13" s="1058"/>
      <c r="W13" s="1058"/>
      <c r="X13" s="1058"/>
      <c r="Y13" s="1058"/>
      <c r="Z13" s="1058"/>
      <c r="AA13" s="1058"/>
      <c r="AB13" s="1058"/>
      <c r="AC13" s="1058"/>
      <c r="AD13" s="881"/>
      <c r="AE13" s="190"/>
      <c r="AF13" s="190"/>
      <c r="AG13" s="288"/>
      <c r="AH13" s="288"/>
      <c r="AI13" s="288"/>
      <c r="AJ13" s="288"/>
      <c r="AK13" s="288"/>
      <c r="AL13" s="290"/>
      <c r="AM13" s="290"/>
      <c r="AN13" s="290"/>
      <c r="AO13" s="290"/>
      <c r="AP13" s="288"/>
      <c r="AQ13" s="288"/>
      <c r="AR13" s="288"/>
      <c r="AS13" s="290"/>
      <c r="AT13" s="290"/>
      <c r="AU13" s="290"/>
      <c r="AV13" s="290"/>
      <c r="AW13" s="290"/>
      <c r="AX13" s="290"/>
      <c r="AY13" s="321"/>
      <c r="CB13" s="2382" t="str">
        <f t="shared" si="1"/>
        <v xml:space="preserve">* El número de víctima de Violencia de Género NO DEBE ser diferente al Total. </v>
      </c>
      <c r="CC13" s="2382" t="str">
        <f t="shared" si="2"/>
        <v/>
      </c>
      <c r="CD13" s="2382" t="str">
        <f t="shared" si="3"/>
        <v xml:space="preserve">* Pueblo Originario y/o Migrantes NO DEBEN ser Mayor al Total. </v>
      </c>
      <c r="CE13" s="2382" t="str">
        <f t="shared" ref="CE13:CE15" si="6">IF(CL13=1,"* Total Gestantes debe ser Mayor o Igual a "&amp;B13&amp;".","")</f>
        <v/>
      </c>
      <c r="CH13" s="1020"/>
      <c r="CI13" s="2383">
        <f t="shared" si="4"/>
        <v>1</v>
      </c>
      <c r="CJ13" s="1020"/>
      <c r="CK13" s="2383">
        <f t="shared" si="5"/>
        <v>1</v>
      </c>
      <c r="CL13" s="2383">
        <f t="shared" ref="CL13:CL15" si="7">IF($D$11&lt;D13,1,0)</f>
        <v>0</v>
      </c>
      <c r="CM13" s="1020"/>
      <c r="CN13" s="1020"/>
      <c r="CO13" s="1020"/>
    </row>
    <row r="14" spans="1:93" ht="16.350000000000001" customHeight="1" x14ac:dyDescent="0.2">
      <c r="A14" s="2449" t="s">
        <v>3088</v>
      </c>
      <c r="B14" s="5589" t="s">
        <v>298</v>
      </c>
      <c r="C14" s="5590"/>
      <c r="D14" s="192" t="s">
        <v>2777</v>
      </c>
      <c r="E14" s="141" t="s">
        <v>2778</v>
      </c>
      <c r="F14" s="142" t="s">
        <v>2779</v>
      </c>
      <c r="G14" s="142" t="s">
        <v>2780</v>
      </c>
      <c r="H14" s="142" t="s">
        <v>2781</v>
      </c>
      <c r="I14" s="142" t="s">
        <v>2782</v>
      </c>
      <c r="J14" s="142" t="s">
        <v>2783</v>
      </c>
      <c r="K14" s="142" t="s">
        <v>2784</v>
      </c>
      <c r="L14" s="142" t="s">
        <v>2785</v>
      </c>
      <c r="M14" s="247" t="s">
        <v>2786</v>
      </c>
      <c r="N14" s="318" t="s">
        <v>2787</v>
      </c>
      <c r="O14" s="198" t="s">
        <v>2788</v>
      </c>
      <c r="P14" s="163" t="s">
        <v>2789</v>
      </c>
      <c r="Q14" s="163" t="s">
        <v>2790</v>
      </c>
      <c r="R14" s="2384" t="str">
        <f t="shared" si="0"/>
        <v xml:space="preserve">* El número de víctima de Violencia de Género NO DEBE ser diferente al Total. * Pueblo Originario y/o Migrantes NO DEBEN ser Mayor al Total. </v>
      </c>
      <c r="S14" s="1058"/>
      <c r="T14" s="1058"/>
      <c r="U14" s="1058"/>
      <c r="V14" s="1058"/>
      <c r="W14" s="1058"/>
      <c r="X14" s="1058"/>
      <c r="Y14" s="1058"/>
      <c r="Z14" s="1058"/>
      <c r="AA14" s="1058"/>
      <c r="AB14" s="1058"/>
      <c r="AC14" s="1058"/>
      <c r="AD14" s="881"/>
      <c r="AE14" s="190"/>
      <c r="AF14" s="190"/>
      <c r="AG14" s="288"/>
      <c r="AH14" s="288"/>
      <c r="AI14" s="288"/>
      <c r="AJ14" s="288"/>
      <c r="AK14" s="288"/>
      <c r="AL14" s="288"/>
      <c r="AM14" s="288"/>
      <c r="AN14" s="288"/>
      <c r="AO14" s="288"/>
      <c r="AP14" s="290"/>
      <c r="AQ14" s="290"/>
      <c r="AR14" s="290"/>
      <c r="AS14" s="290"/>
      <c r="AT14" s="290"/>
      <c r="AU14" s="290"/>
      <c r="AV14" s="290"/>
      <c r="AW14" s="290"/>
      <c r="AX14" s="290"/>
      <c r="AY14" s="321"/>
      <c r="CB14" s="2382" t="str">
        <f t="shared" si="1"/>
        <v xml:space="preserve">* El número de víctima de Violencia de Género NO DEBE ser diferente al Total. </v>
      </c>
      <c r="CC14" s="2382" t="str">
        <f t="shared" si="2"/>
        <v/>
      </c>
      <c r="CD14" s="2382" t="str">
        <f t="shared" si="3"/>
        <v xml:space="preserve">* Pueblo Originario y/o Migrantes NO DEBEN ser Mayor al Total. </v>
      </c>
      <c r="CE14" s="2382" t="str">
        <f t="shared" si="6"/>
        <v/>
      </c>
      <c r="CH14" s="1020"/>
      <c r="CI14" s="2383">
        <f t="shared" si="4"/>
        <v>1</v>
      </c>
      <c r="CJ14" s="1020"/>
      <c r="CK14" s="2383">
        <f t="shared" si="5"/>
        <v>1</v>
      </c>
      <c r="CL14" s="2383">
        <f t="shared" si="7"/>
        <v>0</v>
      </c>
      <c r="CM14" s="1020"/>
      <c r="CN14" s="1020"/>
      <c r="CO14" s="1020"/>
    </row>
    <row r="15" spans="1:93" ht="16.350000000000001" customHeight="1" x14ac:dyDescent="0.2">
      <c r="A15" s="2449" t="s">
        <v>3089</v>
      </c>
      <c r="B15" s="5591" t="s">
        <v>886</v>
      </c>
      <c r="C15" s="5592"/>
      <c r="D15" s="193" t="s">
        <v>2777</v>
      </c>
      <c r="E15" s="166" t="s">
        <v>2778</v>
      </c>
      <c r="F15" s="102" t="s">
        <v>2779</v>
      </c>
      <c r="G15" s="102" t="s">
        <v>2780</v>
      </c>
      <c r="H15" s="102" t="s">
        <v>2781</v>
      </c>
      <c r="I15" s="102" t="s">
        <v>2782</v>
      </c>
      <c r="J15" s="102" t="s">
        <v>2783</v>
      </c>
      <c r="K15" s="102" t="s">
        <v>2784</v>
      </c>
      <c r="L15" s="102" t="s">
        <v>2785</v>
      </c>
      <c r="M15" s="270" t="s">
        <v>2786</v>
      </c>
      <c r="N15" s="319" t="s">
        <v>2787</v>
      </c>
      <c r="O15" s="168" t="s">
        <v>2788</v>
      </c>
      <c r="P15" s="125" t="s">
        <v>2789</v>
      </c>
      <c r="Q15" s="125" t="s">
        <v>2790</v>
      </c>
      <c r="R15" s="2384" t="str">
        <f t="shared" si="0"/>
        <v xml:space="preserve">* El número de víctima de Violencia de Género NO DEBE ser diferente al Total. * Pueblo Originario y/o Migrantes NO DEBEN ser Mayor al Total. </v>
      </c>
      <c r="S15" s="1058"/>
      <c r="T15" s="1058"/>
      <c r="U15" s="1058"/>
      <c r="V15" s="1058"/>
      <c r="W15" s="1058"/>
      <c r="X15" s="1058"/>
      <c r="Y15" s="1058"/>
      <c r="Z15" s="1058"/>
      <c r="AA15" s="1058"/>
      <c r="AB15" s="1058"/>
      <c r="AC15" s="1058"/>
      <c r="AD15" s="881"/>
      <c r="AE15" s="190"/>
      <c r="AF15" s="190"/>
      <c r="AG15" s="288"/>
      <c r="AH15" s="288"/>
      <c r="AI15" s="288"/>
      <c r="AJ15" s="288"/>
      <c r="AK15" s="288"/>
      <c r="AL15" s="288"/>
      <c r="AM15" s="288"/>
      <c r="AN15" s="288"/>
      <c r="AO15" s="288"/>
      <c r="AP15" s="290"/>
      <c r="AQ15" s="290"/>
      <c r="AR15" s="290"/>
      <c r="AS15" s="290"/>
      <c r="AT15" s="290"/>
      <c r="AU15" s="290"/>
      <c r="AV15" s="290"/>
      <c r="AW15" s="290"/>
      <c r="AX15" s="290"/>
      <c r="AY15" s="321"/>
      <c r="CB15" s="2382" t="str">
        <f>IF(CI15=1,"* El número de víctima de Violencia de Género NO DEBE ser diferente al Total. ","")</f>
        <v xml:space="preserve">* El número de víctima de Violencia de Género NO DEBE ser diferente al Total. </v>
      </c>
      <c r="CC15" s="2382" t="str">
        <f t="shared" si="2"/>
        <v/>
      </c>
      <c r="CD15" s="2382" t="str">
        <f t="shared" si="3"/>
        <v xml:space="preserve">* Pueblo Originario y/o Migrantes NO DEBEN ser Mayor al Total. </v>
      </c>
      <c r="CE15" s="2382" t="str">
        <f t="shared" si="6"/>
        <v/>
      </c>
      <c r="CH15" s="1020"/>
      <c r="CI15" s="2383">
        <f t="shared" si="4"/>
        <v>1</v>
      </c>
      <c r="CJ15" s="1020"/>
      <c r="CK15" s="2383">
        <f t="shared" si="5"/>
        <v>1</v>
      </c>
      <c r="CL15" s="2383">
        <f t="shared" si="7"/>
        <v>0</v>
      </c>
      <c r="CM15" s="1020"/>
      <c r="CN15" s="1020"/>
      <c r="CO15" s="1020"/>
    </row>
    <row r="16" spans="1:93" ht="31.35" customHeight="1" x14ac:dyDescent="0.2">
      <c r="B16" s="85" t="s">
        <v>299</v>
      </c>
      <c r="C16" s="85"/>
      <c r="D16" s="85"/>
      <c r="E16" s="85"/>
      <c r="F16" s="85"/>
      <c r="G16" s="85"/>
      <c r="H16" s="85"/>
      <c r="I16" s="85"/>
      <c r="J16" s="85"/>
      <c r="K16" s="85"/>
      <c r="L16" s="85"/>
      <c r="M16" s="85"/>
      <c r="N16" s="85"/>
      <c r="O16" s="85"/>
      <c r="P16" s="190"/>
      <c r="Q16" s="190"/>
      <c r="R16" s="881"/>
      <c r="S16" s="881"/>
      <c r="T16" s="881"/>
      <c r="U16" s="881"/>
      <c r="V16" s="881"/>
      <c r="W16" s="881"/>
      <c r="X16" s="881"/>
      <c r="Y16" s="881"/>
      <c r="Z16" s="881"/>
      <c r="AA16" s="881"/>
      <c r="AB16" s="881"/>
      <c r="AC16" s="881"/>
      <c r="AD16" s="881"/>
      <c r="AE16" s="190"/>
      <c r="AF16" s="288"/>
      <c r="AG16" s="288"/>
      <c r="AH16" s="288"/>
      <c r="AI16" s="288"/>
      <c r="AJ16" s="288"/>
      <c r="AK16" s="288"/>
      <c r="AL16" s="288"/>
      <c r="AM16" s="288"/>
      <c r="AN16" s="288"/>
      <c r="AO16" s="288"/>
      <c r="AP16" s="288"/>
      <c r="AQ16" s="288"/>
      <c r="AR16" s="288"/>
      <c r="AS16" s="288"/>
      <c r="AT16" s="288"/>
      <c r="AU16" s="288"/>
      <c r="AV16" s="288"/>
      <c r="AW16" s="288"/>
      <c r="AX16" s="321"/>
      <c r="CA16" s="80"/>
      <c r="CH16" s="1020"/>
      <c r="CI16" s="1020"/>
      <c r="CJ16" s="1020"/>
      <c r="CK16" s="1020"/>
      <c r="CL16" s="1020"/>
      <c r="CM16" s="1020"/>
      <c r="CN16" s="1020"/>
      <c r="CO16" s="1020"/>
    </row>
    <row r="17" spans="1:93" ht="16.350000000000001" customHeight="1" x14ac:dyDescent="0.2">
      <c r="B17" s="5118" t="s">
        <v>300</v>
      </c>
      <c r="C17" s="5120"/>
      <c r="D17" s="5112" t="s">
        <v>1361</v>
      </c>
      <c r="E17" s="5112" t="s">
        <v>1480</v>
      </c>
      <c r="F17" s="5112" t="s">
        <v>1359</v>
      </c>
      <c r="G17" s="5112" t="s">
        <v>1358</v>
      </c>
      <c r="H17" s="190"/>
      <c r="I17" s="190"/>
      <c r="J17" s="190"/>
      <c r="K17" s="190"/>
      <c r="L17" s="190"/>
      <c r="M17" s="190"/>
      <c r="N17" s="190"/>
      <c r="O17" s="190"/>
      <c r="P17" s="190"/>
      <c r="Q17" s="190"/>
      <c r="R17" s="881"/>
      <c r="S17" s="881"/>
      <c r="T17" s="881"/>
      <c r="U17" s="881"/>
      <c r="V17" s="881"/>
      <c r="W17" s="881"/>
      <c r="X17" s="881"/>
      <c r="Y17" s="881"/>
      <c r="Z17" s="881"/>
      <c r="AA17" s="881"/>
      <c r="AB17" s="881"/>
      <c r="AC17" s="881"/>
      <c r="AD17" s="881"/>
      <c r="AE17" s="190"/>
      <c r="AF17" s="288"/>
      <c r="AG17" s="290"/>
      <c r="AH17" s="290"/>
      <c r="AI17" s="290"/>
      <c r="AJ17" s="290"/>
      <c r="AK17" s="290"/>
      <c r="AL17" s="290"/>
      <c r="AM17" s="290"/>
      <c r="AN17" s="290"/>
      <c r="AO17" s="290"/>
      <c r="AP17" s="290"/>
      <c r="AQ17" s="290"/>
      <c r="AR17" s="290"/>
      <c r="AS17" s="290"/>
      <c r="AT17" s="290"/>
      <c r="AU17" s="290"/>
      <c r="AV17" s="290"/>
      <c r="AW17" s="290"/>
      <c r="AX17" s="321"/>
      <c r="CH17" s="1020"/>
      <c r="CI17" s="1020"/>
      <c r="CJ17" s="1020"/>
      <c r="CK17" s="1020"/>
      <c r="CL17" s="1020"/>
      <c r="CM17" s="1020"/>
      <c r="CN17" s="1020"/>
      <c r="CO17" s="1020"/>
    </row>
    <row r="18" spans="1:93" ht="25.35" customHeight="1" x14ac:dyDescent="0.2">
      <c r="B18" s="5125"/>
      <c r="C18" s="5126"/>
      <c r="D18" s="5114"/>
      <c r="E18" s="5114"/>
      <c r="F18" s="5114"/>
      <c r="G18" s="5114"/>
      <c r="H18" s="881"/>
      <c r="I18" s="881"/>
      <c r="J18" s="881"/>
      <c r="K18" s="881"/>
      <c r="L18" s="881"/>
      <c r="M18" s="881"/>
      <c r="N18" s="881"/>
      <c r="O18" s="881"/>
      <c r="P18" s="881"/>
      <c r="Q18" s="881"/>
      <c r="R18" s="881"/>
      <c r="S18" s="881"/>
      <c r="T18" s="881"/>
      <c r="U18" s="881"/>
      <c r="V18" s="881"/>
      <c r="W18" s="881"/>
      <c r="X18" s="881"/>
      <c r="Y18" s="881"/>
      <c r="Z18" s="881"/>
      <c r="AA18" s="881"/>
      <c r="AB18" s="881"/>
      <c r="AC18" s="881"/>
      <c r="AD18" s="881"/>
      <c r="AE18" s="190"/>
      <c r="AF18" s="288"/>
      <c r="AG18" s="290"/>
      <c r="AH18" s="290"/>
      <c r="AI18" s="290"/>
      <c r="AJ18" s="290"/>
      <c r="AK18" s="290"/>
      <c r="AL18" s="290"/>
      <c r="AM18" s="290"/>
      <c r="AN18" s="290"/>
      <c r="AO18" s="290"/>
      <c r="AP18" s="290"/>
      <c r="AQ18" s="290"/>
      <c r="AR18" s="290"/>
      <c r="AS18" s="290"/>
      <c r="AT18" s="290"/>
      <c r="AU18" s="290"/>
      <c r="AV18" s="290"/>
      <c r="AW18" s="290"/>
      <c r="AX18" s="321"/>
      <c r="CH18" s="1020"/>
      <c r="CI18" s="1020"/>
      <c r="CJ18" s="1020"/>
      <c r="CK18" s="1020"/>
      <c r="CL18" s="1020"/>
      <c r="CM18" s="1020"/>
      <c r="CN18" s="1020"/>
      <c r="CO18" s="1020"/>
    </row>
    <row r="19" spans="1:93" ht="16.350000000000001" customHeight="1" x14ac:dyDescent="0.2">
      <c r="A19" s="2449" t="s">
        <v>3090</v>
      </c>
      <c r="B19" s="5565" t="s">
        <v>301</v>
      </c>
      <c r="C19" s="5566"/>
      <c r="D19" s="2581" t="s">
        <v>2777</v>
      </c>
      <c r="E19" s="2581" t="s">
        <v>2778</v>
      </c>
      <c r="F19" s="2581" t="s">
        <v>2779</v>
      </c>
      <c r="G19" s="2581" t="s">
        <v>2780</v>
      </c>
      <c r="H19" s="2384" t="str">
        <f>CB19&amp;CC19&amp;CD19&amp;CE19</f>
        <v/>
      </c>
      <c r="I19" s="1058"/>
      <c r="J19" s="1058"/>
      <c r="K19" s="1058"/>
      <c r="L19" s="1058"/>
      <c r="M19" s="1058"/>
      <c r="N19" s="1058"/>
      <c r="O19" s="1058"/>
      <c r="P19" s="1058"/>
      <c r="Q19" s="1058"/>
      <c r="R19" s="1058"/>
      <c r="S19" s="1058"/>
      <c r="T19" s="881"/>
      <c r="U19" s="881"/>
      <c r="V19" s="881"/>
      <c r="W19" s="881"/>
      <c r="X19" s="881"/>
      <c r="Y19" s="881"/>
      <c r="Z19" s="881"/>
      <c r="AA19" s="881"/>
      <c r="AB19" s="881"/>
      <c r="AC19" s="881"/>
      <c r="AD19" s="881"/>
      <c r="AE19" s="190"/>
      <c r="AF19" s="288"/>
      <c r="AG19" s="290"/>
      <c r="AH19" s="290"/>
      <c r="AI19" s="290"/>
      <c r="AJ19" s="290"/>
      <c r="AK19" s="290"/>
      <c r="AL19" s="290"/>
      <c r="AM19" s="290"/>
      <c r="AN19" s="290"/>
      <c r="AO19" s="290"/>
      <c r="AP19" s="290"/>
      <c r="AQ19" s="290"/>
      <c r="AR19" s="290"/>
      <c r="AS19" s="290"/>
      <c r="AT19" s="290"/>
      <c r="AU19" s="290"/>
      <c r="AV19" s="290"/>
      <c r="AW19" s="290"/>
      <c r="AX19" s="321"/>
      <c r="CB19" s="890"/>
      <c r="CC19" s="890"/>
      <c r="CD19" s="890"/>
      <c r="CE19" s="2382" t="str">
        <f>IF(AND(SUM(D20:D29)&lt;&gt;0,D19=0),"* No olvide registrar número de gestantes ingresadas. ","")</f>
        <v/>
      </c>
      <c r="CH19" s="1020">
        <v>0</v>
      </c>
      <c r="CI19" s="1020"/>
      <c r="CJ19" s="1020">
        <v>0</v>
      </c>
      <c r="CK19" s="1020"/>
      <c r="CL19" s="1020"/>
      <c r="CM19" s="1020"/>
      <c r="CN19" s="1020"/>
      <c r="CO19" s="1020"/>
    </row>
    <row r="20" spans="1:93" ht="16.350000000000001" customHeight="1" x14ac:dyDescent="0.2">
      <c r="A20" s="2449" t="s">
        <v>3091</v>
      </c>
      <c r="B20" s="5579" t="s">
        <v>961</v>
      </c>
      <c r="C20" s="5580"/>
      <c r="D20" s="2580" t="s">
        <v>2777</v>
      </c>
      <c r="E20" s="2580" t="s">
        <v>2778</v>
      </c>
      <c r="F20" s="2580" t="s">
        <v>2779</v>
      </c>
      <c r="G20" s="2580" t="s">
        <v>2780</v>
      </c>
      <c r="H20" s="2384" t="str">
        <f t="shared" ref="H20:H29" si="8">CB20&amp;CC20&amp;CD20&amp;CE20</f>
        <v/>
      </c>
      <c r="I20" s="1058"/>
      <c r="J20" s="1058"/>
      <c r="K20" s="1058"/>
      <c r="L20" s="1058"/>
      <c r="M20" s="1058"/>
      <c r="N20" s="1058"/>
      <c r="O20" s="1058"/>
      <c r="P20" s="1058"/>
      <c r="Q20" s="1058"/>
      <c r="R20" s="1058"/>
      <c r="S20" s="1058"/>
      <c r="T20" s="881"/>
      <c r="U20" s="881"/>
      <c r="V20" s="881"/>
      <c r="W20" s="881"/>
      <c r="X20" s="881"/>
      <c r="Y20" s="881"/>
      <c r="Z20" s="881"/>
      <c r="AA20" s="881"/>
      <c r="AB20" s="881"/>
      <c r="AC20" s="881"/>
      <c r="AD20" s="881"/>
      <c r="AE20" s="190"/>
      <c r="AF20" s="288"/>
      <c r="AG20" s="290"/>
      <c r="AH20" s="290"/>
      <c r="AI20" s="290"/>
      <c r="AJ20" s="290"/>
      <c r="AK20" s="290"/>
      <c r="AL20" s="290"/>
      <c r="AM20" s="290"/>
      <c r="AN20" s="290"/>
      <c r="AO20" s="290"/>
      <c r="AP20" s="290"/>
      <c r="AQ20" s="290"/>
      <c r="AR20" s="290"/>
      <c r="AS20" s="290"/>
      <c r="AT20" s="290"/>
      <c r="AU20" s="290"/>
      <c r="AV20" s="290"/>
      <c r="AW20" s="290"/>
      <c r="AX20" s="321"/>
      <c r="CH20" s="1020">
        <v>0</v>
      </c>
      <c r="CI20" s="1020"/>
      <c r="CJ20" s="1020">
        <v>0</v>
      </c>
      <c r="CK20" s="1020"/>
      <c r="CL20" s="1020"/>
      <c r="CM20" s="1020"/>
      <c r="CN20" s="1020"/>
      <c r="CO20" s="1020"/>
    </row>
    <row r="21" spans="1:93" ht="16.350000000000001" customHeight="1" x14ac:dyDescent="0.2">
      <c r="A21" s="2449" t="s">
        <v>3092</v>
      </c>
      <c r="B21" s="5556" t="s">
        <v>962</v>
      </c>
      <c r="C21" s="5557"/>
      <c r="D21" s="164" t="s">
        <v>2777</v>
      </c>
      <c r="E21" s="164" t="s">
        <v>2778</v>
      </c>
      <c r="F21" s="164" t="s">
        <v>2779</v>
      </c>
      <c r="G21" s="164" t="s">
        <v>2780</v>
      </c>
      <c r="H21" s="2384" t="str">
        <f t="shared" si="8"/>
        <v/>
      </c>
      <c r="I21" s="1058"/>
      <c r="J21" s="1058"/>
      <c r="K21" s="1058"/>
      <c r="L21" s="1058"/>
      <c r="M21" s="1058"/>
      <c r="N21" s="1058"/>
      <c r="O21" s="1058"/>
      <c r="P21" s="1058"/>
      <c r="Q21" s="1058"/>
      <c r="R21" s="1058"/>
      <c r="S21" s="1058"/>
      <c r="T21" s="881"/>
      <c r="U21" s="881"/>
      <c r="V21" s="881"/>
      <c r="W21" s="881"/>
      <c r="X21" s="881"/>
      <c r="Y21" s="881"/>
      <c r="Z21" s="881"/>
      <c r="AA21" s="881"/>
      <c r="AB21" s="881"/>
      <c r="AC21" s="881"/>
      <c r="AD21" s="881"/>
      <c r="AE21" s="190"/>
      <c r="AF21" s="288"/>
      <c r="AG21" s="290"/>
      <c r="AH21" s="290"/>
      <c r="AI21" s="290"/>
      <c r="AJ21" s="290"/>
      <c r="AK21" s="290"/>
      <c r="AL21" s="290"/>
      <c r="AM21" s="290"/>
      <c r="AN21" s="290"/>
      <c r="AO21" s="290"/>
      <c r="AP21" s="290"/>
      <c r="AQ21" s="290"/>
      <c r="AR21" s="290"/>
      <c r="AS21" s="290"/>
      <c r="AT21" s="290"/>
      <c r="AU21" s="290"/>
      <c r="AV21" s="290"/>
      <c r="AW21" s="290"/>
      <c r="AX21" s="321"/>
      <c r="CB21" s="890"/>
      <c r="CC21" s="890"/>
      <c r="CD21" s="890"/>
      <c r="CH21" s="1020">
        <v>0</v>
      </c>
      <c r="CI21" s="1020"/>
      <c r="CJ21" s="1020">
        <v>0</v>
      </c>
      <c r="CK21" s="1020"/>
      <c r="CL21" s="1020"/>
      <c r="CM21" s="1020"/>
      <c r="CN21" s="1020"/>
      <c r="CO21" s="1020"/>
    </row>
    <row r="22" spans="1:93" ht="16.350000000000001" customHeight="1" x14ac:dyDescent="0.2">
      <c r="A22" s="2449">
        <v>24100700</v>
      </c>
      <c r="B22" s="5556" t="s">
        <v>963</v>
      </c>
      <c r="C22" s="5557"/>
      <c r="D22" s="164" t="s">
        <v>2777</v>
      </c>
      <c r="E22" s="164" t="s">
        <v>2778</v>
      </c>
      <c r="F22" s="164" t="s">
        <v>2779</v>
      </c>
      <c r="G22" s="164" t="s">
        <v>2780</v>
      </c>
      <c r="H22" s="2384" t="str">
        <f t="shared" si="8"/>
        <v/>
      </c>
      <c r="I22" s="1058"/>
      <c r="J22" s="1058"/>
      <c r="K22" s="1058"/>
      <c r="L22" s="1058"/>
      <c r="M22" s="1058"/>
      <c r="N22" s="1058"/>
      <c r="O22" s="1058"/>
      <c r="P22" s="1058"/>
      <c r="Q22" s="1058"/>
      <c r="R22" s="1058"/>
      <c r="S22" s="1058"/>
      <c r="T22" s="881"/>
      <c r="U22" s="881"/>
      <c r="V22" s="881"/>
      <c r="W22" s="881"/>
      <c r="X22" s="881"/>
      <c r="Y22" s="881"/>
      <c r="Z22" s="881"/>
      <c r="AA22" s="881"/>
      <c r="AB22" s="881"/>
      <c r="AC22" s="881"/>
      <c r="AD22" s="881"/>
      <c r="AE22" s="190"/>
      <c r="AF22" s="288"/>
      <c r="AG22" s="290"/>
      <c r="AH22" s="290"/>
      <c r="AI22" s="290"/>
      <c r="AJ22" s="290"/>
      <c r="AK22" s="290"/>
      <c r="AL22" s="290"/>
      <c r="AM22" s="290"/>
      <c r="AN22" s="290"/>
      <c r="AO22" s="290"/>
      <c r="AP22" s="290"/>
      <c r="AQ22" s="290"/>
      <c r="AR22" s="290"/>
      <c r="AS22" s="290"/>
      <c r="AT22" s="290"/>
      <c r="AU22" s="290"/>
      <c r="AV22" s="290"/>
      <c r="AW22" s="290"/>
      <c r="AX22" s="321"/>
      <c r="CH22" s="1020">
        <v>0</v>
      </c>
      <c r="CI22" s="1020"/>
      <c r="CJ22" s="1020">
        <v>0</v>
      </c>
      <c r="CK22" s="1020"/>
      <c r="CL22" s="1020"/>
      <c r="CM22" s="1020"/>
      <c r="CN22" s="1020"/>
      <c r="CO22" s="1020"/>
    </row>
    <row r="23" spans="1:93" ht="16.350000000000001" customHeight="1" x14ac:dyDescent="0.2">
      <c r="A23" s="2449" t="s">
        <v>3093</v>
      </c>
      <c r="B23" s="5558" t="s">
        <v>964</v>
      </c>
      <c r="C23" s="5559"/>
      <c r="D23" s="164" t="s">
        <v>2777</v>
      </c>
      <c r="E23" s="164" t="s">
        <v>2778</v>
      </c>
      <c r="F23" s="164" t="s">
        <v>2779</v>
      </c>
      <c r="G23" s="164" t="s">
        <v>2780</v>
      </c>
      <c r="H23" s="2384" t="str">
        <f t="shared" si="8"/>
        <v/>
      </c>
      <c r="I23" s="1058"/>
      <c r="J23" s="1058"/>
      <c r="K23" s="1058"/>
      <c r="L23" s="1058"/>
      <c r="M23" s="1058"/>
      <c r="N23" s="1058"/>
      <c r="O23" s="1058"/>
      <c r="P23" s="1058"/>
      <c r="Q23" s="1058"/>
      <c r="R23" s="1058"/>
      <c r="S23" s="1058"/>
      <c r="T23" s="881"/>
      <c r="U23" s="881"/>
      <c r="V23" s="881"/>
      <c r="W23" s="881"/>
      <c r="X23" s="881"/>
      <c r="Y23" s="881"/>
      <c r="Z23" s="881"/>
      <c r="AA23" s="881"/>
      <c r="AB23" s="881"/>
      <c r="AC23" s="881"/>
      <c r="AD23" s="881"/>
      <c r="AE23" s="190"/>
      <c r="AF23" s="288"/>
      <c r="AG23" s="290"/>
      <c r="AH23" s="290"/>
      <c r="AI23" s="290"/>
      <c r="AJ23" s="290"/>
      <c r="AK23" s="290"/>
      <c r="AL23" s="290"/>
      <c r="AM23" s="290"/>
      <c r="AN23" s="290"/>
      <c r="AO23" s="290"/>
      <c r="AP23" s="290"/>
      <c r="AQ23" s="290"/>
      <c r="AR23" s="290"/>
      <c r="AS23" s="290"/>
      <c r="AT23" s="290"/>
      <c r="AU23" s="290"/>
      <c r="AV23" s="290"/>
      <c r="AW23" s="290"/>
      <c r="AX23" s="321"/>
      <c r="CH23" s="1020">
        <v>0</v>
      </c>
      <c r="CI23" s="1020"/>
      <c r="CJ23" s="1020">
        <v>0</v>
      </c>
      <c r="CK23" s="1020"/>
      <c r="CL23" s="1020"/>
      <c r="CM23" s="1020"/>
      <c r="CN23" s="1020"/>
      <c r="CO23" s="1020"/>
    </row>
    <row r="24" spans="1:93" ht="16.350000000000001" customHeight="1" x14ac:dyDescent="0.2">
      <c r="A24" s="2449">
        <v>24090050</v>
      </c>
      <c r="B24" s="5558" t="s">
        <v>302</v>
      </c>
      <c r="C24" s="5559"/>
      <c r="D24" s="164" t="s">
        <v>2777</v>
      </c>
      <c r="E24" s="164" t="s">
        <v>2778</v>
      </c>
      <c r="F24" s="164" t="s">
        <v>2779</v>
      </c>
      <c r="G24" s="164" t="s">
        <v>2780</v>
      </c>
      <c r="H24" s="2384" t="str">
        <f t="shared" si="8"/>
        <v/>
      </c>
      <c r="I24" s="1058"/>
      <c r="J24" s="1058"/>
      <c r="K24" s="1058"/>
      <c r="L24" s="1058"/>
      <c r="M24" s="1058"/>
      <c r="N24" s="1058"/>
      <c r="O24" s="1058"/>
      <c r="P24" s="1058"/>
      <c r="Q24" s="1058"/>
      <c r="R24" s="1058"/>
      <c r="S24" s="1058"/>
      <c r="T24" s="881"/>
      <c r="U24" s="881"/>
      <c r="V24" s="881"/>
      <c r="W24" s="881"/>
      <c r="X24" s="881"/>
      <c r="Y24" s="881"/>
      <c r="Z24" s="881"/>
      <c r="AA24" s="881"/>
      <c r="AB24" s="881"/>
      <c r="AC24" s="881"/>
      <c r="AD24" s="881"/>
      <c r="AE24" s="190"/>
      <c r="AF24" s="288"/>
      <c r="AG24" s="290"/>
      <c r="AH24" s="290"/>
      <c r="AI24" s="290"/>
      <c r="AJ24" s="290"/>
      <c r="AK24" s="290"/>
      <c r="AL24" s="290"/>
      <c r="AM24" s="290"/>
      <c r="AN24" s="290"/>
      <c r="AO24" s="290"/>
      <c r="AP24" s="290"/>
      <c r="AQ24" s="290"/>
      <c r="AR24" s="290"/>
      <c r="AS24" s="290"/>
      <c r="AT24" s="290"/>
      <c r="AU24" s="290"/>
      <c r="AV24" s="290"/>
      <c r="AW24" s="290"/>
      <c r="AX24" s="321"/>
      <c r="CH24" s="1020">
        <v>0</v>
      </c>
      <c r="CI24" s="1020"/>
      <c r="CJ24" s="1020">
        <v>0</v>
      </c>
      <c r="CK24" s="1020"/>
      <c r="CL24" s="1020"/>
      <c r="CM24" s="1020"/>
      <c r="CN24" s="1020"/>
      <c r="CO24" s="1020"/>
    </row>
    <row r="25" spans="1:93" ht="16.350000000000001" customHeight="1" x14ac:dyDescent="0.2">
      <c r="A25" s="2449">
        <v>24090060</v>
      </c>
      <c r="B25" s="5558" t="s">
        <v>303</v>
      </c>
      <c r="C25" s="5559"/>
      <c r="D25" s="164" t="s">
        <v>2777</v>
      </c>
      <c r="E25" s="164" t="s">
        <v>2778</v>
      </c>
      <c r="F25" s="164" t="s">
        <v>2779</v>
      </c>
      <c r="G25" s="164" t="s">
        <v>2780</v>
      </c>
      <c r="H25" s="2384" t="str">
        <f t="shared" si="8"/>
        <v/>
      </c>
      <c r="I25" s="1058"/>
      <c r="J25" s="1058"/>
      <c r="K25" s="1058"/>
      <c r="L25" s="1058"/>
      <c r="M25" s="1058"/>
      <c r="N25" s="1058"/>
      <c r="O25" s="1058"/>
      <c r="P25" s="1058"/>
      <c r="Q25" s="1058"/>
      <c r="R25" s="1058"/>
      <c r="S25" s="1058"/>
      <c r="T25" s="881"/>
      <c r="U25" s="881"/>
      <c r="V25" s="881"/>
      <c r="W25" s="881"/>
      <c r="X25" s="881"/>
      <c r="Y25" s="881"/>
      <c r="Z25" s="881"/>
      <c r="AA25" s="881"/>
      <c r="AB25" s="881"/>
      <c r="AC25" s="881"/>
      <c r="AD25" s="881"/>
      <c r="AE25" s="190"/>
      <c r="AF25" s="288"/>
      <c r="AG25" s="290"/>
      <c r="AH25" s="290"/>
      <c r="AI25" s="290"/>
      <c r="AJ25" s="290"/>
      <c r="AK25" s="290"/>
      <c r="AL25" s="290"/>
      <c r="AM25" s="290"/>
      <c r="AN25" s="290"/>
      <c r="AO25" s="290"/>
      <c r="AP25" s="290"/>
      <c r="AQ25" s="290"/>
      <c r="AR25" s="290"/>
      <c r="AS25" s="290"/>
      <c r="AT25" s="290"/>
      <c r="AU25" s="290"/>
      <c r="AV25" s="290"/>
      <c r="AW25" s="290"/>
      <c r="AX25" s="321"/>
      <c r="CH25" s="1020">
        <v>0</v>
      </c>
      <c r="CI25" s="1020"/>
      <c r="CJ25" s="1020">
        <v>0</v>
      </c>
      <c r="CK25" s="1020"/>
      <c r="CL25" s="1020"/>
      <c r="CM25" s="1020"/>
      <c r="CN25" s="1020"/>
      <c r="CO25" s="1020"/>
    </row>
    <row r="26" spans="1:93" ht="16.350000000000001" customHeight="1" x14ac:dyDescent="0.2">
      <c r="A26" s="2449" t="s">
        <v>3094</v>
      </c>
      <c r="B26" s="5558" t="s">
        <v>965</v>
      </c>
      <c r="C26" s="5559"/>
      <c r="D26" s="164" t="s">
        <v>2777</v>
      </c>
      <c r="E26" s="164" t="s">
        <v>2778</v>
      </c>
      <c r="F26" s="164" t="s">
        <v>2779</v>
      </c>
      <c r="G26" s="164" t="s">
        <v>2780</v>
      </c>
      <c r="H26" s="2384" t="str">
        <f t="shared" si="8"/>
        <v/>
      </c>
      <c r="I26" s="1058"/>
      <c r="J26" s="1058"/>
      <c r="K26" s="1058"/>
      <c r="L26" s="1058"/>
      <c r="M26" s="1058"/>
      <c r="N26" s="1058"/>
      <c r="O26" s="1058"/>
      <c r="P26" s="1058"/>
      <c r="Q26" s="1058"/>
      <c r="R26" s="1058"/>
      <c r="S26" s="1058"/>
      <c r="T26" s="881"/>
      <c r="U26" s="881"/>
      <c r="V26" s="881"/>
      <c r="W26" s="881"/>
      <c r="X26" s="881"/>
      <c r="Y26" s="881"/>
      <c r="Z26" s="881"/>
      <c r="AA26" s="881"/>
      <c r="AB26" s="881"/>
      <c r="AC26" s="881"/>
      <c r="AD26" s="881"/>
      <c r="AE26" s="190"/>
      <c r="AF26" s="288"/>
      <c r="AG26" s="290"/>
      <c r="AH26" s="290"/>
      <c r="AI26" s="290"/>
      <c r="AJ26" s="290"/>
      <c r="AK26" s="290"/>
      <c r="AL26" s="290"/>
      <c r="AM26" s="290"/>
      <c r="AN26" s="290"/>
      <c r="AO26" s="290"/>
      <c r="AP26" s="290"/>
      <c r="AQ26" s="290"/>
      <c r="AR26" s="290"/>
      <c r="AS26" s="290"/>
      <c r="AT26" s="290"/>
      <c r="AU26" s="290"/>
      <c r="AV26" s="290"/>
      <c r="AW26" s="290"/>
      <c r="AX26" s="321"/>
      <c r="CH26" s="1020">
        <v>0</v>
      </c>
      <c r="CI26" s="1020"/>
      <c r="CJ26" s="1020">
        <v>0</v>
      </c>
      <c r="CK26" s="1020"/>
      <c r="CL26" s="1020"/>
      <c r="CM26" s="1020"/>
      <c r="CN26" s="1020"/>
      <c r="CO26" s="1020"/>
    </row>
    <row r="27" spans="1:93" ht="16.350000000000001" customHeight="1" x14ac:dyDescent="0.2">
      <c r="A27" s="2449" t="s">
        <v>3095</v>
      </c>
      <c r="B27" s="5558" t="s">
        <v>966</v>
      </c>
      <c r="C27" s="5559"/>
      <c r="D27" s="164" t="s">
        <v>2777</v>
      </c>
      <c r="E27" s="164" t="s">
        <v>2778</v>
      </c>
      <c r="F27" s="164" t="s">
        <v>2779</v>
      </c>
      <c r="G27" s="164" t="s">
        <v>2780</v>
      </c>
      <c r="H27" s="2384" t="str">
        <f t="shared" si="8"/>
        <v/>
      </c>
      <c r="I27" s="1058"/>
      <c r="J27" s="1058"/>
      <c r="K27" s="1058"/>
      <c r="L27" s="1058"/>
      <c r="M27" s="1058"/>
      <c r="N27" s="1058"/>
      <c r="O27" s="1058"/>
      <c r="P27" s="1058"/>
      <c r="Q27" s="1058"/>
      <c r="R27" s="1058"/>
      <c r="S27" s="1058"/>
      <c r="T27" s="881"/>
      <c r="U27" s="881"/>
      <c r="V27" s="881"/>
      <c r="W27" s="881"/>
      <c r="X27" s="881"/>
      <c r="Y27" s="881"/>
      <c r="Z27" s="881"/>
      <c r="AA27" s="881"/>
      <c r="AB27" s="881"/>
      <c r="AC27" s="881"/>
      <c r="AD27" s="881"/>
      <c r="AE27" s="190"/>
      <c r="AF27" s="288"/>
      <c r="AG27" s="290"/>
      <c r="AH27" s="290"/>
      <c r="AI27" s="290"/>
      <c r="AJ27" s="290"/>
      <c r="AK27" s="290"/>
      <c r="AL27" s="290"/>
      <c r="AM27" s="290"/>
      <c r="AN27" s="290"/>
      <c r="AO27" s="290"/>
      <c r="AP27" s="290"/>
      <c r="AQ27" s="290"/>
      <c r="AR27" s="290"/>
      <c r="AS27" s="290"/>
      <c r="AT27" s="290"/>
      <c r="AU27" s="290"/>
      <c r="AV27" s="290"/>
      <c r="AW27" s="290"/>
      <c r="AX27" s="321"/>
      <c r="CH27" s="1020">
        <v>0</v>
      </c>
      <c r="CI27" s="1020"/>
      <c r="CJ27" s="1020">
        <v>0</v>
      </c>
      <c r="CK27" s="1020"/>
      <c r="CL27" s="1020"/>
      <c r="CM27" s="1020"/>
      <c r="CN27" s="1020"/>
      <c r="CO27" s="1020"/>
    </row>
    <row r="28" spans="1:93" ht="16.350000000000001" customHeight="1" x14ac:dyDescent="0.2">
      <c r="A28" s="2449" t="s">
        <v>3096</v>
      </c>
      <c r="B28" s="5558" t="s">
        <v>967</v>
      </c>
      <c r="C28" s="5559"/>
      <c r="D28" s="164" t="s">
        <v>2777</v>
      </c>
      <c r="E28" s="164" t="s">
        <v>2778</v>
      </c>
      <c r="F28" s="164" t="s">
        <v>2779</v>
      </c>
      <c r="G28" s="164" t="s">
        <v>2780</v>
      </c>
      <c r="H28" s="2384" t="str">
        <f t="shared" si="8"/>
        <v/>
      </c>
      <c r="I28" s="1058"/>
      <c r="J28" s="1058"/>
      <c r="K28" s="1058"/>
      <c r="L28" s="1058"/>
      <c r="M28" s="1058"/>
      <c r="N28" s="1058"/>
      <c r="O28" s="1058"/>
      <c r="P28" s="1058"/>
      <c r="Q28" s="1058"/>
      <c r="R28" s="1058"/>
      <c r="S28" s="1058"/>
      <c r="T28" s="881"/>
      <c r="U28" s="881"/>
      <c r="V28" s="881"/>
      <c r="W28" s="881"/>
      <c r="X28" s="881"/>
      <c r="Y28" s="881"/>
      <c r="Z28" s="881"/>
      <c r="AA28" s="881"/>
      <c r="AB28" s="881"/>
      <c r="AC28" s="881"/>
      <c r="AD28" s="881"/>
      <c r="AE28" s="190"/>
      <c r="AF28" s="288"/>
      <c r="AG28" s="290"/>
      <c r="AH28" s="290"/>
      <c r="AI28" s="290"/>
      <c r="AJ28" s="290"/>
      <c r="AK28" s="290"/>
      <c r="AL28" s="290"/>
      <c r="AM28" s="290"/>
      <c r="AN28" s="290"/>
      <c r="AO28" s="290"/>
      <c r="AP28" s="290"/>
      <c r="AQ28" s="290"/>
      <c r="AR28" s="290"/>
      <c r="AS28" s="290"/>
      <c r="AT28" s="290"/>
      <c r="AU28" s="290"/>
      <c r="AV28" s="290"/>
      <c r="AW28" s="290"/>
      <c r="AX28" s="321"/>
      <c r="CH28" s="1020">
        <v>0</v>
      </c>
      <c r="CI28" s="1020"/>
      <c r="CJ28" s="1020">
        <v>0</v>
      </c>
      <c r="CK28" s="1020"/>
      <c r="CL28" s="1020"/>
      <c r="CM28" s="1020"/>
      <c r="CN28" s="1020"/>
      <c r="CO28" s="1020"/>
    </row>
    <row r="29" spans="1:93" ht="16.350000000000001" customHeight="1" x14ac:dyDescent="0.2">
      <c r="A29" s="2449">
        <v>24100800</v>
      </c>
      <c r="B29" s="5538" t="s">
        <v>968</v>
      </c>
      <c r="C29" s="5539"/>
      <c r="D29" s="105" t="s">
        <v>2777</v>
      </c>
      <c r="E29" s="105" t="s">
        <v>2778</v>
      </c>
      <c r="F29" s="105" t="s">
        <v>2779</v>
      </c>
      <c r="G29" s="105" t="s">
        <v>2780</v>
      </c>
      <c r="H29" s="2384" t="str">
        <f t="shared" si="8"/>
        <v/>
      </c>
      <c r="I29" s="1058"/>
      <c r="J29" s="1058"/>
      <c r="K29" s="1058"/>
      <c r="L29" s="1058"/>
      <c r="M29" s="1058"/>
      <c r="N29" s="1058"/>
      <c r="O29" s="1058"/>
      <c r="P29" s="1058"/>
      <c r="Q29" s="1058"/>
      <c r="R29" s="1058"/>
      <c r="S29" s="1058"/>
      <c r="T29" s="881"/>
      <c r="U29" s="128"/>
      <c r="V29" s="128"/>
      <c r="W29" s="128"/>
      <c r="X29" s="128"/>
      <c r="Y29" s="128"/>
      <c r="Z29" s="128"/>
      <c r="AA29" s="128"/>
      <c r="AB29" s="128"/>
      <c r="AC29" s="128"/>
      <c r="AD29" s="128"/>
      <c r="AE29" s="81"/>
      <c r="AF29" s="323"/>
      <c r="AG29" s="323"/>
      <c r="AH29" s="323"/>
      <c r="AI29" s="329"/>
      <c r="AJ29" s="323"/>
      <c r="AK29" s="323"/>
      <c r="AL29" s="323"/>
      <c r="AM29" s="323"/>
      <c r="AN29" s="323"/>
      <c r="AO29" s="323"/>
      <c r="AP29" s="323"/>
      <c r="AQ29" s="323"/>
      <c r="AR29" s="323"/>
      <c r="AS29" s="323"/>
      <c r="AT29" s="323"/>
      <c r="AU29" s="323"/>
      <c r="AV29" s="323"/>
      <c r="AW29" s="323"/>
      <c r="AX29" s="330"/>
      <c r="CH29" s="1020">
        <v>0</v>
      </c>
      <c r="CI29" s="1020"/>
      <c r="CJ29" s="1020">
        <v>0</v>
      </c>
      <c r="CK29" s="1020"/>
      <c r="CL29" s="1020"/>
      <c r="CM29" s="1020"/>
      <c r="CN29" s="1020"/>
      <c r="CO29" s="1020"/>
    </row>
    <row r="30" spans="1:93" ht="31.35" customHeight="1" x14ac:dyDescent="0.2">
      <c r="B30" s="85" t="s">
        <v>2626</v>
      </c>
      <c r="C30" s="114"/>
      <c r="D30" s="195"/>
      <c r="E30" s="190"/>
      <c r="F30" s="190"/>
      <c r="G30" s="205"/>
      <c r="H30" s="881"/>
      <c r="I30" s="881"/>
      <c r="J30" s="881"/>
      <c r="K30" s="881"/>
      <c r="L30" s="881"/>
      <c r="M30" s="881"/>
      <c r="N30" s="881"/>
      <c r="O30" s="881"/>
      <c r="P30" s="881"/>
      <c r="Q30" s="881"/>
      <c r="R30" s="128"/>
      <c r="S30" s="128"/>
      <c r="T30" s="128"/>
      <c r="U30" s="128"/>
      <c r="V30" s="128"/>
      <c r="W30" s="128"/>
      <c r="X30" s="128"/>
      <c r="Y30" s="128"/>
      <c r="Z30" s="128"/>
      <c r="AA30" s="128"/>
      <c r="AB30" s="128"/>
      <c r="AC30" s="128"/>
      <c r="AD30" s="128"/>
      <c r="AE30" s="81"/>
      <c r="AF30" s="323"/>
      <c r="AG30" s="323"/>
      <c r="AH30" s="323"/>
      <c r="AI30" s="329"/>
      <c r="AJ30" s="323"/>
      <c r="AK30" s="323"/>
      <c r="AL30" s="323"/>
      <c r="AM30" s="323"/>
      <c r="AN30" s="323"/>
      <c r="AO30" s="323"/>
      <c r="AP30" s="323"/>
      <c r="AQ30" s="323"/>
      <c r="AR30" s="323"/>
      <c r="AS30" s="323"/>
      <c r="AT30" s="323"/>
      <c r="AU30" s="323"/>
      <c r="AV30" s="323"/>
      <c r="AW30" s="323"/>
      <c r="AX30" s="330"/>
      <c r="CA30" s="80"/>
      <c r="CH30" s="1020"/>
      <c r="CI30" s="1020"/>
      <c r="CJ30" s="1020"/>
      <c r="CK30" s="1020"/>
      <c r="CL30" s="1020"/>
      <c r="CM30" s="1020"/>
      <c r="CN30" s="1020"/>
      <c r="CO30" s="1020"/>
    </row>
    <row r="31" spans="1:93" ht="16.350000000000001" customHeight="1" x14ac:dyDescent="0.2">
      <c r="B31" s="5545" t="s">
        <v>304</v>
      </c>
      <c r="C31" s="5546"/>
      <c r="D31" s="5112" t="s">
        <v>4</v>
      </c>
      <c r="E31" s="5581" t="s">
        <v>274</v>
      </c>
      <c r="F31" s="5582"/>
      <c r="G31" s="5582"/>
      <c r="H31" s="5582"/>
      <c r="I31" s="5582"/>
      <c r="J31" s="5582"/>
      <c r="K31" s="5582"/>
      <c r="L31" s="5582"/>
      <c r="M31" s="5582"/>
      <c r="N31" s="5582"/>
      <c r="O31" s="5583"/>
      <c r="P31" s="190"/>
      <c r="Q31" s="190"/>
      <c r="R31" s="190"/>
      <c r="S31" s="190"/>
      <c r="T31" s="81"/>
      <c r="U31" s="81"/>
      <c r="V31" s="81"/>
      <c r="W31" s="81"/>
      <c r="X31" s="81"/>
      <c r="Y31" s="81"/>
      <c r="Z31" s="81"/>
      <c r="AA31" s="81"/>
      <c r="AB31" s="81"/>
      <c r="AC31" s="81"/>
      <c r="AD31" s="81"/>
      <c r="AE31" s="81"/>
      <c r="AF31" s="81"/>
      <c r="AG31" s="323"/>
      <c r="AH31" s="323"/>
      <c r="AI31" s="323"/>
      <c r="AJ31" s="329"/>
      <c r="AK31" s="323"/>
      <c r="AL31" s="323"/>
      <c r="AM31" s="326"/>
      <c r="AN31" s="326"/>
      <c r="AO31" s="326"/>
      <c r="AP31" s="326"/>
      <c r="AQ31" s="326"/>
      <c r="AR31" s="326"/>
      <c r="AS31" s="326"/>
      <c r="AT31" s="326"/>
      <c r="AU31" s="326"/>
      <c r="AV31" s="326"/>
      <c r="AW31" s="326"/>
      <c r="AX31" s="326"/>
      <c r="AY31" s="330"/>
      <c r="CA31" s="80"/>
      <c r="CH31" s="1020"/>
      <c r="CI31" s="1020"/>
      <c r="CJ31" s="1020"/>
      <c r="CK31" s="1020"/>
      <c r="CL31" s="1020"/>
      <c r="CM31" s="1020"/>
      <c r="CN31" s="1020"/>
      <c r="CO31" s="1020"/>
    </row>
    <row r="32" spans="1:93" ht="25.35" customHeight="1" x14ac:dyDescent="0.2">
      <c r="B32" s="5549"/>
      <c r="C32" s="5550"/>
      <c r="D32" s="5114"/>
      <c r="E32" s="253" t="s">
        <v>294</v>
      </c>
      <c r="F32" s="89" t="s">
        <v>295</v>
      </c>
      <c r="G32" s="89" t="s">
        <v>10</v>
      </c>
      <c r="H32" s="89" t="s">
        <v>11</v>
      </c>
      <c r="I32" s="89" t="s">
        <v>12</v>
      </c>
      <c r="J32" s="89" t="s">
        <v>13</v>
      </c>
      <c r="K32" s="89" t="s">
        <v>14</v>
      </c>
      <c r="L32" s="89" t="s">
        <v>15</v>
      </c>
      <c r="M32" s="89" t="s">
        <v>16</v>
      </c>
      <c r="N32" s="620" t="s">
        <v>1381</v>
      </c>
      <c r="O32" s="1240" t="s">
        <v>1567</v>
      </c>
      <c r="P32" s="738"/>
      <c r="Q32" s="327"/>
      <c r="R32" s="328"/>
      <c r="S32" s="333"/>
      <c r="T32" s="333"/>
      <c r="U32" s="328"/>
      <c r="V32" s="332"/>
      <c r="W32" s="327"/>
      <c r="X32" s="190"/>
      <c r="Y32" s="190"/>
      <c r="Z32" s="190"/>
      <c r="AA32" s="190"/>
      <c r="AB32" s="190"/>
      <c r="AC32" s="190"/>
      <c r="AD32" s="190"/>
      <c r="AE32" s="190"/>
      <c r="AF32" s="190"/>
      <c r="AG32" s="288"/>
      <c r="AH32" s="288"/>
      <c r="AI32" s="288"/>
      <c r="AJ32" s="296"/>
      <c r="AK32" s="288"/>
      <c r="AL32" s="288"/>
      <c r="AM32" s="288"/>
      <c r="AN32" s="288"/>
      <c r="AO32" s="288"/>
      <c r="AP32" s="288"/>
      <c r="AQ32" s="288"/>
      <c r="AR32" s="290"/>
      <c r="AS32" s="290"/>
      <c r="AT32" s="290"/>
      <c r="AU32" s="290"/>
      <c r="AV32" s="290"/>
      <c r="AW32" s="290"/>
      <c r="AX32" s="290"/>
      <c r="AY32" s="330"/>
      <c r="CA32" s="80"/>
      <c r="CH32" s="1020"/>
      <c r="CI32" s="1020"/>
      <c r="CJ32" s="1020"/>
      <c r="CK32" s="1020"/>
      <c r="CL32" s="1020"/>
      <c r="CM32" s="1020"/>
      <c r="CN32" s="1020"/>
      <c r="CO32" s="1020"/>
    </row>
    <row r="33" spans="1:93" ht="16.350000000000001" customHeight="1" x14ac:dyDescent="0.2">
      <c r="A33" s="2527"/>
      <c r="B33" s="5523" t="s">
        <v>305</v>
      </c>
      <c r="C33" s="5523"/>
      <c r="D33" s="187">
        <f>SUM(E33:N33)</f>
        <v>0</v>
      </c>
      <c r="E33" s="185">
        <f>SUM(E34:E45,E48:E49,E52)</f>
        <v>0</v>
      </c>
      <c r="F33" s="460">
        <f>SUM(F34:F45,F48:F49,F52)</f>
        <v>0</v>
      </c>
      <c r="G33" s="460">
        <f t="shared" ref="G33:N33" si="9">SUM(G34:G45,G48:G49,G52)</f>
        <v>0</v>
      </c>
      <c r="H33" s="460">
        <f t="shared" si="9"/>
        <v>0</v>
      </c>
      <c r="I33" s="460">
        <f t="shared" si="9"/>
        <v>0</v>
      </c>
      <c r="J33" s="460">
        <f t="shared" si="9"/>
        <v>0</v>
      </c>
      <c r="K33" s="460">
        <f t="shared" si="9"/>
        <v>0</v>
      </c>
      <c r="L33" s="460">
        <f t="shared" si="9"/>
        <v>0</v>
      </c>
      <c r="M33" s="460">
        <f t="shared" si="9"/>
        <v>0</v>
      </c>
      <c r="N33" s="520">
        <f t="shared" si="9"/>
        <v>0</v>
      </c>
      <c r="O33" s="1027">
        <f>SUM(O34:O45,O48:O49,O52)</f>
        <v>0</v>
      </c>
      <c r="P33" s="739"/>
      <c r="Q33" s="334"/>
      <c r="R33" s="335"/>
      <c r="S33" s="336"/>
      <c r="T33" s="336"/>
      <c r="U33" s="335"/>
      <c r="V33" s="337"/>
      <c r="W33" s="337"/>
      <c r="X33" s="190"/>
      <c r="Y33" s="190"/>
      <c r="Z33" s="190"/>
      <c r="AA33" s="190"/>
      <c r="AB33" s="190"/>
      <c r="AC33" s="190"/>
      <c r="AD33" s="190"/>
      <c r="AE33" s="190"/>
      <c r="AF33" s="190"/>
      <c r="AG33" s="190"/>
      <c r="AH33" s="190"/>
      <c r="AI33" s="190"/>
      <c r="AJ33" s="190"/>
      <c r="AK33" s="288"/>
      <c r="AL33" s="288"/>
      <c r="AM33" s="288"/>
      <c r="AN33" s="288"/>
      <c r="AO33" s="288"/>
      <c r="AP33" s="288"/>
      <c r="AQ33" s="288"/>
      <c r="AR33" s="290"/>
      <c r="AS33" s="290"/>
      <c r="AT33" s="290"/>
      <c r="AU33" s="290"/>
      <c r="AV33" s="290"/>
      <c r="AW33" s="290"/>
      <c r="AX33" s="290"/>
      <c r="CA33" s="80"/>
      <c r="CH33" s="1020"/>
      <c r="CI33" s="1020"/>
      <c r="CJ33" s="1020"/>
      <c r="CK33" s="1020"/>
      <c r="CL33" s="1020"/>
      <c r="CM33" s="1020"/>
      <c r="CN33" s="1020"/>
      <c r="CO33" s="1020"/>
    </row>
    <row r="34" spans="1:93" ht="16.350000000000001" customHeight="1" x14ac:dyDescent="0.2">
      <c r="A34" s="2449" t="s">
        <v>3097</v>
      </c>
      <c r="B34" s="5560" t="s">
        <v>1683</v>
      </c>
      <c r="C34" s="5296"/>
      <c r="D34" s="2450" t="s">
        <v>2777</v>
      </c>
      <c r="E34" s="2483" t="s">
        <v>2778</v>
      </c>
      <c r="F34" s="2462" t="s">
        <v>2779</v>
      </c>
      <c r="G34" s="2462" t="s">
        <v>2780</v>
      </c>
      <c r="H34" s="2462" t="s">
        <v>2781</v>
      </c>
      <c r="I34" s="2462" t="s">
        <v>2782</v>
      </c>
      <c r="J34" s="2462" t="s">
        <v>2783</v>
      </c>
      <c r="K34" s="2462" t="s">
        <v>2784</v>
      </c>
      <c r="L34" s="2462" t="s">
        <v>2785</v>
      </c>
      <c r="M34" s="2462" t="s">
        <v>2786</v>
      </c>
      <c r="N34" s="2561" t="s">
        <v>2787</v>
      </c>
      <c r="O34" s="2499" t="s">
        <v>2788</v>
      </c>
      <c r="P34" s="1057" t="str">
        <f>CB34</f>
        <v/>
      </c>
      <c r="Q34" s="338"/>
      <c r="R34" s="338"/>
      <c r="S34" s="338"/>
      <c r="T34" s="338"/>
      <c r="U34" s="338"/>
      <c r="V34" s="190"/>
      <c r="W34" s="190"/>
      <c r="X34" s="190"/>
      <c r="Y34" s="190"/>
      <c r="Z34" s="190"/>
      <c r="AA34" s="190"/>
      <c r="AB34" s="190"/>
      <c r="AC34" s="190"/>
      <c r="AD34" s="190"/>
      <c r="AE34" s="190"/>
      <c r="AF34" s="190"/>
      <c r="AG34" s="190"/>
      <c r="AH34" s="190"/>
      <c r="AI34" s="190"/>
      <c r="AJ34" s="190"/>
      <c r="AK34" s="288"/>
      <c r="AL34" s="290"/>
      <c r="AM34" s="290"/>
      <c r="AN34" s="290"/>
      <c r="AO34" s="290"/>
      <c r="AP34" s="290"/>
      <c r="AQ34" s="290"/>
      <c r="AR34" s="290"/>
      <c r="AS34" s="290"/>
      <c r="AT34" s="290"/>
      <c r="AU34" s="290"/>
      <c r="AV34" s="290"/>
      <c r="AW34" s="290"/>
      <c r="AX34" s="290"/>
      <c r="CA34" s="80"/>
      <c r="CB34" s="889" t="str">
        <f>IF(CH34=1,"* No olvide digitar la columna Espacios Amigables (Digite Cero si no tiene). ","")</f>
        <v/>
      </c>
      <c r="CH34" s="1020">
        <f>IF(AND(D34&lt;&gt;0,O34=""),1,0)</f>
        <v>0</v>
      </c>
      <c r="CI34" s="1020"/>
      <c r="CJ34" s="1020"/>
      <c r="CK34" s="1020"/>
      <c r="CL34" s="1020"/>
      <c r="CM34" s="1020"/>
      <c r="CN34" s="1020"/>
      <c r="CO34" s="1020"/>
    </row>
    <row r="35" spans="1:93" ht="16.350000000000001" customHeight="1" x14ac:dyDescent="0.2">
      <c r="A35" s="2449" t="s">
        <v>3098</v>
      </c>
      <c r="B35" s="5561" t="s">
        <v>1684</v>
      </c>
      <c r="C35" s="5286"/>
      <c r="D35" s="100" t="s">
        <v>2777</v>
      </c>
      <c r="E35" s="166" t="s">
        <v>2778</v>
      </c>
      <c r="F35" s="102" t="s">
        <v>2779</v>
      </c>
      <c r="G35" s="102" t="s">
        <v>2780</v>
      </c>
      <c r="H35" s="102" t="s">
        <v>2781</v>
      </c>
      <c r="I35" s="102" t="s">
        <v>2782</v>
      </c>
      <c r="J35" s="102" t="s">
        <v>2783</v>
      </c>
      <c r="K35" s="102" t="s">
        <v>2784</v>
      </c>
      <c r="L35" s="102" t="s">
        <v>2785</v>
      </c>
      <c r="M35" s="102" t="s">
        <v>2786</v>
      </c>
      <c r="N35" s="319" t="s">
        <v>2787</v>
      </c>
      <c r="O35" s="168" t="s">
        <v>2788</v>
      </c>
      <c r="P35" s="1057" t="str">
        <f t="shared" ref="P35:P52" si="10">CB35</f>
        <v/>
      </c>
      <c r="Q35" s="339"/>
      <c r="R35" s="339"/>
      <c r="S35" s="339"/>
      <c r="T35" s="339"/>
      <c r="U35" s="339"/>
      <c r="V35" s="190"/>
      <c r="W35" s="190"/>
      <c r="X35" s="190"/>
      <c r="Y35" s="190"/>
      <c r="Z35" s="190"/>
      <c r="AA35" s="190"/>
      <c r="AB35" s="190"/>
      <c r="AC35" s="190"/>
      <c r="AD35" s="190"/>
      <c r="AE35" s="190"/>
      <c r="AF35" s="190"/>
      <c r="AG35" s="190"/>
      <c r="AH35" s="190"/>
      <c r="AI35" s="190"/>
      <c r="AJ35" s="190"/>
      <c r="AK35" s="288"/>
      <c r="AL35" s="290"/>
      <c r="AM35" s="290"/>
      <c r="AN35" s="290"/>
      <c r="AO35" s="290"/>
      <c r="AP35" s="290"/>
      <c r="AQ35" s="290"/>
      <c r="AR35" s="290"/>
      <c r="AS35" s="290"/>
      <c r="AT35" s="290"/>
      <c r="AU35" s="290"/>
      <c r="AV35" s="290"/>
      <c r="AW35" s="290"/>
      <c r="AX35" s="290"/>
      <c r="CA35" s="80"/>
      <c r="CB35" s="889" t="str">
        <f t="shared" ref="CB35:CB52" si="11">IF(CH35=1,"* No olvide digitar la columna Espacios Amigables (Digite Cero si no tiene). ","")</f>
        <v/>
      </c>
      <c r="CH35" s="1020">
        <f t="shared" ref="CH35:CH52" si="12">IF(AND(D35&lt;&gt;0,O35=""),1,0)</f>
        <v>0</v>
      </c>
      <c r="CI35" s="1020"/>
      <c r="CJ35" s="1020"/>
      <c r="CK35" s="1020"/>
      <c r="CL35" s="1020"/>
      <c r="CM35" s="1020"/>
      <c r="CN35" s="1020"/>
      <c r="CO35" s="1020"/>
    </row>
    <row r="36" spans="1:93" ht="16.350000000000001" customHeight="1" x14ac:dyDescent="0.2">
      <c r="A36" s="2449" t="s">
        <v>3099</v>
      </c>
      <c r="B36" s="5109" t="s">
        <v>306</v>
      </c>
      <c r="C36" s="1278" t="s">
        <v>1685</v>
      </c>
      <c r="D36" s="2450" t="s">
        <v>2777</v>
      </c>
      <c r="E36" s="2483" t="s">
        <v>2778</v>
      </c>
      <c r="F36" s="2462" t="s">
        <v>2779</v>
      </c>
      <c r="G36" s="2462" t="s">
        <v>2780</v>
      </c>
      <c r="H36" s="2462" t="s">
        <v>2781</v>
      </c>
      <c r="I36" s="2462" t="s">
        <v>2782</v>
      </c>
      <c r="J36" s="2462" t="s">
        <v>2783</v>
      </c>
      <c r="K36" s="2462" t="s">
        <v>2784</v>
      </c>
      <c r="L36" s="2462" t="s">
        <v>2785</v>
      </c>
      <c r="M36" s="2462" t="s">
        <v>2786</v>
      </c>
      <c r="N36" s="2561" t="s">
        <v>2787</v>
      </c>
      <c r="O36" s="2499" t="s">
        <v>2788</v>
      </c>
      <c r="P36" s="1057" t="str">
        <f t="shared" si="10"/>
        <v/>
      </c>
      <c r="Q36" s="338"/>
      <c r="R36" s="338"/>
      <c r="S36" s="338"/>
      <c r="T36" s="338"/>
      <c r="U36" s="338"/>
      <c r="V36" s="190"/>
      <c r="W36" s="190"/>
      <c r="X36" s="190"/>
      <c r="Y36" s="190"/>
      <c r="Z36" s="190"/>
      <c r="AA36" s="190"/>
      <c r="AB36" s="190"/>
      <c r="AC36" s="190"/>
      <c r="AD36" s="190"/>
      <c r="AE36" s="190"/>
      <c r="AF36" s="190"/>
      <c r="AG36" s="190"/>
      <c r="AH36" s="190"/>
      <c r="AI36" s="190"/>
      <c r="AJ36" s="190"/>
      <c r="AK36" s="288"/>
      <c r="AL36" s="290"/>
      <c r="AM36" s="290"/>
      <c r="AN36" s="290"/>
      <c r="AO36" s="290"/>
      <c r="AP36" s="290"/>
      <c r="AQ36" s="290"/>
      <c r="AR36" s="290"/>
      <c r="AS36" s="290"/>
      <c r="AT36" s="290"/>
      <c r="AU36" s="290"/>
      <c r="AV36" s="290"/>
      <c r="AW36" s="290"/>
      <c r="AX36" s="290"/>
      <c r="CA36" s="80"/>
      <c r="CB36" s="889" t="str">
        <f t="shared" si="11"/>
        <v/>
      </c>
      <c r="CH36" s="1020">
        <f t="shared" si="12"/>
        <v>0</v>
      </c>
      <c r="CI36" s="1020"/>
      <c r="CJ36" s="1020"/>
      <c r="CK36" s="1020"/>
      <c r="CL36" s="1020"/>
      <c r="CM36" s="1020"/>
      <c r="CN36" s="1020"/>
      <c r="CO36" s="1020"/>
    </row>
    <row r="37" spans="1:93" ht="16.350000000000001" customHeight="1" x14ac:dyDescent="0.2">
      <c r="A37" s="2449" t="s">
        <v>3100</v>
      </c>
      <c r="B37" s="5103"/>
      <c r="C37" s="1279" t="s">
        <v>1686</v>
      </c>
      <c r="D37" s="140" t="s">
        <v>2777</v>
      </c>
      <c r="E37" s="141" t="s">
        <v>2778</v>
      </c>
      <c r="F37" s="142" t="s">
        <v>2779</v>
      </c>
      <c r="G37" s="142" t="s">
        <v>2780</v>
      </c>
      <c r="H37" s="142" t="s">
        <v>2781</v>
      </c>
      <c r="I37" s="142" t="s">
        <v>2782</v>
      </c>
      <c r="J37" s="142" t="s">
        <v>2783</v>
      </c>
      <c r="K37" s="142" t="s">
        <v>2784</v>
      </c>
      <c r="L37" s="142" t="s">
        <v>2785</v>
      </c>
      <c r="M37" s="142" t="s">
        <v>2786</v>
      </c>
      <c r="N37" s="318" t="s">
        <v>2787</v>
      </c>
      <c r="O37" s="198" t="s">
        <v>2788</v>
      </c>
      <c r="P37" s="1057" t="str">
        <f t="shared" si="10"/>
        <v/>
      </c>
      <c r="Q37" s="338"/>
      <c r="R37" s="338"/>
      <c r="S37" s="338"/>
      <c r="T37" s="338"/>
      <c r="U37" s="338"/>
      <c r="V37" s="190"/>
      <c r="W37" s="190"/>
      <c r="X37" s="190"/>
      <c r="Y37" s="190"/>
      <c r="Z37" s="190"/>
      <c r="AA37" s="190"/>
      <c r="AB37" s="190"/>
      <c r="AC37" s="190"/>
      <c r="AD37" s="190"/>
      <c r="AE37" s="190"/>
      <c r="AF37" s="190"/>
      <c r="AG37" s="190"/>
      <c r="AH37" s="190"/>
      <c r="AI37" s="190"/>
      <c r="AJ37" s="190"/>
      <c r="AK37" s="288"/>
      <c r="AL37" s="290"/>
      <c r="AM37" s="290"/>
      <c r="AN37" s="290"/>
      <c r="AO37" s="290"/>
      <c r="AP37" s="290"/>
      <c r="AQ37" s="290"/>
      <c r="AR37" s="290"/>
      <c r="AS37" s="290"/>
      <c r="AT37" s="290"/>
      <c r="AU37" s="290"/>
      <c r="AV37" s="290"/>
      <c r="AW37" s="290"/>
      <c r="AX37" s="290"/>
      <c r="CA37" s="80"/>
      <c r="CB37" s="889" t="str">
        <f t="shared" si="11"/>
        <v/>
      </c>
      <c r="CH37" s="1020">
        <f t="shared" si="12"/>
        <v>0</v>
      </c>
      <c r="CI37" s="1020"/>
      <c r="CJ37" s="1020"/>
      <c r="CK37" s="1020"/>
      <c r="CL37" s="1020"/>
      <c r="CM37" s="1020"/>
      <c r="CN37" s="1020"/>
      <c r="CO37" s="1020"/>
    </row>
    <row r="38" spans="1:93" ht="16.350000000000001" customHeight="1" x14ac:dyDescent="0.2">
      <c r="A38" s="2449" t="s">
        <v>3101</v>
      </c>
      <c r="B38" s="5103"/>
      <c r="C38" s="1279" t="s">
        <v>1687</v>
      </c>
      <c r="D38" s="140" t="s">
        <v>2777</v>
      </c>
      <c r="E38" s="141" t="s">
        <v>2778</v>
      </c>
      <c r="F38" s="142" t="s">
        <v>2779</v>
      </c>
      <c r="G38" s="142" t="s">
        <v>2780</v>
      </c>
      <c r="H38" s="142" t="s">
        <v>2781</v>
      </c>
      <c r="I38" s="142" t="s">
        <v>2782</v>
      </c>
      <c r="J38" s="142" t="s">
        <v>2783</v>
      </c>
      <c r="K38" s="142" t="s">
        <v>2784</v>
      </c>
      <c r="L38" s="142" t="s">
        <v>2785</v>
      </c>
      <c r="M38" s="142" t="s">
        <v>2786</v>
      </c>
      <c r="N38" s="318" t="s">
        <v>2787</v>
      </c>
      <c r="O38" s="198" t="s">
        <v>2788</v>
      </c>
      <c r="P38" s="1057" t="str">
        <f t="shared" si="10"/>
        <v/>
      </c>
      <c r="Q38" s="338"/>
      <c r="R38" s="338"/>
      <c r="S38" s="338"/>
      <c r="T38" s="338"/>
      <c r="U38" s="338"/>
      <c r="V38" s="190"/>
      <c r="W38" s="190"/>
      <c r="X38" s="190"/>
      <c r="Y38" s="190"/>
      <c r="Z38" s="190"/>
      <c r="AA38" s="190"/>
      <c r="AB38" s="190"/>
      <c r="AC38" s="190"/>
      <c r="AD38" s="190"/>
      <c r="AE38" s="190"/>
      <c r="AF38" s="190"/>
      <c r="AG38" s="190"/>
      <c r="AH38" s="190"/>
      <c r="AI38" s="190"/>
      <c r="AJ38" s="190"/>
      <c r="AK38" s="288"/>
      <c r="AL38" s="290"/>
      <c r="AM38" s="290"/>
      <c r="AN38" s="290"/>
      <c r="AO38" s="290"/>
      <c r="AP38" s="290"/>
      <c r="AQ38" s="290"/>
      <c r="AR38" s="290"/>
      <c r="AS38" s="290"/>
      <c r="AT38" s="290"/>
      <c r="AU38" s="290"/>
      <c r="AV38" s="290"/>
      <c r="AW38" s="290"/>
      <c r="AX38" s="290"/>
      <c r="CA38" s="80"/>
      <c r="CB38" s="889" t="str">
        <f t="shared" si="11"/>
        <v/>
      </c>
      <c r="CH38" s="1020">
        <f t="shared" si="12"/>
        <v>0</v>
      </c>
      <c r="CI38" s="1020"/>
      <c r="CJ38" s="1020"/>
      <c r="CK38" s="1020"/>
      <c r="CL38" s="1020"/>
      <c r="CM38" s="1020"/>
      <c r="CN38" s="1020"/>
      <c r="CO38" s="1020"/>
    </row>
    <row r="39" spans="1:93" ht="16.350000000000001" customHeight="1" x14ac:dyDescent="0.2">
      <c r="A39" s="2449" t="s">
        <v>3102</v>
      </c>
      <c r="B39" s="5103"/>
      <c r="C39" s="1279" t="s">
        <v>1688</v>
      </c>
      <c r="D39" s="140" t="s">
        <v>2777</v>
      </c>
      <c r="E39" s="141" t="s">
        <v>2778</v>
      </c>
      <c r="F39" s="142" t="s">
        <v>2779</v>
      </c>
      <c r="G39" s="142" t="s">
        <v>2780</v>
      </c>
      <c r="H39" s="142" t="s">
        <v>2781</v>
      </c>
      <c r="I39" s="142" t="s">
        <v>2782</v>
      </c>
      <c r="J39" s="142" t="s">
        <v>2783</v>
      </c>
      <c r="K39" s="142" t="s">
        <v>2784</v>
      </c>
      <c r="L39" s="142" t="s">
        <v>2785</v>
      </c>
      <c r="M39" s="142" t="s">
        <v>2786</v>
      </c>
      <c r="N39" s="318" t="s">
        <v>2787</v>
      </c>
      <c r="O39" s="198" t="s">
        <v>2788</v>
      </c>
      <c r="P39" s="1057" t="str">
        <f t="shared" si="10"/>
        <v/>
      </c>
      <c r="Q39" s="338"/>
      <c r="R39" s="338"/>
      <c r="S39" s="338"/>
      <c r="T39" s="338"/>
      <c r="U39" s="338"/>
      <c r="V39" s="190"/>
      <c r="W39" s="190"/>
      <c r="X39" s="190"/>
      <c r="Y39" s="190"/>
      <c r="Z39" s="190"/>
      <c r="AA39" s="190"/>
      <c r="AB39" s="190"/>
      <c r="AC39" s="190"/>
      <c r="AD39" s="190"/>
      <c r="AE39" s="190"/>
      <c r="AF39" s="190"/>
      <c r="AG39" s="190"/>
      <c r="AH39" s="190"/>
      <c r="AI39" s="190"/>
      <c r="AJ39" s="190"/>
      <c r="AK39" s="288"/>
      <c r="AL39" s="290"/>
      <c r="AM39" s="290"/>
      <c r="AN39" s="290"/>
      <c r="AO39" s="290"/>
      <c r="AP39" s="290"/>
      <c r="AQ39" s="290"/>
      <c r="AR39" s="290"/>
      <c r="AS39" s="290"/>
      <c r="AT39" s="290"/>
      <c r="AU39" s="290"/>
      <c r="AV39" s="290"/>
      <c r="AW39" s="290"/>
      <c r="AX39" s="290"/>
      <c r="CA39" s="80"/>
      <c r="CB39" s="889" t="str">
        <f t="shared" si="11"/>
        <v/>
      </c>
      <c r="CH39" s="1020">
        <f t="shared" si="12"/>
        <v>0</v>
      </c>
      <c r="CI39" s="1020"/>
      <c r="CJ39" s="1020"/>
      <c r="CK39" s="1020"/>
      <c r="CL39" s="1020"/>
      <c r="CM39" s="1020"/>
      <c r="CN39" s="1020"/>
      <c r="CO39" s="1020"/>
    </row>
    <row r="40" spans="1:93" ht="16.350000000000001" customHeight="1" x14ac:dyDescent="0.2">
      <c r="A40" s="2449" t="s">
        <v>3103</v>
      </c>
      <c r="B40" s="5103"/>
      <c r="C40" s="1279" t="s">
        <v>1689</v>
      </c>
      <c r="D40" s="140" t="s">
        <v>2777</v>
      </c>
      <c r="E40" s="141" t="s">
        <v>2778</v>
      </c>
      <c r="F40" s="142" t="s">
        <v>2779</v>
      </c>
      <c r="G40" s="142" t="s">
        <v>2780</v>
      </c>
      <c r="H40" s="142" t="s">
        <v>2781</v>
      </c>
      <c r="I40" s="142" t="s">
        <v>2782</v>
      </c>
      <c r="J40" s="142" t="s">
        <v>2783</v>
      </c>
      <c r="K40" s="142" t="s">
        <v>2784</v>
      </c>
      <c r="L40" s="142" t="s">
        <v>2785</v>
      </c>
      <c r="M40" s="142" t="s">
        <v>2786</v>
      </c>
      <c r="N40" s="318" t="s">
        <v>2787</v>
      </c>
      <c r="O40" s="198" t="s">
        <v>2788</v>
      </c>
      <c r="P40" s="1057" t="str">
        <f t="shared" si="10"/>
        <v/>
      </c>
      <c r="Q40" s="338"/>
      <c r="R40" s="338"/>
      <c r="S40" s="338"/>
      <c r="T40" s="338"/>
      <c r="U40" s="338"/>
      <c r="V40" s="190"/>
      <c r="W40" s="190"/>
      <c r="X40" s="190"/>
      <c r="Y40" s="190"/>
      <c r="Z40" s="190"/>
      <c r="AA40" s="190"/>
      <c r="AB40" s="190"/>
      <c r="AC40" s="190"/>
      <c r="AD40" s="190"/>
      <c r="AE40" s="190"/>
      <c r="AF40" s="190"/>
      <c r="AG40" s="190"/>
      <c r="AH40" s="190"/>
      <c r="AI40" s="190"/>
      <c r="AJ40" s="190"/>
      <c r="AK40" s="288"/>
      <c r="AL40" s="290"/>
      <c r="AM40" s="290"/>
      <c r="AN40" s="290"/>
      <c r="AO40" s="290"/>
      <c r="AP40" s="290"/>
      <c r="AQ40" s="290"/>
      <c r="AR40" s="290"/>
      <c r="AS40" s="290"/>
      <c r="AT40" s="290"/>
      <c r="AU40" s="290"/>
      <c r="AV40" s="290"/>
      <c r="AW40" s="290"/>
      <c r="AX40" s="290"/>
      <c r="CA40" s="80"/>
      <c r="CB40" s="889" t="str">
        <f t="shared" si="11"/>
        <v/>
      </c>
      <c r="CH40" s="1020">
        <f t="shared" si="12"/>
        <v>0</v>
      </c>
      <c r="CI40" s="1020"/>
      <c r="CJ40" s="1020"/>
      <c r="CK40" s="1020"/>
      <c r="CL40" s="1020"/>
      <c r="CM40" s="1020"/>
      <c r="CN40" s="1020"/>
      <c r="CO40" s="1020"/>
    </row>
    <row r="41" spans="1:93" ht="16.350000000000001" customHeight="1" x14ac:dyDescent="0.2">
      <c r="A41" s="2449" t="s">
        <v>3104</v>
      </c>
      <c r="B41" s="5343"/>
      <c r="C41" s="1280" t="s">
        <v>1690</v>
      </c>
      <c r="D41" s="2716" t="s">
        <v>2777</v>
      </c>
      <c r="E41" s="2717" t="s">
        <v>2778</v>
      </c>
      <c r="F41" s="2468" t="s">
        <v>2779</v>
      </c>
      <c r="G41" s="2468" t="s">
        <v>2780</v>
      </c>
      <c r="H41" s="2468" t="s">
        <v>2781</v>
      </c>
      <c r="I41" s="2468" t="s">
        <v>2782</v>
      </c>
      <c r="J41" s="2468" t="s">
        <v>2783</v>
      </c>
      <c r="K41" s="2468" t="s">
        <v>2784</v>
      </c>
      <c r="L41" s="2468" t="s">
        <v>2785</v>
      </c>
      <c r="M41" s="2468" t="s">
        <v>2786</v>
      </c>
      <c r="N41" s="2718" t="s">
        <v>2787</v>
      </c>
      <c r="O41" s="2719" t="s">
        <v>2788</v>
      </c>
      <c r="P41" s="1057" t="str">
        <f t="shared" si="10"/>
        <v/>
      </c>
      <c r="Q41" s="338"/>
      <c r="R41" s="338"/>
      <c r="S41" s="338"/>
      <c r="T41" s="338"/>
      <c r="U41" s="338"/>
      <c r="V41" s="190"/>
      <c r="W41" s="190"/>
      <c r="X41" s="190"/>
      <c r="Y41" s="190"/>
      <c r="Z41" s="190"/>
      <c r="AA41" s="190"/>
      <c r="AB41" s="190"/>
      <c r="AC41" s="190"/>
      <c r="AD41" s="190"/>
      <c r="AE41" s="190"/>
      <c r="AF41" s="190"/>
      <c r="AG41" s="190"/>
      <c r="AH41" s="190"/>
      <c r="AI41" s="190"/>
      <c r="AJ41" s="190"/>
      <c r="AK41" s="1099"/>
      <c r="AL41" s="1100"/>
      <c r="AM41" s="1100"/>
      <c r="AN41" s="1100"/>
      <c r="AO41" s="1100"/>
      <c r="AP41" s="1100"/>
      <c r="AQ41" s="1100"/>
      <c r="AR41" s="1100"/>
      <c r="AS41" s="1100"/>
      <c r="AT41" s="1100"/>
      <c r="AU41" s="1100"/>
      <c r="AV41" s="1100"/>
      <c r="AW41" s="1100"/>
      <c r="AX41" s="1100"/>
      <c r="CA41" s="80"/>
      <c r="CB41" s="889" t="str">
        <f t="shared" si="11"/>
        <v/>
      </c>
      <c r="CH41" s="1020">
        <f t="shared" si="12"/>
        <v>0</v>
      </c>
      <c r="CI41" s="1020"/>
      <c r="CJ41" s="1020"/>
      <c r="CK41" s="1020"/>
      <c r="CL41" s="1020"/>
      <c r="CM41" s="1020"/>
      <c r="CN41" s="1020"/>
      <c r="CO41" s="1020"/>
    </row>
    <row r="42" spans="1:93" ht="16.350000000000001" customHeight="1" x14ac:dyDescent="0.2">
      <c r="A42" s="2449" t="s">
        <v>3105</v>
      </c>
      <c r="B42" s="5562" t="s">
        <v>1695</v>
      </c>
      <c r="C42" s="1281" t="s">
        <v>307</v>
      </c>
      <c r="D42" s="2450" t="s">
        <v>2777</v>
      </c>
      <c r="E42" s="2483" t="s">
        <v>2778</v>
      </c>
      <c r="F42" s="2462" t="s">
        <v>2779</v>
      </c>
      <c r="G42" s="2462" t="s">
        <v>2780</v>
      </c>
      <c r="H42" s="2462" t="s">
        <v>2781</v>
      </c>
      <c r="I42" s="2462" t="s">
        <v>2782</v>
      </c>
      <c r="J42" s="2462" t="s">
        <v>2783</v>
      </c>
      <c r="K42" s="2462" t="s">
        <v>2784</v>
      </c>
      <c r="L42" s="2462" t="s">
        <v>2785</v>
      </c>
      <c r="M42" s="2462" t="s">
        <v>2786</v>
      </c>
      <c r="N42" s="2561" t="s">
        <v>2787</v>
      </c>
      <c r="O42" s="2499" t="s">
        <v>2788</v>
      </c>
      <c r="P42" s="1057" t="str">
        <f t="shared" si="10"/>
        <v/>
      </c>
      <c r="Q42" s="338"/>
      <c r="R42" s="338"/>
      <c r="S42" s="338"/>
      <c r="T42" s="338"/>
      <c r="U42" s="338"/>
      <c r="V42" s="190"/>
      <c r="W42" s="190"/>
      <c r="X42" s="190"/>
      <c r="Y42" s="190"/>
      <c r="Z42" s="190"/>
      <c r="AA42" s="190"/>
      <c r="AB42" s="190"/>
      <c r="AC42" s="190"/>
      <c r="AD42" s="190"/>
      <c r="AE42" s="190"/>
      <c r="AF42" s="190"/>
      <c r="AG42" s="190"/>
      <c r="AH42" s="190"/>
      <c r="AI42" s="190"/>
      <c r="AJ42" s="190"/>
      <c r="AK42" s="288"/>
      <c r="AL42" s="290"/>
      <c r="AM42" s="290"/>
      <c r="AN42" s="290"/>
      <c r="AO42" s="290"/>
      <c r="AP42" s="290"/>
      <c r="AQ42" s="290"/>
      <c r="AR42" s="290"/>
      <c r="AS42" s="290"/>
      <c r="AT42" s="290"/>
      <c r="AU42" s="290"/>
      <c r="AV42" s="290"/>
      <c r="AW42" s="290"/>
      <c r="AX42" s="290"/>
      <c r="CA42" s="80"/>
      <c r="CB42" s="889" t="str">
        <f t="shared" si="11"/>
        <v/>
      </c>
      <c r="CH42" s="1020">
        <f t="shared" si="12"/>
        <v>0</v>
      </c>
      <c r="CI42" s="1020"/>
      <c r="CJ42" s="1020"/>
      <c r="CK42" s="1020"/>
      <c r="CL42" s="1020"/>
      <c r="CM42" s="1020"/>
      <c r="CN42" s="1020"/>
      <c r="CO42" s="1020"/>
    </row>
    <row r="43" spans="1:93" ht="16.350000000000001" customHeight="1" x14ac:dyDescent="0.2">
      <c r="A43" s="2449" t="s">
        <v>3106</v>
      </c>
      <c r="B43" s="5114"/>
      <c r="C43" s="1280" t="s">
        <v>24</v>
      </c>
      <c r="D43" s="100" t="s">
        <v>2777</v>
      </c>
      <c r="E43" s="166" t="s">
        <v>2778</v>
      </c>
      <c r="F43" s="102" t="s">
        <v>2779</v>
      </c>
      <c r="G43" s="102" t="s">
        <v>2780</v>
      </c>
      <c r="H43" s="102" t="s">
        <v>2781</v>
      </c>
      <c r="I43" s="102" t="s">
        <v>2782</v>
      </c>
      <c r="J43" s="102" t="s">
        <v>2783</v>
      </c>
      <c r="K43" s="102" t="s">
        <v>2784</v>
      </c>
      <c r="L43" s="102" t="s">
        <v>2785</v>
      </c>
      <c r="M43" s="102" t="s">
        <v>2786</v>
      </c>
      <c r="N43" s="319" t="s">
        <v>2787</v>
      </c>
      <c r="O43" s="168" t="s">
        <v>2788</v>
      </c>
      <c r="P43" s="1057" t="str">
        <f t="shared" si="10"/>
        <v/>
      </c>
      <c r="Q43" s="338"/>
      <c r="R43" s="338"/>
      <c r="S43" s="338"/>
      <c r="T43" s="338"/>
      <c r="U43" s="338"/>
      <c r="V43" s="190"/>
      <c r="W43" s="190"/>
      <c r="X43" s="190"/>
      <c r="Y43" s="190"/>
      <c r="Z43" s="190"/>
      <c r="AA43" s="190"/>
      <c r="AB43" s="190"/>
      <c r="AC43" s="190"/>
      <c r="AD43" s="190"/>
      <c r="AE43" s="190"/>
      <c r="AF43" s="190"/>
      <c r="AG43" s="190"/>
      <c r="AH43" s="190"/>
      <c r="AI43" s="190"/>
      <c r="AJ43" s="190"/>
      <c r="AK43" s="288"/>
      <c r="AL43" s="290"/>
      <c r="AM43" s="290"/>
      <c r="AN43" s="290"/>
      <c r="AO43" s="290"/>
      <c r="AP43" s="290"/>
      <c r="AQ43" s="290"/>
      <c r="AR43" s="290"/>
      <c r="AS43" s="290"/>
      <c r="AT43" s="290"/>
      <c r="AU43" s="290"/>
      <c r="AV43" s="290"/>
      <c r="AW43" s="290"/>
      <c r="AX43" s="290"/>
      <c r="CA43" s="80"/>
      <c r="CB43" s="889" t="str">
        <f t="shared" si="11"/>
        <v/>
      </c>
      <c r="CH43" s="1020">
        <f t="shared" si="12"/>
        <v>0</v>
      </c>
      <c r="CI43" s="1020"/>
      <c r="CJ43" s="1020"/>
      <c r="CK43" s="1020"/>
      <c r="CL43" s="1020"/>
      <c r="CM43" s="1020"/>
      <c r="CN43" s="1020"/>
      <c r="CO43" s="1020"/>
    </row>
    <row r="44" spans="1:93" ht="16.350000000000001" customHeight="1" x14ac:dyDescent="0.2">
      <c r="A44" s="2449" t="s">
        <v>3107</v>
      </c>
      <c r="B44" s="5692" t="s">
        <v>2627</v>
      </c>
      <c r="C44" s="1283" t="s">
        <v>307</v>
      </c>
      <c r="D44" s="2450" t="s">
        <v>2777</v>
      </c>
      <c r="E44" s="2483" t="s">
        <v>2778</v>
      </c>
      <c r="F44" s="2462" t="s">
        <v>2779</v>
      </c>
      <c r="G44" s="2462" t="s">
        <v>2780</v>
      </c>
      <c r="H44" s="2462" t="s">
        <v>2781</v>
      </c>
      <c r="I44" s="2462" t="s">
        <v>2782</v>
      </c>
      <c r="J44" s="2462" t="s">
        <v>2783</v>
      </c>
      <c r="K44" s="2462" t="s">
        <v>2784</v>
      </c>
      <c r="L44" s="2462" t="s">
        <v>2785</v>
      </c>
      <c r="M44" s="2462" t="s">
        <v>2786</v>
      </c>
      <c r="N44" s="2561" t="s">
        <v>2787</v>
      </c>
      <c r="O44" s="2499" t="s">
        <v>2788</v>
      </c>
      <c r="P44" s="1057" t="str">
        <f t="shared" si="10"/>
        <v/>
      </c>
      <c r="Q44" s="338"/>
      <c r="R44" s="338"/>
      <c r="S44" s="338"/>
      <c r="T44" s="338"/>
      <c r="U44" s="338"/>
      <c r="V44" s="190"/>
      <c r="W44" s="190"/>
      <c r="X44" s="190"/>
      <c r="Y44" s="190"/>
      <c r="Z44" s="190"/>
      <c r="AA44" s="190"/>
      <c r="AB44" s="190"/>
      <c r="AC44" s="190"/>
      <c r="AD44" s="190"/>
      <c r="AE44" s="190"/>
      <c r="AF44" s="190"/>
      <c r="AG44" s="190"/>
      <c r="AH44" s="190"/>
      <c r="AI44" s="190"/>
      <c r="AJ44" s="190"/>
      <c r="AK44" s="288"/>
      <c r="AL44" s="290"/>
      <c r="AM44" s="290"/>
      <c r="AN44" s="290"/>
      <c r="AO44" s="290"/>
      <c r="AP44" s="290"/>
      <c r="AQ44" s="290"/>
      <c r="AR44" s="290"/>
      <c r="AS44" s="290"/>
      <c r="AT44" s="290"/>
      <c r="AU44" s="290"/>
      <c r="AV44" s="290"/>
      <c r="AW44" s="290"/>
      <c r="AX44" s="290"/>
      <c r="CA44" s="80"/>
      <c r="CB44" s="889" t="str">
        <f t="shared" si="11"/>
        <v/>
      </c>
      <c r="CH44" s="1020">
        <f t="shared" si="12"/>
        <v>0</v>
      </c>
      <c r="CI44" s="1020"/>
      <c r="CJ44" s="1020"/>
      <c r="CK44" s="1020"/>
      <c r="CL44" s="1020"/>
      <c r="CM44" s="1020"/>
      <c r="CN44" s="1020"/>
      <c r="CO44" s="1020"/>
    </row>
    <row r="45" spans="1:93" ht="16.350000000000001" customHeight="1" thickBot="1" x14ac:dyDescent="0.25">
      <c r="A45" s="2449" t="s">
        <v>3108</v>
      </c>
      <c r="B45" s="5693"/>
      <c r="C45" s="1282" t="s">
        <v>24</v>
      </c>
      <c r="D45" s="359" t="s">
        <v>2777</v>
      </c>
      <c r="E45" s="385" t="s">
        <v>2778</v>
      </c>
      <c r="F45" s="1274" t="s">
        <v>2779</v>
      </c>
      <c r="G45" s="1274" t="s">
        <v>2780</v>
      </c>
      <c r="H45" s="1274" t="s">
        <v>2781</v>
      </c>
      <c r="I45" s="1274" t="s">
        <v>2782</v>
      </c>
      <c r="J45" s="1274" t="s">
        <v>2783</v>
      </c>
      <c r="K45" s="1274" t="s">
        <v>2784</v>
      </c>
      <c r="L45" s="1274" t="s">
        <v>2785</v>
      </c>
      <c r="M45" s="1274" t="s">
        <v>2786</v>
      </c>
      <c r="N45" s="1275" t="s">
        <v>2787</v>
      </c>
      <c r="O45" s="765" t="s">
        <v>2788</v>
      </c>
      <c r="P45" s="1057" t="str">
        <f t="shared" si="10"/>
        <v/>
      </c>
      <c r="Q45" s="338"/>
      <c r="R45" s="338"/>
      <c r="S45" s="338"/>
      <c r="T45" s="338"/>
      <c r="U45" s="338"/>
      <c r="V45" s="190"/>
      <c r="W45" s="190"/>
      <c r="X45" s="190"/>
      <c r="Y45" s="190"/>
      <c r="Z45" s="190"/>
      <c r="AA45" s="190"/>
      <c r="AB45" s="190"/>
      <c r="AC45" s="190"/>
      <c r="AD45" s="190"/>
      <c r="AE45" s="190"/>
      <c r="AF45" s="190"/>
      <c r="AG45" s="190"/>
      <c r="AH45" s="190"/>
      <c r="AI45" s="190"/>
      <c r="AJ45" s="190"/>
      <c r="AK45" s="1245"/>
      <c r="AL45" s="1246"/>
      <c r="AM45" s="1246"/>
      <c r="AN45" s="1246"/>
      <c r="AO45" s="1246"/>
      <c r="AP45" s="1246"/>
      <c r="AQ45" s="1246"/>
      <c r="AR45" s="1246"/>
      <c r="AS45" s="1246"/>
      <c r="AT45" s="1246"/>
      <c r="AU45" s="1246"/>
      <c r="AV45" s="1246"/>
      <c r="AW45" s="1246"/>
      <c r="AX45" s="1244"/>
      <c r="CA45" s="80"/>
      <c r="CB45" s="889" t="str">
        <f t="shared" si="11"/>
        <v/>
      </c>
      <c r="CH45" s="1020">
        <f t="shared" si="12"/>
        <v>0</v>
      </c>
      <c r="CI45" s="1020"/>
      <c r="CJ45" s="1020"/>
      <c r="CK45" s="1020"/>
      <c r="CL45" s="1020"/>
      <c r="CM45" s="1020"/>
      <c r="CN45" s="1020"/>
      <c r="CO45" s="1020"/>
    </row>
    <row r="46" spans="1:93" ht="21" customHeight="1" thickTop="1" x14ac:dyDescent="0.2">
      <c r="A46" s="2449" t="s">
        <v>3109</v>
      </c>
      <c r="B46" s="5577" t="s">
        <v>1694</v>
      </c>
      <c r="C46" s="5578"/>
      <c r="D46" s="4637" t="s">
        <v>2777</v>
      </c>
      <c r="E46" s="2853" t="s">
        <v>2778</v>
      </c>
      <c r="F46" s="573" t="s">
        <v>2779</v>
      </c>
      <c r="G46" s="573" t="s">
        <v>2780</v>
      </c>
      <c r="H46" s="573" t="s">
        <v>2781</v>
      </c>
      <c r="I46" s="573" t="s">
        <v>2782</v>
      </c>
      <c r="J46" s="573" t="s">
        <v>2783</v>
      </c>
      <c r="K46" s="573" t="s">
        <v>2784</v>
      </c>
      <c r="L46" s="573" t="s">
        <v>2785</v>
      </c>
      <c r="M46" s="573" t="s">
        <v>2786</v>
      </c>
      <c r="N46" s="4638" t="s">
        <v>2787</v>
      </c>
      <c r="O46" s="2856" t="s">
        <v>2788</v>
      </c>
      <c r="P46" s="1057" t="str">
        <f t="shared" si="10"/>
        <v/>
      </c>
      <c r="Q46" s="338"/>
      <c r="R46" s="338"/>
      <c r="S46" s="338"/>
      <c r="T46" s="338"/>
      <c r="U46" s="338"/>
      <c r="V46" s="190"/>
      <c r="W46" s="190"/>
      <c r="X46" s="190"/>
      <c r="Y46" s="190"/>
      <c r="Z46" s="190"/>
      <c r="AA46" s="190"/>
      <c r="AB46" s="190"/>
      <c r="AC46" s="190"/>
      <c r="AD46" s="190"/>
      <c r="AE46" s="190"/>
      <c r="AF46" s="190"/>
      <c r="AG46" s="190"/>
      <c r="AH46" s="190"/>
      <c r="AI46" s="190"/>
      <c r="AJ46" s="190"/>
      <c r="AK46" s="1245"/>
      <c r="AL46" s="1246"/>
      <c r="AM46" s="1246"/>
      <c r="AN46" s="1246"/>
      <c r="AO46" s="1246"/>
      <c r="AP46" s="1246"/>
      <c r="AQ46" s="1246"/>
      <c r="AR46" s="1246"/>
      <c r="AS46" s="1246"/>
      <c r="AT46" s="1246"/>
      <c r="AU46" s="1246"/>
      <c r="AV46" s="1246"/>
      <c r="AW46" s="1246"/>
      <c r="AX46" s="1244"/>
      <c r="CA46" s="80"/>
      <c r="CB46" s="889" t="str">
        <f t="shared" si="11"/>
        <v/>
      </c>
      <c r="CH46" s="1020">
        <f t="shared" si="12"/>
        <v>0</v>
      </c>
      <c r="CI46" s="1020"/>
      <c r="CJ46" s="1020"/>
      <c r="CK46" s="1020"/>
      <c r="CL46" s="1020"/>
      <c r="CM46" s="1020"/>
      <c r="CN46" s="1020"/>
      <c r="CO46" s="1020"/>
    </row>
    <row r="47" spans="1:93" ht="20.25" customHeight="1" x14ac:dyDescent="0.2">
      <c r="A47" s="2449" t="s">
        <v>3110</v>
      </c>
      <c r="B47" s="5551" t="s">
        <v>1693</v>
      </c>
      <c r="C47" s="5552"/>
      <c r="D47" s="2716" t="s">
        <v>2777</v>
      </c>
      <c r="E47" s="2717" t="s">
        <v>2778</v>
      </c>
      <c r="F47" s="2468" t="s">
        <v>2779</v>
      </c>
      <c r="G47" s="2468" t="s">
        <v>2780</v>
      </c>
      <c r="H47" s="2468" t="s">
        <v>2781</v>
      </c>
      <c r="I47" s="2468" t="s">
        <v>2782</v>
      </c>
      <c r="J47" s="2468" t="s">
        <v>2783</v>
      </c>
      <c r="K47" s="2468" t="s">
        <v>2784</v>
      </c>
      <c r="L47" s="2468" t="s">
        <v>2785</v>
      </c>
      <c r="M47" s="2468" t="s">
        <v>2786</v>
      </c>
      <c r="N47" s="2718" t="s">
        <v>2787</v>
      </c>
      <c r="O47" s="2719" t="s">
        <v>2788</v>
      </c>
      <c r="P47" s="1057" t="str">
        <f t="shared" si="10"/>
        <v/>
      </c>
      <c r="Q47" s="338"/>
      <c r="R47" s="338"/>
      <c r="S47" s="338"/>
      <c r="T47" s="338"/>
      <c r="U47" s="338"/>
      <c r="V47" s="190"/>
      <c r="W47" s="190"/>
      <c r="X47" s="190"/>
      <c r="Y47" s="190"/>
      <c r="Z47" s="190"/>
      <c r="AA47" s="190"/>
      <c r="AB47" s="190"/>
      <c r="AC47" s="190"/>
      <c r="AD47" s="190"/>
      <c r="AE47" s="190"/>
      <c r="AF47" s="190"/>
      <c r="AG47" s="190"/>
      <c r="AH47" s="190"/>
      <c r="AI47" s="190"/>
      <c r="AJ47" s="190"/>
      <c r="AK47" s="1245"/>
      <c r="AL47" s="1246"/>
      <c r="AM47" s="1246"/>
      <c r="AN47" s="1246"/>
      <c r="AO47" s="1246"/>
      <c r="AP47" s="1246"/>
      <c r="AQ47" s="1246"/>
      <c r="AR47" s="1246"/>
      <c r="AS47" s="1246"/>
      <c r="AT47" s="1246"/>
      <c r="AU47" s="1246"/>
      <c r="AV47" s="1246"/>
      <c r="AW47" s="1246"/>
      <c r="AX47" s="1244"/>
      <c r="CA47" s="80"/>
      <c r="CB47" s="889" t="str">
        <f t="shared" si="11"/>
        <v/>
      </c>
      <c r="CH47" s="1020">
        <f t="shared" si="12"/>
        <v>0</v>
      </c>
      <c r="CI47" s="1020"/>
      <c r="CJ47" s="1020"/>
      <c r="CK47" s="1020"/>
      <c r="CL47" s="1020"/>
      <c r="CM47" s="1020"/>
      <c r="CN47" s="1020"/>
      <c r="CO47" s="1020"/>
    </row>
    <row r="48" spans="1:93" ht="16.350000000000001" customHeight="1" x14ac:dyDescent="0.2">
      <c r="A48" s="2449" t="s">
        <v>3111</v>
      </c>
      <c r="B48" s="5573" t="s">
        <v>1691</v>
      </c>
      <c r="C48" s="2713" t="s">
        <v>307</v>
      </c>
      <c r="D48" s="2450" t="s">
        <v>2777</v>
      </c>
      <c r="E48" s="2483" t="s">
        <v>2778</v>
      </c>
      <c r="F48" s="2462" t="s">
        <v>2779</v>
      </c>
      <c r="G48" s="2462" t="s">
        <v>2780</v>
      </c>
      <c r="H48" s="2462" t="s">
        <v>2781</v>
      </c>
      <c r="I48" s="2462" t="s">
        <v>2782</v>
      </c>
      <c r="J48" s="2462" t="s">
        <v>2783</v>
      </c>
      <c r="K48" s="2462" t="s">
        <v>2784</v>
      </c>
      <c r="L48" s="2462" t="s">
        <v>2785</v>
      </c>
      <c r="M48" s="2462" t="s">
        <v>2786</v>
      </c>
      <c r="N48" s="2561" t="s">
        <v>2787</v>
      </c>
      <c r="O48" s="2499" t="s">
        <v>2788</v>
      </c>
      <c r="P48" s="1057" t="str">
        <f t="shared" si="10"/>
        <v/>
      </c>
      <c r="Q48" s="338"/>
      <c r="R48" s="338"/>
      <c r="S48" s="338"/>
      <c r="T48" s="338"/>
      <c r="U48" s="338"/>
      <c r="V48" s="190"/>
      <c r="W48" s="190"/>
      <c r="X48" s="190"/>
      <c r="Y48" s="190"/>
      <c r="Z48" s="190"/>
      <c r="AA48" s="190"/>
      <c r="AB48" s="190"/>
      <c r="AC48" s="190"/>
      <c r="AD48" s="190"/>
      <c r="AE48" s="190"/>
      <c r="AF48" s="190"/>
      <c r="AG48" s="190"/>
      <c r="AH48" s="190"/>
      <c r="AI48" s="190"/>
      <c r="AJ48" s="190"/>
      <c r="AK48" s="1245"/>
      <c r="AL48" s="1246"/>
      <c r="AM48" s="1246"/>
      <c r="AN48" s="1246"/>
      <c r="AO48" s="1246"/>
      <c r="AP48" s="1246"/>
      <c r="AQ48" s="1246"/>
      <c r="AR48" s="1246"/>
      <c r="AS48" s="1246"/>
      <c r="AT48" s="1246"/>
      <c r="AU48" s="1246"/>
      <c r="AV48" s="1246"/>
      <c r="AW48" s="1246"/>
      <c r="AX48" s="1244"/>
      <c r="CA48" s="80"/>
      <c r="CB48" s="889" t="str">
        <f t="shared" si="11"/>
        <v/>
      </c>
      <c r="CH48" s="1020">
        <f t="shared" si="12"/>
        <v>0</v>
      </c>
      <c r="CI48" s="1020"/>
      <c r="CJ48" s="1020"/>
      <c r="CK48" s="1020"/>
      <c r="CL48" s="1020"/>
      <c r="CM48" s="1020"/>
      <c r="CN48" s="1020"/>
      <c r="CO48" s="1020"/>
    </row>
    <row r="49" spans="1:105" ht="16.350000000000001" customHeight="1" x14ac:dyDescent="0.2">
      <c r="A49" s="2449" t="s">
        <v>3112</v>
      </c>
      <c r="B49" s="5574"/>
      <c r="C49" s="2714" t="s">
        <v>24</v>
      </c>
      <c r="D49" s="2716" t="s">
        <v>2777</v>
      </c>
      <c r="E49" s="2717" t="s">
        <v>2778</v>
      </c>
      <c r="F49" s="2462" t="s">
        <v>2779</v>
      </c>
      <c r="G49" s="2462" t="s">
        <v>2780</v>
      </c>
      <c r="H49" s="2468" t="s">
        <v>2781</v>
      </c>
      <c r="I49" s="2468" t="s">
        <v>2782</v>
      </c>
      <c r="J49" s="2468" t="s">
        <v>2783</v>
      </c>
      <c r="K49" s="2468" t="s">
        <v>2784</v>
      </c>
      <c r="L49" s="2468" t="s">
        <v>2785</v>
      </c>
      <c r="M49" s="2468" t="s">
        <v>2786</v>
      </c>
      <c r="N49" s="2718" t="s">
        <v>2787</v>
      </c>
      <c r="O49" s="2719" t="s">
        <v>2788</v>
      </c>
      <c r="P49" s="1057" t="str">
        <f t="shared" si="10"/>
        <v/>
      </c>
      <c r="Q49" s="338"/>
      <c r="R49" s="338"/>
      <c r="S49" s="338"/>
      <c r="T49" s="338"/>
      <c r="U49" s="338"/>
      <c r="V49" s="190"/>
      <c r="W49" s="190"/>
      <c r="X49" s="190"/>
      <c r="Y49" s="190"/>
      <c r="Z49" s="190"/>
      <c r="AA49" s="190"/>
      <c r="AB49" s="190"/>
      <c r="AC49" s="190"/>
      <c r="AD49" s="190"/>
      <c r="AE49" s="190"/>
      <c r="AF49" s="190"/>
      <c r="AG49" s="190"/>
      <c r="AH49" s="190"/>
      <c r="AI49" s="190"/>
      <c r="AJ49" s="190"/>
      <c r="AK49" s="1245"/>
      <c r="AL49" s="1246"/>
      <c r="AM49" s="1246"/>
      <c r="AN49" s="1246"/>
      <c r="AO49" s="1246"/>
      <c r="AP49" s="1246"/>
      <c r="AQ49" s="1246"/>
      <c r="AR49" s="1246"/>
      <c r="AS49" s="1246"/>
      <c r="AT49" s="1246"/>
      <c r="AU49" s="1246"/>
      <c r="AV49" s="1246"/>
      <c r="AW49" s="1246"/>
      <c r="AX49" s="1244"/>
      <c r="CA49" s="80"/>
      <c r="CB49" s="889" t="str">
        <f t="shared" si="11"/>
        <v/>
      </c>
      <c r="CH49" s="1020">
        <f t="shared" si="12"/>
        <v>0</v>
      </c>
      <c r="CI49" s="1020"/>
      <c r="CJ49" s="1020"/>
      <c r="CK49" s="1020"/>
      <c r="CL49" s="1020"/>
      <c r="CM49" s="1020"/>
      <c r="CN49" s="1020"/>
      <c r="CO49" s="1020"/>
    </row>
    <row r="50" spans="1:105" ht="21" customHeight="1" x14ac:dyDescent="0.2">
      <c r="A50" s="2449" t="s">
        <v>3113</v>
      </c>
      <c r="B50" s="5573" t="s">
        <v>1692</v>
      </c>
      <c r="C50" s="2713" t="s">
        <v>307</v>
      </c>
      <c r="D50" s="2450" t="s">
        <v>2777</v>
      </c>
      <c r="E50" s="2483" t="s">
        <v>2778</v>
      </c>
      <c r="F50" s="2462" t="s">
        <v>2779</v>
      </c>
      <c r="G50" s="2462" t="s">
        <v>2780</v>
      </c>
      <c r="H50" s="2462" t="s">
        <v>2781</v>
      </c>
      <c r="I50" s="2462" t="s">
        <v>2782</v>
      </c>
      <c r="J50" s="2462" t="s">
        <v>2783</v>
      </c>
      <c r="K50" s="2462" t="s">
        <v>2784</v>
      </c>
      <c r="L50" s="2462" t="s">
        <v>2785</v>
      </c>
      <c r="M50" s="2462" t="s">
        <v>2786</v>
      </c>
      <c r="N50" s="2561" t="s">
        <v>2787</v>
      </c>
      <c r="O50" s="2499" t="s">
        <v>2788</v>
      </c>
      <c r="P50" s="1057" t="str">
        <f t="shared" si="10"/>
        <v/>
      </c>
      <c r="Q50" s="338"/>
      <c r="R50" s="338"/>
      <c r="S50" s="338"/>
      <c r="T50" s="338"/>
      <c r="U50" s="338"/>
      <c r="V50" s="190"/>
      <c r="W50" s="190"/>
      <c r="X50" s="190"/>
      <c r="Y50" s="190"/>
      <c r="Z50" s="190"/>
      <c r="AA50" s="190"/>
      <c r="AB50" s="190"/>
      <c r="AC50" s="190"/>
      <c r="AD50" s="190"/>
      <c r="AE50" s="190"/>
      <c r="AF50" s="190"/>
      <c r="AG50" s="190"/>
      <c r="AH50" s="190"/>
      <c r="AI50" s="190"/>
      <c r="AJ50" s="190"/>
      <c r="AK50" s="1245"/>
      <c r="AL50" s="1246"/>
      <c r="AM50" s="1246"/>
      <c r="AN50" s="1246"/>
      <c r="AO50" s="1246"/>
      <c r="AP50" s="1246"/>
      <c r="AQ50" s="1246"/>
      <c r="AR50" s="1246"/>
      <c r="AS50" s="1246"/>
      <c r="AT50" s="1246"/>
      <c r="AU50" s="1246"/>
      <c r="AV50" s="1246"/>
      <c r="AW50" s="1246"/>
      <c r="AX50" s="1244"/>
      <c r="CA50" s="80"/>
      <c r="CB50" s="889" t="str">
        <f t="shared" si="11"/>
        <v/>
      </c>
      <c r="CH50" s="1020">
        <f t="shared" si="12"/>
        <v>0</v>
      </c>
      <c r="CI50" s="1020"/>
      <c r="CJ50" s="1020"/>
      <c r="CK50" s="1020"/>
      <c r="CL50" s="1020"/>
      <c r="CM50" s="1020"/>
      <c r="CN50" s="1020"/>
      <c r="CO50" s="1020"/>
    </row>
    <row r="51" spans="1:105" ht="18" customHeight="1" x14ac:dyDescent="0.2">
      <c r="A51" s="2449" t="s">
        <v>3114</v>
      </c>
      <c r="B51" s="5574"/>
      <c r="C51" s="2715" t="s">
        <v>24</v>
      </c>
      <c r="D51" s="2716" t="s">
        <v>2777</v>
      </c>
      <c r="E51" s="2717" t="s">
        <v>2778</v>
      </c>
      <c r="F51" s="2468" t="s">
        <v>2779</v>
      </c>
      <c r="G51" s="2468" t="s">
        <v>2780</v>
      </c>
      <c r="H51" s="2468" t="s">
        <v>2781</v>
      </c>
      <c r="I51" s="2468" t="s">
        <v>2782</v>
      </c>
      <c r="J51" s="2468" t="s">
        <v>2783</v>
      </c>
      <c r="K51" s="2468" t="s">
        <v>2784</v>
      </c>
      <c r="L51" s="2468" t="s">
        <v>2785</v>
      </c>
      <c r="M51" s="2468" t="s">
        <v>2786</v>
      </c>
      <c r="N51" s="2718" t="s">
        <v>2787</v>
      </c>
      <c r="O51" s="2719" t="s">
        <v>2788</v>
      </c>
      <c r="P51" s="1057" t="str">
        <f t="shared" si="10"/>
        <v/>
      </c>
      <c r="Q51" s="243"/>
      <c r="R51" s="243"/>
      <c r="S51" s="243"/>
      <c r="T51" s="190"/>
      <c r="U51" s="190"/>
      <c r="V51" s="243"/>
      <c r="W51" s="243"/>
      <c r="X51" s="243"/>
      <c r="Y51" s="81"/>
      <c r="Z51" s="81"/>
      <c r="AA51" s="81"/>
      <c r="AB51" s="81"/>
      <c r="AC51" s="81"/>
      <c r="AD51" s="81"/>
      <c r="AE51" s="81"/>
      <c r="AF51" s="81"/>
      <c r="AG51" s="81"/>
      <c r="AH51" s="81"/>
      <c r="AI51" s="81"/>
      <c r="AJ51" s="323"/>
      <c r="AK51" s="323"/>
      <c r="AL51" s="323"/>
      <c r="AM51" s="323"/>
      <c r="AN51" s="323"/>
      <c r="AO51" s="323"/>
      <c r="AP51" s="323"/>
      <c r="AQ51" s="323"/>
      <c r="AR51" s="323"/>
      <c r="AS51" s="323"/>
      <c r="AT51" s="323"/>
      <c r="AU51" s="323"/>
      <c r="AV51" s="323"/>
      <c r="AW51" s="323"/>
      <c r="CA51" s="80"/>
      <c r="CB51" s="889" t="str">
        <f t="shared" si="11"/>
        <v/>
      </c>
      <c r="CH51" s="1020">
        <f t="shared" si="12"/>
        <v>0</v>
      </c>
      <c r="CI51" s="1020"/>
      <c r="CJ51" s="1020"/>
      <c r="CK51" s="1020"/>
      <c r="CL51" s="1020"/>
      <c r="CM51" s="1020"/>
      <c r="CN51" s="1020"/>
      <c r="CO51" s="1020"/>
    </row>
    <row r="52" spans="1:105" ht="16.350000000000001" customHeight="1" x14ac:dyDescent="0.2">
      <c r="A52" s="2449" t="s">
        <v>3115</v>
      </c>
      <c r="B52" s="5575" t="s">
        <v>2628</v>
      </c>
      <c r="C52" s="5576"/>
      <c r="D52" s="2716" t="s">
        <v>2777</v>
      </c>
      <c r="E52" s="2717" t="s">
        <v>2778</v>
      </c>
      <c r="F52" s="2468" t="s">
        <v>2779</v>
      </c>
      <c r="G52" s="2468" t="s">
        <v>2780</v>
      </c>
      <c r="H52" s="2468" t="s">
        <v>2781</v>
      </c>
      <c r="I52" s="2468" t="s">
        <v>2782</v>
      </c>
      <c r="J52" s="2468" t="s">
        <v>2783</v>
      </c>
      <c r="K52" s="2468" t="s">
        <v>2784</v>
      </c>
      <c r="L52" s="2468" t="s">
        <v>2785</v>
      </c>
      <c r="M52" s="2468" t="s">
        <v>2786</v>
      </c>
      <c r="N52" s="2718" t="s">
        <v>2787</v>
      </c>
      <c r="O52" s="2719" t="s">
        <v>2788</v>
      </c>
      <c r="P52" s="1057" t="str">
        <f t="shared" si="10"/>
        <v/>
      </c>
      <c r="Q52" s="190"/>
      <c r="R52" s="190"/>
      <c r="S52" s="190"/>
      <c r="T52" s="190"/>
      <c r="U52" s="190"/>
      <c r="V52" s="190"/>
      <c r="W52" s="190"/>
      <c r="X52" s="190"/>
      <c r="Y52" s="81"/>
      <c r="Z52" s="81"/>
      <c r="AA52" s="81"/>
      <c r="AB52" s="81"/>
      <c r="AC52" s="81"/>
      <c r="AD52" s="81"/>
      <c r="AE52" s="81"/>
      <c r="AF52" s="81"/>
      <c r="AG52" s="81"/>
      <c r="AH52" s="81"/>
      <c r="AI52" s="81"/>
      <c r="AJ52" s="323"/>
      <c r="AK52" s="323"/>
      <c r="AL52" s="323"/>
      <c r="AM52" s="323"/>
      <c r="AN52" s="323"/>
      <c r="AO52" s="323"/>
      <c r="AP52" s="323"/>
      <c r="AQ52" s="323"/>
      <c r="AR52" s="323"/>
      <c r="AS52" s="323"/>
      <c r="AT52" s="323"/>
      <c r="AU52" s="323"/>
      <c r="AV52" s="323"/>
      <c r="AW52" s="323"/>
      <c r="CB52" s="889" t="str">
        <f t="shared" si="11"/>
        <v/>
      </c>
      <c r="CH52" s="1020">
        <f t="shared" si="12"/>
        <v>0</v>
      </c>
      <c r="CI52" s="1020"/>
      <c r="CJ52" s="1020"/>
      <c r="CK52" s="1020"/>
      <c r="CL52" s="1020"/>
      <c r="CM52" s="1020"/>
      <c r="CN52" s="1020"/>
      <c r="CO52" s="1020"/>
    </row>
    <row r="53" spans="1:105" s="3157" customFormat="1" ht="30" customHeight="1" x14ac:dyDescent="0.2">
      <c r="B53" s="4295" t="s">
        <v>2629</v>
      </c>
      <c r="C53" s="3174"/>
      <c r="D53" s="584"/>
      <c r="E53" s="457"/>
      <c r="F53" s="457"/>
      <c r="G53" s="457"/>
      <c r="H53" s="457"/>
      <c r="I53" s="457"/>
      <c r="J53" s="457"/>
      <c r="K53" s="457"/>
      <c r="L53" s="457"/>
      <c r="M53" s="457"/>
      <c r="N53" s="457"/>
      <c r="O53" s="457"/>
      <c r="P53" s="457"/>
      <c r="Q53" s="457"/>
      <c r="R53" s="457"/>
      <c r="S53" s="457"/>
      <c r="T53" s="457"/>
      <c r="U53" s="457"/>
      <c r="V53" s="457"/>
      <c r="W53" s="457"/>
      <c r="X53" s="457"/>
      <c r="Y53" s="4276"/>
      <c r="Z53" s="4276"/>
      <c r="AA53" s="4276"/>
      <c r="AB53" s="4276"/>
      <c r="AC53" s="4276"/>
      <c r="AD53" s="4276"/>
      <c r="AE53" s="4276"/>
      <c r="AF53" s="4276"/>
      <c r="AG53" s="4276"/>
      <c r="AH53" s="4276"/>
      <c r="AI53" s="4276"/>
      <c r="AJ53" s="4277"/>
      <c r="AK53" s="4277"/>
      <c r="AL53" s="4277"/>
      <c r="AM53" s="4277"/>
      <c r="AN53" s="4277"/>
      <c r="AO53" s="4277"/>
      <c r="AP53" s="4278"/>
      <c r="AQ53" s="4278"/>
      <c r="AR53" s="4278"/>
      <c r="AS53" s="4278"/>
      <c r="AT53" s="4278"/>
      <c r="AU53" s="4278"/>
      <c r="AV53" s="4278"/>
      <c r="AW53" s="4278"/>
      <c r="CA53" s="3159"/>
      <c r="CB53" s="3161" t="e">
        <f>IF(AND(('A01'!$D18+'A01'!$D19+'A01'!$D20+'A01'!$D21+'A01'!$G31+'A01'!$G32+'A01'!$G33)&lt;&gt;0,E53=0,F53=""),"* Observacion : En A01 existen contoles no ingresados, Revisar. ","")</f>
        <v>#VALUE!</v>
      </c>
      <c r="CC53" s="3161"/>
      <c r="CD53" s="3161"/>
      <c r="CE53" s="3161"/>
      <c r="CF53" s="3161"/>
      <c r="CG53" s="3161"/>
      <c r="CH53" s="3162"/>
      <c r="CI53" s="3162"/>
      <c r="CJ53" s="3162"/>
      <c r="CK53" s="3162"/>
      <c r="CL53" s="3162"/>
      <c r="CM53" s="3162"/>
      <c r="CN53" s="3162"/>
      <c r="CO53" s="3162"/>
      <c r="CP53" s="3161"/>
      <c r="CQ53" s="3161"/>
      <c r="CR53" s="3161"/>
      <c r="CS53" s="3161"/>
      <c r="CT53" s="3161"/>
      <c r="CU53" s="3161"/>
      <c r="CV53" s="3161"/>
      <c r="CW53" s="3161"/>
      <c r="CX53" s="3161"/>
      <c r="CY53" s="3161"/>
      <c r="CZ53" s="3161"/>
      <c r="DA53" s="3161"/>
    </row>
    <row r="54" spans="1:105" ht="31.35" customHeight="1" x14ac:dyDescent="0.2">
      <c r="B54" s="222" t="s">
        <v>120</v>
      </c>
      <c r="C54" s="93" t="s">
        <v>42</v>
      </c>
      <c r="G54" s="903"/>
      <c r="H54" s="903"/>
      <c r="I54" s="903"/>
      <c r="J54" s="903"/>
      <c r="K54" s="903"/>
      <c r="L54" s="903"/>
      <c r="M54" s="903"/>
      <c r="N54" s="903"/>
      <c r="O54" s="903"/>
      <c r="P54" s="903"/>
      <c r="Q54" s="903"/>
      <c r="R54" s="903"/>
      <c r="S54" s="903"/>
      <c r="T54" s="903"/>
      <c r="U54" s="243"/>
      <c r="V54" s="243"/>
      <c r="W54" s="243"/>
      <c r="X54" s="243"/>
      <c r="Y54" s="81"/>
      <c r="Z54" s="81"/>
      <c r="AA54" s="81"/>
      <c r="AB54" s="81"/>
      <c r="AC54" s="81"/>
      <c r="AD54" s="81"/>
      <c r="AE54" s="81"/>
      <c r="AF54" s="81"/>
      <c r="AG54" s="81"/>
      <c r="AH54" s="81"/>
      <c r="AI54" s="81"/>
      <c r="AJ54" s="81"/>
      <c r="AK54" s="81"/>
      <c r="AL54" s="81"/>
      <c r="AM54" s="81"/>
      <c r="AN54" s="81"/>
      <c r="AO54" s="81"/>
      <c r="AP54" s="323"/>
      <c r="AQ54" s="323"/>
      <c r="AR54" s="323"/>
      <c r="AS54" s="323"/>
      <c r="AT54" s="323"/>
      <c r="AU54" s="323"/>
      <c r="AV54" s="323"/>
      <c r="AW54" s="323"/>
      <c r="AX54" s="321"/>
      <c r="CA54" s="80"/>
      <c r="CH54" s="1020">
        <v>0</v>
      </c>
      <c r="CI54" s="1020">
        <v>0</v>
      </c>
      <c r="CJ54" s="1020"/>
      <c r="CK54" s="1020"/>
      <c r="CL54" s="1020"/>
      <c r="CM54" s="1020"/>
      <c r="CN54" s="1020"/>
      <c r="CO54" s="1020"/>
    </row>
    <row r="55" spans="1:105" ht="16.350000000000001" customHeight="1" x14ac:dyDescent="0.2">
      <c r="A55" s="2449" t="s">
        <v>3116</v>
      </c>
      <c r="B55" s="2720" t="s">
        <v>111</v>
      </c>
      <c r="C55" s="2581" t="s">
        <v>2777</v>
      </c>
      <c r="G55" s="881"/>
      <c r="H55" s="881"/>
      <c r="I55" s="881"/>
      <c r="J55" s="881"/>
      <c r="K55" s="881"/>
      <c r="L55" s="881"/>
      <c r="M55" s="881"/>
      <c r="N55" s="881"/>
      <c r="O55" s="881"/>
      <c r="P55" s="881"/>
      <c r="Q55" s="881"/>
      <c r="R55" s="881"/>
      <c r="S55" s="881"/>
      <c r="T55" s="881"/>
      <c r="U55" s="190"/>
      <c r="V55" s="190"/>
      <c r="W55" s="190"/>
      <c r="X55" s="190"/>
      <c r="Y55" s="190"/>
      <c r="Z55" s="190"/>
      <c r="AA55" s="190"/>
      <c r="AB55" s="190"/>
      <c r="AC55" s="190"/>
      <c r="AD55" s="190"/>
      <c r="AE55" s="190"/>
      <c r="AF55" s="190"/>
      <c r="AG55" s="190"/>
      <c r="AH55" s="190"/>
      <c r="AI55" s="190"/>
      <c r="AJ55" s="190"/>
      <c r="AK55" s="190"/>
      <c r="AL55" s="190"/>
      <c r="AM55" s="190"/>
      <c r="AN55" s="190"/>
      <c r="AO55" s="190"/>
      <c r="AP55" s="288"/>
      <c r="AQ55" s="288"/>
      <c r="AR55" s="288"/>
      <c r="AS55" s="288"/>
      <c r="AT55" s="288"/>
      <c r="AU55" s="288"/>
      <c r="AV55" s="288"/>
      <c r="AW55" s="288"/>
      <c r="AX55" s="321"/>
      <c r="CH55" s="1020">
        <v>0</v>
      </c>
      <c r="CI55" s="1020">
        <v>0</v>
      </c>
      <c r="CJ55" s="1020"/>
      <c r="CK55" s="1020"/>
      <c r="CL55" s="1020"/>
      <c r="CM55" s="1020"/>
      <c r="CN55" s="1020"/>
      <c r="CO55" s="1020"/>
    </row>
    <row r="56" spans="1:105" s="4279" customFormat="1" ht="30" customHeight="1" x14ac:dyDescent="0.2">
      <c r="B56" s="4294" t="s">
        <v>308</v>
      </c>
      <c r="C56" s="2189"/>
      <c r="F56" s="4280"/>
      <c r="G56" s="4281"/>
      <c r="H56" s="4282"/>
      <c r="I56" s="4282"/>
      <c r="J56" s="4282"/>
      <c r="K56" s="4282"/>
      <c r="L56" s="4282"/>
      <c r="M56" s="4282"/>
      <c r="N56" s="4282"/>
      <c r="O56" s="4282"/>
      <c r="P56" s="4282"/>
      <c r="Q56" s="4282"/>
      <c r="R56" s="4282"/>
      <c r="S56" s="4283"/>
      <c r="T56" s="4283"/>
      <c r="U56" s="325"/>
      <c r="V56" s="325"/>
      <c r="W56" s="325"/>
      <c r="X56" s="325"/>
      <c r="Y56" s="325"/>
      <c r="Z56" s="325"/>
      <c r="AA56" s="325"/>
      <c r="AB56" s="325"/>
      <c r="AC56" s="325"/>
      <c r="AD56" s="325"/>
      <c r="AE56" s="325"/>
      <c r="AF56" s="325"/>
      <c r="AG56" s="325"/>
      <c r="AH56" s="325"/>
      <c r="AI56" s="325"/>
      <c r="AJ56" s="325"/>
      <c r="AK56" s="325"/>
      <c r="AL56" s="325"/>
      <c r="AM56" s="4223"/>
      <c r="AN56" s="4223"/>
      <c r="AO56" s="4223"/>
      <c r="AP56" s="4284"/>
      <c r="AQ56" s="4284"/>
      <c r="AR56" s="4285"/>
      <c r="AS56" s="4285"/>
      <c r="AT56" s="4285"/>
      <c r="AU56" s="4285"/>
      <c r="AV56" s="4285"/>
      <c r="AW56" s="4285"/>
      <c r="AX56" s="4286"/>
      <c r="CA56" s="4287"/>
      <c r="CB56" s="4288"/>
      <c r="CC56" s="4288"/>
      <c r="CD56" s="4288"/>
      <c r="CE56" s="4288"/>
      <c r="CF56" s="4288"/>
      <c r="CG56" s="4288"/>
      <c r="CH56" s="4289">
        <v>0</v>
      </c>
      <c r="CI56" s="4289">
        <v>0</v>
      </c>
      <c r="CJ56" s="4289"/>
      <c r="CK56" s="4289"/>
      <c r="CL56" s="4289"/>
      <c r="CM56" s="4289"/>
      <c r="CN56" s="4289"/>
      <c r="CO56" s="4289"/>
      <c r="CP56" s="4288"/>
      <c r="CQ56" s="4288"/>
      <c r="CR56" s="4288"/>
      <c r="CS56" s="4288"/>
      <c r="CT56" s="4288"/>
      <c r="CU56" s="4288"/>
      <c r="CV56" s="4288"/>
      <c r="CW56" s="4288"/>
      <c r="CX56" s="4288"/>
      <c r="CY56" s="4288"/>
      <c r="CZ56" s="4288"/>
      <c r="DA56" s="4288"/>
    </row>
    <row r="57" spans="1:105" ht="27.75" customHeight="1" x14ac:dyDescent="0.2">
      <c r="B57" s="5105" t="s">
        <v>309</v>
      </c>
      <c r="C57" s="5106"/>
      <c r="D57" s="93" t="s">
        <v>42</v>
      </c>
      <c r="E57" s="253" t="s">
        <v>310</v>
      </c>
      <c r="F57" s="191" t="s">
        <v>311</v>
      </c>
      <c r="AB57" s="139"/>
      <c r="AC57" s="139"/>
      <c r="AD57" s="139"/>
      <c r="AE57" s="139"/>
      <c r="AF57" s="139"/>
      <c r="AG57" s="139"/>
      <c r="AH57" s="139"/>
      <c r="AI57" s="139"/>
      <c r="AJ57" s="139"/>
      <c r="AK57" s="139"/>
      <c r="AL57" s="139"/>
      <c r="AM57" s="139"/>
      <c r="AN57" s="139"/>
      <c r="AO57" s="139"/>
      <c r="AP57" s="139"/>
      <c r="AQ57" s="139"/>
      <c r="AR57" s="139"/>
      <c r="AS57" s="139"/>
      <c r="AT57" s="254"/>
      <c r="AU57" s="254"/>
      <c r="AV57" s="254"/>
      <c r="AW57" s="248"/>
      <c r="AX57" s="248"/>
      <c r="AY57" s="248"/>
      <c r="AZ57" s="248"/>
      <c r="BA57" s="248"/>
      <c r="BB57" s="321"/>
      <c r="CA57" s="80"/>
      <c r="CB57" s="79"/>
      <c r="CC57" s="79"/>
      <c r="CD57" s="79"/>
      <c r="CE57" s="79"/>
      <c r="CH57" s="889">
        <v>0</v>
      </c>
      <c r="CI57" s="889">
        <v>0</v>
      </c>
      <c r="CL57" s="1020"/>
      <c r="CM57" s="1020"/>
      <c r="CN57" s="1020"/>
      <c r="CO57" s="1020"/>
      <c r="CP57" s="1020"/>
      <c r="CQ57" s="1020"/>
      <c r="CR57" s="1020"/>
      <c r="CS57" s="1020"/>
    </row>
    <row r="58" spans="1:105" ht="25.35" customHeight="1" x14ac:dyDescent="0.2">
      <c r="A58" s="2449" t="s">
        <v>3117</v>
      </c>
      <c r="B58" s="5551" t="s">
        <v>312</v>
      </c>
      <c r="C58" s="5552"/>
      <c r="D58" s="2522" t="s">
        <v>2777</v>
      </c>
      <c r="E58" s="2551" t="s">
        <v>2778</v>
      </c>
      <c r="F58" s="2721" t="s">
        <v>2779</v>
      </c>
      <c r="G58" s="1057"/>
      <c r="AB58" s="139"/>
      <c r="AC58" s="139"/>
      <c r="AD58" s="139"/>
      <c r="AE58" s="139"/>
      <c r="AF58" s="139"/>
      <c r="AG58" s="139"/>
      <c r="AH58" s="139"/>
      <c r="AI58" s="139"/>
      <c r="AJ58" s="139"/>
      <c r="AK58" s="139"/>
      <c r="AL58" s="139"/>
      <c r="AM58" s="139"/>
      <c r="AN58" s="139"/>
      <c r="AO58" s="139"/>
      <c r="AP58" s="139"/>
      <c r="AQ58" s="139"/>
      <c r="AR58" s="139"/>
      <c r="AS58" s="139"/>
      <c r="AT58" s="254"/>
      <c r="AU58" s="254"/>
      <c r="AV58" s="254"/>
      <c r="AW58" s="248"/>
      <c r="AX58" s="248"/>
      <c r="AY58" s="248"/>
      <c r="AZ58" s="248"/>
      <c r="BA58" s="248"/>
      <c r="BB58" s="321"/>
      <c r="CA58" s="80"/>
      <c r="CB58" s="79" t="e">
        <f>IF(AND(('A01'!$D18+'A01'!$D19+'A01'!$D20+'A01'!$D21+'A01'!$G31+'A01'!$G32+'A01'!$G33)&lt;&gt;0,E58=0,F58=""),"* Observacion : En A01 existen controles no ingresados, Revisar. ","")</f>
        <v>#VALUE!</v>
      </c>
      <c r="CC58" s="79"/>
      <c r="CD58" s="79"/>
      <c r="CE58" s="79"/>
      <c r="CH58" s="889">
        <v>0</v>
      </c>
      <c r="CI58" s="889">
        <v>0</v>
      </c>
      <c r="CL58" s="1020"/>
      <c r="CM58" s="1020"/>
      <c r="CN58" s="1020"/>
      <c r="CO58" s="1020"/>
      <c r="CP58" s="1020"/>
      <c r="CQ58" s="1020"/>
      <c r="CR58" s="1020"/>
      <c r="CS58" s="1020"/>
    </row>
    <row r="59" spans="1:105" s="3157" customFormat="1" ht="30" customHeight="1" x14ac:dyDescent="0.2">
      <c r="B59" s="4793" t="s">
        <v>1658</v>
      </c>
      <c r="C59" s="3174"/>
      <c r="AB59" s="4290"/>
      <c r="AC59" s="4290"/>
      <c r="AD59" s="4290"/>
      <c r="AE59" s="4290"/>
      <c r="AF59" s="4290"/>
      <c r="AG59" s="4290"/>
      <c r="AH59" s="4290"/>
      <c r="AI59" s="4290"/>
      <c r="AJ59" s="4290"/>
      <c r="AK59" s="4290"/>
      <c r="AL59" s="4290"/>
      <c r="AM59" s="4290"/>
      <c r="AN59" s="4290"/>
      <c r="AO59" s="4290"/>
      <c r="AP59" s="4290"/>
      <c r="AQ59" s="4290"/>
      <c r="AR59" s="4290"/>
      <c r="AS59" s="4290"/>
      <c r="AT59" s="4291"/>
      <c r="AU59" s="4291"/>
      <c r="AV59" s="4291"/>
      <c r="AW59" s="4292"/>
      <c r="AX59" s="4292"/>
      <c r="AY59" s="4292"/>
      <c r="AZ59" s="4292"/>
      <c r="BA59" s="4292"/>
      <c r="BB59" s="4293"/>
      <c r="CB59" s="3159" t="e">
        <f>IF(AND(('A01'!$D18+'A01'!$D19+'A01'!$D20+'A01'!$D21+'A01'!$G31+'A01'!$G32+'A01'!$G33)&lt;&gt;0,E59=0,F59=""),"* Observacion : En A01 existen controles no ingresados, Revisar. ","")</f>
        <v>#VALUE!</v>
      </c>
      <c r="CC59" s="3159"/>
      <c r="CD59" s="3159"/>
      <c r="CE59" s="3159"/>
      <c r="CF59" s="3161"/>
      <c r="CG59" s="3161"/>
      <c r="CH59" s="3161"/>
      <c r="CI59" s="3161"/>
      <c r="CJ59" s="3161"/>
      <c r="CK59" s="3161"/>
      <c r="CL59" s="3162"/>
      <c r="CM59" s="3162"/>
      <c r="CN59" s="3162"/>
      <c r="CO59" s="3162"/>
      <c r="CP59" s="3162"/>
      <c r="CQ59" s="3162"/>
      <c r="CR59" s="3162"/>
      <c r="CS59" s="3162"/>
      <c r="CT59" s="3161"/>
      <c r="CU59" s="3161"/>
      <c r="CV59" s="3161"/>
      <c r="CW59" s="3161"/>
      <c r="CX59" s="3161"/>
      <c r="CY59" s="3161"/>
      <c r="CZ59" s="3161"/>
      <c r="DA59" s="3161"/>
    </row>
    <row r="60" spans="1:105" ht="27" customHeight="1" x14ac:dyDescent="0.2">
      <c r="B60" s="5118" t="s">
        <v>313</v>
      </c>
      <c r="C60" s="5120"/>
      <c r="D60" s="5118" t="s">
        <v>179</v>
      </c>
      <c r="E60" s="5119"/>
      <c r="F60" s="5120"/>
      <c r="G60" s="5595" t="s">
        <v>2630</v>
      </c>
      <c r="H60" s="5596"/>
      <c r="I60" s="5596"/>
      <c r="J60" s="5596"/>
      <c r="K60" s="5596"/>
      <c r="L60" s="5596"/>
      <c r="M60" s="5596"/>
      <c r="N60" s="5596"/>
      <c r="O60" s="5596"/>
      <c r="P60" s="5596"/>
      <c r="Q60" s="5596"/>
      <c r="R60" s="5597"/>
      <c r="S60" s="5263" t="s">
        <v>1580</v>
      </c>
      <c r="T60" s="5264"/>
      <c r="U60" s="5586" t="s">
        <v>2603</v>
      </c>
      <c r="V60" s="5587"/>
      <c r="W60" s="1110" t="s">
        <v>314</v>
      </c>
      <c r="X60" s="1110"/>
      <c r="Y60" s="1110"/>
      <c r="Z60" s="1110"/>
      <c r="AA60" s="1111"/>
      <c r="AB60" s="1174"/>
      <c r="AC60" s="139"/>
      <c r="AD60" s="139"/>
      <c r="AE60" s="139"/>
      <c r="AF60" s="139"/>
      <c r="AG60" s="139"/>
      <c r="AH60" s="139"/>
      <c r="AI60" s="190"/>
      <c r="AJ60" s="190"/>
      <c r="AK60" s="190"/>
      <c r="AL60" s="190"/>
      <c r="AM60" s="139"/>
      <c r="AN60" s="139"/>
      <c r="AO60" s="190"/>
      <c r="AP60" s="139"/>
      <c r="AQ60" s="139"/>
      <c r="AR60" s="139"/>
      <c r="AS60" s="139"/>
      <c r="AT60" s="254"/>
      <c r="AU60" s="254"/>
      <c r="AV60" s="254"/>
      <c r="AW60" s="248"/>
      <c r="AX60" s="248"/>
      <c r="AY60" s="248"/>
      <c r="AZ60" s="248"/>
      <c r="BA60" s="248"/>
      <c r="BB60" s="321"/>
      <c r="CA60" s="80"/>
      <c r="CB60" s="79"/>
      <c r="CC60" s="79"/>
      <c r="CD60" s="79"/>
      <c r="CE60" s="79"/>
      <c r="CL60" s="1020"/>
      <c r="CM60" s="1020"/>
      <c r="CN60" s="1020"/>
      <c r="CO60" s="1020"/>
      <c r="CP60" s="1020"/>
      <c r="CQ60" s="1020"/>
      <c r="CR60" s="1020"/>
      <c r="CS60" s="1020"/>
    </row>
    <row r="61" spans="1:105" ht="25.5" customHeight="1" x14ac:dyDescent="0.2">
      <c r="B61" s="5121"/>
      <c r="C61" s="5123"/>
      <c r="D61" s="5125"/>
      <c r="E61" s="5598"/>
      <c r="F61" s="5126"/>
      <c r="G61" s="5413" t="s">
        <v>180</v>
      </c>
      <c r="H61" s="5541"/>
      <c r="I61" s="5413" t="s">
        <v>171</v>
      </c>
      <c r="J61" s="5541"/>
      <c r="K61" s="5413" t="s">
        <v>172</v>
      </c>
      <c r="L61" s="5541"/>
      <c r="M61" s="5413" t="s">
        <v>173</v>
      </c>
      <c r="N61" s="5541"/>
      <c r="O61" s="5413" t="s">
        <v>182</v>
      </c>
      <c r="P61" s="5541"/>
      <c r="Q61" s="5413" t="s">
        <v>183</v>
      </c>
      <c r="R61" s="5541"/>
      <c r="S61" s="5413" t="s">
        <v>1659</v>
      </c>
      <c r="T61" s="5541"/>
      <c r="U61" s="5584" t="s">
        <v>1660</v>
      </c>
      <c r="V61" s="5585"/>
      <c r="W61" s="5603" t="s">
        <v>315</v>
      </c>
      <c r="X61" s="5108"/>
      <c r="Y61" s="5112" t="s">
        <v>976</v>
      </c>
      <c r="Z61" s="5107" t="s">
        <v>316</v>
      </c>
      <c r="AA61" s="5108"/>
      <c r="AB61" s="1174"/>
      <c r="AC61" s="139"/>
      <c r="AD61" s="139"/>
      <c r="AE61" s="139"/>
      <c r="AF61" s="139"/>
      <c r="AG61" s="139"/>
      <c r="AH61" s="139"/>
      <c r="AI61" s="190"/>
      <c r="AJ61" s="190"/>
      <c r="AK61" s="190"/>
      <c r="AL61" s="190"/>
      <c r="AM61" s="139"/>
      <c r="AN61" s="139"/>
      <c r="AO61" s="190"/>
      <c r="AP61" s="139"/>
      <c r="AQ61" s="139"/>
      <c r="AR61" s="139"/>
      <c r="AS61" s="139"/>
      <c r="AT61" s="254"/>
      <c r="AU61" s="254"/>
      <c r="AV61" s="254"/>
      <c r="AW61" s="248"/>
      <c r="AX61" s="248"/>
      <c r="AY61" s="248"/>
      <c r="AZ61" s="248"/>
      <c r="BA61" s="248"/>
      <c r="BB61" s="321"/>
      <c r="CA61" s="80"/>
      <c r="CB61" s="79"/>
      <c r="CC61" s="79"/>
      <c r="CD61" s="79"/>
      <c r="CE61" s="79"/>
      <c r="CL61" s="1020"/>
      <c r="CM61" s="1020"/>
      <c r="CN61" s="1020"/>
      <c r="CO61" s="1020"/>
      <c r="CP61" s="1020"/>
      <c r="CQ61" s="1020"/>
      <c r="CR61" s="1020"/>
      <c r="CS61" s="1020"/>
    </row>
    <row r="62" spans="1:105" ht="35.25" customHeight="1" x14ac:dyDescent="0.2">
      <c r="B62" s="5125"/>
      <c r="C62" s="5126"/>
      <c r="D62" s="253" t="s">
        <v>184</v>
      </c>
      <c r="E62" s="88" t="s">
        <v>24</v>
      </c>
      <c r="F62" s="235" t="s">
        <v>25</v>
      </c>
      <c r="G62" s="1243" t="s">
        <v>24</v>
      </c>
      <c r="H62" s="1301" t="s">
        <v>25</v>
      </c>
      <c r="I62" s="1243" t="s">
        <v>24</v>
      </c>
      <c r="J62" s="1301" t="s">
        <v>25</v>
      </c>
      <c r="K62" s="1243" t="s">
        <v>24</v>
      </c>
      <c r="L62" s="1301" t="s">
        <v>25</v>
      </c>
      <c r="M62" s="1243" t="s">
        <v>24</v>
      </c>
      <c r="N62" s="1301" t="s">
        <v>25</v>
      </c>
      <c r="O62" s="1243" t="s">
        <v>24</v>
      </c>
      <c r="P62" s="1301" t="s">
        <v>25</v>
      </c>
      <c r="Q62" s="1243" t="s">
        <v>24</v>
      </c>
      <c r="R62" s="1301" t="s">
        <v>25</v>
      </c>
      <c r="S62" s="4222" t="s">
        <v>24</v>
      </c>
      <c r="T62" s="4222" t="s">
        <v>25</v>
      </c>
      <c r="U62" s="1305" t="s">
        <v>24</v>
      </c>
      <c r="V62" s="1302" t="s">
        <v>25</v>
      </c>
      <c r="W62" s="1102" t="s">
        <v>975</v>
      </c>
      <c r="X62" s="93" t="s">
        <v>727</v>
      </c>
      <c r="Y62" s="5114"/>
      <c r="Z62" s="222" t="s">
        <v>890</v>
      </c>
      <c r="AA62" s="93" t="s">
        <v>891</v>
      </c>
      <c r="AB62" s="1174"/>
      <c r="AC62" s="139"/>
      <c r="AD62" s="139"/>
      <c r="AE62" s="139"/>
      <c r="AF62" s="139"/>
      <c r="AG62" s="139"/>
      <c r="AH62" s="139"/>
      <c r="AI62" s="190"/>
      <c r="AJ62" s="190"/>
      <c r="AK62" s="190"/>
      <c r="AL62" s="190"/>
      <c r="AM62" s="139"/>
      <c r="AN62" s="139"/>
      <c r="AO62" s="190"/>
      <c r="AP62" s="139"/>
      <c r="AQ62" s="139"/>
      <c r="AR62" s="139"/>
      <c r="AS62" s="139"/>
      <c r="AT62" s="139"/>
      <c r="AU62" s="139"/>
      <c r="AV62" s="139"/>
      <c r="AW62" s="139"/>
      <c r="AX62" s="139"/>
      <c r="AY62" s="139"/>
      <c r="AZ62" s="139"/>
      <c r="BA62" s="139"/>
      <c r="BB62" s="321"/>
      <c r="CA62" s="80"/>
      <c r="CB62" s="79"/>
      <c r="CC62" s="79"/>
      <c r="CD62" s="79"/>
      <c r="CE62" s="79"/>
      <c r="CL62" s="1020"/>
      <c r="CM62" s="1020"/>
      <c r="CN62" s="1020"/>
      <c r="CO62" s="1020"/>
      <c r="CP62" s="1020"/>
      <c r="CQ62" s="1020"/>
      <c r="CR62" s="1020"/>
      <c r="CS62" s="1020"/>
    </row>
    <row r="63" spans="1:105" ht="16.350000000000001" customHeight="1" x14ac:dyDescent="0.2">
      <c r="A63" s="2449" t="s">
        <v>3118</v>
      </c>
      <c r="B63" s="5332" t="s">
        <v>187</v>
      </c>
      <c r="C63" s="5333"/>
      <c r="D63" s="2538" t="s">
        <v>2777</v>
      </c>
      <c r="E63" s="2589" t="s">
        <v>2778</v>
      </c>
      <c r="F63" s="2564" t="s">
        <v>2779</v>
      </c>
      <c r="G63" s="2483" t="s">
        <v>2780</v>
      </c>
      <c r="H63" s="2499" t="s">
        <v>2781</v>
      </c>
      <c r="I63" s="2483" t="s">
        <v>2782</v>
      </c>
      <c r="J63" s="2499" t="s">
        <v>2783</v>
      </c>
      <c r="K63" s="2483" t="s">
        <v>2784</v>
      </c>
      <c r="L63" s="2499" t="s">
        <v>2785</v>
      </c>
      <c r="M63" s="2483" t="s">
        <v>2786</v>
      </c>
      <c r="N63" s="2499" t="s">
        <v>2787</v>
      </c>
      <c r="O63" s="2483" t="s">
        <v>2788</v>
      </c>
      <c r="P63" s="2499" t="s">
        <v>2789</v>
      </c>
      <c r="Q63" s="2483" t="s">
        <v>2790</v>
      </c>
      <c r="R63" s="2561" t="s">
        <v>2791</v>
      </c>
      <c r="S63" s="2483" t="s">
        <v>2792</v>
      </c>
      <c r="T63" s="2561" t="s">
        <v>2793</v>
      </c>
      <c r="U63" s="2487" t="s">
        <v>2794</v>
      </c>
      <c r="V63" s="2561" t="s">
        <v>2795</v>
      </c>
      <c r="W63" s="2722" t="s">
        <v>2796</v>
      </c>
      <c r="X63" s="2499" t="s">
        <v>2797</v>
      </c>
      <c r="Y63" s="2455" t="s">
        <v>2798</v>
      </c>
      <c r="Z63" s="2499" t="s">
        <v>2799</v>
      </c>
      <c r="AA63" s="2455" t="s">
        <v>2800</v>
      </c>
      <c r="AB63" s="2384"/>
      <c r="AC63" s="139"/>
      <c r="AD63" s="139"/>
      <c r="AE63" s="139"/>
      <c r="AF63" s="139"/>
      <c r="AG63" s="139"/>
      <c r="AH63" s="139"/>
      <c r="AI63" s="190"/>
      <c r="AJ63" s="190"/>
      <c r="AK63" s="190"/>
      <c r="AL63" s="190"/>
      <c r="AM63" s="139"/>
      <c r="AN63" s="139"/>
      <c r="AO63" s="190"/>
      <c r="AP63" s="139"/>
      <c r="AQ63" s="139"/>
      <c r="AR63" s="139"/>
      <c r="AS63" s="139"/>
      <c r="AT63" s="139"/>
      <c r="AU63" s="139"/>
      <c r="AV63" s="139"/>
      <c r="AW63" s="139"/>
      <c r="AX63" s="139"/>
      <c r="AY63" s="139"/>
      <c r="AZ63" s="139"/>
      <c r="BA63" s="139"/>
      <c r="BB63" s="321"/>
      <c r="CA63" s="80"/>
      <c r="CB63" s="79"/>
      <c r="CC63" s="79"/>
      <c r="CD63" s="79"/>
      <c r="CE63" s="79"/>
      <c r="CH63" s="889">
        <v>0</v>
      </c>
      <c r="CI63" s="889">
        <v>0</v>
      </c>
      <c r="CL63" s="1020"/>
      <c r="CM63" s="1020"/>
      <c r="CN63" s="1020"/>
      <c r="CO63" s="1020"/>
      <c r="CP63" s="1020"/>
      <c r="CQ63" s="1020"/>
      <c r="CR63" s="1020"/>
      <c r="CS63" s="1020"/>
    </row>
    <row r="64" spans="1:105" ht="16.350000000000001" customHeight="1" x14ac:dyDescent="0.2">
      <c r="A64" s="2449" t="s">
        <v>3119</v>
      </c>
      <c r="B64" s="5334" t="s">
        <v>188</v>
      </c>
      <c r="C64" s="5335"/>
      <c r="D64" s="2442" t="s">
        <v>2777</v>
      </c>
      <c r="E64" s="2443" t="s">
        <v>2778</v>
      </c>
      <c r="F64" s="200" t="s">
        <v>2779</v>
      </c>
      <c r="G64" s="141" t="s">
        <v>2780</v>
      </c>
      <c r="H64" s="198" t="s">
        <v>2781</v>
      </c>
      <c r="I64" s="141" t="s">
        <v>2782</v>
      </c>
      <c r="J64" s="198" t="s">
        <v>2783</v>
      </c>
      <c r="K64" s="141" t="s">
        <v>2784</v>
      </c>
      <c r="L64" s="198" t="s">
        <v>2785</v>
      </c>
      <c r="M64" s="141" t="s">
        <v>2786</v>
      </c>
      <c r="N64" s="198" t="s">
        <v>2787</v>
      </c>
      <c r="O64" s="141" t="s">
        <v>2788</v>
      </c>
      <c r="P64" s="198" t="s">
        <v>2789</v>
      </c>
      <c r="Q64" s="141" t="s">
        <v>2790</v>
      </c>
      <c r="R64" s="318" t="s">
        <v>2791</v>
      </c>
      <c r="S64" s="2483" t="s">
        <v>2792</v>
      </c>
      <c r="T64" s="2561" t="s">
        <v>2793</v>
      </c>
      <c r="U64" s="180" t="s">
        <v>2794</v>
      </c>
      <c r="V64" s="318" t="s">
        <v>2795</v>
      </c>
      <c r="W64" s="355" t="s">
        <v>2796</v>
      </c>
      <c r="X64" s="198" t="s">
        <v>2797</v>
      </c>
      <c r="Y64" s="164" t="s">
        <v>2798</v>
      </c>
      <c r="Z64" s="198" t="s">
        <v>2799</v>
      </c>
      <c r="AA64" s="164" t="s">
        <v>2800</v>
      </c>
      <c r="AB64" s="2384"/>
      <c r="AC64" s="139"/>
      <c r="AD64" s="139"/>
      <c r="AE64" s="139"/>
      <c r="AF64" s="139"/>
      <c r="AG64" s="139"/>
      <c r="AH64" s="139"/>
      <c r="AI64" s="190"/>
      <c r="AJ64" s="190"/>
      <c r="AK64" s="190"/>
      <c r="AL64" s="190"/>
      <c r="AM64" s="139"/>
      <c r="AN64" s="139"/>
      <c r="AO64" s="190"/>
      <c r="AP64" s="139"/>
      <c r="AQ64" s="139"/>
      <c r="AR64" s="139"/>
      <c r="AS64" s="139"/>
      <c r="AT64" s="139"/>
      <c r="AU64" s="139"/>
      <c r="AV64" s="139"/>
      <c r="AW64" s="139"/>
      <c r="AX64" s="139"/>
      <c r="AY64" s="139"/>
      <c r="AZ64" s="139"/>
      <c r="BA64" s="139"/>
      <c r="BB64" s="321"/>
      <c r="CA64" s="80"/>
      <c r="CB64" s="79"/>
      <c r="CC64" s="79"/>
      <c r="CD64" s="79"/>
      <c r="CE64" s="79"/>
      <c r="CL64" s="1020"/>
      <c r="CM64" s="1020"/>
      <c r="CN64" s="1020"/>
      <c r="CO64" s="1020"/>
      <c r="CP64" s="1020"/>
      <c r="CQ64" s="1020"/>
      <c r="CR64" s="1020"/>
      <c r="CS64" s="1020"/>
    </row>
    <row r="65" spans="1:97" ht="15.75" customHeight="1" x14ac:dyDescent="0.2">
      <c r="A65" s="2449" t="s">
        <v>3120</v>
      </c>
      <c r="B65" s="5334" t="s">
        <v>189</v>
      </c>
      <c r="C65" s="5335"/>
      <c r="D65" s="2442" t="s">
        <v>2777</v>
      </c>
      <c r="E65" s="2443" t="s">
        <v>2778</v>
      </c>
      <c r="F65" s="200" t="s">
        <v>2779</v>
      </c>
      <c r="G65" s="141" t="s">
        <v>2780</v>
      </c>
      <c r="H65" s="198" t="s">
        <v>2781</v>
      </c>
      <c r="I65" s="141" t="s">
        <v>2782</v>
      </c>
      <c r="J65" s="198" t="s">
        <v>2783</v>
      </c>
      <c r="K65" s="141" t="s">
        <v>2784</v>
      </c>
      <c r="L65" s="198" t="s">
        <v>2785</v>
      </c>
      <c r="M65" s="141" t="s">
        <v>2786</v>
      </c>
      <c r="N65" s="198" t="s">
        <v>2787</v>
      </c>
      <c r="O65" s="141" t="s">
        <v>2788</v>
      </c>
      <c r="P65" s="198" t="s">
        <v>2789</v>
      </c>
      <c r="Q65" s="141" t="s">
        <v>2790</v>
      </c>
      <c r="R65" s="318" t="s">
        <v>2791</v>
      </c>
      <c r="S65" s="2483" t="s">
        <v>2792</v>
      </c>
      <c r="T65" s="2561" t="s">
        <v>2793</v>
      </c>
      <c r="U65" s="180" t="s">
        <v>2794</v>
      </c>
      <c r="V65" s="318" t="s">
        <v>2795</v>
      </c>
      <c r="W65" s="355" t="s">
        <v>2796</v>
      </c>
      <c r="X65" s="198" t="s">
        <v>2797</v>
      </c>
      <c r="Y65" s="164" t="s">
        <v>2798</v>
      </c>
      <c r="Z65" s="198" t="s">
        <v>2799</v>
      </c>
      <c r="AA65" s="164" t="s">
        <v>2800</v>
      </c>
      <c r="AB65" s="2384"/>
      <c r="AC65" s="139"/>
      <c r="AD65" s="139"/>
      <c r="AE65" s="139"/>
      <c r="AF65" s="139"/>
      <c r="AG65" s="139"/>
      <c r="AH65" s="139"/>
      <c r="AI65" s="190"/>
      <c r="AJ65" s="190"/>
      <c r="AK65" s="190"/>
      <c r="AL65" s="190"/>
      <c r="AM65" s="139"/>
      <c r="AN65" s="139"/>
      <c r="AO65" s="190"/>
      <c r="AP65" s="139"/>
      <c r="AQ65" s="139"/>
      <c r="AR65" s="139"/>
      <c r="AS65" s="139"/>
      <c r="AT65" s="139"/>
      <c r="AU65" s="139"/>
      <c r="AV65" s="139"/>
      <c r="AW65" s="139"/>
      <c r="AX65" s="139"/>
      <c r="AY65" s="139"/>
      <c r="AZ65" s="139"/>
      <c r="BA65" s="139"/>
      <c r="CA65" s="80"/>
      <c r="CB65" s="79"/>
      <c r="CC65" s="79"/>
      <c r="CD65" s="79"/>
      <c r="CE65" s="79"/>
      <c r="CL65" s="1020"/>
      <c r="CM65" s="1020"/>
      <c r="CN65" s="1020"/>
      <c r="CO65" s="1020"/>
      <c r="CP65" s="1020"/>
      <c r="CQ65" s="1020"/>
      <c r="CR65" s="1020"/>
      <c r="CS65" s="1020"/>
    </row>
    <row r="66" spans="1:97" ht="18" customHeight="1" x14ac:dyDescent="0.2">
      <c r="A66" s="2449" t="s">
        <v>3121</v>
      </c>
      <c r="B66" s="5336" t="s">
        <v>194</v>
      </c>
      <c r="C66" s="5337"/>
      <c r="D66" s="2723" t="s">
        <v>2777</v>
      </c>
      <c r="E66" s="2350" t="s">
        <v>2778</v>
      </c>
      <c r="F66" s="2724" t="s">
        <v>2779</v>
      </c>
      <c r="G66" s="166" t="s">
        <v>2780</v>
      </c>
      <c r="H66" s="168" t="s">
        <v>2781</v>
      </c>
      <c r="I66" s="166" t="s">
        <v>2782</v>
      </c>
      <c r="J66" s="168" t="s">
        <v>2783</v>
      </c>
      <c r="K66" s="166" t="s">
        <v>2784</v>
      </c>
      <c r="L66" s="168" t="s">
        <v>2785</v>
      </c>
      <c r="M66" s="166" t="s">
        <v>2786</v>
      </c>
      <c r="N66" s="168" t="s">
        <v>2787</v>
      </c>
      <c r="O66" s="166" t="s">
        <v>2788</v>
      </c>
      <c r="P66" s="168" t="s">
        <v>2789</v>
      </c>
      <c r="Q66" s="166" t="s">
        <v>2790</v>
      </c>
      <c r="R66" s="533" t="s">
        <v>2791</v>
      </c>
      <c r="S66" s="2483" t="s">
        <v>2792</v>
      </c>
      <c r="T66" s="2561" t="s">
        <v>2793</v>
      </c>
      <c r="U66" s="126" t="s">
        <v>2794</v>
      </c>
      <c r="V66" s="319" t="s">
        <v>2795</v>
      </c>
      <c r="W66" s="126" t="s">
        <v>2796</v>
      </c>
      <c r="X66" s="166" t="s">
        <v>2797</v>
      </c>
      <c r="Y66" s="227" t="s">
        <v>2798</v>
      </c>
      <c r="Z66" s="2725" t="s">
        <v>2799</v>
      </c>
      <c r="AA66" s="2725" t="s">
        <v>2800</v>
      </c>
      <c r="AB66" s="2384"/>
      <c r="AC66" s="139"/>
      <c r="AD66" s="139"/>
      <c r="AE66" s="190"/>
      <c r="AF66" s="190"/>
      <c r="AG66" s="190"/>
      <c r="AH66" s="190"/>
      <c r="AI66" s="139"/>
      <c r="AJ66" s="139"/>
      <c r="AK66" s="190"/>
      <c r="AL66" s="139"/>
      <c r="AM66" s="139"/>
      <c r="AN66" s="139"/>
      <c r="AO66" s="139"/>
      <c r="AP66" s="139"/>
      <c r="AQ66" s="139"/>
      <c r="AR66" s="139"/>
      <c r="AS66" s="139"/>
      <c r="AT66" s="139"/>
      <c r="AU66" s="139"/>
      <c r="AV66" s="139"/>
      <c r="AW66" s="139"/>
      <c r="AX66" s="139"/>
      <c r="AY66" s="139"/>
      <c r="AZ66" s="139"/>
      <c r="BA66" s="139"/>
      <c r="CH66" s="1020"/>
      <c r="CI66" s="1020"/>
      <c r="CJ66" s="1020"/>
      <c r="CK66" s="1020"/>
      <c r="CL66" s="1020"/>
      <c r="CM66" s="1020"/>
      <c r="CN66" s="1020"/>
      <c r="CO66" s="1020"/>
    </row>
    <row r="67" spans="1:97" ht="30" customHeight="1" x14ac:dyDescent="0.2">
      <c r="B67" s="967" t="s">
        <v>1581</v>
      </c>
      <c r="C67" s="643"/>
      <c r="X67" s="992"/>
      <c r="Y67" s="139"/>
      <c r="Z67" s="139"/>
      <c r="AA67" s="2744"/>
      <c r="AB67" s="2743"/>
      <c r="AC67" s="139"/>
      <c r="AD67" s="139"/>
      <c r="AE67" s="190"/>
      <c r="AF67" s="190"/>
      <c r="AG67" s="190"/>
      <c r="AH67" s="190"/>
      <c r="AI67" s="139"/>
      <c r="AJ67" s="139"/>
      <c r="AK67" s="190"/>
      <c r="AL67" s="139"/>
      <c r="AM67" s="139"/>
      <c r="AN67" s="139"/>
      <c r="AO67" s="139"/>
      <c r="AP67" s="139"/>
      <c r="AQ67" s="139"/>
      <c r="AR67" s="139"/>
      <c r="AS67" s="139"/>
      <c r="AT67" s="139"/>
      <c r="AU67" s="139"/>
      <c r="AV67" s="139"/>
      <c r="AW67" s="139"/>
      <c r="AX67" s="139"/>
      <c r="AY67" s="139"/>
      <c r="AZ67" s="139"/>
      <c r="BA67" s="139"/>
      <c r="CH67" s="1020"/>
      <c r="CI67" s="1020"/>
      <c r="CJ67" s="1020"/>
      <c r="CK67" s="1020"/>
      <c r="CL67" s="1020"/>
      <c r="CM67" s="1020"/>
      <c r="CN67" s="1020"/>
      <c r="CO67" s="1020"/>
    </row>
    <row r="68" spans="1:97" ht="28.5" customHeight="1" x14ac:dyDescent="0.2">
      <c r="B68" s="5673" t="s">
        <v>313</v>
      </c>
      <c r="C68" s="5652"/>
      <c r="D68" s="5673" t="s">
        <v>179</v>
      </c>
      <c r="E68" s="5674"/>
      <c r="F68" s="5652"/>
      <c r="G68" s="5676" t="s">
        <v>2631</v>
      </c>
      <c r="H68" s="5677"/>
      <c r="I68" s="5677"/>
      <c r="J68" s="5677"/>
      <c r="K68" s="5677"/>
      <c r="L68" s="5677"/>
      <c r="M68" s="5677"/>
      <c r="N68" s="5677"/>
      <c r="O68" s="5677"/>
      <c r="P68" s="5677"/>
      <c r="Q68" s="5677"/>
      <c r="R68" s="5678"/>
      <c r="S68" s="5670" t="s">
        <v>1582</v>
      </c>
      <c r="T68" s="5671"/>
      <c r="U68" s="5671"/>
      <c r="V68" s="5671"/>
      <c r="W68" s="5672"/>
      <c r="X68" s="992"/>
      <c r="Y68" s="139"/>
      <c r="Z68" s="139"/>
      <c r="AA68" s="139"/>
      <c r="AB68" s="139"/>
      <c r="AC68" s="139"/>
      <c r="AD68" s="139"/>
      <c r="AE68" s="190"/>
      <c r="AF68" s="190"/>
      <c r="AG68" s="190"/>
      <c r="AH68" s="190"/>
      <c r="AI68" s="139"/>
      <c r="AJ68" s="139"/>
      <c r="AK68" s="190"/>
      <c r="AL68" s="139"/>
      <c r="AM68" s="139"/>
      <c r="AN68" s="139"/>
      <c r="AO68" s="139"/>
      <c r="AP68" s="139"/>
      <c r="AQ68" s="139"/>
      <c r="AR68" s="139"/>
      <c r="AS68" s="139"/>
      <c r="AT68" s="139"/>
      <c r="AU68" s="139"/>
      <c r="AV68" s="139"/>
      <c r="AW68" s="139"/>
      <c r="AX68" s="139"/>
      <c r="AY68" s="139"/>
      <c r="AZ68" s="139"/>
      <c r="BA68" s="139"/>
      <c r="CH68" s="1020"/>
      <c r="CI68" s="1020"/>
      <c r="CJ68" s="1020"/>
      <c r="CK68" s="1020"/>
      <c r="CL68" s="1020"/>
      <c r="CM68" s="1020"/>
      <c r="CN68" s="1020"/>
      <c r="CO68" s="1020"/>
    </row>
    <row r="69" spans="1:97" ht="26.25" customHeight="1" x14ac:dyDescent="0.2">
      <c r="B69" s="5448"/>
      <c r="C69" s="5416"/>
      <c r="D69" s="5519"/>
      <c r="E69" s="5675"/>
      <c r="F69" s="5520"/>
      <c r="G69" s="5679" t="s">
        <v>180</v>
      </c>
      <c r="H69" s="5680"/>
      <c r="I69" s="5679" t="s">
        <v>171</v>
      </c>
      <c r="J69" s="5680"/>
      <c r="K69" s="5679" t="s">
        <v>172</v>
      </c>
      <c r="L69" s="5680"/>
      <c r="M69" s="5679" t="s">
        <v>173</v>
      </c>
      <c r="N69" s="5680"/>
      <c r="O69" s="5679" t="s">
        <v>182</v>
      </c>
      <c r="P69" s="5680"/>
      <c r="Q69" s="5679" t="s">
        <v>183</v>
      </c>
      <c r="R69" s="5681"/>
      <c r="S69" s="5654" t="s">
        <v>315</v>
      </c>
      <c r="T69" s="5655"/>
      <c r="U69" s="5529" t="s">
        <v>976</v>
      </c>
      <c r="V69" s="5656" t="s">
        <v>316</v>
      </c>
      <c r="W69" s="5655"/>
      <c r="X69" s="992"/>
      <c r="Y69" s="139"/>
      <c r="Z69" s="139"/>
      <c r="AA69" s="139"/>
      <c r="AB69" s="139"/>
      <c r="AC69" s="139"/>
      <c r="AD69" s="139"/>
      <c r="AE69" s="190"/>
      <c r="AF69" s="190"/>
      <c r="AG69" s="190"/>
      <c r="AH69" s="190"/>
      <c r="AI69" s="139"/>
      <c r="AJ69" s="139"/>
      <c r="AK69" s="190"/>
      <c r="AL69" s="139"/>
      <c r="AM69" s="139"/>
      <c r="AN69" s="139"/>
      <c r="AO69" s="139"/>
      <c r="AP69" s="139"/>
      <c r="AQ69" s="139"/>
      <c r="AR69" s="139"/>
      <c r="AS69" s="139"/>
      <c r="AT69" s="139"/>
      <c r="AU69" s="139"/>
      <c r="AV69" s="139"/>
      <c r="AW69" s="139"/>
      <c r="AX69" s="139"/>
      <c r="AY69" s="139"/>
      <c r="AZ69" s="139"/>
      <c r="BA69" s="139"/>
      <c r="CH69" s="1020"/>
      <c r="CI69" s="1020"/>
      <c r="CJ69" s="1020"/>
      <c r="CK69" s="1020"/>
      <c r="CL69" s="1020"/>
      <c r="CM69" s="1020"/>
      <c r="CN69" s="1020"/>
      <c r="CO69" s="1020"/>
    </row>
    <row r="70" spans="1:97" ht="27" customHeight="1" x14ac:dyDescent="0.2">
      <c r="B70" s="5519"/>
      <c r="C70" s="5520"/>
      <c r="D70" s="768" t="s">
        <v>184</v>
      </c>
      <c r="E70" s="773" t="s">
        <v>24</v>
      </c>
      <c r="F70" s="784" t="s">
        <v>25</v>
      </c>
      <c r="G70" s="1222" t="s">
        <v>24</v>
      </c>
      <c r="H70" s="1188" t="s">
        <v>25</v>
      </c>
      <c r="I70" s="1222" t="s">
        <v>24</v>
      </c>
      <c r="J70" s="1188" t="s">
        <v>25</v>
      </c>
      <c r="K70" s="1222" t="s">
        <v>24</v>
      </c>
      <c r="L70" s="1188" t="s">
        <v>25</v>
      </c>
      <c r="M70" s="1222" t="s">
        <v>24</v>
      </c>
      <c r="N70" s="1188" t="s">
        <v>25</v>
      </c>
      <c r="O70" s="1222" t="s">
        <v>24</v>
      </c>
      <c r="P70" s="1188" t="s">
        <v>25</v>
      </c>
      <c r="Q70" s="1222" t="s">
        <v>24</v>
      </c>
      <c r="R70" s="1190" t="s">
        <v>25</v>
      </c>
      <c r="S70" s="1188" t="s">
        <v>975</v>
      </c>
      <c r="T70" s="1201" t="s">
        <v>727</v>
      </c>
      <c r="U70" s="5530"/>
      <c r="V70" s="1178" t="s">
        <v>890</v>
      </c>
      <c r="W70" s="1201" t="s">
        <v>891</v>
      </c>
      <c r="X70" s="992"/>
      <c r="Y70" s="139"/>
      <c r="Z70" s="139"/>
      <c r="AA70" s="139"/>
      <c r="AB70" s="139"/>
      <c r="AC70" s="139"/>
      <c r="AD70" s="139"/>
      <c r="AE70" s="190"/>
      <c r="AF70" s="190"/>
      <c r="AG70" s="190"/>
      <c r="AH70" s="190"/>
      <c r="AI70" s="139"/>
      <c r="AJ70" s="139"/>
      <c r="AK70" s="190"/>
      <c r="AL70" s="139"/>
      <c r="AM70" s="139"/>
      <c r="AN70" s="139"/>
      <c r="AO70" s="139"/>
      <c r="AP70" s="139"/>
      <c r="AQ70" s="139"/>
      <c r="AR70" s="139"/>
      <c r="AS70" s="139"/>
      <c r="AT70" s="139"/>
      <c r="AU70" s="139"/>
      <c r="AV70" s="139"/>
      <c r="AW70" s="139"/>
      <c r="AX70" s="139"/>
      <c r="AY70" s="139"/>
      <c r="AZ70" s="139"/>
      <c r="BA70" s="139"/>
      <c r="CH70" s="1020"/>
      <c r="CI70" s="1020"/>
      <c r="CJ70" s="1020"/>
      <c r="CK70" s="1020"/>
      <c r="CL70" s="1020"/>
      <c r="CM70" s="1020"/>
      <c r="CN70" s="1020"/>
      <c r="CO70" s="1020"/>
    </row>
    <row r="71" spans="1:97" ht="16.350000000000001" customHeight="1" x14ac:dyDescent="0.2">
      <c r="A71" s="2449" t="s">
        <v>3122</v>
      </c>
      <c r="B71" s="5657" t="s">
        <v>187</v>
      </c>
      <c r="C71" s="5658"/>
      <c r="D71" s="2727" t="s">
        <v>2777</v>
      </c>
      <c r="E71" s="2728" t="s">
        <v>2778</v>
      </c>
      <c r="F71" s="2729" t="s">
        <v>2779</v>
      </c>
      <c r="G71" s="2606" t="s">
        <v>2780</v>
      </c>
      <c r="H71" s="2730" t="s">
        <v>2781</v>
      </c>
      <c r="I71" s="2606" t="s">
        <v>2782</v>
      </c>
      <c r="J71" s="2730" t="s">
        <v>2783</v>
      </c>
      <c r="K71" s="2606" t="s">
        <v>2784</v>
      </c>
      <c r="L71" s="2730" t="s">
        <v>2785</v>
      </c>
      <c r="M71" s="2606" t="s">
        <v>2786</v>
      </c>
      <c r="N71" s="2730" t="s">
        <v>2787</v>
      </c>
      <c r="O71" s="2606" t="s">
        <v>2788</v>
      </c>
      <c r="P71" s="2730" t="s">
        <v>2789</v>
      </c>
      <c r="Q71" s="2606" t="s">
        <v>2790</v>
      </c>
      <c r="R71" s="2731" t="s">
        <v>2791</v>
      </c>
      <c r="S71" s="2603" t="s">
        <v>2792</v>
      </c>
      <c r="T71" s="2606" t="s">
        <v>2793</v>
      </c>
      <c r="U71" s="2732" t="s">
        <v>2794</v>
      </c>
      <c r="V71" s="2732" t="s">
        <v>2795</v>
      </c>
      <c r="W71" s="2675" t="s">
        <v>2796</v>
      </c>
      <c r="X71" s="1174"/>
      <c r="Y71" s="139"/>
      <c r="Z71" s="139"/>
      <c r="AA71" s="139"/>
      <c r="AB71" s="139"/>
      <c r="AC71" s="139"/>
      <c r="AD71" s="139"/>
      <c r="AE71" s="190"/>
      <c r="AF71" s="190"/>
      <c r="AG71" s="190"/>
      <c r="AH71" s="190"/>
      <c r="AI71" s="139"/>
      <c r="AJ71" s="139"/>
      <c r="AK71" s="190"/>
      <c r="AL71" s="139"/>
      <c r="AM71" s="139"/>
      <c r="AN71" s="139"/>
      <c r="AO71" s="139"/>
      <c r="AP71" s="139"/>
      <c r="AQ71" s="139"/>
      <c r="AR71" s="139"/>
      <c r="AS71" s="139"/>
      <c r="AT71" s="139"/>
      <c r="AU71" s="139"/>
      <c r="AV71" s="139"/>
      <c r="AW71" s="139"/>
      <c r="AX71" s="139"/>
      <c r="AY71" s="139"/>
      <c r="AZ71" s="139"/>
      <c r="BA71" s="139"/>
      <c r="CH71" s="1020"/>
      <c r="CI71" s="1020"/>
      <c r="CJ71" s="1020"/>
      <c r="CK71" s="1020"/>
      <c r="CL71" s="1020"/>
      <c r="CM71" s="1020"/>
      <c r="CN71" s="1020"/>
      <c r="CO71" s="1020"/>
    </row>
    <row r="72" spans="1:97" ht="17.25" customHeight="1" x14ac:dyDescent="0.2">
      <c r="A72" s="2449" t="s">
        <v>3123</v>
      </c>
      <c r="B72" s="5659" t="s">
        <v>188</v>
      </c>
      <c r="C72" s="5660"/>
      <c r="D72" s="1223" t="s">
        <v>2777</v>
      </c>
      <c r="E72" s="1224" t="s">
        <v>2778</v>
      </c>
      <c r="F72" s="1007" t="s">
        <v>2779</v>
      </c>
      <c r="G72" s="818" t="s">
        <v>2780</v>
      </c>
      <c r="H72" s="821" t="s">
        <v>2781</v>
      </c>
      <c r="I72" s="818" t="s">
        <v>2782</v>
      </c>
      <c r="J72" s="821" t="s">
        <v>2783</v>
      </c>
      <c r="K72" s="818" t="s">
        <v>2784</v>
      </c>
      <c r="L72" s="821" t="s">
        <v>2785</v>
      </c>
      <c r="M72" s="818" t="s">
        <v>2786</v>
      </c>
      <c r="N72" s="821" t="s">
        <v>2787</v>
      </c>
      <c r="O72" s="818" t="s">
        <v>2788</v>
      </c>
      <c r="P72" s="821" t="s">
        <v>2789</v>
      </c>
      <c r="Q72" s="818" t="s">
        <v>2790</v>
      </c>
      <c r="R72" s="832" t="s">
        <v>2791</v>
      </c>
      <c r="S72" s="820" t="s">
        <v>2792</v>
      </c>
      <c r="T72" s="818" t="s">
        <v>2793</v>
      </c>
      <c r="U72" s="840" t="s">
        <v>2794</v>
      </c>
      <c r="V72" s="840" t="s">
        <v>2795</v>
      </c>
      <c r="W72" s="852" t="s">
        <v>2796</v>
      </c>
      <c r="X72" s="1284"/>
      <c r="Y72" s="257"/>
      <c r="Z72" s="257"/>
      <c r="AA72" s="321"/>
      <c r="AS72" s="139"/>
      <c r="AT72" s="139"/>
      <c r="AU72" s="139"/>
      <c r="AV72" s="139"/>
      <c r="AW72" s="139"/>
      <c r="AX72" s="139"/>
      <c r="AY72" s="139"/>
      <c r="AZ72" s="139"/>
      <c r="BA72" s="139"/>
      <c r="CA72" s="80"/>
      <c r="CH72" s="1020"/>
      <c r="CI72" s="1020"/>
      <c r="CJ72" s="1020"/>
      <c r="CK72" s="1020"/>
      <c r="CL72" s="1020"/>
      <c r="CM72" s="1020"/>
      <c r="CN72" s="1020"/>
      <c r="CO72" s="1020"/>
    </row>
    <row r="73" spans="1:97" ht="16.350000000000001" customHeight="1" x14ac:dyDescent="0.2">
      <c r="A73" s="2449" t="s">
        <v>3124</v>
      </c>
      <c r="B73" s="5659" t="s">
        <v>189</v>
      </c>
      <c r="C73" s="5660"/>
      <c r="D73" s="1223" t="s">
        <v>2777</v>
      </c>
      <c r="E73" s="1224" t="s">
        <v>2778</v>
      </c>
      <c r="F73" s="1007" t="s">
        <v>2779</v>
      </c>
      <c r="G73" s="818" t="s">
        <v>2780</v>
      </c>
      <c r="H73" s="821" t="s">
        <v>2781</v>
      </c>
      <c r="I73" s="818" t="s">
        <v>2782</v>
      </c>
      <c r="J73" s="821" t="s">
        <v>2783</v>
      </c>
      <c r="K73" s="818" t="s">
        <v>2784</v>
      </c>
      <c r="L73" s="821" t="s">
        <v>2785</v>
      </c>
      <c r="M73" s="818" t="s">
        <v>2786</v>
      </c>
      <c r="N73" s="821" t="s">
        <v>2787</v>
      </c>
      <c r="O73" s="818" t="s">
        <v>2788</v>
      </c>
      <c r="P73" s="821" t="s">
        <v>2789</v>
      </c>
      <c r="Q73" s="818" t="s">
        <v>2790</v>
      </c>
      <c r="R73" s="832" t="s">
        <v>2791</v>
      </c>
      <c r="S73" s="820" t="s">
        <v>2792</v>
      </c>
      <c r="T73" s="818" t="s">
        <v>2793</v>
      </c>
      <c r="U73" s="840" t="s">
        <v>2794</v>
      </c>
      <c r="V73" s="840" t="s">
        <v>2795</v>
      </c>
      <c r="W73" s="852" t="s">
        <v>2796</v>
      </c>
      <c r="X73" s="1284"/>
      <c r="Y73" s="257"/>
      <c r="Z73" s="257"/>
      <c r="AA73" s="321"/>
      <c r="AS73" s="139"/>
      <c r="AT73" s="139"/>
      <c r="AU73" s="139"/>
      <c r="AV73" s="139"/>
      <c r="AW73" s="139"/>
      <c r="AX73" s="139"/>
      <c r="AY73" s="139"/>
      <c r="AZ73" s="139"/>
      <c r="BA73" s="139"/>
      <c r="CH73" s="1020"/>
      <c r="CI73" s="1020"/>
      <c r="CJ73" s="1020"/>
      <c r="CK73" s="1020"/>
      <c r="CL73" s="1020"/>
      <c r="CM73" s="1020"/>
      <c r="CN73" s="1020"/>
      <c r="CO73" s="1020"/>
    </row>
    <row r="74" spans="1:97" ht="16.350000000000001" customHeight="1" x14ac:dyDescent="0.2">
      <c r="A74" s="2449" t="s">
        <v>3125</v>
      </c>
      <c r="B74" s="5661" t="s">
        <v>194</v>
      </c>
      <c r="C74" s="5662"/>
      <c r="D74" s="2733" t="s">
        <v>2777</v>
      </c>
      <c r="E74" s="2734" t="s">
        <v>2778</v>
      </c>
      <c r="F74" s="2735" t="s">
        <v>2779</v>
      </c>
      <c r="G74" s="822" t="s">
        <v>2780</v>
      </c>
      <c r="H74" s="814" t="s">
        <v>2781</v>
      </c>
      <c r="I74" s="822" t="s">
        <v>2782</v>
      </c>
      <c r="J74" s="814" t="s">
        <v>2783</v>
      </c>
      <c r="K74" s="822" t="s">
        <v>2784</v>
      </c>
      <c r="L74" s="814" t="s">
        <v>2785</v>
      </c>
      <c r="M74" s="822" t="s">
        <v>2786</v>
      </c>
      <c r="N74" s="814" t="s">
        <v>2787</v>
      </c>
      <c r="O74" s="822" t="s">
        <v>2788</v>
      </c>
      <c r="P74" s="814" t="s">
        <v>2789</v>
      </c>
      <c r="Q74" s="822" t="s">
        <v>2790</v>
      </c>
      <c r="R74" s="863" t="s">
        <v>2791</v>
      </c>
      <c r="S74" s="812" t="s">
        <v>2792</v>
      </c>
      <c r="T74" s="822" t="s">
        <v>2793</v>
      </c>
      <c r="U74" s="1236" t="s">
        <v>2794</v>
      </c>
      <c r="V74" s="2736" t="s">
        <v>2795</v>
      </c>
      <c r="W74" s="2736" t="s">
        <v>2796</v>
      </c>
      <c r="X74" s="1284"/>
      <c r="Y74" s="257"/>
      <c r="Z74" s="257"/>
      <c r="AA74" s="321"/>
      <c r="AS74" s="139"/>
      <c r="AT74" s="139"/>
      <c r="AU74" s="139"/>
      <c r="AV74" s="139"/>
      <c r="AW74" s="139"/>
      <c r="AX74" s="139"/>
      <c r="AY74" s="139"/>
      <c r="AZ74" s="139"/>
      <c r="BA74" s="139"/>
      <c r="CH74" s="1020"/>
      <c r="CI74" s="1020"/>
      <c r="CJ74" s="1020"/>
      <c r="CK74" s="1020"/>
      <c r="CL74" s="1020"/>
      <c r="CM74" s="1020"/>
      <c r="CN74" s="1020"/>
      <c r="CO74" s="1020"/>
    </row>
    <row r="75" spans="1:97" ht="30" customHeight="1" x14ac:dyDescent="0.2">
      <c r="B75" s="177" t="s">
        <v>2632</v>
      </c>
      <c r="C75" s="139"/>
      <c r="Q75" s="139"/>
      <c r="R75" s="139"/>
      <c r="S75" s="344"/>
      <c r="T75" s="344"/>
      <c r="U75" s="344"/>
      <c r="V75" s="257"/>
      <c r="W75" s="257"/>
      <c r="X75" s="257"/>
      <c r="Y75" s="257"/>
      <c r="Z75" s="257"/>
      <c r="AA75" s="321"/>
      <c r="CH75" s="1020"/>
      <c r="CI75" s="1020"/>
      <c r="CJ75" s="1020"/>
      <c r="CK75" s="1020"/>
      <c r="CL75" s="1020"/>
      <c r="CM75" s="1020"/>
      <c r="CN75" s="1020"/>
      <c r="CO75" s="1020"/>
    </row>
    <row r="76" spans="1:97" ht="16.350000000000001" customHeight="1" x14ac:dyDescent="0.2">
      <c r="B76" s="5545" t="s">
        <v>829</v>
      </c>
      <c r="C76" s="5546"/>
      <c r="D76" s="5118" t="s">
        <v>42</v>
      </c>
      <c r="E76" s="5119"/>
      <c r="F76" s="5120"/>
      <c r="G76" s="5413" t="s">
        <v>62</v>
      </c>
      <c r="H76" s="5540"/>
      <c r="I76" s="5540"/>
      <c r="J76" s="5540"/>
      <c r="K76" s="5540"/>
      <c r="L76" s="5540"/>
      <c r="M76" s="5540"/>
      <c r="N76" s="5540"/>
      <c r="O76" s="5540"/>
      <c r="P76" s="5541"/>
      <c r="Q76" s="139"/>
      <c r="R76" s="139"/>
      <c r="S76" s="344"/>
      <c r="T76" s="344"/>
      <c r="U76" s="344"/>
      <c r="V76" s="257"/>
      <c r="W76" s="257"/>
      <c r="X76" s="257"/>
      <c r="Y76" s="257"/>
      <c r="Z76" s="257"/>
      <c r="AA76" s="321"/>
      <c r="CH76" s="1020"/>
      <c r="CI76" s="1020"/>
      <c r="CJ76" s="1020"/>
      <c r="CK76" s="1020"/>
      <c r="CL76" s="1020"/>
      <c r="CM76" s="1020"/>
      <c r="CN76" s="1020"/>
      <c r="CO76" s="1020"/>
    </row>
    <row r="77" spans="1:97" x14ac:dyDescent="0.2">
      <c r="B77" s="5547"/>
      <c r="C77" s="5548"/>
      <c r="D77" s="5121"/>
      <c r="E77" s="5122"/>
      <c r="F77" s="5123"/>
      <c r="G77" s="5107" t="s">
        <v>3976</v>
      </c>
      <c r="H77" s="5108"/>
      <c r="I77" s="5107" t="s">
        <v>3977</v>
      </c>
      <c r="J77" s="5108"/>
      <c r="K77" s="5107" t="s">
        <v>3978</v>
      </c>
      <c r="L77" s="5108"/>
      <c r="M77" s="5107" t="s">
        <v>3979</v>
      </c>
      <c r="N77" s="5108"/>
      <c r="O77" s="5105" t="s">
        <v>3980</v>
      </c>
      <c r="P77" s="5106"/>
      <c r="Q77" s="345"/>
      <c r="R77" s="345"/>
      <c r="S77" s="345"/>
      <c r="T77" s="345"/>
      <c r="U77" s="139"/>
      <c r="V77" s="139"/>
      <c r="W77" s="139"/>
      <c r="X77" s="139"/>
      <c r="Y77" s="190"/>
      <c r="Z77" s="190"/>
      <c r="AA77" s="190"/>
      <c r="AB77" s="190"/>
      <c r="AC77" s="139"/>
      <c r="AD77" s="139"/>
      <c r="AE77" s="190"/>
      <c r="AF77" s="139"/>
      <c r="AG77" s="139"/>
      <c r="AH77" s="139"/>
      <c r="AI77" s="139"/>
      <c r="AJ77" s="139"/>
      <c r="AK77" s="139"/>
      <c r="AL77" s="139"/>
      <c r="AM77" s="262"/>
      <c r="AN77" s="346"/>
      <c r="AO77" s="251"/>
      <c r="AP77" s="257"/>
      <c r="AQ77" s="257"/>
      <c r="AR77" s="257"/>
      <c r="AS77" s="257"/>
      <c r="AT77" s="257"/>
      <c r="AU77" s="257"/>
      <c r="AV77" s="257"/>
      <c r="AW77" s="257"/>
      <c r="AX77" s="321"/>
      <c r="CA77" s="80"/>
      <c r="CH77" s="1020"/>
      <c r="CI77" s="1020"/>
      <c r="CJ77" s="1020"/>
      <c r="CK77" s="1020"/>
      <c r="CL77" s="1020"/>
      <c r="CM77" s="1020"/>
      <c r="CN77" s="1020"/>
      <c r="CO77" s="1020"/>
    </row>
    <row r="78" spans="1:97" ht="16.350000000000001" customHeight="1" x14ac:dyDescent="0.2">
      <c r="B78" s="5549"/>
      <c r="C78" s="5550"/>
      <c r="D78" s="279" t="s">
        <v>184</v>
      </c>
      <c r="E78" s="88" t="s">
        <v>24</v>
      </c>
      <c r="F78" s="131" t="s">
        <v>25</v>
      </c>
      <c r="G78" s="253" t="s">
        <v>24</v>
      </c>
      <c r="H78" s="131" t="s">
        <v>25</v>
      </c>
      <c r="I78" s="253" t="s">
        <v>24</v>
      </c>
      <c r="J78" s="131" t="s">
        <v>25</v>
      </c>
      <c r="K78" s="253" t="s">
        <v>24</v>
      </c>
      <c r="L78" s="131" t="s">
        <v>25</v>
      </c>
      <c r="M78" s="253" t="s">
        <v>24</v>
      </c>
      <c r="N78" s="131" t="s">
        <v>25</v>
      </c>
      <c r="O78" s="253" t="s">
        <v>24</v>
      </c>
      <c r="P78" s="131" t="s">
        <v>25</v>
      </c>
      <c r="AH78" s="1262"/>
      <c r="AI78" s="1269"/>
      <c r="AJ78" s="190"/>
      <c r="AK78" s="190"/>
      <c r="AL78" s="190"/>
      <c r="AM78" s="288"/>
      <c r="AN78" s="288"/>
      <c r="AO78" s="288"/>
      <c r="AP78" s="288"/>
      <c r="AQ78" s="288"/>
      <c r="AR78" s="288"/>
      <c r="AS78" s="288"/>
      <c r="AT78" s="288"/>
      <c r="AU78" s="288"/>
      <c r="AV78" s="330"/>
      <c r="CH78" s="1020"/>
      <c r="CI78" s="1020"/>
      <c r="CJ78" s="1020"/>
      <c r="CK78" s="1020"/>
      <c r="CL78" s="1020"/>
      <c r="CM78" s="1020"/>
      <c r="CN78" s="1020"/>
      <c r="CO78" s="1020"/>
    </row>
    <row r="79" spans="1:97" ht="20.25" customHeight="1" x14ac:dyDescent="0.2">
      <c r="A79" s="2449" t="s">
        <v>3126</v>
      </c>
      <c r="B79" s="5323" t="s">
        <v>111</v>
      </c>
      <c r="C79" s="5111"/>
      <c r="D79" s="2737" t="s">
        <v>2777</v>
      </c>
      <c r="E79" s="2738" t="s">
        <v>2778</v>
      </c>
      <c r="F79" s="2739" t="s">
        <v>2779</v>
      </c>
      <c r="G79" s="2551" t="s">
        <v>2780</v>
      </c>
      <c r="H79" s="2740" t="s">
        <v>2781</v>
      </c>
      <c r="I79" s="2551" t="s">
        <v>2782</v>
      </c>
      <c r="J79" s="2740" t="s">
        <v>2783</v>
      </c>
      <c r="K79" s="2551" t="s">
        <v>2784</v>
      </c>
      <c r="L79" s="2552" t="s">
        <v>2785</v>
      </c>
      <c r="M79" s="2551" t="s">
        <v>2786</v>
      </c>
      <c r="N79" s="2552" t="s">
        <v>2787</v>
      </c>
      <c r="O79" s="2551" t="s">
        <v>2788</v>
      </c>
      <c r="P79" s="2552" t="s">
        <v>2789</v>
      </c>
      <c r="AI79" s="190"/>
      <c r="AJ79" s="190"/>
      <c r="AK79" s="190"/>
      <c r="AL79" s="190"/>
      <c r="AM79" s="288"/>
      <c r="AN79" s="288"/>
      <c r="AO79" s="288"/>
      <c r="AP79" s="288"/>
      <c r="AQ79" s="288"/>
      <c r="AR79" s="288"/>
      <c r="AS79" s="288"/>
      <c r="AT79" s="288"/>
      <c r="AU79" s="288"/>
      <c r="AV79" s="330"/>
      <c r="CH79" s="1020"/>
      <c r="CI79" s="1020"/>
      <c r="CJ79" s="1020"/>
      <c r="CK79" s="1020"/>
      <c r="CL79" s="1020"/>
      <c r="CM79" s="1020"/>
      <c r="CN79" s="1020"/>
      <c r="CO79" s="1020"/>
    </row>
    <row r="80" spans="1:97" ht="30" customHeight="1" x14ac:dyDescent="0.2">
      <c r="B80" s="353" t="s">
        <v>862</v>
      </c>
      <c r="C80" s="962"/>
      <c r="AI80" s="190"/>
      <c r="AJ80" s="190"/>
      <c r="AK80" s="190"/>
      <c r="AL80" s="881"/>
      <c r="AM80" s="898"/>
      <c r="AN80" s="898"/>
      <c r="AO80" s="898"/>
      <c r="AP80" s="898"/>
      <c r="AQ80" s="898"/>
      <c r="AR80" s="898"/>
      <c r="AS80" s="898"/>
      <c r="AT80" s="898"/>
      <c r="AU80" s="898"/>
      <c r="AV80" s="906"/>
      <c r="AW80" s="94"/>
      <c r="AX80" s="94"/>
      <c r="AY80" s="94"/>
      <c r="AZ80" s="94"/>
      <c r="CH80" s="1020"/>
      <c r="CI80" s="1020"/>
      <c r="CJ80" s="1020"/>
      <c r="CK80" s="1020"/>
      <c r="CL80" s="1020"/>
      <c r="CM80" s="1020"/>
      <c r="CN80" s="1020"/>
      <c r="CO80" s="1020"/>
    </row>
    <row r="81" spans="1:93" ht="16.350000000000001" customHeight="1" x14ac:dyDescent="0.2">
      <c r="B81" s="5118" t="s">
        <v>120</v>
      </c>
      <c r="C81" s="5120"/>
      <c r="D81" s="5118" t="s">
        <v>42</v>
      </c>
      <c r="E81" s="5119"/>
      <c r="F81" s="5120"/>
      <c r="G81" s="5107" t="s">
        <v>111</v>
      </c>
      <c r="H81" s="5117"/>
      <c r="I81" s="5117"/>
      <c r="J81" s="5117"/>
      <c r="K81" s="5117"/>
      <c r="L81" s="5117"/>
      <c r="M81" s="5117"/>
      <c r="N81" s="5117"/>
      <c r="O81" s="5117"/>
      <c r="P81" s="5117"/>
      <c r="Q81" s="5117"/>
      <c r="R81" s="5117"/>
      <c r="S81" s="5117"/>
      <c r="T81" s="5117"/>
      <c r="U81" s="5117"/>
      <c r="V81" s="5117"/>
      <c r="W81" s="5117"/>
      <c r="X81" s="5117"/>
      <c r="Y81" s="5117"/>
      <c r="Z81" s="5117"/>
      <c r="AA81" s="5117"/>
      <c r="AB81" s="5117"/>
      <c r="AC81" s="5117"/>
      <c r="AD81" s="5117"/>
      <c r="AE81" s="5117"/>
      <c r="AF81" s="5117"/>
      <c r="AG81" s="5117"/>
      <c r="AH81" s="5108"/>
      <c r="AI81" s="190"/>
      <c r="AJ81" s="190"/>
      <c r="AK81" s="190"/>
      <c r="AL81" s="881"/>
      <c r="AM81" s="898"/>
      <c r="AN81" s="898"/>
      <c r="AO81" s="898"/>
      <c r="AP81" s="898"/>
      <c r="AQ81" s="898"/>
      <c r="AR81" s="898"/>
      <c r="AS81" s="898"/>
      <c r="AT81" s="898"/>
      <c r="AU81" s="898"/>
      <c r="AV81" s="906"/>
      <c r="AW81" s="94"/>
      <c r="AX81" s="94"/>
      <c r="AY81" s="94"/>
      <c r="AZ81" s="94"/>
      <c r="CH81" s="1020"/>
      <c r="CI81" s="1020"/>
      <c r="CJ81" s="1020"/>
      <c r="CK81" s="1020"/>
      <c r="CL81" s="1020"/>
      <c r="CM81" s="1020"/>
      <c r="CN81" s="1020"/>
      <c r="CO81" s="1020"/>
    </row>
    <row r="82" spans="1:93" ht="16.350000000000001" customHeight="1" x14ac:dyDescent="0.2">
      <c r="B82" s="5121"/>
      <c r="C82" s="5123"/>
      <c r="D82" s="5121"/>
      <c r="E82" s="5122"/>
      <c r="F82" s="5123"/>
      <c r="G82" s="5523" t="s">
        <v>319</v>
      </c>
      <c r="H82" s="5523"/>
      <c r="I82" s="5523" t="s">
        <v>320</v>
      </c>
      <c r="J82" s="5523"/>
      <c r="K82" s="5523" t="s">
        <v>151</v>
      </c>
      <c r="L82" s="5523"/>
      <c r="M82" s="5523" t="s">
        <v>152</v>
      </c>
      <c r="N82" s="5523"/>
      <c r="O82" s="5523" t="s">
        <v>153</v>
      </c>
      <c r="P82" s="5523"/>
      <c r="Q82" s="5523" t="s">
        <v>154</v>
      </c>
      <c r="R82" s="5523"/>
      <c r="S82" s="5523" t="s">
        <v>155</v>
      </c>
      <c r="T82" s="5523"/>
      <c r="U82" s="5523" t="s">
        <v>156</v>
      </c>
      <c r="V82" s="5523"/>
      <c r="W82" s="5523" t="s">
        <v>157</v>
      </c>
      <c r="X82" s="5523"/>
      <c r="Y82" s="5523" t="s">
        <v>158</v>
      </c>
      <c r="Z82" s="5523"/>
      <c r="AA82" s="5107" t="s">
        <v>159</v>
      </c>
      <c r="AB82" s="5108"/>
      <c r="AC82" s="5107" t="s">
        <v>160</v>
      </c>
      <c r="AD82" s="5108"/>
      <c r="AE82" s="5107" t="s">
        <v>161</v>
      </c>
      <c r="AF82" s="5108"/>
      <c r="AG82" s="5107" t="s">
        <v>162</v>
      </c>
      <c r="AH82" s="5108"/>
      <c r="AI82" s="190"/>
      <c r="AJ82" s="190"/>
      <c r="AK82" s="219"/>
      <c r="AL82" s="896"/>
      <c r="AM82" s="898"/>
      <c r="AN82" s="898"/>
      <c r="AO82" s="898"/>
      <c r="AP82" s="898"/>
      <c r="AQ82" s="898"/>
      <c r="AR82" s="898"/>
      <c r="AS82" s="898"/>
      <c r="AT82" s="898"/>
      <c r="AU82" s="898"/>
      <c r="AV82" s="906"/>
      <c r="AW82" s="94"/>
      <c r="AX82" s="94"/>
      <c r="AY82" s="94"/>
      <c r="AZ82" s="94"/>
      <c r="CH82" s="1020"/>
      <c r="CI82" s="1020"/>
      <c r="CJ82" s="1020"/>
      <c r="CK82" s="1020"/>
      <c r="CL82" s="1020"/>
      <c r="CM82" s="1020"/>
      <c r="CN82" s="1020"/>
      <c r="CO82" s="1020"/>
    </row>
    <row r="83" spans="1:93" ht="16.350000000000001" customHeight="1" x14ac:dyDescent="0.2">
      <c r="B83" s="5121"/>
      <c r="C83" s="5123"/>
      <c r="D83" s="253" t="s">
        <v>184</v>
      </c>
      <c r="E83" s="88" t="s">
        <v>24</v>
      </c>
      <c r="F83" s="131" t="s">
        <v>25</v>
      </c>
      <c r="G83" s="341" t="s">
        <v>24</v>
      </c>
      <c r="H83" s="347" t="s">
        <v>25</v>
      </c>
      <c r="I83" s="341" t="s">
        <v>24</v>
      </c>
      <c r="J83" s="347" t="s">
        <v>25</v>
      </c>
      <c r="K83" s="341" t="s">
        <v>24</v>
      </c>
      <c r="L83" s="347" t="s">
        <v>25</v>
      </c>
      <c r="M83" s="341" t="s">
        <v>24</v>
      </c>
      <c r="N83" s="347" t="s">
        <v>25</v>
      </c>
      <c r="O83" s="341" t="s">
        <v>24</v>
      </c>
      <c r="P83" s="347" t="s">
        <v>25</v>
      </c>
      <c r="Q83" s="341" t="s">
        <v>24</v>
      </c>
      <c r="R83" s="347" t="s">
        <v>25</v>
      </c>
      <c r="S83" s="341" t="s">
        <v>24</v>
      </c>
      <c r="T83" s="347" t="s">
        <v>25</v>
      </c>
      <c r="U83" s="341" t="s">
        <v>24</v>
      </c>
      <c r="V83" s="347" t="s">
        <v>25</v>
      </c>
      <c r="W83" s="341" t="s">
        <v>24</v>
      </c>
      <c r="X83" s="347" t="s">
        <v>25</v>
      </c>
      <c r="Y83" s="341" t="s">
        <v>24</v>
      </c>
      <c r="Z83" s="347" t="s">
        <v>25</v>
      </c>
      <c r="AA83" s="341" t="s">
        <v>24</v>
      </c>
      <c r="AB83" s="347" t="s">
        <v>25</v>
      </c>
      <c r="AC83" s="341" t="s">
        <v>24</v>
      </c>
      <c r="AD83" s="347" t="s">
        <v>25</v>
      </c>
      <c r="AE83" s="341" t="s">
        <v>24</v>
      </c>
      <c r="AF83" s="347" t="s">
        <v>25</v>
      </c>
      <c r="AG83" s="341" t="s">
        <v>24</v>
      </c>
      <c r="AH83" s="347" t="s">
        <v>25</v>
      </c>
      <c r="AI83" s="139"/>
      <c r="AJ83" s="190"/>
      <c r="AK83" s="348"/>
      <c r="AL83" s="898"/>
      <c r="AM83" s="898"/>
      <c r="AN83" s="898"/>
      <c r="AO83" s="898"/>
      <c r="AP83" s="898"/>
      <c r="AQ83" s="898"/>
      <c r="AR83" s="898"/>
      <c r="AS83" s="898"/>
      <c r="AT83" s="898"/>
      <c r="AU83" s="898"/>
      <c r="AV83" s="906"/>
      <c r="AW83" s="94"/>
      <c r="AX83" s="94"/>
      <c r="AY83" s="94"/>
      <c r="AZ83" s="94"/>
      <c r="CH83" s="1020"/>
      <c r="CI83" s="1020"/>
      <c r="CJ83" s="1020"/>
      <c r="CK83" s="1020"/>
      <c r="CL83" s="1020"/>
      <c r="CM83" s="1020"/>
      <c r="CN83" s="1020"/>
      <c r="CO83" s="1020"/>
    </row>
    <row r="84" spans="1:93" ht="16.350000000000001" customHeight="1" x14ac:dyDescent="0.2">
      <c r="A84" s="2695" t="s">
        <v>3127</v>
      </c>
      <c r="B84" s="5551" t="s">
        <v>321</v>
      </c>
      <c r="C84" s="5552"/>
      <c r="D84" s="2520" t="s">
        <v>2777</v>
      </c>
      <c r="E84" s="2612" t="s">
        <v>2778</v>
      </c>
      <c r="F84" s="2741" t="s">
        <v>2779</v>
      </c>
      <c r="G84" s="2483" t="s">
        <v>2780</v>
      </c>
      <c r="H84" s="2487" t="s">
        <v>2781</v>
      </c>
      <c r="I84" s="2483" t="s">
        <v>2782</v>
      </c>
      <c r="J84" s="2487" t="s">
        <v>2783</v>
      </c>
      <c r="K84" s="2483" t="s">
        <v>2784</v>
      </c>
      <c r="L84" s="2487" t="s">
        <v>2785</v>
      </c>
      <c r="M84" s="2483" t="s">
        <v>2786</v>
      </c>
      <c r="N84" s="2487" t="s">
        <v>2787</v>
      </c>
      <c r="O84" s="2483" t="s">
        <v>2788</v>
      </c>
      <c r="P84" s="2487" t="s">
        <v>2789</v>
      </c>
      <c r="Q84" s="2483" t="s">
        <v>2790</v>
      </c>
      <c r="R84" s="2487" t="s">
        <v>2791</v>
      </c>
      <c r="S84" s="2483" t="s">
        <v>2792</v>
      </c>
      <c r="T84" s="2487" t="s">
        <v>2793</v>
      </c>
      <c r="U84" s="2483" t="s">
        <v>2794</v>
      </c>
      <c r="V84" s="2487" t="s">
        <v>2795</v>
      </c>
      <c r="W84" s="2483" t="s">
        <v>2796</v>
      </c>
      <c r="X84" s="2487" t="s">
        <v>2797</v>
      </c>
      <c r="Y84" s="2483" t="s">
        <v>2798</v>
      </c>
      <c r="Z84" s="2487" t="s">
        <v>2799</v>
      </c>
      <c r="AA84" s="2483" t="s">
        <v>2800</v>
      </c>
      <c r="AB84" s="2487" t="s">
        <v>2801</v>
      </c>
      <c r="AC84" s="2483" t="s">
        <v>2817</v>
      </c>
      <c r="AD84" s="2487" t="s">
        <v>2818</v>
      </c>
      <c r="AE84" s="2483" t="s">
        <v>2819</v>
      </c>
      <c r="AF84" s="2487" t="s">
        <v>2821</v>
      </c>
      <c r="AG84" s="2483" t="s">
        <v>2822</v>
      </c>
      <c r="AH84" s="2552" t="s">
        <v>2823</v>
      </c>
      <c r="AI84" s="136"/>
      <c r="AJ84" s="190"/>
      <c r="AK84" s="297"/>
      <c r="AL84" s="881"/>
      <c r="AM84" s="898"/>
      <c r="AN84" s="898"/>
      <c r="AO84" s="898"/>
      <c r="AP84" s="898"/>
      <c r="AQ84" s="898"/>
      <c r="AR84" s="898"/>
      <c r="AS84" s="898"/>
      <c r="AT84" s="898"/>
      <c r="AU84" s="898"/>
      <c r="AV84" s="906"/>
      <c r="AW84" s="94"/>
      <c r="AX84" s="94"/>
      <c r="AY84" s="94"/>
      <c r="AZ84" s="94"/>
      <c r="CH84" s="1020"/>
      <c r="CI84" s="1020"/>
      <c r="CJ84" s="1020"/>
      <c r="CK84" s="1020"/>
      <c r="CL84" s="1020"/>
      <c r="CM84" s="1020"/>
      <c r="CN84" s="1020"/>
      <c r="CO84" s="1020"/>
    </row>
    <row r="85" spans="1:93" ht="25.35" customHeight="1" x14ac:dyDescent="0.2">
      <c r="A85" s="2695" t="s">
        <v>3128</v>
      </c>
      <c r="B85" s="5109" t="s">
        <v>322</v>
      </c>
      <c r="C85" s="2742" t="s">
        <v>323</v>
      </c>
      <c r="D85" s="2538" t="s">
        <v>2777</v>
      </c>
      <c r="E85" s="2589" t="s">
        <v>2778</v>
      </c>
      <c r="F85" s="2564" t="s">
        <v>2779</v>
      </c>
      <c r="G85" s="2483" t="s">
        <v>2780</v>
      </c>
      <c r="H85" s="2499" t="s">
        <v>2781</v>
      </c>
      <c r="I85" s="2483" t="s">
        <v>2782</v>
      </c>
      <c r="J85" s="2499" t="s">
        <v>2783</v>
      </c>
      <c r="K85" s="2483" t="s">
        <v>2784</v>
      </c>
      <c r="L85" s="2499" t="s">
        <v>2785</v>
      </c>
      <c r="M85" s="2483" t="s">
        <v>2786</v>
      </c>
      <c r="N85" s="2499" t="s">
        <v>2787</v>
      </c>
      <c r="O85" s="2483" t="s">
        <v>2788</v>
      </c>
      <c r="P85" s="2499" t="s">
        <v>2789</v>
      </c>
      <c r="Q85" s="2483" t="s">
        <v>2790</v>
      </c>
      <c r="R85" s="2499" t="s">
        <v>2791</v>
      </c>
      <c r="S85" s="2483" t="s">
        <v>2792</v>
      </c>
      <c r="T85" s="2499" t="s">
        <v>2793</v>
      </c>
      <c r="U85" s="2483" t="s">
        <v>2794</v>
      </c>
      <c r="V85" s="2499" t="s">
        <v>2795</v>
      </c>
      <c r="W85" s="2483" t="s">
        <v>2796</v>
      </c>
      <c r="X85" s="2499" t="s">
        <v>2797</v>
      </c>
      <c r="Y85" s="2483" t="s">
        <v>2798</v>
      </c>
      <c r="Z85" s="2499" t="s">
        <v>2799</v>
      </c>
      <c r="AA85" s="2483" t="s">
        <v>2800</v>
      </c>
      <c r="AB85" s="2499" t="s">
        <v>2801</v>
      </c>
      <c r="AC85" s="2483" t="s">
        <v>2817</v>
      </c>
      <c r="AD85" s="2499" t="s">
        <v>2818</v>
      </c>
      <c r="AE85" s="2483" t="s">
        <v>2819</v>
      </c>
      <c r="AF85" s="2499" t="s">
        <v>2821</v>
      </c>
      <c r="AG85" s="2483" t="s">
        <v>2822</v>
      </c>
      <c r="AH85" s="2499" t="s">
        <v>2823</v>
      </c>
      <c r="AI85" s="136"/>
      <c r="AJ85" s="190"/>
      <c r="AK85" s="350"/>
      <c r="AL85" s="896"/>
      <c r="AM85" s="898"/>
      <c r="AN85" s="898"/>
      <c r="AO85" s="898"/>
      <c r="AP85" s="898"/>
      <c r="AQ85" s="898"/>
      <c r="AR85" s="898"/>
      <c r="AS85" s="898"/>
      <c r="AT85" s="898"/>
      <c r="AU85" s="898"/>
      <c r="AV85" s="906"/>
      <c r="AW85" s="94"/>
      <c r="AX85" s="94"/>
      <c r="AY85" s="94"/>
      <c r="AZ85" s="94"/>
      <c r="CH85" s="1020">
        <v>0</v>
      </c>
      <c r="CI85" s="1020"/>
      <c r="CJ85" s="1020"/>
      <c r="CK85" s="1020"/>
      <c r="CL85" s="1020"/>
      <c r="CM85" s="1020"/>
      <c r="CN85" s="1020"/>
      <c r="CO85" s="1020"/>
    </row>
    <row r="86" spans="1:93" ht="16.350000000000001" customHeight="1" x14ac:dyDescent="0.2">
      <c r="A86" s="2695" t="s">
        <v>3129</v>
      </c>
      <c r="B86" s="5103"/>
      <c r="C86" s="2425" t="s">
        <v>324</v>
      </c>
      <c r="D86" s="2442" t="s">
        <v>2777</v>
      </c>
      <c r="E86" s="2443" t="s">
        <v>2778</v>
      </c>
      <c r="F86" s="200" t="s">
        <v>2779</v>
      </c>
      <c r="G86" s="141" t="s">
        <v>2780</v>
      </c>
      <c r="H86" s="198" t="s">
        <v>2781</v>
      </c>
      <c r="I86" s="141" t="s">
        <v>2782</v>
      </c>
      <c r="J86" s="198" t="s">
        <v>2783</v>
      </c>
      <c r="K86" s="141" t="s">
        <v>2784</v>
      </c>
      <c r="L86" s="198" t="s">
        <v>2785</v>
      </c>
      <c r="M86" s="141" t="s">
        <v>2786</v>
      </c>
      <c r="N86" s="198" t="s">
        <v>2787</v>
      </c>
      <c r="O86" s="141" t="s">
        <v>2788</v>
      </c>
      <c r="P86" s="198" t="s">
        <v>2789</v>
      </c>
      <c r="Q86" s="141" t="s">
        <v>2790</v>
      </c>
      <c r="R86" s="198" t="s">
        <v>2791</v>
      </c>
      <c r="S86" s="141" t="s">
        <v>2792</v>
      </c>
      <c r="T86" s="198" t="s">
        <v>2793</v>
      </c>
      <c r="U86" s="141" t="s">
        <v>2794</v>
      </c>
      <c r="V86" s="198" t="s">
        <v>2795</v>
      </c>
      <c r="W86" s="141" t="s">
        <v>2796</v>
      </c>
      <c r="X86" s="198" t="s">
        <v>2797</v>
      </c>
      <c r="Y86" s="141" t="s">
        <v>2798</v>
      </c>
      <c r="Z86" s="198" t="s">
        <v>2799</v>
      </c>
      <c r="AA86" s="141" t="s">
        <v>2800</v>
      </c>
      <c r="AB86" s="198" t="s">
        <v>2801</v>
      </c>
      <c r="AC86" s="141" t="s">
        <v>2817</v>
      </c>
      <c r="AD86" s="198" t="s">
        <v>2818</v>
      </c>
      <c r="AE86" s="141" t="s">
        <v>2819</v>
      </c>
      <c r="AF86" s="198" t="s">
        <v>2821</v>
      </c>
      <c r="AG86" s="141" t="s">
        <v>2822</v>
      </c>
      <c r="AH86" s="198" t="s">
        <v>2823</v>
      </c>
      <c r="AI86" s="136"/>
      <c r="AJ86" s="190"/>
      <c r="AK86" s="297"/>
      <c r="AL86" s="915"/>
      <c r="AM86" s="898"/>
      <c r="AN86" s="898"/>
      <c r="AO86" s="898"/>
      <c r="AP86" s="898"/>
      <c r="AQ86" s="898"/>
      <c r="AR86" s="898"/>
      <c r="AS86" s="898"/>
      <c r="AT86" s="898"/>
      <c r="AU86" s="898"/>
      <c r="AV86" s="906"/>
      <c r="AW86" s="94"/>
      <c r="AX86" s="94"/>
      <c r="AY86" s="94"/>
      <c r="AZ86" s="94"/>
      <c r="CH86" s="1020">
        <v>0</v>
      </c>
      <c r="CI86" s="1020"/>
      <c r="CJ86" s="1020"/>
      <c r="CK86" s="1020"/>
      <c r="CL86" s="1020"/>
      <c r="CM86" s="1020"/>
      <c r="CN86" s="1020"/>
      <c r="CO86" s="1020"/>
    </row>
    <row r="87" spans="1:93" ht="15.75" customHeight="1" x14ac:dyDescent="0.2">
      <c r="A87" s="2695" t="s">
        <v>3130</v>
      </c>
      <c r="B87" s="5103"/>
      <c r="C87" s="2425" t="s">
        <v>325</v>
      </c>
      <c r="D87" s="2442" t="s">
        <v>2777</v>
      </c>
      <c r="E87" s="2443" t="s">
        <v>2778</v>
      </c>
      <c r="F87" s="200" t="s">
        <v>2779</v>
      </c>
      <c r="G87" s="141" t="s">
        <v>2780</v>
      </c>
      <c r="H87" s="198" t="s">
        <v>2781</v>
      </c>
      <c r="I87" s="141" t="s">
        <v>2782</v>
      </c>
      <c r="J87" s="198" t="s">
        <v>2783</v>
      </c>
      <c r="K87" s="141" t="s">
        <v>2784</v>
      </c>
      <c r="L87" s="198" t="s">
        <v>2785</v>
      </c>
      <c r="M87" s="141" t="s">
        <v>2786</v>
      </c>
      <c r="N87" s="198" t="s">
        <v>2787</v>
      </c>
      <c r="O87" s="141" t="s">
        <v>2788</v>
      </c>
      <c r="P87" s="198" t="s">
        <v>2789</v>
      </c>
      <c r="Q87" s="141" t="s">
        <v>2790</v>
      </c>
      <c r="R87" s="198" t="s">
        <v>2791</v>
      </c>
      <c r="S87" s="141" t="s">
        <v>2792</v>
      </c>
      <c r="T87" s="198" t="s">
        <v>2793</v>
      </c>
      <c r="U87" s="141" t="s">
        <v>2794</v>
      </c>
      <c r="V87" s="198" t="s">
        <v>2795</v>
      </c>
      <c r="W87" s="141" t="s">
        <v>2796</v>
      </c>
      <c r="X87" s="198" t="s">
        <v>2797</v>
      </c>
      <c r="Y87" s="141" t="s">
        <v>2798</v>
      </c>
      <c r="Z87" s="198" t="s">
        <v>2799</v>
      </c>
      <c r="AA87" s="141" t="s">
        <v>2800</v>
      </c>
      <c r="AB87" s="198" t="s">
        <v>2801</v>
      </c>
      <c r="AC87" s="141" t="s">
        <v>2817</v>
      </c>
      <c r="AD87" s="198" t="s">
        <v>2818</v>
      </c>
      <c r="AE87" s="141" t="s">
        <v>2819</v>
      </c>
      <c r="AF87" s="198" t="s">
        <v>2821</v>
      </c>
      <c r="AG87" s="141" t="s">
        <v>2822</v>
      </c>
      <c r="AH87" s="198" t="s">
        <v>2823</v>
      </c>
      <c r="AI87" s="136"/>
      <c r="AJ87" s="190"/>
      <c r="AK87" s="81"/>
      <c r="AL87" s="128"/>
      <c r="AM87" s="128"/>
      <c r="AN87" s="128"/>
      <c r="AO87" s="905"/>
      <c r="AP87" s="905"/>
      <c r="AQ87" s="905"/>
      <c r="AR87" s="905"/>
      <c r="AS87" s="905"/>
      <c r="AT87" s="905"/>
      <c r="AU87" s="905"/>
      <c r="AV87" s="905"/>
      <c r="AW87" s="905"/>
      <c r="AX87" s="906"/>
      <c r="AY87" s="94"/>
      <c r="AZ87" s="94"/>
      <c r="CA87" s="80"/>
      <c r="CH87" s="1020">
        <v>0</v>
      </c>
      <c r="CI87" s="1020"/>
      <c r="CJ87" s="1020"/>
      <c r="CK87" s="1020"/>
      <c r="CL87" s="1020"/>
      <c r="CM87" s="1020"/>
      <c r="CN87" s="1020"/>
      <c r="CO87" s="1020"/>
    </row>
    <row r="88" spans="1:93" ht="22.5" customHeight="1" x14ac:dyDescent="0.2">
      <c r="A88" s="2695" t="s">
        <v>3131</v>
      </c>
      <c r="B88" s="5103"/>
      <c r="C88" s="349" t="s">
        <v>1265</v>
      </c>
      <c r="D88" s="2442" t="s">
        <v>2777</v>
      </c>
      <c r="E88" s="2443" t="s">
        <v>2778</v>
      </c>
      <c r="F88" s="200" t="s">
        <v>2779</v>
      </c>
      <c r="G88" s="141" t="s">
        <v>2780</v>
      </c>
      <c r="H88" s="198" t="s">
        <v>2781</v>
      </c>
      <c r="I88" s="141" t="s">
        <v>2782</v>
      </c>
      <c r="J88" s="198" t="s">
        <v>2783</v>
      </c>
      <c r="K88" s="141" t="s">
        <v>2784</v>
      </c>
      <c r="L88" s="198" t="s">
        <v>2785</v>
      </c>
      <c r="M88" s="141" t="s">
        <v>2786</v>
      </c>
      <c r="N88" s="198" t="s">
        <v>2787</v>
      </c>
      <c r="O88" s="141" t="s">
        <v>2788</v>
      </c>
      <c r="P88" s="198" t="s">
        <v>2789</v>
      </c>
      <c r="Q88" s="141" t="s">
        <v>2790</v>
      </c>
      <c r="R88" s="198" t="s">
        <v>2791</v>
      </c>
      <c r="S88" s="141" t="s">
        <v>2792</v>
      </c>
      <c r="T88" s="198" t="s">
        <v>2793</v>
      </c>
      <c r="U88" s="141" t="s">
        <v>2794</v>
      </c>
      <c r="V88" s="198" t="s">
        <v>2795</v>
      </c>
      <c r="W88" s="141" t="s">
        <v>2796</v>
      </c>
      <c r="X88" s="198" t="s">
        <v>2797</v>
      </c>
      <c r="Y88" s="141" t="s">
        <v>2798</v>
      </c>
      <c r="Z88" s="198" t="s">
        <v>2799</v>
      </c>
      <c r="AA88" s="141" t="s">
        <v>2800</v>
      </c>
      <c r="AB88" s="198" t="s">
        <v>2801</v>
      </c>
      <c r="AC88" s="141" t="s">
        <v>2817</v>
      </c>
      <c r="AD88" s="198" t="s">
        <v>2818</v>
      </c>
      <c r="AE88" s="141" t="s">
        <v>2819</v>
      </c>
      <c r="AF88" s="198" t="s">
        <v>2821</v>
      </c>
      <c r="AG88" s="141" t="s">
        <v>2822</v>
      </c>
      <c r="AH88" s="198" t="s">
        <v>2823</v>
      </c>
      <c r="AI88" s="79"/>
      <c r="AM88" s="898"/>
      <c r="AN88" s="898"/>
      <c r="AO88" s="898"/>
      <c r="AP88" s="898"/>
      <c r="AQ88" s="898"/>
      <c r="AR88" s="898"/>
      <c r="AS88" s="898"/>
      <c r="AT88" s="898"/>
      <c r="AU88" s="898"/>
      <c r="AV88" s="906"/>
      <c r="AW88" s="94"/>
      <c r="AX88" s="94"/>
      <c r="AY88" s="94"/>
      <c r="AZ88" s="94"/>
      <c r="CH88" s="1020">
        <v>0</v>
      </c>
      <c r="CI88" s="1020"/>
      <c r="CJ88" s="1020"/>
      <c r="CK88" s="1020"/>
      <c r="CL88" s="1020"/>
      <c r="CM88" s="1020"/>
      <c r="CN88" s="1020"/>
      <c r="CO88" s="1020"/>
    </row>
    <row r="89" spans="1:93" ht="16.350000000000001" customHeight="1" x14ac:dyDescent="0.2">
      <c r="A89" s="2695" t="s">
        <v>3132</v>
      </c>
      <c r="B89" s="5343"/>
      <c r="C89" s="2426" t="s">
        <v>166</v>
      </c>
      <c r="D89" s="2444" t="s">
        <v>2777</v>
      </c>
      <c r="E89" s="2445" t="s">
        <v>2778</v>
      </c>
      <c r="F89" s="202" t="s">
        <v>2779</v>
      </c>
      <c r="G89" s="166" t="s">
        <v>2780</v>
      </c>
      <c r="H89" s="168" t="s">
        <v>2781</v>
      </c>
      <c r="I89" s="166" t="s">
        <v>2782</v>
      </c>
      <c r="J89" s="168" t="s">
        <v>2783</v>
      </c>
      <c r="K89" s="166" t="s">
        <v>2784</v>
      </c>
      <c r="L89" s="168" t="s">
        <v>2785</v>
      </c>
      <c r="M89" s="166" t="s">
        <v>2786</v>
      </c>
      <c r="N89" s="168" t="s">
        <v>2787</v>
      </c>
      <c r="O89" s="166" t="s">
        <v>2788</v>
      </c>
      <c r="P89" s="168" t="s">
        <v>2789</v>
      </c>
      <c r="Q89" s="166" t="s">
        <v>2790</v>
      </c>
      <c r="R89" s="168" t="s">
        <v>2791</v>
      </c>
      <c r="S89" s="166" t="s">
        <v>2792</v>
      </c>
      <c r="T89" s="168" t="s">
        <v>2793</v>
      </c>
      <c r="U89" s="166" t="s">
        <v>2794</v>
      </c>
      <c r="V89" s="168" t="s">
        <v>2795</v>
      </c>
      <c r="W89" s="166" t="s">
        <v>2796</v>
      </c>
      <c r="X89" s="168" t="s">
        <v>2797</v>
      </c>
      <c r="Y89" s="166" t="s">
        <v>2798</v>
      </c>
      <c r="Z89" s="168" t="s">
        <v>2799</v>
      </c>
      <c r="AA89" s="166" t="s">
        <v>2800</v>
      </c>
      <c r="AB89" s="168" t="s">
        <v>2801</v>
      </c>
      <c r="AC89" s="166" t="s">
        <v>2817</v>
      </c>
      <c r="AD89" s="168" t="s">
        <v>2818</v>
      </c>
      <c r="AE89" s="166" t="s">
        <v>2819</v>
      </c>
      <c r="AF89" s="168" t="s">
        <v>2821</v>
      </c>
      <c r="AG89" s="166" t="s">
        <v>2822</v>
      </c>
      <c r="AH89" s="168" t="s">
        <v>2823</v>
      </c>
      <c r="AI89" s="79"/>
      <c r="AM89" s="898"/>
      <c r="AN89" s="898"/>
      <c r="AO89" s="898"/>
      <c r="AP89" s="898"/>
      <c r="AQ89" s="898"/>
      <c r="AR89" s="898"/>
      <c r="AS89" s="898"/>
      <c r="AT89" s="898"/>
      <c r="AU89" s="898"/>
      <c r="AV89" s="906"/>
      <c r="AW89" s="94"/>
      <c r="AX89" s="94"/>
      <c r="AY89" s="94"/>
      <c r="AZ89" s="94"/>
      <c r="CH89" s="1020">
        <v>0</v>
      </c>
      <c r="CI89" s="1020"/>
      <c r="CJ89" s="1020"/>
      <c r="CK89" s="1020"/>
      <c r="CL89" s="1020"/>
      <c r="CM89" s="1020"/>
      <c r="CN89" s="1020"/>
      <c r="CO89" s="1020"/>
    </row>
    <row r="90" spans="1:93" ht="16.350000000000001" customHeight="1" x14ac:dyDescent="0.2">
      <c r="B90" s="1237" t="s">
        <v>863</v>
      </c>
      <c r="C90" s="353"/>
      <c r="AM90" s="898"/>
      <c r="AN90" s="898"/>
      <c r="AO90" s="898"/>
      <c r="AP90" s="898"/>
      <c r="AQ90" s="898"/>
      <c r="AR90" s="898"/>
      <c r="AS90" s="898"/>
      <c r="AT90" s="898"/>
      <c r="AU90" s="898"/>
      <c r="AV90" s="906"/>
      <c r="AW90" s="94"/>
      <c r="AX90" s="94"/>
      <c r="AY90" s="94"/>
      <c r="AZ90" s="94"/>
      <c r="CH90" s="1020">
        <v>0</v>
      </c>
      <c r="CI90" s="1020"/>
      <c r="CJ90" s="1020"/>
      <c r="CK90" s="1020"/>
      <c r="CL90" s="1020"/>
      <c r="CM90" s="1020"/>
      <c r="CN90" s="1020"/>
      <c r="CO90" s="1020"/>
    </row>
    <row r="91" spans="1:93" ht="16.350000000000001" customHeight="1" x14ac:dyDescent="0.2">
      <c r="B91" s="5118" t="s">
        <v>120</v>
      </c>
      <c r="C91" s="5120"/>
      <c r="D91" s="5112" t="s">
        <v>42</v>
      </c>
      <c r="E91" s="5112"/>
      <c r="F91" s="5112"/>
      <c r="G91" s="5522" t="s">
        <v>326</v>
      </c>
      <c r="H91" s="5522"/>
      <c r="I91" s="5522"/>
      <c r="J91" s="5522"/>
      <c r="K91" s="5522"/>
      <c r="L91" s="5522"/>
      <c r="M91" s="5522"/>
      <c r="N91" s="5522"/>
      <c r="O91" s="5522"/>
      <c r="P91" s="5522"/>
      <c r="Q91" s="5522"/>
      <c r="R91" s="5522"/>
      <c r="S91" s="5522"/>
      <c r="T91" s="5522"/>
      <c r="U91" s="5522"/>
      <c r="V91" s="5522"/>
      <c r="W91" s="5522"/>
      <c r="X91" s="5522"/>
      <c r="Y91" s="5522"/>
      <c r="Z91" s="5522"/>
      <c r="AA91" s="5522"/>
      <c r="AB91" s="5522"/>
      <c r="AC91" s="5522"/>
      <c r="AD91" s="5522"/>
      <c r="AE91" s="5522"/>
      <c r="AF91" s="5522"/>
      <c r="AG91" s="5522"/>
      <c r="AH91" s="5534"/>
      <c r="AI91" s="5531" t="s">
        <v>905</v>
      </c>
      <c r="AJ91" s="5532"/>
      <c r="AK91" s="5532"/>
      <c r="AL91" s="5533"/>
      <c r="AM91" s="1170"/>
      <c r="AN91" s="1058"/>
      <c r="AO91" s="1058"/>
      <c r="AP91" s="1058"/>
      <c r="AQ91" s="1058"/>
      <c r="AR91" s="1058"/>
      <c r="AS91" s="1058"/>
      <c r="AT91" s="1058"/>
      <c r="AU91" s="1058"/>
      <c r="AV91" s="1058"/>
      <c r="AW91" s="1058"/>
      <c r="AX91" s="94"/>
      <c r="AY91" s="94"/>
      <c r="AZ91" s="94"/>
      <c r="CH91" s="1020">
        <v>0</v>
      </c>
      <c r="CI91" s="1020"/>
      <c r="CJ91" s="1020"/>
      <c r="CK91" s="1020"/>
      <c r="CL91" s="1020"/>
      <c r="CM91" s="1020"/>
      <c r="CN91" s="1020"/>
      <c r="CO91" s="1020"/>
    </row>
    <row r="92" spans="1:93" ht="16.350000000000001" customHeight="1" x14ac:dyDescent="0.2">
      <c r="B92" s="5121"/>
      <c r="C92" s="5123"/>
      <c r="D92" s="5113"/>
      <c r="E92" s="5113"/>
      <c r="F92" s="5113"/>
      <c r="G92" s="5523" t="s">
        <v>319</v>
      </c>
      <c r="H92" s="5523"/>
      <c r="I92" s="5523" t="s">
        <v>320</v>
      </c>
      <c r="J92" s="5523"/>
      <c r="K92" s="5522" t="s">
        <v>151</v>
      </c>
      <c r="L92" s="5522"/>
      <c r="M92" s="5522" t="s">
        <v>152</v>
      </c>
      <c r="N92" s="5522"/>
      <c r="O92" s="5522" t="s">
        <v>153</v>
      </c>
      <c r="P92" s="5522"/>
      <c r="Q92" s="5522" t="s">
        <v>154</v>
      </c>
      <c r="R92" s="5522"/>
      <c r="S92" s="5523" t="s">
        <v>155</v>
      </c>
      <c r="T92" s="5523"/>
      <c r="U92" s="5522" t="s">
        <v>156</v>
      </c>
      <c r="V92" s="5522"/>
      <c r="W92" s="5522" t="s">
        <v>157</v>
      </c>
      <c r="X92" s="5522"/>
      <c r="Y92" s="5522" t="s">
        <v>158</v>
      </c>
      <c r="Z92" s="5522"/>
      <c r="AA92" s="5522" t="s">
        <v>159</v>
      </c>
      <c r="AB92" s="5522"/>
      <c r="AC92" s="5522" t="s">
        <v>160</v>
      </c>
      <c r="AD92" s="5522"/>
      <c r="AE92" s="5522" t="s">
        <v>161</v>
      </c>
      <c r="AF92" s="5522"/>
      <c r="AG92" s="5522" t="s">
        <v>162</v>
      </c>
      <c r="AH92" s="5534"/>
      <c r="AI92" s="5120" t="s">
        <v>671</v>
      </c>
      <c r="AJ92" s="5112" t="s">
        <v>977</v>
      </c>
      <c r="AK92" s="5112" t="s">
        <v>672</v>
      </c>
      <c r="AL92" s="5529" t="s">
        <v>1569</v>
      </c>
      <c r="AM92" s="1170"/>
      <c r="AN92" s="1058"/>
      <c r="AO92" s="1058"/>
      <c r="AP92" s="1058"/>
      <c r="AQ92" s="1058"/>
      <c r="AR92" s="1058"/>
      <c r="AS92" s="1058"/>
      <c r="AT92" s="1058"/>
      <c r="AU92" s="1058"/>
      <c r="AV92" s="1058"/>
      <c r="AW92" s="1058"/>
      <c r="AX92" s="94"/>
      <c r="AY92" s="94"/>
      <c r="AZ92" s="94"/>
      <c r="CH92" s="1020">
        <v>0</v>
      </c>
      <c r="CI92" s="1020"/>
      <c r="CJ92" s="1020"/>
      <c r="CK92" s="1020"/>
      <c r="CL92" s="1020"/>
      <c r="CM92" s="1020"/>
      <c r="CN92" s="1020"/>
      <c r="CO92" s="1020"/>
    </row>
    <row r="93" spans="1:93" ht="16.350000000000001" customHeight="1" x14ac:dyDescent="0.2">
      <c r="B93" s="5121"/>
      <c r="C93" s="5123"/>
      <c r="D93" s="253" t="s">
        <v>184</v>
      </c>
      <c r="E93" s="88" t="s">
        <v>24</v>
      </c>
      <c r="F93" s="131" t="s">
        <v>25</v>
      </c>
      <c r="G93" s="341" t="s">
        <v>24</v>
      </c>
      <c r="H93" s="237" t="s">
        <v>25</v>
      </c>
      <c r="I93" s="341" t="s">
        <v>24</v>
      </c>
      <c r="J93" s="237" t="s">
        <v>25</v>
      </c>
      <c r="K93" s="341" t="s">
        <v>24</v>
      </c>
      <c r="L93" s="237" t="s">
        <v>25</v>
      </c>
      <c r="M93" s="341" t="s">
        <v>24</v>
      </c>
      <c r="N93" s="237" t="s">
        <v>25</v>
      </c>
      <c r="O93" s="341" t="s">
        <v>24</v>
      </c>
      <c r="P93" s="237" t="s">
        <v>25</v>
      </c>
      <c r="Q93" s="341" t="s">
        <v>24</v>
      </c>
      <c r="R93" s="237" t="s">
        <v>25</v>
      </c>
      <c r="S93" s="341" t="s">
        <v>24</v>
      </c>
      <c r="T93" s="237" t="s">
        <v>25</v>
      </c>
      <c r="U93" s="341" t="s">
        <v>24</v>
      </c>
      <c r="V93" s="237" t="s">
        <v>25</v>
      </c>
      <c r="W93" s="341" t="s">
        <v>24</v>
      </c>
      <c r="X93" s="237" t="s">
        <v>25</v>
      </c>
      <c r="Y93" s="341" t="s">
        <v>24</v>
      </c>
      <c r="Z93" s="237" t="s">
        <v>25</v>
      </c>
      <c r="AA93" s="341" t="s">
        <v>24</v>
      </c>
      <c r="AB93" s="237" t="s">
        <v>25</v>
      </c>
      <c r="AC93" s="341" t="s">
        <v>24</v>
      </c>
      <c r="AD93" s="237" t="s">
        <v>25</v>
      </c>
      <c r="AE93" s="341" t="s">
        <v>24</v>
      </c>
      <c r="AF93" s="237" t="s">
        <v>25</v>
      </c>
      <c r="AG93" s="341" t="s">
        <v>24</v>
      </c>
      <c r="AH93" s="495" t="s">
        <v>25</v>
      </c>
      <c r="AI93" s="5126"/>
      <c r="AJ93" s="5114"/>
      <c r="AK93" s="5114"/>
      <c r="AL93" s="5530"/>
      <c r="AM93" s="1170"/>
      <c r="AN93" s="1058"/>
      <c r="AO93" s="1058"/>
      <c r="AP93" s="1058"/>
      <c r="AQ93" s="1058"/>
      <c r="AR93" s="1058"/>
      <c r="AS93" s="1058"/>
      <c r="AT93" s="1058"/>
      <c r="AU93" s="1058"/>
      <c r="AV93" s="1058"/>
      <c r="AW93" s="1058"/>
      <c r="AX93" s="94"/>
      <c r="AY93" s="94"/>
      <c r="AZ93" s="94"/>
      <c r="CH93" s="1020">
        <v>0</v>
      </c>
      <c r="CI93" s="1020"/>
      <c r="CJ93" s="1020"/>
      <c r="CK93" s="1020"/>
      <c r="CL93" s="1020"/>
      <c r="CM93" s="1020"/>
      <c r="CN93" s="1020"/>
      <c r="CO93" s="1020"/>
    </row>
    <row r="94" spans="1:93" ht="16.350000000000001" customHeight="1" x14ac:dyDescent="0.2">
      <c r="A94" s="2695" t="s">
        <v>3133</v>
      </c>
      <c r="B94" s="5551" t="s">
        <v>330</v>
      </c>
      <c r="C94" s="5552"/>
      <c r="D94" s="2520" t="s">
        <v>2777</v>
      </c>
      <c r="E94" s="2612" t="s">
        <v>2778</v>
      </c>
      <c r="F94" s="2745" t="s">
        <v>2779</v>
      </c>
      <c r="G94" s="2483" t="s">
        <v>2780</v>
      </c>
      <c r="H94" s="2499" t="s">
        <v>2781</v>
      </c>
      <c r="I94" s="2483" t="s">
        <v>2782</v>
      </c>
      <c r="J94" s="2499" t="s">
        <v>2783</v>
      </c>
      <c r="K94" s="2483" t="s">
        <v>2784</v>
      </c>
      <c r="L94" s="2499" t="s">
        <v>2785</v>
      </c>
      <c r="M94" s="2483" t="s">
        <v>2786</v>
      </c>
      <c r="N94" s="2499" t="s">
        <v>2787</v>
      </c>
      <c r="O94" s="2483" t="s">
        <v>2788</v>
      </c>
      <c r="P94" s="2499" t="s">
        <v>2789</v>
      </c>
      <c r="Q94" s="2483" t="s">
        <v>2790</v>
      </c>
      <c r="R94" s="2499" t="s">
        <v>2791</v>
      </c>
      <c r="S94" s="2483" t="s">
        <v>2792</v>
      </c>
      <c r="T94" s="2499" t="s">
        <v>2793</v>
      </c>
      <c r="U94" s="2483" t="s">
        <v>2794</v>
      </c>
      <c r="V94" s="2499" t="s">
        <v>2795</v>
      </c>
      <c r="W94" s="2483" t="s">
        <v>2796</v>
      </c>
      <c r="X94" s="2499" t="s">
        <v>2797</v>
      </c>
      <c r="Y94" s="2483" t="s">
        <v>2798</v>
      </c>
      <c r="Z94" s="2499" t="s">
        <v>2799</v>
      </c>
      <c r="AA94" s="2483" t="s">
        <v>2800</v>
      </c>
      <c r="AB94" s="2499" t="s">
        <v>2801</v>
      </c>
      <c r="AC94" s="2483" t="s">
        <v>2817</v>
      </c>
      <c r="AD94" s="2499" t="s">
        <v>2818</v>
      </c>
      <c r="AE94" s="2483" t="s">
        <v>2819</v>
      </c>
      <c r="AF94" s="2499" t="s">
        <v>2821</v>
      </c>
      <c r="AG94" s="2483" t="s">
        <v>2822</v>
      </c>
      <c r="AH94" s="2635" t="s">
        <v>2823</v>
      </c>
      <c r="AI94" s="2483" t="s">
        <v>2824</v>
      </c>
      <c r="AJ94" s="2635" t="s">
        <v>2825</v>
      </c>
      <c r="AK94" s="2483" t="s">
        <v>2826</v>
      </c>
      <c r="AL94" s="2480" t="s">
        <v>2827</v>
      </c>
      <c r="AM94" s="1170"/>
      <c r="AN94" s="1058"/>
      <c r="AO94" s="1058"/>
      <c r="AP94" s="1058"/>
      <c r="AQ94" s="1058"/>
      <c r="AR94" s="1058"/>
      <c r="AS94" s="1058"/>
      <c r="AT94" s="1058"/>
      <c r="AU94" s="1058"/>
      <c r="AV94" s="1058"/>
      <c r="AW94" s="1058"/>
      <c r="AX94" s="94"/>
      <c r="AY94" s="94"/>
      <c r="AZ94" s="94"/>
      <c r="CH94" s="1020">
        <v>0</v>
      </c>
      <c r="CI94" s="1020"/>
      <c r="CJ94" s="1020"/>
      <c r="CK94" s="1020"/>
      <c r="CL94" s="1020"/>
      <c r="CM94" s="1020"/>
      <c r="CN94" s="1020"/>
      <c r="CO94" s="1020"/>
    </row>
    <row r="95" spans="1:93" ht="25.35" customHeight="1" x14ac:dyDescent="0.2">
      <c r="A95" s="2695" t="s">
        <v>3134</v>
      </c>
      <c r="B95" s="5567" t="s">
        <v>322</v>
      </c>
      <c r="C95" s="2742" t="s">
        <v>323</v>
      </c>
      <c r="D95" s="2538" t="s">
        <v>2777</v>
      </c>
      <c r="E95" s="2589" t="s">
        <v>2778</v>
      </c>
      <c r="F95" s="2564" t="s">
        <v>2779</v>
      </c>
      <c r="G95" s="2483" t="s">
        <v>2780</v>
      </c>
      <c r="H95" s="2499" t="s">
        <v>2781</v>
      </c>
      <c r="I95" s="2483" t="s">
        <v>2782</v>
      </c>
      <c r="J95" s="2499" t="s">
        <v>2783</v>
      </c>
      <c r="K95" s="2483" t="s">
        <v>2784</v>
      </c>
      <c r="L95" s="2499" t="s">
        <v>2785</v>
      </c>
      <c r="M95" s="2483" t="s">
        <v>2786</v>
      </c>
      <c r="N95" s="2499" t="s">
        <v>2787</v>
      </c>
      <c r="O95" s="2483" t="s">
        <v>2788</v>
      </c>
      <c r="P95" s="2499" t="s">
        <v>2789</v>
      </c>
      <c r="Q95" s="2483" t="s">
        <v>2790</v>
      </c>
      <c r="R95" s="2499" t="s">
        <v>2791</v>
      </c>
      <c r="S95" s="2483" t="s">
        <v>2792</v>
      </c>
      <c r="T95" s="2499" t="s">
        <v>2793</v>
      </c>
      <c r="U95" s="2483" t="s">
        <v>2794</v>
      </c>
      <c r="V95" s="2499" t="s">
        <v>2795</v>
      </c>
      <c r="W95" s="2483" t="s">
        <v>2796</v>
      </c>
      <c r="X95" s="2499" t="s">
        <v>2797</v>
      </c>
      <c r="Y95" s="2483" t="s">
        <v>2798</v>
      </c>
      <c r="Z95" s="2499" t="s">
        <v>2799</v>
      </c>
      <c r="AA95" s="2483" t="s">
        <v>2800</v>
      </c>
      <c r="AB95" s="2499" t="s">
        <v>2801</v>
      </c>
      <c r="AC95" s="2483" t="s">
        <v>2817</v>
      </c>
      <c r="AD95" s="2499" t="s">
        <v>2818</v>
      </c>
      <c r="AE95" s="2483" t="s">
        <v>2819</v>
      </c>
      <c r="AF95" s="2499" t="s">
        <v>2821</v>
      </c>
      <c r="AG95" s="2483" t="s">
        <v>2822</v>
      </c>
      <c r="AH95" s="2635" t="s">
        <v>2823</v>
      </c>
      <c r="AI95" s="2483" t="s">
        <v>2824</v>
      </c>
      <c r="AJ95" s="2635" t="s">
        <v>2825</v>
      </c>
      <c r="AK95" s="2483" t="s">
        <v>2826</v>
      </c>
      <c r="AL95" s="2480" t="s">
        <v>2827</v>
      </c>
      <c r="AM95" s="1170"/>
      <c r="AN95" s="1058"/>
      <c r="AO95" s="1058"/>
      <c r="AP95" s="1058"/>
      <c r="AQ95" s="1058"/>
      <c r="AR95" s="1058"/>
      <c r="AS95" s="1058"/>
      <c r="AT95" s="1058"/>
      <c r="AU95" s="1058"/>
      <c r="AV95" s="1058"/>
      <c r="AW95" s="1058"/>
      <c r="AX95" s="94"/>
      <c r="AY95" s="94"/>
      <c r="AZ95" s="94"/>
      <c r="CH95" s="1020">
        <v>0</v>
      </c>
      <c r="CI95" s="1020"/>
      <c r="CJ95" s="1020"/>
      <c r="CK95" s="1020"/>
      <c r="CL95" s="1020"/>
      <c r="CM95" s="1020"/>
      <c r="CN95" s="1020"/>
      <c r="CO95" s="1020"/>
    </row>
    <row r="96" spans="1:93" ht="16.350000000000001" customHeight="1" x14ac:dyDescent="0.2">
      <c r="A96" s="2695" t="s">
        <v>3135</v>
      </c>
      <c r="B96" s="5122"/>
      <c r="C96" s="2425" t="s">
        <v>324</v>
      </c>
      <c r="D96" s="2442" t="s">
        <v>2777</v>
      </c>
      <c r="E96" s="2443" t="s">
        <v>2778</v>
      </c>
      <c r="F96" s="200" t="s">
        <v>2779</v>
      </c>
      <c r="G96" s="141" t="s">
        <v>2780</v>
      </c>
      <c r="H96" s="198" t="s">
        <v>2781</v>
      </c>
      <c r="I96" s="141" t="s">
        <v>2782</v>
      </c>
      <c r="J96" s="198" t="s">
        <v>2783</v>
      </c>
      <c r="K96" s="141" t="s">
        <v>2784</v>
      </c>
      <c r="L96" s="198" t="s">
        <v>2785</v>
      </c>
      <c r="M96" s="141" t="s">
        <v>2786</v>
      </c>
      <c r="N96" s="198" t="s">
        <v>2787</v>
      </c>
      <c r="O96" s="141" t="s">
        <v>2788</v>
      </c>
      <c r="P96" s="198" t="s">
        <v>2789</v>
      </c>
      <c r="Q96" s="141" t="s">
        <v>2790</v>
      </c>
      <c r="R96" s="198" t="s">
        <v>2791</v>
      </c>
      <c r="S96" s="141" t="s">
        <v>2792</v>
      </c>
      <c r="T96" s="198" t="s">
        <v>2793</v>
      </c>
      <c r="U96" s="141" t="s">
        <v>2794</v>
      </c>
      <c r="V96" s="198" t="s">
        <v>2795</v>
      </c>
      <c r="W96" s="141" t="s">
        <v>2796</v>
      </c>
      <c r="X96" s="198" t="s">
        <v>2797</v>
      </c>
      <c r="Y96" s="141" t="s">
        <v>2798</v>
      </c>
      <c r="Z96" s="198" t="s">
        <v>2799</v>
      </c>
      <c r="AA96" s="141" t="s">
        <v>2800</v>
      </c>
      <c r="AB96" s="198" t="s">
        <v>2801</v>
      </c>
      <c r="AC96" s="141" t="s">
        <v>2817</v>
      </c>
      <c r="AD96" s="198" t="s">
        <v>2818</v>
      </c>
      <c r="AE96" s="141" t="s">
        <v>2819</v>
      </c>
      <c r="AF96" s="198" t="s">
        <v>2821</v>
      </c>
      <c r="AG96" s="141" t="s">
        <v>2822</v>
      </c>
      <c r="AH96" s="498" t="s">
        <v>2823</v>
      </c>
      <c r="AI96" s="141" t="s">
        <v>2824</v>
      </c>
      <c r="AJ96" s="498" t="s">
        <v>2825</v>
      </c>
      <c r="AK96" s="141" t="s">
        <v>2826</v>
      </c>
      <c r="AL96" s="163" t="s">
        <v>2827</v>
      </c>
      <c r="AM96" s="1170"/>
      <c r="AN96" s="1058"/>
      <c r="AO96" s="1058"/>
      <c r="AP96" s="1058"/>
      <c r="AQ96" s="1058"/>
      <c r="AR96" s="1058"/>
      <c r="AS96" s="1058"/>
      <c r="AT96" s="1058"/>
      <c r="AU96" s="1058"/>
      <c r="AV96" s="1058"/>
      <c r="AW96" s="1058"/>
      <c r="AX96" s="94"/>
      <c r="AY96" s="94"/>
      <c r="AZ96" s="94"/>
      <c r="CH96" s="1020">
        <v>0</v>
      </c>
      <c r="CI96" s="1020"/>
      <c r="CJ96" s="1020"/>
      <c r="CK96" s="1020"/>
      <c r="CL96" s="1020"/>
      <c r="CM96" s="1020"/>
      <c r="CN96" s="1020"/>
      <c r="CO96" s="1020"/>
    </row>
    <row r="97" spans="1:93" ht="18.75" customHeight="1" x14ac:dyDescent="0.2">
      <c r="A97" s="2695" t="s">
        <v>3136</v>
      </c>
      <c r="B97" s="5122"/>
      <c r="C97" s="2425" t="s">
        <v>325</v>
      </c>
      <c r="D97" s="2442" t="s">
        <v>2777</v>
      </c>
      <c r="E97" s="2443" t="s">
        <v>2778</v>
      </c>
      <c r="F97" s="200" t="s">
        <v>2779</v>
      </c>
      <c r="G97" s="141" t="s">
        <v>2780</v>
      </c>
      <c r="H97" s="198" t="s">
        <v>2781</v>
      </c>
      <c r="I97" s="141" t="s">
        <v>2782</v>
      </c>
      <c r="J97" s="198" t="s">
        <v>2783</v>
      </c>
      <c r="K97" s="141" t="s">
        <v>2784</v>
      </c>
      <c r="L97" s="198" t="s">
        <v>2785</v>
      </c>
      <c r="M97" s="141" t="s">
        <v>2786</v>
      </c>
      <c r="N97" s="198" t="s">
        <v>2787</v>
      </c>
      <c r="O97" s="141" t="s">
        <v>2788</v>
      </c>
      <c r="P97" s="198" t="s">
        <v>2789</v>
      </c>
      <c r="Q97" s="141" t="s">
        <v>2790</v>
      </c>
      <c r="R97" s="198" t="s">
        <v>2791</v>
      </c>
      <c r="S97" s="141" t="s">
        <v>2792</v>
      </c>
      <c r="T97" s="198" t="s">
        <v>2793</v>
      </c>
      <c r="U97" s="141" t="s">
        <v>2794</v>
      </c>
      <c r="V97" s="198" t="s">
        <v>2795</v>
      </c>
      <c r="W97" s="141" t="s">
        <v>2796</v>
      </c>
      <c r="X97" s="198" t="s">
        <v>2797</v>
      </c>
      <c r="Y97" s="141" t="s">
        <v>2798</v>
      </c>
      <c r="Z97" s="198" t="s">
        <v>2799</v>
      </c>
      <c r="AA97" s="141" t="s">
        <v>2800</v>
      </c>
      <c r="AB97" s="198" t="s">
        <v>2801</v>
      </c>
      <c r="AC97" s="141" t="s">
        <v>2817</v>
      </c>
      <c r="AD97" s="198" t="s">
        <v>2818</v>
      </c>
      <c r="AE97" s="141" t="s">
        <v>2819</v>
      </c>
      <c r="AF97" s="198" t="s">
        <v>2821</v>
      </c>
      <c r="AG97" s="141" t="s">
        <v>2822</v>
      </c>
      <c r="AH97" s="498" t="s">
        <v>2823</v>
      </c>
      <c r="AI97" s="141" t="s">
        <v>2824</v>
      </c>
      <c r="AJ97" s="498" t="s">
        <v>2825</v>
      </c>
      <c r="AK97" s="141" t="s">
        <v>2826</v>
      </c>
      <c r="AL97" s="163" t="s">
        <v>2827</v>
      </c>
      <c r="AM97" s="1285"/>
      <c r="AN97" s="128"/>
      <c r="AO97" s="905"/>
      <c r="AP97" s="905"/>
      <c r="AQ97" s="905"/>
      <c r="AR97" s="905"/>
      <c r="AS97" s="905"/>
      <c r="AT97" s="905"/>
      <c r="AU97" s="905"/>
      <c r="AV97" s="963"/>
      <c r="AW97" s="963"/>
      <c r="AX97" s="94"/>
      <c r="AY97" s="94"/>
      <c r="AZ97" s="94"/>
      <c r="CA97" s="80"/>
      <c r="CH97" s="1020"/>
      <c r="CI97" s="1020"/>
      <c r="CJ97" s="1020"/>
      <c r="CK97" s="1020"/>
      <c r="CL97" s="1020"/>
      <c r="CM97" s="1020"/>
      <c r="CN97" s="1020"/>
      <c r="CO97" s="1020"/>
    </row>
    <row r="98" spans="1:93" ht="24.75" customHeight="1" x14ac:dyDescent="0.2">
      <c r="A98" s="2695" t="s">
        <v>3137</v>
      </c>
      <c r="B98" s="5122"/>
      <c r="C98" s="349" t="s">
        <v>1265</v>
      </c>
      <c r="D98" s="2442" t="s">
        <v>2777</v>
      </c>
      <c r="E98" s="2443" t="s">
        <v>2778</v>
      </c>
      <c r="F98" s="200" t="s">
        <v>2779</v>
      </c>
      <c r="G98" s="141" t="s">
        <v>2780</v>
      </c>
      <c r="H98" s="198" t="s">
        <v>2781</v>
      </c>
      <c r="I98" s="141" t="s">
        <v>2782</v>
      </c>
      <c r="J98" s="198" t="s">
        <v>2783</v>
      </c>
      <c r="K98" s="141" t="s">
        <v>2784</v>
      </c>
      <c r="L98" s="198" t="s">
        <v>2785</v>
      </c>
      <c r="M98" s="141" t="s">
        <v>2786</v>
      </c>
      <c r="N98" s="198" t="s">
        <v>2787</v>
      </c>
      <c r="O98" s="141" t="s">
        <v>2788</v>
      </c>
      <c r="P98" s="198" t="s">
        <v>2789</v>
      </c>
      <c r="Q98" s="141" t="s">
        <v>2790</v>
      </c>
      <c r="R98" s="198" t="s">
        <v>2791</v>
      </c>
      <c r="S98" s="141" t="s">
        <v>2792</v>
      </c>
      <c r="T98" s="198" t="s">
        <v>2793</v>
      </c>
      <c r="U98" s="141" t="s">
        <v>2794</v>
      </c>
      <c r="V98" s="198" t="s">
        <v>2795</v>
      </c>
      <c r="W98" s="141" t="s">
        <v>2796</v>
      </c>
      <c r="X98" s="198" t="s">
        <v>2797</v>
      </c>
      <c r="Y98" s="141" t="s">
        <v>2798</v>
      </c>
      <c r="Z98" s="198" t="s">
        <v>2799</v>
      </c>
      <c r="AA98" s="141" t="s">
        <v>2800</v>
      </c>
      <c r="AB98" s="198" t="s">
        <v>2801</v>
      </c>
      <c r="AC98" s="141" t="s">
        <v>2817</v>
      </c>
      <c r="AD98" s="198" t="s">
        <v>2818</v>
      </c>
      <c r="AE98" s="141" t="s">
        <v>2819</v>
      </c>
      <c r="AF98" s="198" t="s">
        <v>2821</v>
      </c>
      <c r="AG98" s="141" t="s">
        <v>2822</v>
      </c>
      <c r="AH98" s="498" t="s">
        <v>2823</v>
      </c>
      <c r="AI98" s="141" t="s">
        <v>2824</v>
      </c>
      <c r="AJ98" s="498" t="s">
        <v>2825</v>
      </c>
      <c r="AK98" s="141" t="s">
        <v>2826</v>
      </c>
      <c r="AL98" s="163" t="s">
        <v>2827</v>
      </c>
      <c r="AM98" s="1286"/>
      <c r="AN98" s="905"/>
      <c r="AO98" s="905"/>
      <c r="AP98" s="905"/>
      <c r="AQ98" s="905"/>
      <c r="AR98" s="905"/>
      <c r="AS98" s="907"/>
      <c r="AT98" s="905"/>
      <c r="AU98" s="905"/>
      <c r="AV98" s="908"/>
      <c r="AW98" s="94"/>
      <c r="AX98" s="94"/>
      <c r="AY98" s="94"/>
      <c r="AZ98" s="94"/>
      <c r="CH98" s="1020"/>
      <c r="CI98" s="1020"/>
      <c r="CJ98" s="1020"/>
      <c r="CK98" s="1020"/>
      <c r="CL98" s="1020"/>
      <c r="CM98" s="1020"/>
      <c r="CN98" s="1020"/>
      <c r="CO98" s="1020"/>
    </row>
    <row r="99" spans="1:93" ht="16.350000000000001" customHeight="1" x14ac:dyDescent="0.2">
      <c r="A99" s="2695" t="s">
        <v>3138</v>
      </c>
      <c r="B99" s="5568"/>
      <c r="C99" s="2426" t="s">
        <v>166</v>
      </c>
      <c r="D99" s="2444" t="s">
        <v>2777</v>
      </c>
      <c r="E99" s="2445" t="s">
        <v>2778</v>
      </c>
      <c r="F99" s="202" t="s">
        <v>2779</v>
      </c>
      <c r="G99" s="166" t="s">
        <v>2780</v>
      </c>
      <c r="H99" s="168" t="s">
        <v>2781</v>
      </c>
      <c r="I99" s="166" t="s">
        <v>2782</v>
      </c>
      <c r="J99" s="168" t="s">
        <v>2783</v>
      </c>
      <c r="K99" s="166" t="s">
        <v>2784</v>
      </c>
      <c r="L99" s="168" t="s">
        <v>2785</v>
      </c>
      <c r="M99" s="166" t="s">
        <v>2786</v>
      </c>
      <c r="N99" s="168" t="s">
        <v>2787</v>
      </c>
      <c r="O99" s="166" t="s">
        <v>2788</v>
      </c>
      <c r="P99" s="168" t="s">
        <v>2789</v>
      </c>
      <c r="Q99" s="166" t="s">
        <v>2790</v>
      </c>
      <c r="R99" s="168" t="s">
        <v>2791</v>
      </c>
      <c r="S99" s="166" t="s">
        <v>2792</v>
      </c>
      <c r="T99" s="168" t="s">
        <v>2793</v>
      </c>
      <c r="U99" s="166" t="s">
        <v>2794</v>
      </c>
      <c r="V99" s="168" t="s">
        <v>2795</v>
      </c>
      <c r="W99" s="166" t="s">
        <v>2796</v>
      </c>
      <c r="X99" s="168" t="s">
        <v>2797</v>
      </c>
      <c r="Y99" s="166" t="s">
        <v>2798</v>
      </c>
      <c r="Z99" s="168" t="s">
        <v>2799</v>
      </c>
      <c r="AA99" s="166" t="s">
        <v>2800</v>
      </c>
      <c r="AB99" s="168" t="s">
        <v>2801</v>
      </c>
      <c r="AC99" s="166" t="s">
        <v>2817</v>
      </c>
      <c r="AD99" s="168" t="s">
        <v>2818</v>
      </c>
      <c r="AE99" s="166" t="s">
        <v>2819</v>
      </c>
      <c r="AF99" s="168" t="s">
        <v>2821</v>
      </c>
      <c r="AG99" s="166" t="s">
        <v>2822</v>
      </c>
      <c r="AH99" s="533" t="s">
        <v>2823</v>
      </c>
      <c r="AI99" s="166" t="s">
        <v>2824</v>
      </c>
      <c r="AJ99" s="533" t="s">
        <v>2825</v>
      </c>
      <c r="AK99" s="166" t="s">
        <v>2826</v>
      </c>
      <c r="AL99" s="125" t="s">
        <v>2827</v>
      </c>
      <c r="AM99" s="913"/>
      <c r="AN99" s="898"/>
      <c r="AO99" s="898"/>
      <c r="AP99" s="898"/>
      <c r="AQ99" s="898"/>
      <c r="AR99" s="898"/>
      <c r="AS99" s="909"/>
      <c r="AT99" s="898"/>
      <c r="AU99" s="898"/>
      <c r="AV99" s="908"/>
      <c r="AW99" s="94"/>
      <c r="AX99" s="94"/>
      <c r="AY99" s="94"/>
      <c r="AZ99" s="94"/>
      <c r="CB99" s="889" t="e">
        <f>IF(D99&gt;D98+D97,"* Los Ingresos de pacientes dependientes severos con escaras DEBEN estar incluidos en los Ingresos de pacientes dependientes severos Oncológicos o No Oncológicos. ","")</f>
        <v>#VALUE!</v>
      </c>
      <c r="CH99" s="1020"/>
      <c r="CI99" s="1020"/>
      <c r="CJ99" s="1020"/>
      <c r="CK99" s="1020"/>
      <c r="CL99" s="1020"/>
      <c r="CM99" s="1020"/>
      <c r="CN99" s="1020"/>
      <c r="CO99" s="1020"/>
    </row>
    <row r="100" spans="1:93" ht="27" customHeight="1" x14ac:dyDescent="0.2">
      <c r="B100" s="353" t="s">
        <v>864</v>
      </c>
      <c r="C100" s="353"/>
      <c r="AL100" s="947"/>
      <c r="AM100" s="881"/>
      <c r="AN100" s="881"/>
      <c r="AO100" s="881"/>
      <c r="AP100" s="881"/>
      <c r="AQ100" s="881"/>
      <c r="AR100" s="881"/>
      <c r="AS100" s="881"/>
      <c r="AT100" s="898"/>
      <c r="AU100" s="898"/>
      <c r="AV100" s="908"/>
      <c r="AW100" s="94"/>
      <c r="AX100" s="94"/>
      <c r="AY100" s="94"/>
      <c r="AZ100" s="94"/>
      <c r="CH100" s="1020"/>
      <c r="CI100" s="1020"/>
      <c r="CJ100" s="1020"/>
      <c r="CK100" s="1020"/>
      <c r="CL100" s="1020"/>
      <c r="CM100" s="1020"/>
      <c r="CN100" s="1020"/>
      <c r="CO100" s="1020"/>
    </row>
    <row r="101" spans="1:93" ht="16.350000000000001" customHeight="1" x14ac:dyDescent="0.25">
      <c r="B101" s="5130" t="s">
        <v>120</v>
      </c>
      <c r="C101" s="5553"/>
      <c r="D101" s="5118" t="s">
        <v>42</v>
      </c>
      <c r="E101" s="5119"/>
      <c r="F101" s="5120"/>
      <c r="G101" s="5107" t="s">
        <v>111</v>
      </c>
      <c r="H101" s="5117"/>
      <c r="I101" s="5117"/>
      <c r="J101" s="5117"/>
      <c r="K101" s="5117"/>
      <c r="L101" s="5117"/>
      <c r="M101" s="5117"/>
      <c r="N101" s="5117"/>
      <c r="O101" s="5117"/>
      <c r="P101" s="5117"/>
      <c r="Q101" s="5117"/>
      <c r="R101" s="5117"/>
      <c r="S101" s="5117"/>
      <c r="T101" s="5117"/>
      <c r="U101" s="5117"/>
      <c r="V101" s="5117"/>
      <c r="W101" s="5117"/>
      <c r="X101" s="5117"/>
      <c r="Y101" s="5117"/>
      <c r="Z101" s="5117"/>
      <c r="AA101" s="5117"/>
      <c r="AB101" s="5117"/>
      <c r="AC101" s="5117"/>
      <c r="AD101" s="5117"/>
      <c r="AE101" s="5117"/>
      <c r="AF101" s="5117"/>
      <c r="AG101" s="5117"/>
      <c r="AH101" s="5535"/>
      <c r="AI101" s="5536" t="s">
        <v>905</v>
      </c>
      <c r="AJ101" s="5537"/>
      <c r="AK101" s="5537"/>
      <c r="AL101" s="1175"/>
      <c r="AM101" s="881"/>
      <c r="AN101" s="881"/>
      <c r="AO101" s="881"/>
      <c r="AP101" s="881"/>
      <c r="AQ101" s="881"/>
      <c r="AR101" s="881"/>
      <c r="AS101" s="881"/>
      <c r="AT101" s="898"/>
      <c r="AU101" s="898"/>
      <c r="AV101" s="908"/>
      <c r="AW101" s="94"/>
      <c r="AX101" s="94"/>
      <c r="AY101" s="94"/>
      <c r="AZ101" s="94"/>
      <c r="CH101" s="1020"/>
      <c r="CI101" s="1020"/>
      <c r="CJ101" s="1020"/>
      <c r="CK101" s="1020"/>
      <c r="CL101" s="1020"/>
      <c r="CM101" s="1020"/>
      <c r="CN101" s="1020"/>
      <c r="CO101" s="1020"/>
    </row>
    <row r="102" spans="1:93" ht="16.350000000000001" customHeight="1" x14ac:dyDescent="0.2">
      <c r="B102" s="5153"/>
      <c r="C102" s="5143"/>
      <c r="D102" s="5121"/>
      <c r="E102" s="5122"/>
      <c r="F102" s="5123"/>
      <c r="G102" s="5105" t="s">
        <v>331</v>
      </c>
      <c r="H102" s="5106"/>
      <c r="I102" s="5105" t="s">
        <v>320</v>
      </c>
      <c r="J102" s="5106"/>
      <c r="K102" s="5105" t="s">
        <v>151</v>
      </c>
      <c r="L102" s="5106"/>
      <c r="M102" s="5105" t="s">
        <v>152</v>
      </c>
      <c r="N102" s="5106"/>
      <c r="O102" s="5105" t="s">
        <v>153</v>
      </c>
      <c r="P102" s="5106"/>
      <c r="Q102" s="5105" t="s">
        <v>154</v>
      </c>
      <c r="R102" s="5106"/>
      <c r="S102" s="5105" t="s">
        <v>155</v>
      </c>
      <c r="T102" s="5106"/>
      <c r="U102" s="5105" t="s">
        <v>156</v>
      </c>
      <c r="V102" s="5106"/>
      <c r="W102" s="5105" t="s">
        <v>157</v>
      </c>
      <c r="X102" s="5106"/>
      <c r="Y102" s="5105" t="s">
        <v>158</v>
      </c>
      <c r="Z102" s="5106"/>
      <c r="AA102" s="5107" t="s">
        <v>159</v>
      </c>
      <c r="AB102" s="5108"/>
      <c r="AC102" s="5107" t="s">
        <v>160</v>
      </c>
      <c r="AD102" s="5108"/>
      <c r="AE102" s="5107" t="s">
        <v>161</v>
      </c>
      <c r="AF102" s="5108"/>
      <c r="AG102" s="5107" t="s">
        <v>162</v>
      </c>
      <c r="AH102" s="5535"/>
      <c r="AI102" s="5120" t="s">
        <v>978</v>
      </c>
      <c r="AJ102" s="5112" t="s">
        <v>1362</v>
      </c>
      <c r="AK102" s="5112" t="s">
        <v>672</v>
      </c>
      <c r="AL102" s="924"/>
      <c r="AM102" s="881"/>
      <c r="AN102" s="881"/>
      <c r="AO102" s="881"/>
      <c r="AP102" s="881"/>
      <c r="AQ102" s="881"/>
      <c r="AR102" s="881"/>
      <c r="AS102" s="881"/>
      <c r="AT102" s="898"/>
      <c r="AU102" s="898"/>
      <c r="AV102" s="908"/>
      <c r="AW102" s="94"/>
      <c r="AX102" s="94"/>
      <c r="AY102" s="94"/>
      <c r="AZ102" s="94"/>
      <c r="CH102" s="1020"/>
      <c r="CI102" s="1020"/>
      <c r="CJ102" s="1020"/>
      <c r="CK102" s="1020"/>
      <c r="CL102" s="1020"/>
      <c r="CM102" s="1020"/>
      <c r="CN102" s="1020"/>
      <c r="CO102" s="1020"/>
    </row>
    <row r="103" spans="1:93" ht="16.350000000000001" customHeight="1" x14ac:dyDescent="0.2">
      <c r="B103" s="5554"/>
      <c r="C103" s="5555"/>
      <c r="D103" s="253" t="s">
        <v>184</v>
      </c>
      <c r="E103" s="88" t="s">
        <v>24</v>
      </c>
      <c r="F103" s="131" t="s">
        <v>25</v>
      </c>
      <c r="G103" s="341" t="s">
        <v>24</v>
      </c>
      <c r="H103" s="237" t="s">
        <v>25</v>
      </c>
      <c r="I103" s="341" t="s">
        <v>24</v>
      </c>
      <c r="J103" s="237" t="s">
        <v>25</v>
      </c>
      <c r="K103" s="341" t="s">
        <v>24</v>
      </c>
      <c r="L103" s="237" t="s">
        <v>25</v>
      </c>
      <c r="M103" s="341" t="s">
        <v>24</v>
      </c>
      <c r="N103" s="237" t="s">
        <v>25</v>
      </c>
      <c r="O103" s="341" t="s">
        <v>24</v>
      </c>
      <c r="P103" s="237" t="s">
        <v>25</v>
      </c>
      <c r="Q103" s="341" t="s">
        <v>24</v>
      </c>
      <c r="R103" s="237" t="s">
        <v>25</v>
      </c>
      <c r="S103" s="341" t="s">
        <v>24</v>
      </c>
      <c r="T103" s="237" t="s">
        <v>25</v>
      </c>
      <c r="U103" s="341" t="s">
        <v>24</v>
      </c>
      <c r="V103" s="237" t="s">
        <v>25</v>
      </c>
      <c r="W103" s="341" t="s">
        <v>24</v>
      </c>
      <c r="X103" s="237" t="s">
        <v>25</v>
      </c>
      <c r="Y103" s="341" t="s">
        <v>24</v>
      </c>
      <c r="Z103" s="237" t="s">
        <v>25</v>
      </c>
      <c r="AA103" s="341" t="s">
        <v>24</v>
      </c>
      <c r="AB103" s="237" t="s">
        <v>25</v>
      </c>
      <c r="AC103" s="341" t="s">
        <v>24</v>
      </c>
      <c r="AD103" s="237" t="s">
        <v>25</v>
      </c>
      <c r="AE103" s="341" t="s">
        <v>24</v>
      </c>
      <c r="AF103" s="237" t="s">
        <v>25</v>
      </c>
      <c r="AG103" s="341" t="s">
        <v>24</v>
      </c>
      <c r="AH103" s="495" t="s">
        <v>25</v>
      </c>
      <c r="AI103" s="5126"/>
      <c r="AJ103" s="5114"/>
      <c r="AK103" s="5114"/>
      <c r="AL103" s="924"/>
      <c r="AM103" s="881"/>
      <c r="AN103" s="881"/>
      <c r="AO103" s="881"/>
      <c r="AP103" s="881"/>
      <c r="AQ103" s="881"/>
      <c r="AR103" s="881"/>
      <c r="AS103" s="881"/>
      <c r="AT103" s="898"/>
      <c r="AU103" s="898"/>
      <c r="AV103" s="908"/>
      <c r="AW103" s="94"/>
      <c r="AX103" s="94"/>
      <c r="AY103" s="94"/>
      <c r="AZ103" s="94"/>
      <c r="CH103" s="1020"/>
      <c r="CI103" s="1020"/>
      <c r="CJ103" s="1020"/>
      <c r="CK103" s="1020"/>
      <c r="CL103" s="1020"/>
      <c r="CM103" s="1020"/>
      <c r="CN103" s="1020"/>
      <c r="CO103" s="1020"/>
    </row>
    <row r="104" spans="1:93" ht="16.350000000000001" customHeight="1" x14ac:dyDescent="0.2">
      <c r="A104" s="2449" t="s">
        <v>3139</v>
      </c>
      <c r="B104" s="5601" t="s">
        <v>332</v>
      </c>
      <c r="C104" s="5602"/>
      <c r="D104" s="2538" t="s">
        <v>2777</v>
      </c>
      <c r="E104" s="2589" t="s">
        <v>2778</v>
      </c>
      <c r="F104" s="2564" t="s">
        <v>2779</v>
      </c>
      <c r="G104" s="2483" t="s">
        <v>2780</v>
      </c>
      <c r="H104" s="2499" t="s">
        <v>2781</v>
      </c>
      <c r="I104" s="2483" t="s">
        <v>2782</v>
      </c>
      <c r="J104" s="2499" t="s">
        <v>2783</v>
      </c>
      <c r="K104" s="2483" t="s">
        <v>2784</v>
      </c>
      <c r="L104" s="2499" t="s">
        <v>2785</v>
      </c>
      <c r="M104" s="2483" t="s">
        <v>2786</v>
      </c>
      <c r="N104" s="2499" t="s">
        <v>2787</v>
      </c>
      <c r="O104" s="2483" t="s">
        <v>2788</v>
      </c>
      <c r="P104" s="2499" t="s">
        <v>2789</v>
      </c>
      <c r="Q104" s="2483" t="s">
        <v>2790</v>
      </c>
      <c r="R104" s="2499" t="s">
        <v>2791</v>
      </c>
      <c r="S104" s="2483" t="s">
        <v>2792</v>
      </c>
      <c r="T104" s="2499" t="s">
        <v>2793</v>
      </c>
      <c r="U104" s="2483" t="s">
        <v>2794</v>
      </c>
      <c r="V104" s="2499" t="s">
        <v>2795</v>
      </c>
      <c r="W104" s="2483" t="s">
        <v>2796</v>
      </c>
      <c r="X104" s="2499" t="s">
        <v>2797</v>
      </c>
      <c r="Y104" s="2483" t="s">
        <v>2798</v>
      </c>
      <c r="Z104" s="2499" t="s">
        <v>2799</v>
      </c>
      <c r="AA104" s="2483" t="s">
        <v>2800</v>
      </c>
      <c r="AB104" s="2499" t="s">
        <v>2801</v>
      </c>
      <c r="AC104" s="2483" t="s">
        <v>2817</v>
      </c>
      <c r="AD104" s="2499" t="s">
        <v>2818</v>
      </c>
      <c r="AE104" s="2483" t="s">
        <v>2819</v>
      </c>
      <c r="AF104" s="2499" t="s">
        <v>2821</v>
      </c>
      <c r="AG104" s="2483" t="s">
        <v>2822</v>
      </c>
      <c r="AH104" s="2635" t="s">
        <v>2823</v>
      </c>
      <c r="AI104" s="2499" t="s">
        <v>2824</v>
      </c>
      <c r="AJ104" s="2455" t="s">
        <v>2825</v>
      </c>
      <c r="AK104" s="2455" t="s">
        <v>2826</v>
      </c>
      <c r="AL104" s="924"/>
      <c r="AM104" s="881"/>
      <c r="AN104" s="881"/>
      <c r="AO104" s="881"/>
      <c r="AP104" s="881"/>
      <c r="AQ104" s="881"/>
      <c r="AR104" s="881"/>
      <c r="AS104" s="881"/>
      <c r="AT104" s="896"/>
      <c r="AU104" s="896"/>
      <c r="AV104" s="908"/>
      <c r="AW104" s="94"/>
      <c r="AX104" s="94"/>
      <c r="AY104" s="94"/>
      <c r="AZ104" s="94"/>
      <c r="CH104" s="1020"/>
      <c r="CI104" s="1020"/>
      <c r="CJ104" s="1020"/>
      <c r="CK104" s="1020"/>
      <c r="CL104" s="1020"/>
      <c r="CM104" s="1020"/>
      <c r="CN104" s="1020"/>
      <c r="CO104" s="1020"/>
    </row>
    <row r="105" spans="1:93" ht="16.350000000000001" customHeight="1" x14ac:dyDescent="0.2">
      <c r="A105" s="2449" t="s">
        <v>3140</v>
      </c>
      <c r="B105" s="5569" t="s">
        <v>333</v>
      </c>
      <c r="C105" s="5570"/>
      <c r="D105" s="2330" t="s">
        <v>2777</v>
      </c>
      <c r="E105" s="704" t="s">
        <v>2778</v>
      </c>
      <c r="F105" s="264" t="s">
        <v>2779</v>
      </c>
      <c r="G105" s="2245" t="s">
        <v>2780</v>
      </c>
      <c r="H105" s="240" t="s">
        <v>2781</v>
      </c>
      <c r="I105" s="2245" t="s">
        <v>2782</v>
      </c>
      <c r="J105" s="240" t="s">
        <v>2783</v>
      </c>
      <c r="K105" s="2245" t="s">
        <v>2784</v>
      </c>
      <c r="L105" s="240" t="s">
        <v>2785</v>
      </c>
      <c r="M105" s="2245" t="s">
        <v>2786</v>
      </c>
      <c r="N105" s="240" t="s">
        <v>2787</v>
      </c>
      <c r="O105" s="2245" t="s">
        <v>2788</v>
      </c>
      <c r="P105" s="240" t="s">
        <v>2789</v>
      </c>
      <c r="Q105" s="2245" t="s">
        <v>2790</v>
      </c>
      <c r="R105" s="240" t="s">
        <v>2791</v>
      </c>
      <c r="S105" s="2245" t="s">
        <v>2792</v>
      </c>
      <c r="T105" s="240" t="s">
        <v>2793</v>
      </c>
      <c r="U105" s="2245" t="s">
        <v>2794</v>
      </c>
      <c r="V105" s="240" t="s">
        <v>2795</v>
      </c>
      <c r="W105" s="2245" t="s">
        <v>2796</v>
      </c>
      <c r="X105" s="240" t="s">
        <v>2797</v>
      </c>
      <c r="Y105" s="2245" t="s">
        <v>2798</v>
      </c>
      <c r="Z105" s="240" t="s">
        <v>2799</v>
      </c>
      <c r="AA105" s="2245" t="s">
        <v>2800</v>
      </c>
      <c r="AB105" s="240" t="s">
        <v>2801</v>
      </c>
      <c r="AC105" s="2245" t="s">
        <v>2817</v>
      </c>
      <c r="AD105" s="240" t="s">
        <v>2818</v>
      </c>
      <c r="AE105" s="2245" t="s">
        <v>2819</v>
      </c>
      <c r="AF105" s="240" t="s">
        <v>2821</v>
      </c>
      <c r="AG105" s="2245" t="s">
        <v>2822</v>
      </c>
      <c r="AH105" s="655" t="s">
        <v>2823</v>
      </c>
      <c r="AI105" s="240" t="s">
        <v>2824</v>
      </c>
      <c r="AJ105" s="2324" t="s">
        <v>2825</v>
      </c>
      <c r="AK105" s="2324" t="s">
        <v>2826</v>
      </c>
      <c r="AL105" s="1057"/>
      <c r="AM105" s="1058"/>
      <c r="AN105" s="1058"/>
      <c r="AO105" s="1058"/>
      <c r="AP105" s="1058"/>
      <c r="AQ105" s="1058"/>
      <c r="AR105" s="1058"/>
      <c r="AS105" s="1058"/>
      <c r="AT105" s="1058"/>
      <c r="AU105" s="1058"/>
      <c r="AV105" s="1058"/>
      <c r="AW105" s="1058"/>
      <c r="AX105" s="94"/>
      <c r="AY105" s="94"/>
      <c r="AZ105" s="94"/>
      <c r="CB105" s="889" t="e">
        <f>IF(D108&gt;D107+D106,"* Los Ingresos de pacientes dependientes severos con escaras DEBEN estar incluidos en los Ingresos de pacientes dependientes severos Oncológicos o No Oncológicos. ","")</f>
        <v>#VALUE!</v>
      </c>
      <c r="CH105" s="1020"/>
      <c r="CI105" s="1020"/>
      <c r="CJ105" s="1020"/>
      <c r="CK105" s="1020"/>
      <c r="CL105" s="1020"/>
      <c r="CM105" s="1020"/>
      <c r="CN105" s="1020"/>
      <c r="CO105" s="1020"/>
    </row>
    <row r="106" spans="1:93" ht="17.25" customHeight="1" x14ac:dyDescent="0.2">
      <c r="A106" s="2449" t="s">
        <v>3141</v>
      </c>
      <c r="B106" s="5571" t="s">
        <v>892</v>
      </c>
      <c r="C106" s="2742" t="s">
        <v>334</v>
      </c>
      <c r="D106" s="2538" t="s">
        <v>2777</v>
      </c>
      <c r="E106" s="2589" t="s">
        <v>2778</v>
      </c>
      <c r="F106" s="2564" t="s">
        <v>2779</v>
      </c>
      <c r="G106" s="2483" t="s">
        <v>2780</v>
      </c>
      <c r="H106" s="2499" t="s">
        <v>2781</v>
      </c>
      <c r="I106" s="2483" t="s">
        <v>2782</v>
      </c>
      <c r="J106" s="2499" t="s">
        <v>2783</v>
      </c>
      <c r="K106" s="2483" t="s">
        <v>2784</v>
      </c>
      <c r="L106" s="2499" t="s">
        <v>2785</v>
      </c>
      <c r="M106" s="2483" t="s">
        <v>2786</v>
      </c>
      <c r="N106" s="2499" t="s">
        <v>2787</v>
      </c>
      <c r="O106" s="2483" t="s">
        <v>2788</v>
      </c>
      <c r="P106" s="2499" t="s">
        <v>2789</v>
      </c>
      <c r="Q106" s="2483" t="s">
        <v>2790</v>
      </c>
      <c r="R106" s="2499" t="s">
        <v>2791</v>
      </c>
      <c r="S106" s="2483" t="s">
        <v>2792</v>
      </c>
      <c r="T106" s="2499" t="s">
        <v>2793</v>
      </c>
      <c r="U106" s="2483" t="s">
        <v>2794</v>
      </c>
      <c r="V106" s="2499" t="s">
        <v>2795</v>
      </c>
      <c r="W106" s="2483" t="s">
        <v>2796</v>
      </c>
      <c r="X106" s="2499" t="s">
        <v>2797</v>
      </c>
      <c r="Y106" s="2483" t="s">
        <v>2798</v>
      </c>
      <c r="Z106" s="2499" t="s">
        <v>2799</v>
      </c>
      <c r="AA106" s="2483" t="s">
        <v>2800</v>
      </c>
      <c r="AB106" s="2499" t="s">
        <v>2801</v>
      </c>
      <c r="AC106" s="2483" t="s">
        <v>2817</v>
      </c>
      <c r="AD106" s="2499" t="s">
        <v>2818</v>
      </c>
      <c r="AE106" s="2483" t="s">
        <v>2819</v>
      </c>
      <c r="AF106" s="2499" t="s">
        <v>2821</v>
      </c>
      <c r="AG106" s="2483" t="s">
        <v>2822</v>
      </c>
      <c r="AH106" s="2635" t="s">
        <v>2823</v>
      </c>
      <c r="AI106" s="2499" t="s">
        <v>2824</v>
      </c>
      <c r="AJ106" s="2455" t="s">
        <v>2825</v>
      </c>
      <c r="AK106" s="2455" t="s">
        <v>2826</v>
      </c>
      <c r="AL106" s="1285"/>
      <c r="AM106" s="964"/>
      <c r="AN106" s="128"/>
      <c r="AO106" s="905"/>
      <c r="AP106" s="905"/>
      <c r="AQ106" s="905"/>
      <c r="AR106" s="905"/>
      <c r="AS106" s="905"/>
      <c r="AT106" s="905"/>
      <c r="AU106" s="905"/>
      <c r="AV106" s="905"/>
      <c r="AW106" s="905"/>
      <c r="AX106" s="906"/>
      <c r="AY106" s="94"/>
      <c r="AZ106" s="94"/>
      <c r="CA106" s="80"/>
      <c r="CH106" s="1020"/>
      <c r="CI106" s="1020"/>
      <c r="CJ106" s="1020"/>
      <c r="CK106" s="1020"/>
      <c r="CL106" s="1020"/>
      <c r="CM106" s="1020"/>
      <c r="CN106" s="1020"/>
      <c r="CO106" s="1020"/>
    </row>
    <row r="107" spans="1:93" ht="16.350000000000001" customHeight="1" x14ac:dyDescent="0.2">
      <c r="A107" s="2449" t="s">
        <v>3142</v>
      </c>
      <c r="B107" s="5572"/>
      <c r="C107" s="2426" t="s">
        <v>335</v>
      </c>
      <c r="D107" s="2444" t="s">
        <v>2777</v>
      </c>
      <c r="E107" s="2445" t="s">
        <v>2778</v>
      </c>
      <c r="F107" s="202" t="s">
        <v>2779</v>
      </c>
      <c r="G107" s="166" t="s">
        <v>2780</v>
      </c>
      <c r="H107" s="168" t="s">
        <v>2781</v>
      </c>
      <c r="I107" s="166" t="s">
        <v>2782</v>
      </c>
      <c r="J107" s="168" t="s">
        <v>2783</v>
      </c>
      <c r="K107" s="166" t="s">
        <v>2784</v>
      </c>
      <c r="L107" s="168" t="s">
        <v>2785</v>
      </c>
      <c r="M107" s="166" t="s">
        <v>2786</v>
      </c>
      <c r="N107" s="168" t="s">
        <v>2787</v>
      </c>
      <c r="O107" s="166" t="s">
        <v>2788</v>
      </c>
      <c r="P107" s="168" t="s">
        <v>2789</v>
      </c>
      <c r="Q107" s="166" t="s">
        <v>2790</v>
      </c>
      <c r="R107" s="168" t="s">
        <v>2791</v>
      </c>
      <c r="S107" s="166" t="s">
        <v>2792</v>
      </c>
      <c r="T107" s="168" t="s">
        <v>2793</v>
      </c>
      <c r="U107" s="166" t="s">
        <v>2794</v>
      </c>
      <c r="V107" s="168" t="s">
        <v>2795</v>
      </c>
      <c r="W107" s="166" t="s">
        <v>2796</v>
      </c>
      <c r="X107" s="168" t="s">
        <v>2797</v>
      </c>
      <c r="Y107" s="166" t="s">
        <v>2798</v>
      </c>
      <c r="Z107" s="168" t="s">
        <v>2799</v>
      </c>
      <c r="AA107" s="166" t="s">
        <v>2800</v>
      </c>
      <c r="AB107" s="168" t="s">
        <v>2801</v>
      </c>
      <c r="AC107" s="166" t="s">
        <v>2817</v>
      </c>
      <c r="AD107" s="168" t="s">
        <v>2818</v>
      </c>
      <c r="AE107" s="166" t="s">
        <v>2819</v>
      </c>
      <c r="AF107" s="168" t="s">
        <v>2821</v>
      </c>
      <c r="AG107" s="166" t="s">
        <v>2822</v>
      </c>
      <c r="AH107" s="533" t="s">
        <v>2823</v>
      </c>
      <c r="AI107" s="168" t="s">
        <v>2824</v>
      </c>
      <c r="AJ107" s="105" t="s">
        <v>2825</v>
      </c>
      <c r="AK107" s="105" t="s">
        <v>2826</v>
      </c>
      <c r="AL107" s="891"/>
      <c r="AM107" s="94"/>
      <c r="AN107" s="94"/>
      <c r="AO107" s="94"/>
      <c r="AP107" s="94"/>
      <c r="AQ107" s="94"/>
      <c r="AR107" s="94"/>
      <c r="AS107" s="94"/>
      <c r="AT107" s="94"/>
      <c r="AU107" s="94"/>
      <c r="AV107" s="94"/>
      <c r="AW107" s="94"/>
      <c r="AX107" s="94"/>
      <c r="AY107" s="94"/>
      <c r="AZ107" s="94"/>
      <c r="CH107" s="1020"/>
      <c r="CI107" s="1020"/>
      <c r="CJ107" s="1020"/>
      <c r="CK107" s="1020"/>
      <c r="CL107" s="1020"/>
      <c r="CM107" s="1020"/>
      <c r="CN107" s="1020"/>
      <c r="CO107" s="1020"/>
    </row>
    <row r="108" spans="1:93" ht="16.350000000000001" customHeight="1" x14ac:dyDescent="0.2">
      <c r="A108" s="2449" t="s">
        <v>3143</v>
      </c>
      <c r="B108" s="5563" t="s">
        <v>336</v>
      </c>
      <c r="C108" s="5564"/>
      <c r="D108" s="2723" t="s">
        <v>2777</v>
      </c>
      <c r="E108" s="2350" t="s">
        <v>2778</v>
      </c>
      <c r="F108" s="2724" t="s">
        <v>2779</v>
      </c>
      <c r="G108" s="2717" t="s">
        <v>2780</v>
      </c>
      <c r="H108" s="2719" t="s">
        <v>2781</v>
      </c>
      <c r="I108" s="2717" t="s">
        <v>2782</v>
      </c>
      <c r="J108" s="2719" t="s">
        <v>2783</v>
      </c>
      <c r="K108" s="2717" t="s">
        <v>2784</v>
      </c>
      <c r="L108" s="2719" t="s">
        <v>2785</v>
      </c>
      <c r="M108" s="2717" t="s">
        <v>2786</v>
      </c>
      <c r="N108" s="2719" t="s">
        <v>2787</v>
      </c>
      <c r="O108" s="2717" t="s">
        <v>2788</v>
      </c>
      <c r="P108" s="2719" t="s">
        <v>2789</v>
      </c>
      <c r="Q108" s="2717" t="s">
        <v>2790</v>
      </c>
      <c r="R108" s="2719" t="s">
        <v>2791</v>
      </c>
      <c r="S108" s="2717" t="s">
        <v>2792</v>
      </c>
      <c r="T108" s="2719" t="s">
        <v>2793</v>
      </c>
      <c r="U108" s="2717" t="s">
        <v>2794</v>
      </c>
      <c r="V108" s="2719" t="s">
        <v>2795</v>
      </c>
      <c r="W108" s="2717" t="s">
        <v>2796</v>
      </c>
      <c r="X108" s="2719" t="s">
        <v>2797</v>
      </c>
      <c r="Y108" s="2717" t="s">
        <v>2798</v>
      </c>
      <c r="Z108" s="2719" t="s">
        <v>2799</v>
      </c>
      <c r="AA108" s="2717" t="s">
        <v>2800</v>
      </c>
      <c r="AB108" s="2719" t="s">
        <v>2801</v>
      </c>
      <c r="AC108" s="2717" t="s">
        <v>2817</v>
      </c>
      <c r="AD108" s="2719" t="s">
        <v>2818</v>
      </c>
      <c r="AE108" s="2717" t="s">
        <v>2819</v>
      </c>
      <c r="AF108" s="2719" t="s">
        <v>2821</v>
      </c>
      <c r="AG108" s="2717" t="s">
        <v>2822</v>
      </c>
      <c r="AH108" s="2746" t="s">
        <v>2823</v>
      </c>
      <c r="AI108" s="2719" t="s">
        <v>2824</v>
      </c>
      <c r="AJ108" s="2747" t="s">
        <v>2825</v>
      </c>
      <c r="AK108" s="2747" t="s">
        <v>2826</v>
      </c>
      <c r="AL108" s="891"/>
      <c r="AM108" s="94"/>
      <c r="AN108" s="94"/>
      <c r="AO108" s="94"/>
      <c r="AP108" s="94"/>
      <c r="AQ108" s="94"/>
      <c r="AR108" s="94"/>
      <c r="AS108" s="94"/>
      <c r="AT108" s="94"/>
      <c r="AU108" s="94"/>
      <c r="AV108" s="94"/>
      <c r="AW108" s="94"/>
      <c r="AX108" s="94"/>
      <c r="AY108" s="94"/>
      <c r="AZ108" s="94"/>
      <c r="CH108" s="1020"/>
      <c r="CI108" s="1020"/>
      <c r="CJ108" s="1020"/>
      <c r="CK108" s="1020"/>
      <c r="CL108" s="1020"/>
      <c r="CM108" s="1020"/>
      <c r="CN108" s="1020"/>
      <c r="CO108" s="1020"/>
    </row>
    <row r="109" spans="1:93" ht="24" customHeight="1" x14ac:dyDescent="0.2">
      <c r="B109" s="295" t="s">
        <v>865</v>
      </c>
      <c r="C109" s="295"/>
      <c r="N109" s="1268"/>
      <c r="O109" s="1267"/>
      <c r="P109" s="290"/>
      <c r="Q109" s="290"/>
      <c r="R109" s="290"/>
      <c r="S109" s="290"/>
      <c r="T109" s="290"/>
      <c r="U109" s="290"/>
      <c r="V109" s="290"/>
      <c r="W109" s="292"/>
      <c r="X109" s="290"/>
      <c r="Y109" s="290"/>
      <c r="Z109" s="290"/>
      <c r="AA109" s="326"/>
      <c r="AB109" s="326"/>
      <c r="AC109" s="321"/>
      <c r="AD109" s="321"/>
      <c r="AL109" s="94"/>
      <c r="AM109" s="94"/>
      <c r="AN109" s="94"/>
      <c r="AO109" s="94"/>
      <c r="AP109" s="94"/>
      <c r="AQ109" s="94"/>
      <c r="AR109" s="94"/>
      <c r="AS109" s="94"/>
      <c r="AT109" s="94"/>
      <c r="AU109" s="94"/>
      <c r="AV109" s="94"/>
      <c r="AW109" s="94"/>
      <c r="AX109" s="94"/>
      <c r="AY109" s="94"/>
      <c r="AZ109" s="94"/>
      <c r="CH109" s="1020"/>
      <c r="CI109" s="1020"/>
      <c r="CJ109" s="1020"/>
      <c r="CK109" s="1020"/>
      <c r="CL109" s="1020"/>
      <c r="CM109" s="1020"/>
      <c r="CN109" s="1020"/>
      <c r="CO109" s="1020"/>
    </row>
    <row r="110" spans="1:93" ht="16.350000000000001" customHeight="1" x14ac:dyDescent="0.2">
      <c r="B110" s="5118" t="s">
        <v>293</v>
      </c>
      <c r="C110" s="5120"/>
      <c r="D110" s="5107" t="s">
        <v>42</v>
      </c>
      <c r="E110" s="5117"/>
      <c r="F110" s="5108"/>
      <c r="G110" s="5107" t="s">
        <v>159</v>
      </c>
      <c r="H110" s="5108"/>
      <c r="I110" s="5107" t="s">
        <v>160</v>
      </c>
      <c r="J110" s="5108"/>
      <c r="K110" s="5107" t="s">
        <v>161</v>
      </c>
      <c r="L110" s="5108"/>
      <c r="M110" s="5107" t="s">
        <v>162</v>
      </c>
      <c r="N110" s="5108"/>
      <c r="O110" s="379"/>
      <c r="P110" s="290"/>
      <c r="Q110" s="290"/>
      <c r="R110" s="290"/>
      <c r="S110" s="290"/>
      <c r="T110" s="290"/>
      <c r="U110" s="290"/>
      <c r="V110" s="290"/>
      <c r="W110" s="292"/>
      <c r="X110" s="290"/>
      <c r="Y110" s="290"/>
      <c r="Z110" s="290"/>
      <c r="AA110" s="326"/>
      <c r="AB110" s="326"/>
      <c r="AC110" s="321"/>
      <c r="AD110" s="321"/>
      <c r="AL110" s="94"/>
      <c r="AM110" s="94"/>
      <c r="AN110" s="94"/>
      <c r="AO110" s="94"/>
      <c r="AP110" s="94"/>
      <c r="AQ110" s="94"/>
      <c r="AR110" s="94"/>
      <c r="AS110" s="94"/>
      <c r="AT110" s="94"/>
      <c r="AU110" s="94"/>
      <c r="AV110" s="94"/>
      <c r="AW110" s="94"/>
      <c r="AX110" s="94"/>
      <c r="AY110" s="94"/>
      <c r="AZ110" s="94"/>
      <c r="CH110" s="1020"/>
      <c r="CI110" s="1020"/>
      <c r="CJ110" s="1020"/>
      <c r="CK110" s="1020"/>
      <c r="CL110" s="1020"/>
      <c r="CM110" s="1020"/>
      <c r="CN110" s="1020"/>
      <c r="CO110" s="1020"/>
    </row>
    <row r="111" spans="1:93" ht="16.350000000000001" customHeight="1" x14ac:dyDescent="0.2">
      <c r="B111" s="5125"/>
      <c r="C111" s="5126"/>
      <c r="D111" s="253" t="s">
        <v>184</v>
      </c>
      <c r="E111" s="88" t="s">
        <v>24</v>
      </c>
      <c r="F111" s="131" t="s">
        <v>25</v>
      </c>
      <c r="G111" s="253" t="s">
        <v>24</v>
      </c>
      <c r="H111" s="131" t="s">
        <v>25</v>
      </c>
      <c r="I111" s="253" t="s">
        <v>24</v>
      </c>
      <c r="J111" s="131" t="s">
        <v>25</v>
      </c>
      <c r="K111" s="253" t="s">
        <v>24</v>
      </c>
      <c r="L111" s="131" t="s">
        <v>25</v>
      </c>
      <c r="M111" s="253" t="s">
        <v>24</v>
      </c>
      <c r="N111" s="131" t="s">
        <v>25</v>
      </c>
      <c r="O111" s="379"/>
      <c r="P111" s="290"/>
      <c r="Q111" s="290"/>
      <c r="R111" s="290"/>
      <c r="S111" s="290"/>
      <c r="T111" s="290"/>
      <c r="U111" s="290"/>
      <c r="V111" s="290"/>
      <c r="W111" s="292"/>
      <c r="X111" s="290"/>
      <c r="Y111" s="290"/>
      <c r="Z111" s="290"/>
      <c r="AA111" s="326"/>
      <c r="AB111" s="326"/>
      <c r="AC111" s="321"/>
      <c r="AD111" s="321"/>
      <c r="CH111" s="1020"/>
      <c r="CI111" s="1020"/>
      <c r="CJ111" s="1020"/>
      <c r="CK111" s="1020"/>
      <c r="CL111" s="1020"/>
      <c r="CM111" s="1020"/>
      <c r="CN111" s="1020"/>
      <c r="CO111" s="1020"/>
    </row>
    <row r="112" spans="1:93" ht="16.350000000000001" customHeight="1" x14ac:dyDescent="0.2">
      <c r="A112" s="2695" t="s">
        <v>3144</v>
      </c>
      <c r="B112" s="5542" t="s">
        <v>1338</v>
      </c>
      <c r="C112" s="2450" t="s">
        <v>337</v>
      </c>
      <c r="D112" s="2538" t="s">
        <v>2777</v>
      </c>
      <c r="E112" s="2589" t="s">
        <v>2778</v>
      </c>
      <c r="F112" s="2564" t="s">
        <v>2779</v>
      </c>
      <c r="G112" s="2577" t="s">
        <v>2780</v>
      </c>
      <c r="H112" s="197" t="s">
        <v>2781</v>
      </c>
      <c r="I112" s="2577" t="s">
        <v>2782</v>
      </c>
      <c r="J112" s="197" t="s">
        <v>2783</v>
      </c>
      <c r="K112" s="2577" t="s">
        <v>2784</v>
      </c>
      <c r="L112" s="197" t="s">
        <v>2785</v>
      </c>
      <c r="M112" s="2577" t="s">
        <v>2786</v>
      </c>
      <c r="N112" s="197" t="s">
        <v>2787</v>
      </c>
      <c r="O112" s="1287"/>
      <c r="P112" s="290"/>
      <c r="Q112" s="290"/>
      <c r="R112" s="290"/>
      <c r="S112" s="290"/>
      <c r="T112" s="290"/>
      <c r="U112" s="290"/>
      <c r="V112" s="290"/>
      <c r="W112" s="292"/>
      <c r="X112" s="290"/>
      <c r="Y112" s="290"/>
      <c r="Z112" s="290"/>
      <c r="AA112" s="326"/>
      <c r="AB112" s="326"/>
      <c r="AC112" s="321"/>
      <c r="AD112" s="321"/>
      <c r="CH112" s="1020"/>
      <c r="CI112" s="1020"/>
      <c r="CJ112" s="1020"/>
      <c r="CK112" s="1020"/>
      <c r="CL112" s="1020"/>
      <c r="CM112" s="1020"/>
      <c r="CN112" s="1020"/>
      <c r="CO112" s="1020"/>
    </row>
    <row r="113" spans="1:93" ht="16.350000000000001" customHeight="1" x14ac:dyDescent="0.2">
      <c r="A113" s="2695" t="s">
        <v>3145</v>
      </c>
      <c r="B113" s="5543"/>
      <c r="C113" s="140" t="s">
        <v>338</v>
      </c>
      <c r="D113" s="2442" t="s">
        <v>2777</v>
      </c>
      <c r="E113" s="2443" t="s">
        <v>2778</v>
      </c>
      <c r="F113" s="200" t="s">
        <v>2779</v>
      </c>
      <c r="G113" s="2577" t="s">
        <v>2780</v>
      </c>
      <c r="H113" s="197" t="s">
        <v>2781</v>
      </c>
      <c r="I113" s="2577" t="s">
        <v>2782</v>
      </c>
      <c r="J113" s="197" t="s">
        <v>2783</v>
      </c>
      <c r="K113" s="2577" t="s">
        <v>2784</v>
      </c>
      <c r="L113" s="197" t="s">
        <v>2785</v>
      </c>
      <c r="M113" s="2577" t="s">
        <v>2786</v>
      </c>
      <c r="N113" s="197" t="s">
        <v>2787</v>
      </c>
      <c r="O113" s="1287"/>
      <c r="P113" s="290"/>
      <c r="Q113" s="290"/>
      <c r="R113" s="290"/>
      <c r="S113" s="290"/>
      <c r="T113" s="290"/>
      <c r="U113" s="290"/>
      <c r="V113" s="290"/>
      <c r="W113" s="292"/>
      <c r="X113" s="290"/>
      <c r="Y113" s="326"/>
      <c r="Z113" s="326"/>
      <c r="AA113" s="326"/>
      <c r="AB113" s="326"/>
      <c r="AC113" s="321"/>
      <c r="AD113" s="321"/>
      <c r="CH113" s="1020"/>
      <c r="CI113" s="1020"/>
      <c r="CJ113" s="1020"/>
      <c r="CK113" s="1020"/>
      <c r="CL113" s="1020"/>
      <c r="CM113" s="1020"/>
      <c r="CN113" s="1020"/>
      <c r="CO113" s="1020"/>
    </row>
    <row r="114" spans="1:93" ht="16.350000000000001" customHeight="1" x14ac:dyDescent="0.2">
      <c r="A114" s="2695" t="s">
        <v>3146</v>
      </c>
      <c r="B114" s="5544"/>
      <c r="C114" s="2748" t="s">
        <v>339</v>
      </c>
      <c r="D114" s="2330" t="s">
        <v>2777</v>
      </c>
      <c r="E114" s="704" t="s">
        <v>2778</v>
      </c>
      <c r="F114" s="264" t="s">
        <v>2779</v>
      </c>
      <c r="G114" s="2577" t="s">
        <v>2780</v>
      </c>
      <c r="H114" s="197" t="s">
        <v>2781</v>
      </c>
      <c r="I114" s="2577" t="s">
        <v>2782</v>
      </c>
      <c r="J114" s="197" t="s">
        <v>2783</v>
      </c>
      <c r="K114" s="2577" t="s">
        <v>2784</v>
      </c>
      <c r="L114" s="197" t="s">
        <v>2785</v>
      </c>
      <c r="M114" s="2577" t="s">
        <v>2786</v>
      </c>
      <c r="N114" s="197" t="s">
        <v>2787</v>
      </c>
      <c r="O114" s="558"/>
      <c r="P114" s="190"/>
      <c r="Q114" s="190"/>
      <c r="R114" s="190"/>
      <c r="S114" s="190"/>
      <c r="T114" s="190"/>
      <c r="U114" s="190"/>
      <c r="V114" s="292"/>
      <c r="W114" s="290"/>
      <c r="X114" s="290"/>
      <c r="Y114" s="290"/>
      <c r="Z114" s="290"/>
      <c r="AA114" s="290"/>
      <c r="AB114" s="290"/>
      <c r="AC114" s="290"/>
      <c r="AD114" s="290"/>
      <c r="AE114" s="290"/>
      <c r="AF114" s="290"/>
      <c r="AG114" s="290"/>
      <c r="AH114" s="290"/>
      <c r="AI114" s="292"/>
      <c r="AJ114" s="290"/>
      <c r="AK114" s="326"/>
      <c r="AL114" s="326"/>
      <c r="AM114" s="326"/>
      <c r="AN114" s="326"/>
      <c r="AO114" s="321"/>
      <c r="AP114" s="321"/>
      <c r="CH114" s="1020"/>
      <c r="CI114" s="1020"/>
      <c r="CJ114" s="1020"/>
      <c r="CK114" s="1020"/>
      <c r="CL114" s="1020"/>
      <c r="CM114" s="1020"/>
      <c r="CN114" s="1020"/>
      <c r="CO114" s="1020"/>
    </row>
    <row r="115" spans="1:93" ht="16.350000000000001" customHeight="1" x14ac:dyDescent="0.2">
      <c r="A115" s="2640"/>
      <c r="B115" s="5600" t="s">
        <v>340</v>
      </c>
      <c r="C115" s="5600"/>
      <c r="D115" s="2520">
        <f t="shared" ref="D115:N115" si="13">SUM(D112:D114)</f>
        <v>0</v>
      </c>
      <c r="E115" s="2612">
        <f t="shared" si="13"/>
        <v>0</v>
      </c>
      <c r="F115" s="2745">
        <f t="shared" si="13"/>
        <v>0</v>
      </c>
      <c r="G115" s="2520">
        <f t="shared" si="13"/>
        <v>0</v>
      </c>
      <c r="H115" s="2745">
        <f t="shared" si="13"/>
        <v>0</v>
      </c>
      <c r="I115" s="2520">
        <f t="shared" si="13"/>
        <v>0</v>
      </c>
      <c r="J115" s="2745">
        <f t="shared" si="13"/>
        <v>0</v>
      </c>
      <c r="K115" s="2520">
        <f t="shared" si="13"/>
        <v>0</v>
      </c>
      <c r="L115" s="2745">
        <f t="shared" si="13"/>
        <v>0</v>
      </c>
      <c r="M115" s="2520">
        <f t="shared" si="13"/>
        <v>0</v>
      </c>
      <c r="N115" s="2745">
        <f t="shared" si="13"/>
        <v>0</v>
      </c>
      <c r="O115" s="558"/>
      <c r="P115" s="190"/>
      <c r="Q115" s="190"/>
      <c r="R115" s="190"/>
      <c r="S115" s="190"/>
      <c r="T115" s="190"/>
      <c r="U115" s="190"/>
      <c r="V115" s="292"/>
      <c r="W115" s="290"/>
      <c r="X115" s="290"/>
      <c r="Y115" s="290"/>
      <c r="Z115" s="290"/>
      <c r="AA115" s="290"/>
      <c r="AB115" s="290"/>
      <c r="AC115" s="290"/>
      <c r="AD115" s="290"/>
      <c r="AE115" s="290"/>
      <c r="AF115" s="290"/>
      <c r="AG115" s="290"/>
      <c r="AH115" s="290"/>
      <c r="AI115" s="292"/>
      <c r="AJ115" s="290"/>
      <c r="AK115" s="326"/>
      <c r="AL115" s="326"/>
      <c r="AM115" s="326"/>
      <c r="AN115" s="326"/>
      <c r="AO115" s="321"/>
      <c r="AP115" s="321"/>
      <c r="CH115" s="1020"/>
      <c r="CI115" s="1020"/>
      <c r="CJ115" s="1020"/>
      <c r="CK115" s="1020"/>
      <c r="CL115" s="1020"/>
      <c r="CM115" s="1020"/>
      <c r="CN115" s="1020"/>
      <c r="CO115" s="1020"/>
    </row>
    <row r="116" spans="1:93" ht="16.350000000000001" customHeight="1" x14ac:dyDescent="0.2">
      <c r="A116" s="2695" t="s">
        <v>3147</v>
      </c>
      <c r="B116" s="5542" t="s">
        <v>969</v>
      </c>
      <c r="C116" s="2636" t="s">
        <v>341</v>
      </c>
      <c r="D116" s="2584" t="s">
        <v>2777</v>
      </c>
      <c r="E116" s="2343" t="s">
        <v>2778</v>
      </c>
      <c r="F116" s="239" t="s">
        <v>2779</v>
      </c>
      <c r="G116" s="2577" t="s">
        <v>2780</v>
      </c>
      <c r="H116" s="197" t="s">
        <v>2781</v>
      </c>
      <c r="I116" s="2577" t="s">
        <v>2782</v>
      </c>
      <c r="J116" s="197" t="s">
        <v>2783</v>
      </c>
      <c r="K116" s="2577" t="s">
        <v>2784</v>
      </c>
      <c r="L116" s="197" t="s">
        <v>2785</v>
      </c>
      <c r="M116" s="2577" t="s">
        <v>2786</v>
      </c>
      <c r="N116" s="197" t="s">
        <v>2787</v>
      </c>
      <c r="O116" s="558"/>
      <c r="P116" s="190"/>
      <c r="Q116" s="190"/>
      <c r="R116" s="190"/>
      <c r="S116" s="190"/>
      <c r="T116" s="190"/>
      <c r="U116" s="190"/>
      <c r="V116" s="219"/>
      <c r="W116" s="290"/>
      <c r="X116" s="290"/>
      <c r="Y116" s="290"/>
      <c r="Z116" s="290"/>
      <c r="AA116" s="290"/>
      <c r="AB116" s="290"/>
      <c r="AC116" s="290"/>
      <c r="AD116" s="290"/>
      <c r="AE116" s="290"/>
      <c r="AF116" s="290"/>
      <c r="AG116" s="290"/>
      <c r="AH116" s="290"/>
      <c r="AI116" s="292"/>
      <c r="AJ116" s="290"/>
      <c r="AK116" s="326"/>
      <c r="AL116" s="326"/>
      <c r="AM116" s="326"/>
      <c r="AN116" s="326"/>
      <c r="AO116" s="321"/>
      <c r="AP116" s="321"/>
      <c r="CH116" s="1020"/>
      <c r="CI116" s="1020"/>
      <c r="CJ116" s="1020"/>
      <c r="CK116" s="1020"/>
      <c r="CL116" s="1020"/>
      <c r="CM116" s="1020"/>
      <c r="CN116" s="1020"/>
      <c r="CO116" s="1020"/>
    </row>
    <row r="117" spans="1:93" ht="16.350000000000001" customHeight="1" x14ac:dyDescent="0.2">
      <c r="A117" s="2695" t="s">
        <v>3148</v>
      </c>
      <c r="B117" s="5543"/>
      <c r="C117" s="140" t="s">
        <v>342</v>
      </c>
      <c r="D117" s="2442" t="s">
        <v>2777</v>
      </c>
      <c r="E117" s="2443" t="s">
        <v>2778</v>
      </c>
      <c r="F117" s="200" t="s">
        <v>2779</v>
      </c>
      <c r="G117" s="141" t="s">
        <v>2780</v>
      </c>
      <c r="H117" s="198" t="s">
        <v>2781</v>
      </c>
      <c r="I117" s="141" t="s">
        <v>2782</v>
      </c>
      <c r="J117" s="198" t="s">
        <v>2783</v>
      </c>
      <c r="K117" s="141" t="s">
        <v>2784</v>
      </c>
      <c r="L117" s="198" t="s">
        <v>2785</v>
      </c>
      <c r="M117" s="141" t="s">
        <v>2786</v>
      </c>
      <c r="N117" s="198" t="s">
        <v>2787</v>
      </c>
      <c r="O117" s="558"/>
      <c r="P117" s="190"/>
      <c r="Q117" s="190"/>
      <c r="R117" s="190"/>
      <c r="S117" s="190"/>
      <c r="T117" s="190"/>
      <c r="U117" s="190"/>
      <c r="V117" s="297"/>
      <c r="W117" s="290"/>
      <c r="X117" s="290"/>
      <c r="Y117" s="290"/>
      <c r="Z117" s="290"/>
      <c r="AA117" s="290"/>
      <c r="AB117" s="290"/>
      <c r="AC117" s="290"/>
      <c r="AD117" s="290"/>
      <c r="AE117" s="290"/>
      <c r="AF117" s="290"/>
      <c r="AG117" s="290"/>
      <c r="AH117" s="290"/>
      <c r="AI117" s="292"/>
      <c r="AJ117" s="290"/>
      <c r="AK117" s="326"/>
      <c r="AL117" s="326"/>
      <c r="AM117" s="326"/>
      <c r="AN117" s="326"/>
      <c r="AO117" s="321"/>
      <c r="AP117" s="321"/>
      <c r="CH117" s="1020"/>
      <c r="CI117" s="1020"/>
      <c r="CJ117" s="1020"/>
      <c r="CK117" s="1020"/>
      <c r="CL117" s="1020"/>
      <c r="CM117" s="1020"/>
      <c r="CN117" s="1020"/>
      <c r="CO117" s="1020"/>
    </row>
    <row r="118" spans="1:93" ht="16.350000000000001" customHeight="1" x14ac:dyDescent="0.2">
      <c r="A118" s="2695" t="s">
        <v>3149</v>
      </c>
      <c r="B118" s="5543"/>
      <c r="C118" s="140" t="s">
        <v>343</v>
      </c>
      <c r="D118" s="2442" t="s">
        <v>2777</v>
      </c>
      <c r="E118" s="2443" t="s">
        <v>2778</v>
      </c>
      <c r="F118" s="200" t="s">
        <v>2779</v>
      </c>
      <c r="G118" s="141" t="s">
        <v>2780</v>
      </c>
      <c r="H118" s="198" t="s">
        <v>2781</v>
      </c>
      <c r="I118" s="141" t="s">
        <v>2782</v>
      </c>
      <c r="J118" s="198" t="s">
        <v>2783</v>
      </c>
      <c r="K118" s="141" t="s">
        <v>2784</v>
      </c>
      <c r="L118" s="198" t="s">
        <v>2785</v>
      </c>
      <c r="M118" s="141" t="s">
        <v>2786</v>
      </c>
      <c r="N118" s="198" t="s">
        <v>2787</v>
      </c>
      <c r="O118" s="79"/>
      <c r="P118" s="190"/>
      <c r="Q118" s="190"/>
      <c r="R118" s="190"/>
      <c r="S118" s="190"/>
      <c r="T118" s="190"/>
      <c r="U118" s="190"/>
      <c r="V118" s="297"/>
      <c r="W118" s="290"/>
      <c r="X118" s="290"/>
      <c r="Y118" s="290"/>
      <c r="Z118" s="290"/>
      <c r="AA118" s="290"/>
      <c r="AB118" s="290"/>
      <c r="AC118" s="290"/>
      <c r="AD118" s="290"/>
      <c r="AE118" s="290"/>
      <c r="AF118" s="290"/>
      <c r="AG118" s="290"/>
      <c r="AH118" s="290"/>
      <c r="AI118" s="292"/>
      <c r="AJ118" s="290"/>
      <c r="AK118" s="326"/>
      <c r="AL118" s="326"/>
      <c r="AM118" s="326"/>
      <c r="AN118" s="326"/>
      <c r="AO118" s="321"/>
      <c r="AP118" s="321"/>
      <c r="CH118" s="1020"/>
      <c r="CI118" s="1020"/>
      <c r="CJ118" s="1020"/>
      <c r="CK118" s="1020"/>
      <c r="CL118" s="1020"/>
      <c r="CM118" s="1020"/>
      <c r="CN118" s="1020"/>
      <c r="CO118" s="1020"/>
    </row>
    <row r="119" spans="1:93" ht="18.75" customHeight="1" x14ac:dyDescent="0.2">
      <c r="A119" s="2695" t="s">
        <v>3150</v>
      </c>
      <c r="B119" s="5544"/>
      <c r="C119" s="2465" t="s">
        <v>344</v>
      </c>
      <c r="D119" s="2330" t="s">
        <v>2777</v>
      </c>
      <c r="E119" s="704" t="s">
        <v>2778</v>
      </c>
      <c r="F119" s="264" t="s">
        <v>2779</v>
      </c>
      <c r="G119" s="2245" t="s">
        <v>2780</v>
      </c>
      <c r="H119" s="240" t="s">
        <v>2781</v>
      </c>
      <c r="I119" s="2245" t="s">
        <v>2782</v>
      </c>
      <c r="J119" s="240" t="s">
        <v>2783</v>
      </c>
      <c r="K119" s="2245" t="s">
        <v>2784</v>
      </c>
      <c r="L119" s="240" t="s">
        <v>2785</v>
      </c>
      <c r="M119" s="2245" t="s">
        <v>2786</v>
      </c>
      <c r="N119" s="240" t="s">
        <v>2787</v>
      </c>
      <c r="O119" s="1288"/>
      <c r="P119" s="345"/>
      <c r="Q119" s="345"/>
      <c r="R119" s="910"/>
      <c r="S119" s="910"/>
      <c r="T119" s="128"/>
      <c r="U119" s="965"/>
      <c r="V119" s="128"/>
      <c r="W119" s="128"/>
      <c r="X119" s="128"/>
      <c r="Y119" s="905"/>
      <c r="Z119" s="905"/>
      <c r="AA119" s="905"/>
      <c r="AB119" s="905"/>
      <c r="AC119" s="905"/>
      <c r="AD119" s="905"/>
      <c r="AE119" s="905"/>
      <c r="AF119" s="905"/>
      <c r="AG119" s="323"/>
      <c r="AH119" s="326"/>
      <c r="AI119" s="326"/>
      <c r="AJ119" s="326"/>
      <c r="AK119" s="966"/>
      <c r="AL119" s="326"/>
      <c r="AM119" s="326"/>
      <c r="AN119" s="326"/>
      <c r="AO119" s="326"/>
      <c r="AP119" s="326"/>
      <c r="AQ119" s="326"/>
      <c r="AR119" s="326"/>
      <c r="CA119" s="80"/>
      <c r="CH119" s="1020">
        <v>0</v>
      </c>
      <c r="CI119" s="1020"/>
      <c r="CJ119" s="1020"/>
      <c r="CK119" s="1020"/>
      <c r="CL119" s="1020"/>
      <c r="CM119" s="1020"/>
      <c r="CN119" s="1020"/>
      <c r="CO119" s="1020"/>
    </row>
    <row r="120" spans="1:93" ht="16.350000000000001" customHeight="1" x14ac:dyDescent="0.2">
      <c r="A120" s="2527"/>
      <c r="B120" s="5687" t="s">
        <v>340</v>
      </c>
      <c r="C120" s="5687"/>
      <c r="D120" s="185">
        <f>SUM(D116:D119)</f>
        <v>0</v>
      </c>
      <c r="E120" s="460">
        <f t="shared" ref="E120:N120" si="14">SUM(E116:E119)</f>
        <v>0</v>
      </c>
      <c r="F120" s="186">
        <f t="shared" si="14"/>
        <v>0</v>
      </c>
      <c r="G120" s="185">
        <f t="shared" si="14"/>
        <v>0</v>
      </c>
      <c r="H120" s="186">
        <f t="shared" si="14"/>
        <v>0</v>
      </c>
      <c r="I120" s="185">
        <f t="shared" si="14"/>
        <v>0</v>
      </c>
      <c r="J120" s="186">
        <f t="shared" si="14"/>
        <v>0</v>
      </c>
      <c r="K120" s="185">
        <f t="shared" si="14"/>
        <v>0</v>
      </c>
      <c r="L120" s="186">
        <f t="shared" si="14"/>
        <v>0</v>
      </c>
      <c r="M120" s="185">
        <f t="shared" si="14"/>
        <v>0</v>
      </c>
      <c r="N120" s="186">
        <f t="shared" si="14"/>
        <v>0</v>
      </c>
      <c r="O120" s="79"/>
      <c r="Q120" s="1262"/>
      <c r="R120" s="5527"/>
      <c r="S120" s="5528"/>
      <c r="T120" s="5526"/>
      <c r="U120" s="5526"/>
      <c r="V120" s="5526"/>
      <c r="W120" s="5526"/>
      <c r="X120" s="5526"/>
      <c r="Y120" s="5526"/>
      <c r="Z120" s="5526"/>
      <c r="AA120" s="5526"/>
      <c r="AB120" s="911"/>
      <c r="AC120" s="898"/>
      <c r="AD120" s="898"/>
      <c r="AE120" s="898"/>
      <c r="AF120" s="905"/>
      <c r="AG120" s="326"/>
      <c r="AH120" s="326"/>
      <c r="AI120" s="326"/>
      <c r="AJ120" s="288"/>
      <c r="AK120" s="288"/>
      <c r="AL120" s="288"/>
      <c r="AM120" s="288"/>
      <c r="AN120" s="354"/>
      <c r="AO120" s="290"/>
      <c r="AP120" s="290"/>
      <c r="AQ120" s="290"/>
      <c r="AR120" s="290"/>
      <c r="AS120" s="290"/>
      <c r="AT120" s="290"/>
      <c r="AU120" s="290"/>
      <c r="CH120" s="1020"/>
      <c r="CI120" s="1020"/>
      <c r="CJ120" s="1020"/>
      <c r="CK120" s="1020"/>
      <c r="CL120" s="1020"/>
      <c r="CM120" s="1020"/>
      <c r="CN120" s="1020"/>
      <c r="CO120" s="1020"/>
    </row>
    <row r="121" spans="1:93" ht="16.350000000000001" customHeight="1" x14ac:dyDescent="0.2">
      <c r="A121" s="2527"/>
      <c r="B121" s="5599" t="s">
        <v>170</v>
      </c>
      <c r="C121" s="5599"/>
      <c r="D121" s="587">
        <f t="shared" ref="D121:N121" si="15">SUM(D115+D120)</f>
        <v>0</v>
      </c>
      <c r="E121" s="670">
        <f t="shared" si="15"/>
        <v>0</v>
      </c>
      <c r="F121" s="280">
        <f t="shared" si="15"/>
        <v>0</v>
      </c>
      <c r="G121" s="587">
        <f t="shared" si="15"/>
        <v>0</v>
      </c>
      <c r="H121" s="280">
        <f t="shared" si="15"/>
        <v>0</v>
      </c>
      <c r="I121" s="587">
        <f t="shared" si="15"/>
        <v>0</v>
      </c>
      <c r="J121" s="280">
        <f t="shared" si="15"/>
        <v>0</v>
      </c>
      <c r="K121" s="587">
        <f t="shared" si="15"/>
        <v>0</v>
      </c>
      <c r="L121" s="280">
        <f t="shared" si="15"/>
        <v>0</v>
      </c>
      <c r="M121" s="587">
        <f t="shared" si="15"/>
        <v>0</v>
      </c>
      <c r="N121" s="280">
        <f t="shared" si="15"/>
        <v>0</v>
      </c>
      <c r="O121" s="79"/>
      <c r="R121" s="912"/>
      <c r="S121" s="1056"/>
      <c r="T121" s="1056"/>
      <c r="U121" s="1056"/>
      <c r="V121" s="1056"/>
      <c r="W121" s="1056"/>
      <c r="X121" s="1056"/>
      <c r="Y121" s="1056"/>
      <c r="Z121" s="1056"/>
      <c r="AA121" s="1056"/>
      <c r="AB121" s="911"/>
      <c r="AC121" s="898"/>
      <c r="AD121" s="898"/>
      <c r="AE121" s="898"/>
      <c r="AF121" s="905"/>
      <c r="AG121" s="326"/>
      <c r="AH121" s="326"/>
      <c r="AI121" s="326"/>
      <c r="AJ121" s="288"/>
      <c r="AK121" s="288"/>
      <c r="AL121" s="288"/>
      <c r="AM121" s="288"/>
      <c r="AN121" s="354"/>
      <c r="AO121" s="290"/>
      <c r="AP121" s="290"/>
      <c r="AQ121" s="290"/>
      <c r="AR121" s="290"/>
      <c r="AS121" s="290"/>
      <c r="AT121" s="290"/>
      <c r="AU121" s="290"/>
      <c r="CH121" s="1020"/>
      <c r="CI121" s="1020"/>
      <c r="CJ121" s="1020"/>
      <c r="CK121" s="1020"/>
      <c r="CL121" s="1020"/>
      <c r="CM121" s="1020"/>
      <c r="CN121" s="1020"/>
      <c r="CO121" s="1020"/>
    </row>
    <row r="122" spans="1:93" ht="24" customHeight="1" x14ac:dyDescent="0.2">
      <c r="B122" s="295" t="s">
        <v>1466</v>
      </c>
      <c r="C122" s="295"/>
      <c r="R122" s="993"/>
      <c r="S122" s="898"/>
      <c r="T122" s="898"/>
      <c r="U122" s="898"/>
      <c r="V122" s="898"/>
      <c r="W122" s="898"/>
      <c r="X122" s="898"/>
      <c r="Y122" s="898"/>
      <c r="Z122" s="913"/>
      <c r="AA122" s="913"/>
      <c r="AB122" s="911"/>
      <c r="AC122" s="898"/>
      <c r="AD122" s="898"/>
      <c r="AE122" s="898"/>
      <c r="AF122" s="905"/>
      <c r="AG122" s="326"/>
      <c r="AH122" s="326"/>
      <c r="AI122" s="326"/>
      <c r="AJ122" s="288"/>
      <c r="AK122" s="288"/>
      <c r="AL122" s="288"/>
      <c r="AM122" s="288"/>
      <c r="AN122" s="288"/>
      <c r="AO122" s="290"/>
      <c r="AP122" s="290"/>
      <c r="AQ122" s="290"/>
      <c r="AR122" s="290"/>
      <c r="AS122" s="290"/>
      <c r="AT122" s="290"/>
      <c r="AU122" s="290"/>
      <c r="CH122" s="1020"/>
      <c r="CI122" s="1020"/>
      <c r="CJ122" s="1020"/>
      <c r="CK122" s="1020"/>
      <c r="CL122" s="1020"/>
      <c r="CM122" s="1020"/>
      <c r="CN122" s="1020"/>
      <c r="CO122" s="1020"/>
    </row>
    <row r="123" spans="1:93" ht="16.350000000000001" customHeight="1" x14ac:dyDescent="0.2">
      <c r="B123" s="5118" t="s">
        <v>293</v>
      </c>
      <c r="C123" s="5120"/>
      <c r="D123" s="5107" t="s">
        <v>42</v>
      </c>
      <c r="E123" s="5117"/>
      <c r="F123" s="5108"/>
      <c r="G123" s="5107" t="s">
        <v>159</v>
      </c>
      <c r="H123" s="5108"/>
      <c r="I123" s="5107" t="s">
        <v>160</v>
      </c>
      <c r="J123" s="5108"/>
      <c r="K123" s="5107" t="s">
        <v>161</v>
      </c>
      <c r="L123" s="5108"/>
      <c r="M123" s="5107" t="s">
        <v>162</v>
      </c>
      <c r="N123" s="5117"/>
      <c r="O123" s="5594" t="s">
        <v>905</v>
      </c>
      <c r="P123" s="5117"/>
      <c r="Q123" s="5108"/>
      <c r="R123" s="993"/>
      <c r="S123" s="898"/>
      <c r="T123" s="898"/>
      <c r="U123" s="898"/>
      <c r="V123" s="898"/>
      <c r="W123" s="898"/>
      <c r="X123" s="898"/>
      <c r="Y123" s="898"/>
      <c r="Z123" s="913"/>
      <c r="AA123" s="914"/>
      <c r="AB123" s="915"/>
      <c r="AC123" s="896"/>
      <c r="AD123" s="896"/>
      <c r="AE123" s="896"/>
      <c r="AF123" s="963"/>
      <c r="AG123" s="356"/>
      <c r="AH123" s="356"/>
      <c r="AI123" s="356"/>
      <c r="AJ123" s="351"/>
      <c r="AK123" s="351"/>
      <c r="AL123" s="351"/>
      <c r="AM123" s="351"/>
      <c r="AN123" s="288"/>
      <c r="AO123" s="290"/>
      <c r="AP123" s="290"/>
      <c r="AQ123" s="290"/>
      <c r="AR123" s="290"/>
      <c r="AS123" s="290"/>
      <c r="AT123" s="290"/>
      <c r="AU123" s="290"/>
      <c r="CH123" s="1020"/>
      <c r="CI123" s="1020"/>
      <c r="CJ123" s="1020"/>
      <c r="CK123" s="1020"/>
      <c r="CL123" s="1020"/>
      <c r="CM123" s="1020"/>
      <c r="CN123" s="1020"/>
      <c r="CO123" s="1020"/>
    </row>
    <row r="124" spans="1:93" ht="16.350000000000001" customHeight="1" x14ac:dyDescent="0.2">
      <c r="B124" s="5125"/>
      <c r="C124" s="5126"/>
      <c r="D124" s="253" t="s">
        <v>184</v>
      </c>
      <c r="E124" s="88" t="s">
        <v>24</v>
      </c>
      <c r="F124" s="131" t="s">
        <v>25</v>
      </c>
      <c r="G124" s="253" t="s">
        <v>24</v>
      </c>
      <c r="H124" s="131" t="s">
        <v>25</v>
      </c>
      <c r="I124" s="253" t="s">
        <v>24</v>
      </c>
      <c r="J124" s="131" t="s">
        <v>25</v>
      </c>
      <c r="K124" s="253" t="s">
        <v>24</v>
      </c>
      <c r="L124" s="131" t="s">
        <v>25</v>
      </c>
      <c r="M124" s="253" t="s">
        <v>24</v>
      </c>
      <c r="N124" s="314" t="s">
        <v>25</v>
      </c>
      <c r="O124" s="596" t="s">
        <v>671</v>
      </c>
      <c r="P124" s="88" t="s">
        <v>977</v>
      </c>
      <c r="Q124" s="131" t="s">
        <v>672</v>
      </c>
      <c r="R124" s="993"/>
      <c r="S124" s="898"/>
      <c r="T124" s="898"/>
      <c r="U124" s="898"/>
      <c r="V124" s="898"/>
      <c r="W124" s="898"/>
      <c r="X124" s="898"/>
      <c r="Y124" s="898"/>
      <c r="Z124" s="916"/>
      <c r="AA124" s="913"/>
      <c r="AB124" s="898"/>
      <c r="AC124" s="898"/>
      <c r="AD124" s="898"/>
      <c r="AE124" s="898"/>
      <c r="AF124" s="905"/>
      <c r="AG124" s="326"/>
      <c r="AH124" s="326"/>
      <c r="AI124" s="326"/>
      <c r="AJ124" s="288"/>
      <c r="AK124" s="288"/>
      <c r="AL124" s="288"/>
      <c r="AM124" s="288"/>
      <c r="AN124" s="288"/>
      <c r="AO124" s="290"/>
      <c r="AP124" s="290"/>
      <c r="AQ124" s="290"/>
      <c r="AR124" s="290"/>
      <c r="AS124" s="290"/>
      <c r="AT124" s="290"/>
      <c r="AU124" s="290"/>
      <c r="CH124" s="1020">
        <v>0</v>
      </c>
      <c r="CI124" s="1020"/>
      <c r="CJ124" s="1020"/>
      <c r="CK124" s="1020"/>
      <c r="CL124" s="1020"/>
      <c r="CM124" s="1020"/>
      <c r="CN124" s="1020"/>
      <c r="CO124" s="1020"/>
    </row>
    <row r="125" spans="1:93" ht="16.350000000000001" customHeight="1" x14ac:dyDescent="0.2">
      <c r="A125" s="2695" t="s">
        <v>3151</v>
      </c>
      <c r="B125" s="5542" t="s">
        <v>1338</v>
      </c>
      <c r="C125" s="2450" t="s">
        <v>337</v>
      </c>
      <c r="D125" s="2749" t="s">
        <v>2777</v>
      </c>
      <c r="E125" s="2586" t="s">
        <v>2778</v>
      </c>
      <c r="F125" s="2558" t="s">
        <v>2779</v>
      </c>
      <c r="G125" s="2483" t="s">
        <v>2780</v>
      </c>
      <c r="H125" s="2499" t="s">
        <v>2781</v>
      </c>
      <c r="I125" s="2483" t="s">
        <v>2782</v>
      </c>
      <c r="J125" s="2499" t="s">
        <v>2783</v>
      </c>
      <c r="K125" s="2483" t="s">
        <v>2784</v>
      </c>
      <c r="L125" s="2499" t="s">
        <v>2785</v>
      </c>
      <c r="M125" s="2483" t="s">
        <v>2786</v>
      </c>
      <c r="N125" s="2587" t="s">
        <v>2787</v>
      </c>
      <c r="O125" s="2750" t="s">
        <v>2788</v>
      </c>
      <c r="P125" s="2462" t="s">
        <v>2789</v>
      </c>
      <c r="Q125" s="2499" t="s">
        <v>2790</v>
      </c>
      <c r="R125" s="1057"/>
      <c r="S125" s="1058"/>
      <c r="T125" s="1058"/>
      <c r="U125" s="1058"/>
      <c r="V125" s="1058"/>
      <c r="W125" s="1058"/>
      <c r="X125" s="1058"/>
      <c r="Y125" s="1058"/>
      <c r="Z125" s="1058"/>
      <c r="AA125" s="1058"/>
      <c r="AB125" s="1058"/>
      <c r="AC125" s="1058"/>
      <c r="AD125" s="898"/>
      <c r="AE125" s="898"/>
      <c r="AF125" s="905"/>
      <c r="AG125" s="326"/>
      <c r="AH125" s="326"/>
      <c r="AI125" s="326"/>
      <c r="AJ125" s="288"/>
      <c r="AK125" s="288"/>
      <c r="AL125" s="288"/>
      <c r="AM125" s="288"/>
      <c r="AN125" s="288"/>
      <c r="AO125" s="290"/>
      <c r="AP125" s="290"/>
      <c r="AQ125" s="290"/>
      <c r="AR125" s="290"/>
      <c r="AS125" s="290"/>
      <c r="AT125" s="290"/>
      <c r="AU125" s="290"/>
      <c r="CH125" s="1020">
        <v>0</v>
      </c>
      <c r="CI125" s="1020"/>
      <c r="CJ125" s="1020"/>
      <c r="CK125" s="1020"/>
      <c r="CL125" s="1020"/>
      <c r="CM125" s="1020"/>
      <c r="CN125" s="1020"/>
      <c r="CO125" s="1020"/>
    </row>
    <row r="126" spans="1:93" ht="16.350000000000001" customHeight="1" x14ac:dyDescent="0.2">
      <c r="A126" s="2695" t="s">
        <v>3152</v>
      </c>
      <c r="B126" s="5543"/>
      <c r="C126" s="140" t="s">
        <v>338</v>
      </c>
      <c r="D126" s="701" t="s">
        <v>2777</v>
      </c>
      <c r="E126" s="702" t="s">
        <v>2778</v>
      </c>
      <c r="F126" s="226" t="s">
        <v>2779</v>
      </c>
      <c r="G126" s="141" t="s">
        <v>2780</v>
      </c>
      <c r="H126" s="198" t="s">
        <v>2781</v>
      </c>
      <c r="I126" s="141" t="s">
        <v>2782</v>
      </c>
      <c r="J126" s="198" t="s">
        <v>2783</v>
      </c>
      <c r="K126" s="141" t="s">
        <v>2784</v>
      </c>
      <c r="L126" s="198" t="s">
        <v>2785</v>
      </c>
      <c r="M126" s="141" t="s">
        <v>2786</v>
      </c>
      <c r="N126" s="143" t="s">
        <v>2787</v>
      </c>
      <c r="O126" s="592" t="s">
        <v>2788</v>
      </c>
      <c r="P126" s="142" t="s">
        <v>2789</v>
      </c>
      <c r="Q126" s="198" t="s">
        <v>2790</v>
      </c>
      <c r="R126" s="1289"/>
      <c r="S126" s="898"/>
      <c r="T126" s="898"/>
      <c r="U126" s="898"/>
      <c r="V126" s="898"/>
      <c r="W126" s="898"/>
      <c r="X126" s="898"/>
      <c r="Y126" s="898"/>
      <c r="Z126" s="909"/>
      <c r="AA126" s="898"/>
      <c r="AB126" s="898"/>
      <c r="AC126" s="898"/>
      <c r="AD126" s="898"/>
      <c r="AE126" s="898"/>
      <c r="AF126" s="898"/>
      <c r="AG126" s="290"/>
      <c r="AH126" s="290"/>
      <c r="AI126" s="290"/>
      <c r="AJ126" s="290"/>
      <c r="AK126" s="290"/>
      <c r="AL126" s="290"/>
      <c r="AM126" s="290"/>
      <c r="AN126" s="290"/>
      <c r="AO126" s="290"/>
      <c r="AP126" s="326"/>
      <c r="AQ126" s="326"/>
      <c r="AR126" s="326"/>
      <c r="AS126" s="326"/>
      <c r="AT126" s="288"/>
      <c r="AU126" s="288"/>
      <c r="CH126" s="1020"/>
      <c r="CI126" s="1020"/>
      <c r="CJ126" s="1020"/>
      <c r="CK126" s="1020"/>
      <c r="CL126" s="1020"/>
      <c r="CM126" s="1020"/>
      <c r="CN126" s="1020"/>
      <c r="CO126" s="1020"/>
    </row>
    <row r="127" spans="1:93" ht="16.350000000000001" customHeight="1" x14ac:dyDescent="0.2">
      <c r="A127" s="2695" t="s">
        <v>3153</v>
      </c>
      <c r="B127" s="5544"/>
      <c r="C127" s="2748" t="s">
        <v>339</v>
      </c>
      <c r="D127" s="2633" t="s">
        <v>2777</v>
      </c>
      <c r="E127" s="710" t="s">
        <v>2778</v>
      </c>
      <c r="F127" s="228" t="s">
        <v>2779</v>
      </c>
      <c r="G127" s="2245" t="s">
        <v>2780</v>
      </c>
      <c r="H127" s="240" t="s">
        <v>2781</v>
      </c>
      <c r="I127" s="2245" t="s">
        <v>2782</v>
      </c>
      <c r="J127" s="240" t="s">
        <v>2783</v>
      </c>
      <c r="K127" s="2245" t="s">
        <v>2784</v>
      </c>
      <c r="L127" s="240" t="s">
        <v>2785</v>
      </c>
      <c r="M127" s="2245" t="s">
        <v>2786</v>
      </c>
      <c r="N127" s="148" t="s">
        <v>2787</v>
      </c>
      <c r="O127" s="598" t="s">
        <v>2788</v>
      </c>
      <c r="P127" s="146" t="s">
        <v>2789</v>
      </c>
      <c r="Q127" s="240" t="s">
        <v>2790</v>
      </c>
      <c r="R127" s="1290"/>
      <c r="S127" s="881"/>
      <c r="T127" s="881"/>
      <c r="U127" s="881"/>
      <c r="V127" s="881"/>
      <c r="W127" s="881"/>
      <c r="X127" s="881"/>
      <c r="Y127" s="881"/>
      <c r="Z127" s="881"/>
      <c r="AA127" s="898"/>
      <c r="AB127" s="898"/>
      <c r="AC127" s="898"/>
      <c r="AD127" s="898"/>
      <c r="AE127" s="898"/>
      <c r="AF127" s="898"/>
      <c r="AG127" s="290"/>
      <c r="AH127" s="290"/>
      <c r="AI127" s="290"/>
      <c r="AJ127" s="290"/>
      <c r="AK127" s="290"/>
      <c r="AL127" s="290"/>
      <c r="AM127" s="290"/>
      <c r="AN127" s="290"/>
      <c r="AO127" s="290"/>
      <c r="AP127" s="326"/>
      <c r="AQ127" s="326"/>
      <c r="AR127" s="326"/>
      <c r="AS127" s="326"/>
      <c r="AT127" s="288"/>
      <c r="AU127" s="288"/>
      <c r="CH127" s="1020"/>
      <c r="CI127" s="1020"/>
      <c r="CJ127" s="1020"/>
      <c r="CK127" s="1020"/>
      <c r="CL127" s="1020"/>
      <c r="CM127" s="1020"/>
      <c r="CN127" s="1020"/>
      <c r="CO127" s="1020"/>
    </row>
    <row r="128" spans="1:93" ht="16.350000000000001" customHeight="1" x14ac:dyDescent="0.2">
      <c r="A128" s="2751"/>
      <c r="B128" s="5600" t="s">
        <v>340</v>
      </c>
      <c r="C128" s="5600"/>
      <c r="D128" s="2550">
        <f t="shared" ref="D128:Q128" si="16">SUM(D125:D127)</f>
        <v>0</v>
      </c>
      <c r="E128" s="2752">
        <f t="shared" si="16"/>
        <v>0</v>
      </c>
      <c r="F128" s="2546">
        <f t="shared" si="16"/>
        <v>0</v>
      </c>
      <c r="G128" s="2550">
        <f t="shared" si="16"/>
        <v>0</v>
      </c>
      <c r="H128" s="2546">
        <f t="shared" si="16"/>
        <v>0</v>
      </c>
      <c r="I128" s="2550">
        <f t="shared" si="16"/>
        <v>0</v>
      </c>
      <c r="J128" s="2546">
        <f t="shared" si="16"/>
        <v>0</v>
      </c>
      <c r="K128" s="2550">
        <f t="shared" si="16"/>
        <v>0</v>
      </c>
      <c r="L128" s="2546">
        <f t="shared" si="16"/>
        <v>0</v>
      </c>
      <c r="M128" s="2550">
        <f t="shared" si="16"/>
        <v>0</v>
      </c>
      <c r="N128" s="2753">
        <f t="shared" si="16"/>
        <v>0</v>
      </c>
      <c r="O128" s="2754">
        <f t="shared" si="16"/>
        <v>0</v>
      </c>
      <c r="P128" s="2752">
        <f t="shared" si="16"/>
        <v>0</v>
      </c>
      <c r="Q128" s="2546">
        <f t="shared" si="16"/>
        <v>0</v>
      </c>
      <c r="R128" s="1290"/>
      <c r="S128" s="881"/>
      <c r="T128" s="881"/>
      <c r="U128" s="881"/>
      <c r="V128" s="881"/>
      <c r="W128" s="881"/>
      <c r="X128" s="881"/>
      <c r="Y128" s="881"/>
      <c r="Z128" s="881"/>
      <c r="AA128" s="898"/>
      <c r="AB128" s="898"/>
      <c r="AC128" s="898"/>
      <c r="AD128" s="898"/>
      <c r="AE128" s="898"/>
      <c r="AF128" s="898"/>
      <c r="AG128" s="290"/>
      <c r="AH128" s="290"/>
      <c r="AI128" s="290"/>
      <c r="AJ128" s="290"/>
      <c r="AK128" s="290"/>
      <c r="AL128" s="290"/>
      <c r="AM128" s="290"/>
      <c r="AN128" s="290"/>
      <c r="AO128" s="290"/>
      <c r="AP128" s="326"/>
      <c r="AQ128" s="326"/>
      <c r="AR128" s="326"/>
      <c r="AS128" s="326"/>
      <c r="AT128" s="288"/>
      <c r="AU128" s="288"/>
      <c r="CH128" s="1020"/>
      <c r="CI128" s="1020"/>
      <c r="CJ128" s="1020"/>
      <c r="CK128" s="1020"/>
      <c r="CL128" s="1020"/>
      <c r="CM128" s="1020"/>
      <c r="CN128" s="1020"/>
      <c r="CO128" s="1020"/>
    </row>
    <row r="129" spans="1:105" ht="16.350000000000001" customHeight="1" x14ac:dyDescent="0.2">
      <c r="A129" s="2695" t="s">
        <v>3154</v>
      </c>
      <c r="B129" s="5542" t="s">
        <v>969</v>
      </c>
      <c r="C129" s="2636" t="s">
        <v>341</v>
      </c>
      <c r="D129" s="2625" t="s">
        <v>2777</v>
      </c>
      <c r="E129" s="2303" t="s">
        <v>2778</v>
      </c>
      <c r="F129" s="216" t="s">
        <v>2779</v>
      </c>
      <c r="G129" s="2577" t="s">
        <v>2780</v>
      </c>
      <c r="H129" s="197" t="s">
        <v>2781</v>
      </c>
      <c r="I129" s="2577" t="s">
        <v>2782</v>
      </c>
      <c r="J129" s="197" t="s">
        <v>2783</v>
      </c>
      <c r="K129" s="2577" t="s">
        <v>2784</v>
      </c>
      <c r="L129" s="197" t="s">
        <v>2785</v>
      </c>
      <c r="M129" s="2577" t="s">
        <v>2786</v>
      </c>
      <c r="N129" s="493" t="s">
        <v>2787</v>
      </c>
      <c r="O129" s="2755" t="s">
        <v>2788</v>
      </c>
      <c r="P129" s="2396" t="s">
        <v>2789</v>
      </c>
      <c r="Q129" s="197" t="s">
        <v>2790</v>
      </c>
      <c r="R129" s="1290"/>
      <c r="S129" s="881"/>
      <c r="T129" s="881"/>
      <c r="U129" s="881"/>
      <c r="V129" s="881"/>
      <c r="W129" s="881"/>
      <c r="X129" s="881"/>
      <c r="Y129" s="881"/>
      <c r="Z129" s="881"/>
      <c r="AA129" s="898"/>
      <c r="AB129" s="898"/>
      <c r="AC129" s="898"/>
      <c r="AD129" s="898"/>
      <c r="AE129" s="898"/>
      <c r="AF129" s="898"/>
      <c r="AG129" s="290"/>
      <c r="AH129" s="290"/>
      <c r="AI129" s="290"/>
      <c r="AJ129" s="290"/>
      <c r="AK129" s="290"/>
      <c r="AL129" s="290"/>
      <c r="AM129" s="290"/>
      <c r="AN129" s="290"/>
      <c r="AO129" s="290"/>
      <c r="AP129" s="326"/>
      <c r="AQ129" s="326"/>
      <c r="AR129" s="326"/>
      <c r="AS129" s="326"/>
      <c r="AT129" s="288"/>
      <c r="AU129" s="288"/>
      <c r="CH129" s="1020"/>
      <c r="CI129" s="1020"/>
      <c r="CJ129" s="1020"/>
      <c r="CK129" s="1020"/>
      <c r="CL129" s="1020"/>
      <c r="CM129" s="1020"/>
      <c r="CN129" s="1020"/>
      <c r="CO129" s="1020"/>
    </row>
    <row r="130" spans="1:105" ht="16.350000000000001" customHeight="1" x14ac:dyDescent="0.2">
      <c r="A130" s="2695" t="s">
        <v>3155</v>
      </c>
      <c r="B130" s="5543"/>
      <c r="C130" s="140" t="s">
        <v>342</v>
      </c>
      <c r="D130" s="701" t="s">
        <v>2777</v>
      </c>
      <c r="E130" s="702" t="s">
        <v>2778</v>
      </c>
      <c r="F130" s="226" t="s">
        <v>2779</v>
      </c>
      <c r="G130" s="141" t="s">
        <v>2780</v>
      </c>
      <c r="H130" s="198" t="s">
        <v>2781</v>
      </c>
      <c r="I130" s="141" t="s">
        <v>2782</v>
      </c>
      <c r="J130" s="198" t="s">
        <v>2783</v>
      </c>
      <c r="K130" s="141" t="s">
        <v>2784</v>
      </c>
      <c r="L130" s="198" t="s">
        <v>2785</v>
      </c>
      <c r="M130" s="141" t="s">
        <v>2786</v>
      </c>
      <c r="N130" s="143" t="s">
        <v>2787</v>
      </c>
      <c r="O130" s="592" t="s">
        <v>2788</v>
      </c>
      <c r="P130" s="142" t="s">
        <v>2789</v>
      </c>
      <c r="Q130" s="198" t="s">
        <v>2790</v>
      </c>
      <c r="R130" s="1057"/>
      <c r="S130" s="1058"/>
      <c r="T130" s="1058"/>
      <c r="U130" s="1058"/>
      <c r="V130" s="1058"/>
      <c r="W130" s="1058"/>
      <c r="X130" s="1058"/>
      <c r="Y130" s="1058"/>
      <c r="Z130" s="1058"/>
      <c r="AA130" s="1058"/>
      <c r="AB130" s="1058"/>
      <c r="AC130" s="1058"/>
      <c r="AD130" s="898"/>
      <c r="AE130" s="898"/>
      <c r="AF130" s="898"/>
      <c r="AG130" s="290"/>
      <c r="AH130" s="290"/>
      <c r="AI130" s="290"/>
      <c r="AJ130" s="290"/>
      <c r="AK130" s="290"/>
      <c r="AL130" s="290"/>
      <c r="AM130" s="290"/>
      <c r="AN130" s="290"/>
      <c r="AO130" s="290"/>
      <c r="AP130" s="326"/>
      <c r="AQ130" s="326"/>
      <c r="AR130" s="326"/>
      <c r="AS130" s="326"/>
      <c r="AT130" s="288"/>
      <c r="AU130" s="288"/>
      <c r="CH130" s="1020">
        <v>0</v>
      </c>
      <c r="CI130" s="1020"/>
      <c r="CJ130" s="1020"/>
      <c r="CK130" s="1020"/>
      <c r="CL130" s="1020"/>
      <c r="CM130" s="1020"/>
      <c r="CN130" s="1020"/>
      <c r="CO130" s="1020"/>
    </row>
    <row r="131" spans="1:105" ht="16.350000000000001" customHeight="1" x14ac:dyDescent="0.2">
      <c r="A131" s="2695" t="s">
        <v>3156</v>
      </c>
      <c r="B131" s="5543"/>
      <c r="C131" s="140" t="s">
        <v>343</v>
      </c>
      <c r="D131" s="701" t="s">
        <v>2777</v>
      </c>
      <c r="E131" s="702" t="s">
        <v>2778</v>
      </c>
      <c r="F131" s="226" t="s">
        <v>2779</v>
      </c>
      <c r="G131" s="141" t="s">
        <v>2780</v>
      </c>
      <c r="H131" s="198" t="s">
        <v>2781</v>
      </c>
      <c r="I131" s="141" t="s">
        <v>2782</v>
      </c>
      <c r="J131" s="198" t="s">
        <v>2783</v>
      </c>
      <c r="K131" s="141" t="s">
        <v>2784</v>
      </c>
      <c r="L131" s="198" t="s">
        <v>2785</v>
      </c>
      <c r="M131" s="141" t="s">
        <v>2786</v>
      </c>
      <c r="N131" s="143" t="s">
        <v>2787</v>
      </c>
      <c r="O131" s="592" t="s">
        <v>2788</v>
      </c>
      <c r="P131" s="142" t="s">
        <v>2789</v>
      </c>
      <c r="Q131" s="198" t="s">
        <v>2790</v>
      </c>
      <c r="R131" s="1290"/>
      <c r="S131" s="881"/>
      <c r="T131" s="881"/>
      <c r="U131" s="881"/>
      <c r="V131" s="881"/>
      <c r="W131" s="881"/>
      <c r="X131" s="881"/>
      <c r="Y131" s="881"/>
      <c r="Z131" s="881"/>
      <c r="AA131" s="898"/>
      <c r="AB131" s="898"/>
      <c r="AC131" s="898"/>
      <c r="AD131" s="898"/>
      <c r="AE131" s="898"/>
      <c r="AF131" s="898"/>
      <c r="AG131" s="290"/>
      <c r="AH131" s="290"/>
      <c r="AI131" s="290"/>
      <c r="AJ131" s="290"/>
      <c r="AK131" s="290"/>
      <c r="AL131" s="290"/>
      <c r="AM131" s="290"/>
      <c r="AN131" s="290"/>
      <c r="AO131" s="290"/>
      <c r="AP131" s="290"/>
      <c r="AQ131" s="290"/>
      <c r="AR131" s="290"/>
      <c r="AS131" s="290"/>
      <c r="AT131" s="290"/>
      <c r="AU131" s="290"/>
      <c r="CH131" s="1020"/>
      <c r="CI131" s="1020"/>
      <c r="CJ131" s="1020"/>
      <c r="CK131" s="1020"/>
      <c r="CL131" s="1020"/>
      <c r="CM131" s="1020"/>
      <c r="CN131" s="1020"/>
      <c r="CO131" s="1020"/>
    </row>
    <row r="132" spans="1:105" ht="15.75" customHeight="1" x14ac:dyDescent="0.2">
      <c r="A132" s="2695" t="s">
        <v>3157</v>
      </c>
      <c r="B132" s="5544"/>
      <c r="C132" s="2465" t="s">
        <v>344</v>
      </c>
      <c r="D132" s="2633" t="s">
        <v>2777</v>
      </c>
      <c r="E132" s="710" t="s">
        <v>2778</v>
      </c>
      <c r="F132" s="228" t="s">
        <v>2779</v>
      </c>
      <c r="G132" s="2245" t="s">
        <v>2780</v>
      </c>
      <c r="H132" s="240" t="s">
        <v>2781</v>
      </c>
      <c r="I132" s="2245" t="s">
        <v>2782</v>
      </c>
      <c r="J132" s="240" t="s">
        <v>2783</v>
      </c>
      <c r="K132" s="2245" t="s">
        <v>2784</v>
      </c>
      <c r="L132" s="240" t="s">
        <v>2785</v>
      </c>
      <c r="M132" s="2245" t="s">
        <v>2786</v>
      </c>
      <c r="N132" s="148" t="s">
        <v>2787</v>
      </c>
      <c r="O132" s="598" t="s">
        <v>2788</v>
      </c>
      <c r="P132" s="146" t="s">
        <v>2789</v>
      </c>
      <c r="Q132" s="240" t="s">
        <v>2790</v>
      </c>
      <c r="R132" s="924"/>
      <c r="S132" s="881"/>
      <c r="T132" s="881"/>
      <c r="U132" s="881"/>
      <c r="V132" s="881"/>
      <c r="W132" s="881"/>
      <c r="X132" s="881"/>
      <c r="Y132" s="881"/>
      <c r="Z132" s="881"/>
      <c r="AA132" s="881"/>
      <c r="AB132" s="881"/>
      <c r="AC132" s="898"/>
      <c r="AD132" s="898"/>
      <c r="AE132" s="898"/>
      <c r="AF132" s="898"/>
      <c r="AG132" s="290"/>
      <c r="AH132" s="290"/>
      <c r="AI132" s="290"/>
      <c r="AJ132" s="290"/>
      <c r="AK132" s="290"/>
      <c r="AL132" s="290"/>
      <c r="AM132" s="290"/>
      <c r="AN132" s="290"/>
      <c r="AO132" s="290"/>
      <c r="AP132" s="290"/>
      <c r="AQ132" s="290"/>
      <c r="AR132" s="290"/>
      <c r="AS132" s="290"/>
      <c r="AT132" s="290"/>
      <c r="AU132" s="290"/>
      <c r="AV132" s="290"/>
      <c r="AW132" s="290"/>
      <c r="CA132" s="80"/>
      <c r="CH132" s="1020"/>
      <c r="CI132" s="1020"/>
      <c r="CJ132" s="1020"/>
      <c r="CK132" s="1020"/>
      <c r="CL132" s="1020"/>
      <c r="CM132" s="1020"/>
      <c r="CN132" s="1020"/>
      <c r="CO132" s="1020"/>
    </row>
    <row r="133" spans="1:105" ht="16.350000000000001" customHeight="1" x14ac:dyDescent="0.2">
      <c r="A133" s="2527"/>
      <c r="B133" s="5687" t="s">
        <v>340</v>
      </c>
      <c r="C133" s="5687"/>
      <c r="D133" s="514">
        <f t="shared" ref="D133:Q133" si="17">SUM(D129:D132)</f>
        <v>0</v>
      </c>
      <c r="E133" s="516">
        <f t="shared" si="17"/>
        <v>0</v>
      </c>
      <c r="F133" s="214">
        <f t="shared" si="17"/>
        <v>0</v>
      </c>
      <c r="G133" s="514">
        <f t="shared" si="17"/>
        <v>0</v>
      </c>
      <c r="H133" s="214">
        <f t="shared" si="17"/>
        <v>0</v>
      </c>
      <c r="I133" s="514">
        <f t="shared" si="17"/>
        <v>0</v>
      </c>
      <c r="J133" s="214">
        <f t="shared" si="17"/>
        <v>0</v>
      </c>
      <c r="K133" s="514">
        <f t="shared" si="17"/>
        <v>0</v>
      </c>
      <c r="L133" s="214">
        <f t="shared" si="17"/>
        <v>0</v>
      </c>
      <c r="M133" s="514">
        <f t="shared" si="17"/>
        <v>0</v>
      </c>
      <c r="N133" s="515">
        <f t="shared" si="17"/>
        <v>0</v>
      </c>
      <c r="O133" s="657">
        <f t="shared" si="17"/>
        <v>0</v>
      </c>
      <c r="P133" s="516">
        <f t="shared" si="17"/>
        <v>0</v>
      </c>
      <c r="Q133" s="214">
        <f t="shared" si="17"/>
        <v>0</v>
      </c>
      <c r="R133" s="924"/>
      <c r="S133" s="881"/>
      <c r="T133" s="881"/>
      <c r="U133" s="881"/>
      <c r="V133" s="881"/>
      <c r="W133" s="881"/>
      <c r="X133" s="898"/>
      <c r="Y133" s="898"/>
      <c r="Z133" s="898"/>
      <c r="AA133" s="898"/>
      <c r="AB133" s="898"/>
      <c r="AC133" s="898"/>
      <c r="AD133" s="898"/>
      <c r="AE133" s="898"/>
      <c r="AF133" s="898"/>
      <c r="AG133" s="290"/>
      <c r="AH133" s="290"/>
      <c r="AI133" s="290"/>
      <c r="AJ133" s="290"/>
      <c r="AK133" s="290"/>
      <c r="AL133" s="290"/>
      <c r="AM133" s="290"/>
      <c r="AN133" s="290"/>
      <c r="AO133" s="290"/>
      <c r="AP133" s="290"/>
      <c r="AQ133" s="290"/>
      <c r="AR133" s="290"/>
      <c r="CH133" s="1020"/>
      <c r="CI133" s="1020"/>
      <c r="CJ133" s="1020"/>
      <c r="CK133" s="1020"/>
      <c r="CL133" s="1020"/>
      <c r="CM133" s="1020"/>
      <c r="CN133" s="1020"/>
      <c r="CO133" s="1020"/>
    </row>
    <row r="134" spans="1:105" ht="16.350000000000001" customHeight="1" x14ac:dyDescent="0.2">
      <c r="A134" s="2527"/>
      <c r="B134" s="5599" t="s">
        <v>170</v>
      </c>
      <c r="C134" s="5599"/>
      <c r="D134" s="656">
        <f t="shared" ref="D134:Q134" si="18">SUM(D128+D133)</f>
        <v>0</v>
      </c>
      <c r="E134" s="659">
        <f t="shared" si="18"/>
        <v>0</v>
      </c>
      <c r="F134" s="412">
        <f t="shared" si="18"/>
        <v>0</v>
      </c>
      <c r="G134" s="656">
        <f t="shared" si="18"/>
        <v>0</v>
      </c>
      <c r="H134" s="412">
        <f t="shared" si="18"/>
        <v>0</v>
      </c>
      <c r="I134" s="656">
        <f t="shared" si="18"/>
        <v>0</v>
      </c>
      <c r="J134" s="412">
        <f t="shared" si="18"/>
        <v>0</v>
      </c>
      <c r="K134" s="656">
        <f t="shared" si="18"/>
        <v>0</v>
      </c>
      <c r="L134" s="412">
        <f t="shared" si="18"/>
        <v>0</v>
      </c>
      <c r="M134" s="656">
        <f t="shared" si="18"/>
        <v>0</v>
      </c>
      <c r="N134" s="396">
        <f t="shared" si="18"/>
        <v>0</v>
      </c>
      <c r="O134" s="658">
        <f t="shared" si="18"/>
        <v>0</v>
      </c>
      <c r="P134" s="659">
        <f t="shared" si="18"/>
        <v>0</v>
      </c>
      <c r="Q134" s="412">
        <f t="shared" si="18"/>
        <v>0</v>
      </c>
      <c r="R134" s="924"/>
      <c r="S134" s="881"/>
      <c r="T134" s="881"/>
      <c r="U134" s="881"/>
      <c r="V134" s="881"/>
      <c r="W134" s="881"/>
      <c r="X134" s="898"/>
      <c r="Y134" s="898"/>
      <c r="Z134" s="898"/>
      <c r="AA134" s="898"/>
      <c r="AB134" s="898"/>
      <c r="AC134" s="898"/>
      <c r="AD134" s="898"/>
      <c r="AE134" s="898"/>
      <c r="AF134" s="898"/>
      <c r="AG134" s="290"/>
      <c r="AH134" s="290"/>
      <c r="AI134" s="290"/>
      <c r="AJ134" s="290"/>
      <c r="AK134" s="290"/>
      <c r="AL134" s="290"/>
      <c r="AM134" s="290"/>
      <c r="AN134" s="290"/>
      <c r="AO134" s="290"/>
      <c r="AP134" s="290"/>
      <c r="AQ134" s="290"/>
      <c r="AR134" s="290"/>
      <c r="CH134" s="1020"/>
      <c r="CI134" s="1020"/>
      <c r="CJ134" s="1020"/>
      <c r="CK134" s="1020"/>
      <c r="CL134" s="1020"/>
      <c r="CM134" s="1020"/>
      <c r="CN134" s="1020"/>
      <c r="CO134" s="1020"/>
    </row>
    <row r="135" spans="1:105" ht="21" customHeight="1" x14ac:dyDescent="0.2">
      <c r="B135" s="967" t="s">
        <v>866</v>
      </c>
      <c r="C135" s="295"/>
      <c r="Q135" s="881"/>
      <c r="R135" s="881"/>
      <c r="S135" s="881"/>
      <c r="T135" s="881"/>
      <c r="U135" s="881"/>
      <c r="V135" s="881"/>
      <c r="W135" s="881"/>
      <c r="X135" s="898"/>
      <c r="Y135" s="898"/>
      <c r="Z135" s="898"/>
      <c r="AA135" s="898"/>
      <c r="AB135" s="898"/>
      <c r="AC135" s="898"/>
      <c r="AD135" s="898"/>
      <c r="AE135" s="898"/>
      <c r="AF135" s="898"/>
      <c r="AG135" s="290"/>
      <c r="AH135" s="290"/>
      <c r="AI135" s="290"/>
      <c r="AJ135" s="290"/>
      <c r="AK135" s="290"/>
      <c r="AL135" s="290"/>
      <c r="AM135" s="290"/>
      <c r="AN135" s="290"/>
      <c r="AO135" s="290"/>
      <c r="AP135" s="290"/>
      <c r="AQ135" s="290"/>
      <c r="AR135" s="290"/>
      <c r="CH135" s="1020">
        <v>0</v>
      </c>
      <c r="CI135" s="1020"/>
      <c r="CJ135" s="1020"/>
      <c r="CK135" s="1020"/>
      <c r="CL135" s="1020"/>
      <c r="CM135" s="1020"/>
      <c r="CN135" s="1020"/>
      <c r="CO135" s="1020"/>
    </row>
    <row r="136" spans="1:105" ht="16.350000000000001" customHeight="1" x14ac:dyDescent="0.2">
      <c r="B136" s="5118" t="s">
        <v>293</v>
      </c>
      <c r="C136" s="5120"/>
      <c r="D136" s="5117" t="s">
        <v>42</v>
      </c>
      <c r="E136" s="5117"/>
      <c r="F136" s="5108"/>
      <c r="G136" s="5107" t="s">
        <v>158</v>
      </c>
      <c r="H136" s="5108"/>
      <c r="I136" s="5107" t="s">
        <v>159</v>
      </c>
      <c r="J136" s="5108"/>
      <c r="K136" s="5107" t="s">
        <v>160</v>
      </c>
      <c r="L136" s="5108"/>
      <c r="M136" s="5107" t="s">
        <v>161</v>
      </c>
      <c r="N136" s="5108"/>
      <c r="O136" s="5107" t="s">
        <v>162</v>
      </c>
      <c r="P136" s="5108"/>
      <c r="Q136" s="881"/>
      <c r="R136" s="881"/>
      <c r="S136" s="881"/>
      <c r="T136" s="881"/>
      <c r="U136" s="881"/>
      <c r="V136" s="881"/>
      <c r="W136" s="881"/>
      <c r="X136" s="898"/>
      <c r="Y136" s="898"/>
      <c r="Z136" s="898"/>
      <c r="AA136" s="898"/>
      <c r="AB136" s="898"/>
      <c r="AC136" s="898"/>
      <c r="AD136" s="898"/>
      <c r="AE136" s="898"/>
      <c r="AF136" s="898"/>
      <c r="AG136" s="290"/>
      <c r="AH136" s="290"/>
      <c r="AI136" s="290"/>
      <c r="AJ136" s="290"/>
      <c r="AK136" s="290"/>
      <c r="AL136" s="290"/>
      <c r="AM136" s="290"/>
      <c r="AN136" s="290"/>
      <c r="AO136" s="290"/>
      <c r="AP136" s="290"/>
      <c r="AQ136" s="290"/>
      <c r="AR136" s="291"/>
      <c r="AS136" s="321"/>
      <c r="AT136" s="321"/>
      <c r="AU136" s="321"/>
      <c r="AV136" s="321"/>
      <c r="AW136" s="321"/>
      <c r="AX136" s="321"/>
      <c r="AY136" s="321"/>
      <c r="AZ136" s="321"/>
      <c r="BA136" s="321"/>
      <c r="BB136" s="321"/>
      <c r="BC136" s="321"/>
      <c r="BD136" s="321"/>
      <c r="CH136" s="1020"/>
      <c r="CI136" s="1020"/>
      <c r="CJ136" s="1020"/>
      <c r="CK136" s="1020"/>
      <c r="CL136" s="1020"/>
      <c r="CM136" s="1020"/>
      <c r="CN136" s="1020"/>
      <c r="CO136" s="1020"/>
    </row>
    <row r="137" spans="1:105" ht="16.350000000000001" customHeight="1" x14ac:dyDescent="0.2">
      <c r="B137" s="5125"/>
      <c r="C137" s="5126"/>
      <c r="D137" s="253" t="s">
        <v>184</v>
      </c>
      <c r="E137" s="88" t="s">
        <v>24</v>
      </c>
      <c r="F137" s="131" t="s">
        <v>25</v>
      </c>
      <c r="G137" s="253" t="s">
        <v>24</v>
      </c>
      <c r="H137" s="131" t="s">
        <v>25</v>
      </c>
      <c r="I137" s="253" t="s">
        <v>24</v>
      </c>
      <c r="J137" s="131" t="s">
        <v>25</v>
      </c>
      <c r="K137" s="253" t="s">
        <v>24</v>
      </c>
      <c r="L137" s="131" t="s">
        <v>25</v>
      </c>
      <c r="M137" s="253" t="s">
        <v>24</v>
      </c>
      <c r="N137" s="131" t="s">
        <v>25</v>
      </c>
      <c r="O137" s="133" t="s">
        <v>24</v>
      </c>
      <c r="P137" s="191" t="s">
        <v>25</v>
      </c>
      <c r="Q137" s="881"/>
      <c r="R137" s="881"/>
      <c r="S137" s="881"/>
      <c r="T137" s="881"/>
      <c r="U137" s="881"/>
      <c r="V137" s="881"/>
      <c r="W137" s="881"/>
      <c r="X137" s="898"/>
      <c r="Y137" s="898"/>
      <c r="Z137" s="898"/>
      <c r="AA137" s="898"/>
      <c r="AB137" s="898"/>
      <c r="AC137" s="898"/>
      <c r="AD137" s="898"/>
      <c r="AE137" s="898"/>
      <c r="AF137" s="898"/>
      <c r="AG137" s="290"/>
      <c r="AH137" s="290"/>
      <c r="AI137" s="290"/>
      <c r="AJ137" s="290"/>
      <c r="AK137" s="290"/>
      <c r="AL137" s="290"/>
      <c r="AM137" s="290"/>
      <c r="AN137" s="290"/>
      <c r="AO137" s="290"/>
      <c r="AP137" s="290"/>
      <c r="AQ137" s="290"/>
      <c r="AR137" s="348"/>
      <c r="AS137" s="321"/>
      <c r="AT137" s="321"/>
      <c r="AU137" s="321"/>
      <c r="AV137" s="321"/>
      <c r="AW137" s="321"/>
      <c r="AX137" s="321"/>
      <c r="AY137" s="321"/>
      <c r="AZ137" s="321"/>
      <c r="BA137" s="321"/>
      <c r="BB137" s="321"/>
      <c r="BC137" s="321"/>
      <c r="BD137" s="321"/>
      <c r="CH137" s="1020"/>
      <c r="CI137" s="1020"/>
      <c r="CJ137" s="1020"/>
      <c r="CK137" s="1020"/>
      <c r="CL137" s="1020"/>
      <c r="CM137" s="1020"/>
      <c r="CN137" s="1020"/>
      <c r="CO137" s="1020"/>
    </row>
    <row r="138" spans="1:105" s="154" customFormat="1" ht="16.350000000000001" customHeight="1" x14ac:dyDescent="0.2">
      <c r="A138" s="2695" t="s">
        <v>3158</v>
      </c>
      <c r="B138" s="5682" t="s">
        <v>345</v>
      </c>
      <c r="C138" s="2756" t="s">
        <v>337</v>
      </c>
      <c r="D138" s="2584" t="s">
        <v>2777</v>
      </c>
      <c r="E138" s="2343" t="s">
        <v>2778</v>
      </c>
      <c r="F138" s="239" t="s">
        <v>2779</v>
      </c>
      <c r="G138" s="2483" t="s">
        <v>2780</v>
      </c>
      <c r="H138" s="2499" t="s">
        <v>2781</v>
      </c>
      <c r="I138" s="2483" t="s">
        <v>2782</v>
      </c>
      <c r="J138" s="197" t="s">
        <v>2783</v>
      </c>
      <c r="K138" s="2577" t="s">
        <v>2784</v>
      </c>
      <c r="L138" s="197" t="s">
        <v>2785</v>
      </c>
      <c r="M138" s="2577" t="s">
        <v>2786</v>
      </c>
      <c r="N138" s="197" t="s">
        <v>2787</v>
      </c>
      <c r="O138" s="2271" t="s">
        <v>2788</v>
      </c>
      <c r="P138" s="2480" t="s">
        <v>2789</v>
      </c>
      <c r="Q138" s="916"/>
      <c r="R138" s="898"/>
      <c r="S138" s="898"/>
      <c r="T138" s="898"/>
      <c r="U138" s="898"/>
      <c r="V138" s="898"/>
      <c r="W138" s="898"/>
      <c r="X138" s="898"/>
      <c r="Y138" s="898"/>
      <c r="Z138" s="898"/>
      <c r="AA138" s="898"/>
      <c r="AB138" s="898"/>
      <c r="AC138" s="898"/>
      <c r="AD138" s="898"/>
      <c r="AE138" s="290"/>
      <c r="AF138" s="290"/>
      <c r="AG138" s="290"/>
      <c r="AH138" s="290"/>
      <c r="AI138" s="290"/>
      <c r="AJ138" s="292"/>
      <c r="AK138" s="364"/>
      <c r="AL138" s="364"/>
      <c r="AM138" s="364"/>
      <c r="AN138" s="364"/>
      <c r="AO138" s="364"/>
      <c r="AP138" s="364"/>
      <c r="AQ138" s="364"/>
      <c r="AR138" s="364"/>
      <c r="AS138" s="364"/>
      <c r="AT138" s="364"/>
      <c r="AU138" s="364"/>
      <c r="AV138" s="364"/>
      <c r="AW138" s="364"/>
      <c r="AX138" s="364"/>
      <c r="AY138" s="364"/>
      <c r="AZ138" s="364"/>
      <c r="BA138" s="364"/>
      <c r="BB138" s="364"/>
      <c r="BC138" s="364"/>
      <c r="BD138" s="364"/>
      <c r="BE138" s="364"/>
      <c r="BF138" s="364"/>
      <c r="BG138" s="364"/>
      <c r="BH138" s="364"/>
      <c r="BI138" s="364"/>
      <c r="BJ138" s="364"/>
      <c r="BK138" s="364"/>
      <c r="BL138" s="364"/>
      <c r="BM138" s="364"/>
      <c r="BN138" s="364"/>
      <c r="BO138" s="364"/>
      <c r="BP138" s="364"/>
      <c r="BQ138" s="364"/>
      <c r="BR138" s="364"/>
      <c r="BS138" s="364"/>
      <c r="BT138" s="364"/>
      <c r="BU138" s="364"/>
      <c r="BV138" s="364"/>
      <c r="BW138" s="364"/>
      <c r="BX138" s="364"/>
      <c r="BY138" s="882"/>
      <c r="BZ138" s="364"/>
      <c r="CA138" s="365"/>
      <c r="CB138" s="917"/>
      <c r="CC138" s="917"/>
      <c r="CD138" s="917"/>
      <c r="CE138" s="917"/>
      <c r="CF138" s="917"/>
      <c r="CG138" s="917"/>
      <c r="CH138" s="1021"/>
      <c r="CI138" s="1021"/>
      <c r="CJ138" s="1021"/>
      <c r="CK138" s="1021"/>
      <c r="CL138" s="1021"/>
      <c r="CM138" s="1021"/>
      <c r="CN138" s="1021"/>
      <c r="CO138" s="1021"/>
      <c r="CP138" s="917"/>
      <c r="CQ138" s="917"/>
      <c r="CR138" s="917"/>
      <c r="CS138" s="917"/>
      <c r="CT138" s="917"/>
      <c r="CU138" s="917"/>
      <c r="CV138" s="917"/>
      <c r="CW138" s="917"/>
      <c r="CX138" s="917"/>
      <c r="CY138" s="917"/>
      <c r="CZ138" s="917"/>
      <c r="DA138" s="917"/>
    </row>
    <row r="139" spans="1:105" s="154" customFormat="1" ht="16.350000000000001" customHeight="1" x14ac:dyDescent="0.2">
      <c r="A139" s="2695" t="s">
        <v>3159</v>
      </c>
      <c r="B139" s="5258"/>
      <c r="C139" s="2757" t="s">
        <v>338</v>
      </c>
      <c r="D139" s="2442" t="s">
        <v>2777</v>
      </c>
      <c r="E139" s="2443" t="s">
        <v>2778</v>
      </c>
      <c r="F139" s="200" t="s">
        <v>2779</v>
      </c>
      <c r="G139" s="173" t="s">
        <v>2780</v>
      </c>
      <c r="H139" s="174" t="s">
        <v>2781</v>
      </c>
      <c r="I139" s="2577" t="s">
        <v>2782</v>
      </c>
      <c r="J139" s="197" t="s">
        <v>2783</v>
      </c>
      <c r="K139" s="2577" t="s">
        <v>2784</v>
      </c>
      <c r="L139" s="197" t="s">
        <v>2785</v>
      </c>
      <c r="M139" s="2577" t="s">
        <v>2786</v>
      </c>
      <c r="N139" s="197" t="s">
        <v>2787</v>
      </c>
      <c r="O139" s="2271" t="s">
        <v>2788</v>
      </c>
      <c r="P139" s="2270" t="s">
        <v>2789</v>
      </c>
      <c r="Q139" s="924"/>
      <c r="R139" s="898"/>
      <c r="S139" s="898"/>
      <c r="T139" s="898"/>
      <c r="U139" s="898"/>
      <c r="V139" s="898"/>
      <c r="W139" s="898"/>
      <c r="X139" s="898"/>
      <c r="Y139" s="898"/>
      <c r="Z139" s="898"/>
      <c r="AA139" s="898"/>
      <c r="AB139" s="898"/>
      <c r="AC139" s="898"/>
      <c r="AD139" s="898"/>
      <c r="AE139" s="290"/>
      <c r="AF139" s="290"/>
      <c r="AG139" s="290"/>
      <c r="AH139" s="290"/>
      <c r="AI139" s="290"/>
      <c r="AJ139" s="292"/>
      <c r="AK139" s="364"/>
      <c r="AL139" s="364"/>
      <c r="AM139" s="364"/>
      <c r="AN139" s="364"/>
      <c r="AO139" s="364"/>
      <c r="AP139" s="364"/>
      <c r="AQ139" s="364"/>
      <c r="AR139" s="364"/>
      <c r="AS139" s="364"/>
      <c r="AT139" s="364"/>
      <c r="AU139" s="364"/>
      <c r="AV139" s="364"/>
      <c r="AW139" s="364"/>
      <c r="AX139" s="364"/>
      <c r="AY139" s="364"/>
      <c r="AZ139" s="364"/>
      <c r="BA139" s="364"/>
      <c r="BB139" s="364"/>
      <c r="BC139" s="364"/>
      <c r="BD139" s="364"/>
      <c r="BE139" s="364"/>
      <c r="BF139" s="364"/>
      <c r="BG139" s="364"/>
      <c r="BH139" s="364"/>
      <c r="BI139" s="364"/>
      <c r="BJ139" s="364"/>
      <c r="BK139" s="364"/>
      <c r="BL139" s="364"/>
      <c r="BM139" s="364"/>
      <c r="BN139" s="364"/>
      <c r="BO139" s="364"/>
      <c r="BP139" s="364"/>
      <c r="BQ139" s="364"/>
      <c r="BR139" s="364"/>
      <c r="BS139" s="364"/>
      <c r="BT139" s="364"/>
      <c r="BU139" s="364"/>
      <c r="BV139" s="364"/>
      <c r="BW139" s="364"/>
      <c r="BX139" s="364"/>
      <c r="BY139" s="882"/>
      <c r="BZ139" s="364"/>
      <c r="CA139" s="365"/>
      <c r="CB139" s="917"/>
      <c r="CC139" s="917"/>
      <c r="CD139" s="917"/>
      <c r="CE139" s="917"/>
      <c r="CF139" s="917"/>
      <c r="CG139" s="917"/>
      <c r="CH139" s="1021"/>
      <c r="CI139" s="1021"/>
      <c r="CJ139" s="1021"/>
      <c r="CK139" s="1021"/>
      <c r="CL139" s="1021"/>
      <c r="CM139" s="1021"/>
      <c r="CN139" s="1021"/>
      <c r="CO139" s="1021"/>
      <c r="CP139" s="917"/>
      <c r="CQ139" s="917"/>
      <c r="CR139" s="917"/>
      <c r="CS139" s="917"/>
      <c r="CT139" s="917"/>
      <c r="CU139" s="917"/>
      <c r="CV139" s="917"/>
      <c r="CW139" s="917"/>
      <c r="CX139" s="917"/>
      <c r="CY139" s="917"/>
      <c r="CZ139" s="917"/>
      <c r="DA139" s="917"/>
    </row>
    <row r="140" spans="1:105" ht="16.350000000000001" customHeight="1" x14ac:dyDescent="0.2">
      <c r="A140" s="2695" t="s">
        <v>3160</v>
      </c>
      <c r="B140" s="5258"/>
      <c r="C140" s="2716" t="s">
        <v>339</v>
      </c>
      <c r="D140" s="2444" t="s">
        <v>2777</v>
      </c>
      <c r="E140" s="2445" t="s">
        <v>2778</v>
      </c>
      <c r="F140" s="202" t="s">
        <v>2779</v>
      </c>
      <c r="G140" s="101" t="s">
        <v>2780</v>
      </c>
      <c r="H140" s="169" t="s">
        <v>2781</v>
      </c>
      <c r="I140" s="166" t="s">
        <v>2782</v>
      </c>
      <c r="J140" s="168" t="s">
        <v>2783</v>
      </c>
      <c r="K140" s="166" t="s">
        <v>2784</v>
      </c>
      <c r="L140" s="168" t="s">
        <v>2785</v>
      </c>
      <c r="M140" s="166" t="s">
        <v>2786</v>
      </c>
      <c r="N140" s="168" t="s">
        <v>2787</v>
      </c>
      <c r="O140" s="126" t="s">
        <v>2788</v>
      </c>
      <c r="P140" s="125" t="s">
        <v>2789</v>
      </c>
      <c r="Q140" s="924"/>
      <c r="R140" s="898"/>
      <c r="S140" s="898"/>
      <c r="T140" s="898"/>
      <c r="U140" s="898"/>
      <c r="V140" s="898"/>
      <c r="W140" s="898"/>
      <c r="X140" s="898"/>
      <c r="Y140" s="898"/>
      <c r="Z140" s="898"/>
      <c r="AA140" s="898"/>
      <c r="AB140" s="898"/>
      <c r="AC140" s="898"/>
      <c r="AD140" s="898"/>
      <c r="AE140" s="290"/>
      <c r="AF140" s="290"/>
      <c r="AG140" s="290"/>
      <c r="AH140" s="290"/>
      <c r="AI140" s="290"/>
      <c r="AJ140" s="292"/>
      <c r="AK140" s="321"/>
      <c r="AL140" s="321"/>
      <c r="AM140" s="321"/>
      <c r="AN140" s="321"/>
      <c r="AO140" s="321"/>
      <c r="AP140" s="321"/>
      <c r="AQ140" s="321"/>
      <c r="AR140" s="321"/>
      <c r="AS140" s="321"/>
      <c r="AT140" s="321"/>
      <c r="AU140" s="321"/>
      <c r="AV140" s="321"/>
      <c r="CH140" s="1020"/>
      <c r="CI140" s="1020"/>
      <c r="CJ140" s="1020"/>
      <c r="CK140" s="1020"/>
      <c r="CL140" s="1020"/>
      <c r="CM140" s="1020"/>
      <c r="CN140" s="1020"/>
      <c r="CO140" s="1020"/>
    </row>
    <row r="141" spans="1:105" ht="16.350000000000001" customHeight="1" thickBot="1" x14ac:dyDescent="0.25">
      <c r="A141" s="2751"/>
      <c r="B141" s="5683"/>
      <c r="C141" s="359" t="s">
        <v>346</v>
      </c>
      <c r="D141" s="361">
        <f t="shared" ref="D141:P141" si="19">SUM(D138:D140)</f>
        <v>0</v>
      </c>
      <c r="E141" s="711">
        <f t="shared" si="19"/>
        <v>0</v>
      </c>
      <c r="F141" s="360">
        <f t="shared" si="19"/>
        <v>0</v>
      </c>
      <c r="G141" s="361">
        <f t="shared" si="19"/>
        <v>0</v>
      </c>
      <c r="H141" s="360">
        <f t="shared" si="19"/>
        <v>0</v>
      </c>
      <c r="I141" s="361">
        <f t="shared" si="19"/>
        <v>0</v>
      </c>
      <c r="J141" s="360">
        <f t="shared" si="19"/>
        <v>0</v>
      </c>
      <c r="K141" s="361">
        <f t="shared" si="19"/>
        <v>0</v>
      </c>
      <c r="L141" s="360">
        <f t="shared" si="19"/>
        <v>0</v>
      </c>
      <c r="M141" s="361">
        <f t="shared" si="19"/>
        <v>0</v>
      </c>
      <c r="N141" s="360">
        <f t="shared" si="19"/>
        <v>0</v>
      </c>
      <c r="O141" s="362">
        <f t="shared" si="19"/>
        <v>0</v>
      </c>
      <c r="P141" s="363">
        <f t="shared" si="19"/>
        <v>0</v>
      </c>
      <c r="Q141" s="924"/>
      <c r="R141" s="881"/>
      <c r="S141" s="881"/>
      <c r="T141" s="881"/>
      <c r="U141" s="881"/>
      <c r="V141" s="881"/>
      <c r="W141" s="881"/>
      <c r="X141" s="881"/>
      <c r="Y141" s="881"/>
      <c r="Z141" s="898"/>
      <c r="AA141" s="898"/>
      <c r="AB141" s="898"/>
      <c r="AC141" s="898"/>
      <c r="AD141" s="898"/>
      <c r="AE141" s="290"/>
      <c r="AF141" s="290"/>
      <c r="AG141" s="290"/>
      <c r="AH141" s="290"/>
      <c r="AI141" s="290"/>
      <c r="AJ141" s="290"/>
      <c r="AK141" s="290"/>
      <c r="AL141" s="290"/>
      <c r="AM141" s="290"/>
      <c r="AN141" s="290"/>
      <c r="AO141" s="290"/>
      <c r="AP141" s="291"/>
      <c r="AQ141" s="290"/>
      <c r="AR141" s="290"/>
      <c r="AS141" s="330"/>
      <c r="AT141" s="321"/>
      <c r="AU141" s="908"/>
      <c r="AV141" s="908"/>
      <c r="AW141" s="908"/>
      <c r="AX141" s="908"/>
      <c r="AY141" s="908"/>
      <c r="AZ141" s="908"/>
      <c r="BA141" s="908"/>
      <c r="BB141" s="908"/>
      <c r="BC141" s="908"/>
      <c r="BD141" s="908"/>
      <c r="BE141" s="94"/>
      <c r="BF141" s="94"/>
      <c r="CH141" s="1020"/>
      <c r="CI141" s="1020"/>
      <c r="CJ141" s="1020"/>
      <c r="CK141" s="1020"/>
      <c r="CL141" s="1020"/>
      <c r="CM141" s="1020"/>
      <c r="CN141" s="1020"/>
      <c r="CO141" s="1020"/>
    </row>
    <row r="142" spans="1:105" ht="16.350000000000001" customHeight="1" thickTop="1" x14ac:dyDescent="0.2">
      <c r="A142" s="2695" t="s">
        <v>3161</v>
      </c>
      <c r="B142" s="5685" t="s">
        <v>347</v>
      </c>
      <c r="C142" s="2757" t="s">
        <v>843</v>
      </c>
      <c r="D142" s="2584" t="s">
        <v>2777</v>
      </c>
      <c r="E142" s="2343" t="s">
        <v>2778</v>
      </c>
      <c r="F142" s="239" t="s">
        <v>2779</v>
      </c>
      <c r="G142" s="233" t="s">
        <v>2780</v>
      </c>
      <c r="H142" s="232" t="s">
        <v>2781</v>
      </c>
      <c r="I142" s="366" t="s">
        <v>2782</v>
      </c>
      <c r="J142" s="232" t="s">
        <v>2783</v>
      </c>
      <c r="K142" s="231" t="s">
        <v>2784</v>
      </c>
      <c r="L142" s="197" t="s">
        <v>2785</v>
      </c>
      <c r="M142" s="231" t="s">
        <v>2786</v>
      </c>
      <c r="N142" s="197" t="s">
        <v>2787</v>
      </c>
      <c r="O142" s="366" t="s">
        <v>2788</v>
      </c>
      <c r="P142" s="232" t="s">
        <v>2789</v>
      </c>
      <c r="Q142" s="924"/>
      <c r="R142" s="881"/>
      <c r="S142" s="881"/>
      <c r="T142" s="881"/>
      <c r="U142" s="881"/>
      <c r="V142" s="881"/>
      <c r="W142" s="881"/>
      <c r="X142" s="881"/>
      <c r="Y142" s="881"/>
      <c r="Z142" s="915"/>
      <c r="AA142" s="896"/>
      <c r="AB142" s="881"/>
      <c r="AC142" s="1067"/>
      <c r="AD142" s="896"/>
      <c r="AE142" s="219"/>
      <c r="AF142" s="367"/>
      <c r="AG142" s="367"/>
      <c r="AH142" s="367"/>
      <c r="AI142" s="290"/>
      <c r="AJ142" s="219"/>
      <c r="AK142" s="291"/>
      <c r="AL142" s="291"/>
      <c r="AM142" s="291"/>
      <c r="AN142" s="290"/>
      <c r="AO142" s="219"/>
      <c r="AP142" s="291"/>
      <c r="AQ142" s="290"/>
      <c r="AR142" s="290"/>
      <c r="AU142" s="94"/>
      <c r="AV142" s="94"/>
      <c r="AW142" s="94"/>
      <c r="AX142" s="94"/>
      <c r="AY142" s="94"/>
      <c r="AZ142" s="94"/>
      <c r="BA142" s="94"/>
      <c r="BB142" s="94"/>
      <c r="BC142" s="94"/>
      <c r="BD142" s="94"/>
      <c r="BE142" s="94"/>
      <c r="BF142" s="94"/>
      <c r="BG142" s="94"/>
      <c r="BH142" s="94"/>
      <c r="CH142" s="1020"/>
      <c r="CI142" s="1020"/>
      <c r="CJ142" s="1020"/>
      <c r="CK142" s="1020"/>
      <c r="CL142" s="1020"/>
      <c r="CM142" s="1020"/>
      <c r="CN142" s="1020"/>
      <c r="CO142" s="1020"/>
    </row>
    <row r="143" spans="1:105" x14ac:dyDescent="0.2">
      <c r="A143" s="2695" t="s">
        <v>3162</v>
      </c>
      <c r="B143" s="5258"/>
      <c r="C143" s="2636" t="s">
        <v>328</v>
      </c>
      <c r="D143" s="2442" t="s">
        <v>2777</v>
      </c>
      <c r="E143" s="2443" t="s">
        <v>2778</v>
      </c>
      <c r="F143" s="200" t="s">
        <v>2779</v>
      </c>
      <c r="G143" s="2577" t="s">
        <v>2780</v>
      </c>
      <c r="H143" s="197" t="s">
        <v>2781</v>
      </c>
      <c r="I143" s="141" t="s">
        <v>2782</v>
      </c>
      <c r="J143" s="197" t="s">
        <v>2783</v>
      </c>
      <c r="K143" s="141" t="s">
        <v>2784</v>
      </c>
      <c r="L143" s="197" t="s">
        <v>2785</v>
      </c>
      <c r="M143" s="2577" t="s">
        <v>2786</v>
      </c>
      <c r="N143" s="197" t="s">
        <v>2787</v>
      </c>
      <c r="O143" s="141" t="s">
        <v>2788</v>
      </c>
      <c r="P143" s="2270" t="s">
        <v>2789</v>
      </c>
      <c r="Q143" s="79"/>
      <c r="AU143" s="94"/>
      <c r="AV143" s="94"/>
      <c r="AW143" s="94"/>
      <c r="AX143" s="94"/>
      <c r="AY143" s="94"/>
      <c r="AZ143" s="94"/>
      <c r="BA143" s="94"/>
      <c r="BB143" s="94"/>
      <c r="BC143" s="94"/>
      <c r="BD143" s="94"/>
      <c r="BE143" s="94"/>
      <c r="BF143" s="94"/>
      <c r="BG143" s="94"/>
      <c r="BH143" s="94"/>
      <c r="CH143" s="1020"/>
      <c r="CI143" s="1020"/>
      <c r="CJ143" s="1020"/>
      <c r="CK143" s="1020"/>
      <c r="CL143" s="1020"/>
      <c r="CM143" s="1020"/>
      <c r="CN143" s="1020"/>
      <c r="CO143" s="1020"/>
    </row>
    <row r="144" spans="1:105" x14ac:dyDescent="0.2">
      <c r="A144" s="2695" t="s">
        <v>3163</v>
      </c>
      <c r="B144" s="5258"/>
      <c r="C144" s="140" t="s">
        <v>329</v>
      </c>
      <c r="D144" s="2442" t="s">
        <v>2777</v>
      </c>
      <c r="E144" s="2443" t="s">
        <v>2778</v>
      </c>
      <c r="F144" s="200" t="s">
        <v>2779</v>
      </c>
      <c r="G144" s="141" t="s">
        <v>2780</v>
      </c>
      <c r="H144" s="198" t="s">
        <v>2781</v>
      </c>
      <c r="I144" s="141" t="s">
        <v>2782</v>
      </c>
      <c r="J144" s="198" t="s">
        <v>2783</v>
      </c>
      <c r="K144" s="141" t="s">
        <v>2784</v>
      </c>
      <c r="L144" s="198" t="s">
        <v>2785</v>
      </c>
      <c r="M144" s="141" t="s">
        <v>2786</v>
      </c>
      <c r="N144" s="198" t="s">
        <v>2787</v>
      </c>
      <c r="O144" s="180" t="s">
        <v>2788</v>
      </c>
      <c r="P144" s="163" t="s">
        <v>2789</v>
      </c>
      <c r="Q144" s="79"/>
      <c r="AU144" s="94"/>
      <c r="AV144" s="94"/>
      <c r="AW144" s="94"/>
      <c r="AX144" s="94"/>
      <c r="AY144" s="94"/>
      <c r="AZ144" s="94"/>
      <c r="BA144" s="94"/>
      <c r="BB144" s="94"/>
      <c r="BC144" s="94"/>
      <c r="BD144" s="94"/>
      <c r="BE144" s="94"/>
      <c r="BF144" s="94"/>
      <c r="BG144" s="94"/>
      <c r="BH144" s="94"/>
      <c r="CH144" s="1020"/>
      <c r="CI144" s="1020"/>
      <c r="CJ144" s="1020"/>
      <c r="CK144" s="1020"/>
      <c r="CL144" s="1020"/>
      <c r="CM144" s="1020"/>
      <c r="CN144" s="1020"/>
      <c r="CO144" s="1020"/>
    </row>
    <row r="145" spans="1:105" ht="15" customHeight="1" x14ac:dyDescent="0.2">
      <c r="A145" s="2695" t="s">
        <v>3164</v>
      </c>
      <c r="B145" s="5686"/>
      <c r="C145" s="100" t="s">
        <v>348</v>
      </c>
      <c r="D145" s="2444" t="s">
        <v>2777</v>
      </c>
      <c r="E145" s="2445" t="s">
        <v>2778</v>
      </c>
      <c r="F145" s="623" t="s">
        <v>2779</v>
      </c>
      <c r="G145" s="166" t="s">
        <v>2780</v>
      </c>
      <c r="H145" s="168" t="s">
        <v>2781</v>
      </c>
      <c r="I145" s="166" t="s">
        <v>2782</v>
      </c>
      <c r="J145" s="168" t="s">
        <v>2783</v>
      </c>
      <c r="K145" s="166" t="s">
        <v>2784</v>
      </c>
      <c r="L145" s="168" t="s">
        <v>2785</v>
      </c>
      <c r="M145" s="166" t="s">
        <v>2786</v>
      </c>
      <c r="N145" s="168" t="s">
        <v>2787</v>
      </c>
      <c r="O145" s="126" t="s">
        <v>2788</v>
      </c>
      <c r="P145" s="125" t="s">
        <v>2789</v>
      </c>
      <c r="Q145" s="403"/>
      <c r="R145" s="190"/>
      <c r="S145" s="190"/>
      <c r="T145" s="190"/>
      <c r="U145" s="190"/>
      <c r="V145" s="190"/>
      <c r="W145" s="255"/>
      <c r="X145" s="190"/>
      <c r="Y145" s="81"/>
      <c r="Z145" s="81"/>
      <c r="AA145" s="81"/>
      <c r="AB145" s="81"/>
      <c r="AC145" s="81"/>
      <c r="AD145" s="81"/>
      <c r="AE145" s="81"/>
      <c r="AF145" s="81"/>
      <c r="AG145" s="81"/>
      <c r="AH145" s="81"/>
      <c r="AI145" s="81"/>
      <c r="AJ145" s="81"/>
      <c r="AK145" s="81"/>
      <c r="AL145" s="81"/>
      <c r="AM145" s="1263"/>
      <c r="AN145" s="1264"/>
      <c r="AO145" s="1264"/>
      <c r="AP145" s="1265"/>
      <c r="AQ145" s="1264"/>
      <c r="AR145" s="1265"/>
      <c r="AS145" s="1266"/>
      <c r="AT145" s="968"/>
      <c r="AU145" s="905"/>
      <c r="AV145" s="898"/>
      <c r="AW145" s="94"/>
      <c r="AX145" s="94"/>
      <c r="AY145" s="94"/>
      <c r="AZ145" s="94"/>
      <c r="BA145" s="94"/>
      <c r="BB145" s="94"/>
      <c r="BC145" s="94"/>
      <c r="BD145" s="94"/>
      <c r="BE145" s="94"/>
      <c r="BF145" s="94"/>
      <c r="BG145" s="94"/>
      <c r="BH145" s="94"/>
      <c r="CA145" s="80"/>
      <c r="CH145" s="1020"/>
      <c r="CI145" s="1020"/>
      <c r="CJ145" s="1020"/>
      <c r="CK145" s="1020"/>
      <c r="CL145" s="1020"/>
      <c r="CM145" s="1020"/>
      <c r="CN145" s="1020"/>
      <c r="CO145" s="1020"/>
    </row>
    <row r="146" spans="1:105" ht="15.75" customHeight="1" x14ac:dyDescent="0.2">
      <c r="B146" s="208" t="s">
        <v>1429</v>
      </c>
      <c r="C146" s="190"/>
      <c r="AU146" s="94"/>
      <c r="AV146" s="94"/>
      <c r="AW146" s="94"/>
      <c r="AX146" s="94"/>
      <c r="AY146" s="94"/>
      <c r="AZ146" s="94"/>
      <c r="BA146" s="94"/>
      <c r="BB146" s="94"/>
      <c r="BC146" s="94"/>
      <c r="BD146" s="94"/>
      <c r="BE146" s="94"/>
      <c r="BF146" s="94"/>
      <c r="BG146" s="94"/>
      <c r="BZ146" s="79"/>
      <c r="CA146" s="889"/>
      <c r="CG146" s="1020"/>
      <c r="CH146" s="1020"/>
      <c r="CI146" s="1020"/>
      <c r="CJ146" s="1020"/>
      <c r="CK146" s="1020"/>
      <c r="CL146" s="1020"/>
      <c r="CM146" s="1020"/>
      <c r="CN146" s="1020"/>
      <c r="DA146" s="80"/>
    </row>
    <row r="147" spans="1:105" ht="13.5" customHeight="1" x14ac:dyDescent="0.2">
      <c r="B147" s="190" t="s">
        <v>2633</v>
      </c>
      <c r="C147" s="190"/>
      <c r="AU147" s="94"/>
      <c r="AV147" s="94"/>
      <c r="AW147" s="94"/>
      <c r="AX147" s="94"/>
      <c r="AY147" s="94"/>
      <c r="AZ147" s="94"/>
      <c r="BA147" s="94"/>
      <c r="BB147" s="94"/>
      <c r="BC147" s="94"/>
      <c r="BD147" s="94"/>
      <c r="BE147" s="94"/>
      <c r="BF147" s="94"/>
      <c r="BG147" s="94"/>
      <c r="BZ147" s="79"/>
      <c r="CA147" s="889"/>
      <c r="CG147" s="1020"/>
      <c r="CH147" s="1020"/>
      <c r="CI147" s="1020"/>
      <c r="CJ147" s="1020"/>
      <c r="CK147" s="1020"/>
      <c r="CL147" s="1020"/>
      <c r="CM147" s="1020"/>
      <c r="CN147" s="1020"/>
      <c r="DA147" s="80"/>
    </row>
    <row r="148" spans="1:105" ht="16.350000000000001" customHeight="1" x14ac:dyDescent="0.2">
      <c r="B148" s="967" t="s">
        <v>867</v>
      </c>
      <c r="C148" s="295"/>
      <c r="AV148" s="1058"/>
      <c r="AW148" s="1058"/>
      <c r="AX148" s="1058"/>
      <c r="AY148" s="1058"/>
      <c r="AZ148" s="1058"/>
      <c r="BA148" s="1058"/>
      <c r="BB148" s="1058"/>
      <c r="BC148" s="1058"/>
      <c r="BD148" s="1058"/>
      <c r="BE148" s="1058"/>
      <c r="BF148" s="94"/>
      <c r="BG148" s="94"/>
      <c r="BZ148" s="79"/>
      <c r="CO148" s="889" t="str">
        <f>IF(AND(D151=0,OR(D153&gt;0,D154&gt;0,D155&gt;0,D156&gt;0,D157&gt;0)),"* No olvide registrar al menos un ingreso y una persona con diagnóstico. ","")</f>
        <v/>
      </c>
      <c r="DA148" s="80"/>
    </row>
    <row r="149" spans="1:105" ht="22.5" customHeight="1" x14ac:dyDescent="0.2">
      <c r="B149" s="5694" t="s">
        <v>349</v>
      </c>
      <c r="C149" s="5695"/>
      <c r="D149" s="5523" t="s">
        <v>42</v>
      </c>
      <c r="E149" s="5523"/>
      <c r="F149" s="5523"/>
      <c r="G149" s="5523" t="s">
        <v>350</v>
      </c>
      <c r="H149" s="5523"/>
      <c r="I149" s="5523" t="s">
        <v>351</v>
      </c>
      <c r="J149" s="5523"/>
      <c r="K149" s="5523" t="s">
        <v>352</v>
      </c>
      <c r="L149" s="5523"/>
      <c r="M149" s="5523" t="s">
        <v>319</v>
      </c>
      <c r="N149" s="5523"/>
      <c r="O149" s="5105" t="s">
        <v>10</v>
      </c>
      <c r="P149" s="5106"/>
      <c r="Q149" s="5522" t="s">
        <v>151</v>
      </c>
      <c r="R149" s="5522"/>
      <c r="S149" s="5522" t="s">
        <v>152</v>
      </c>
      <c r="T149" s="5522"/>
      <c r="U149" s="5522" t="s">
        <v>153</v>
      </c>
      <c r="V149" s="5522"/>
      <c r="W149" s="5522" t="s">
        <v>154</v>
      </c>
      <c r="X149" s="5522"/>
      <c r="Y149" s="5522" t="s">
        <v>155</v>
      </c>
      <c r="Z149" s="5522"/>
      <c r="AA149" s="5522" t="s">
        <v>156</v>
      </c>
      <c r="AB149" s="5522"/>
      <c r="AC149" s="5522" t="s">
        <v>157</v>
      </c>
      <c r="AD149" s="5522"/>
      <c r="AE149" s="5522" t="s">
        <v>158</v>
      </c>
      <c r="AF149" s="5522"/>
      <c r="AG149" s="5522" t="s">
        <v>159</v>
      </c>
      <c r="AH149" s="5522"/>
      <c r="AI149" s="5522" t="s">
        <v>160</v>
      </c>
      <c r="AJ149" s="5522"/>
      <c r="AK149" s="5522" t="s">
        <v>161</v>
      </c>
      <c r="AL149" s="5522"/>
      <c r="AM149" s="5522" t="s">
        <v>162</v>
      </c>
      <c r="AN149" s="5107"/>
      <c r="AO149" s="5650" t="s">
        <v>415</v>
      </c>
      <c r="AP149" s="5649" t="s">
        <v>979</v>
      </c>
      <c r="AQ149" s="5107" t="s">
        <v>6</v>
      </c>
      <c r="AR149" s="5108"/>
      <c r="AS149" s="5529" t="s">
        <v>1483</v>
      </c>
      <c r="AT149" s="5529" t="s">
        <v>23</v>
      </c>
      <c r="AV149" s="94"/>
      <c r="AW149" s="94"/>
      <c r="AX149" s="94"/>
      <c r="AY149" s="94"/>
      <c r="AZ149" s="94"/>
      <c r="BA149" s="94"/>
      <c r="BB149" s="94"/>
      <c r="BC149" s="94"/>
      <c r="BD149" s="94"/>
      <c r="BE149" s="94"/>
      <c r="BF149" s="94"/>
      <c r="BG149" s="94"/>
      <c r="BZ149" s="79"/>
      <c r="DA149" s="80"/>
    </row>
    <row r="150" spans="1:105" ht="37.5" customHeight="1" x14ac:dyDescent="0.2">
      <c r="B150" s="5549"/>
      <c r="C150" s="5550"/>
      <c r="D150" s="1128" t="s">
        <v>184</v>
      </c>
      <c r="E150" s="1130" t="s">
        <v>24</v>
      </c>
      <c r="F150" s="1127" t="s">
        <v>25</v>
      </c>
      <c r="G150" s="91" t="s">
        <v>24</v>
      </c>
      <c r="H150" s="645" t="s">
        <v>25</v>
      </c>
      <c r="I150" s="91" t="s">
        <v>24</v>
      </c>
      <c r="J150" s="645" t="s">
        <v>25</v>
      </c>
      <c r="K150" s="91" t="s">
        <v>24</v>
      </c>
      <c r="L150" s="645" t="s">
        <v>25</v>
      </c>
      <c r="M150" s="91" t="s">
        <v>24</v>
      </c>
      <c r="N150" s="645" t="s">
        <v>25</v>
      </c>
      <c r="O150" s="91" t="s">
        <v>24</v>
      </c>
      <c r="P150" s="645" t="s">
        <v>25</v>
      </c>
      <c r="Q150" s="91" t="s">
        <v>24</v>
      </c>
      <c r="R150" s="645" t="s">
        <v>25</v>
      </c>
      <c r="S150" s="91" t="s">
        <v>24</v>
      </c>
      <c r="T150" s="645" t="s">
        <v>25</v>
      </c>
      <c r="U150" s="91" t="s">
        <v>24</v>
      </c>
      <c r="V150" s="645" t="s">
        <v>25</v>
      </c>
      <c r="W150" s="91" t="s">
        <v>24</v>
      </c>
      <c r="X150" s="645" t="s">
        <v>25</v>
      </c>
      <c r="Y150" s="91" t="s">
        <v>24</v>
      </c>
      <c r="Z150" s="645" t="s">
        <v>25</v>
      </c>
      <c r="AA150" s="91" t="s">
        <v>24</v>
      </c>
      <c r="AB150" s="645" t="s">
        <v>25</v>
      </c>
      <c r="AC150" s="91" t="s">
        <v>24</v>
      </c>
      <c r="AD150" s="645" t="s">
        <v>25</v>
      </c>
      <c r="AE150" s="91" t="s">
        <v>24</v>
      </c>
      <c r="AF150" s="645" t="s">
        <v>25</v>
      </c>
      <c r="AG150" s="91" t="s">
        <v>24</v>
      </c>
      <c r="AH150" s="645" t="s">
        <v>25</v>
      </c>
      <c r="AI150" s="91" t="s">
        <v>24</v>
      </c>
      <c r="AJ150" s="645" t="s">
        <v>25</v>
      </c>
      <c r="AK150" s="91" t="s">
        <v>24</v>
      </c>
      <c r="AL150" s="645" t="s">
        <v>25</v>
      </c>
      <c r="AM150" s="91" t="s">
        <v>24</v>
      </c>
      <c r="AN150" s="972" t="s">
        <v>25</v>
      </c>
      <c r="AO150" s="5651"/>
      <c r="AP150" s="5253"/>
      <c r="AQ150" s="91" t="s">
        <v>24</v>
      </c>
      <c r="AR150" s="645" t="s">
        <v>25</v>
      </c>
      <c r="AS150" s="5530"/>
      <c r="AT150" s="5530"/>
      <c r="AV150" s="1058"/>
      <c r="AW150" s="1058"/>
      <c r="AX150" s="1058"/>
      <c r="AY150" s="1058"/>
      <c r="AZ150" s="1058"/>
      <c r="BA150" s="1058"/>
      <c r="BB150" s="1058"/>
      <c r="BC150" s="1058"/>
      <c r="BD150" s="1058"/>
      <c r="BE150" s="1058"/>
      <c r="BF150" s="94"/>
      <c r="BG150" s="94"/>
      <c r="BZ150" s="79"/>
      <c r="DA150" s="80"/>
    </row>
    <row r="151" spans="1:105" ht="20.25" customHeight="1" x14ac:dyDescent="0.2">
      <c r="A151" s="2695" t="s">
        <v>3165</v>
      </c>
      <c r="B151" s="5705" t="s">
        <v>354</v>
      </c>
      <c r="C151" s="5702"/>
      <c r="D151" s="2758" t="s">
        <v>2777</v>
      </c>
      <c r="E151" s="2759" t="s">
        <v>2778</v>
      </c>
      <c r="F151" s="2760" t="s">
        <v>2779</v>
      </c>
      <c r="G151" s="2551" t="s">
        <v>2780</v>
      </c>
      <c r="H151" s="2347" t="s">
        <v>2781</v>
      </c>
      <c r="I151" s="2551" t="s">
        <v>2782</v>
      </c>
      <c r="J151" s="2347" t="s">
        <v>2783</v>
      </c>
      <c r="K151" s="2551" t="s">
        <v>2784</v>
      </c>
      <c r="L151" s="2347" t="s">
        <v>2785</v>
      </c>
      <c r="M151" s="2551" t="s">
        <v>2786</v>
      </c>
      <c r="N151" s="2347" t="s">
        <v>2787</v>
      </c>
      <c r="O151" s="2551" t="s">
        <v>2788</v>
      </c>
      <c r="P151" s="2347" t="s">
        <v>2789</v>
      </c>
      <c r="Q151" s="2551" t="s">
        <v>2790</v>
      </c>
      <c r="R151" s="2347" t="s">
        <v>2791</v>
      </c>
      <c r="S151" s="2551" t="s">
        <v>2792</v>
      </c>
      <c r="T151" s="2347" t="s">
        <v>2793</v>
      </c>
      <c r="U151" s="2551" t="s">
        <v>2794</v>
      </c>
      <c r="V151" s="2347" t="s">
        <v>2795</v>
      </c>
      <c r="W151" s="2551" t="s">
        <v>2796</v>
      </c>
      <c r="X151" s="2347" t="s">
        <v>2797</v>
      </c>
      <c r="Y151" s="2551" t="s">
        <v>2798</v>
      </c>
      <c r="Z151" s="2347" t="s">
        <v>2799</v>
      </c>
      <c r="AA151" s="2551" t="s">
        <v>2800</v>
      </c>
      <c r="AB151" s="2347" t="s">
        <v>2801</v>
      </c>
      <c r="AC151" s="2551" t="s">
        <v>2817</v>
      </c>
      <c r="AD151" s="2347" t="s">
        <v>2818</v>
      </c>
      <c r="AE151" s="2717" t="s">
        <v>2819</v>
      </c>
      <c r="AF151" s="2347" t="s">
        <v>2821</v>
      </c>
      <c r="AG151" s="2717" t="s">
        <v>2822</v>
      </c>
      <c r="AH151" s="2347" t="s">
        <v>2823</v>
      </c>
      <c r="AI151" s="2717" t="s">
        <v>2824</v>
      </c>
      <c r="AJ151" s="2347" t="s">
        <v>2825</v>
      </c>
      <c r="AK151" s="2717" t="s">
        <v>2826</v>
      </c>
      <c r="AL151" s="2347" t="s">
        <v>2827</v>
      </c>
      <c r="AM151" s="2717" t="s">
        <v>2831</v>
      </c>
      <c r="AN151" s="2555" t="s">
        <v>2832</v>
      </c>
      <c r="AO151" s="2721" t="s">
        <v>2833</v>
      </c>
      <c r="AP151" s="2347" t="s">
        <v>2834</v>
      </c>
      <c r="AQ151" s="2717" t="s">
        <v>3011</v>
      </c>
      <c r="AR151" s="2347" t="s">
        <v>3012</v>
      </c>
      <c r="AS151" s="2581" t="s">
        <v>3013</v>
      </c>
      <c r="AT151" s="2347" t="s">
        <v>3014</v>
      </c>
      <c r="AU151" s="1162" t="str">
        <f>CA151&amp;CB151&amp;CC151&amp;CD151&amp;CE151&amp;CF151&amp;CO148</f>
        <v xml:space="preserve">* Las gestantes ingresadas al Programa NO debe ser mayor al Total de Mujeres ingresadas. * Las madres de hijos menor de 5 años NO DEBE ser mayor al Total de Mujeres ingresadas al Programa. * Los Niños, Niñas, Adolescentes y Jóvenes de Programas SENAME NO DEBE ser mayor al Total de ingresos del Programa. * Los Migrantes NO DEBEN ser mayor al Total de ingresos del Programa. </v>
      </c>
      <c r="AV151" s="1058"/>
      <c r="AW151" s="1058"/>
      <c r="AX151" s="1058"/>
      <c r="AY151" s="1058"/>
      <c r="AZ151" s="1058"/>
      <c r="BA151" s="1058"/>
      <c r="BB151" s="1058"/>
      <c r="BC151" s="1058"/>
      <c r="BD151" s="1058"/>
      <c r="BE151" s="1058"/>
      <c r="BF151" s="94"/>
      <c r="BG151" s="94"/>
      <c r="BZ151" s="79"/>
      <c r="CA151" s="889" t="str">
        <f>IF(CG151=0,"","* Las gestantes ingresadas al Programa NO debe ser mayor al Total de Mujeres ingresadas. ")</f>
        <v xml:space="preserve">* Las gestantes ingresadas al Programa NO debe ser mayor al Total de Mujeres ingresadas. </v>
      </c>
      <c r="CB151" s="889" t="str">
        <f>IF(CH151=0,"","* Las madres de hijos menor de 5 años NO DEBE ser mayor al Total de Mujeres ingresadas al Programa. ")</f>
        <v xml:space="preserve">* Las madres de hijos menor de 5 años NO DEBE ser mayor al Total de Mujeres ingresadas al Programa. </v>
      </c>
      <c r="CC151" s="889" t="str">
        <f>IF(CI151=0,"","* Los ingresos de Pueblos Originarios NO DEBE ser mayor al Total de ingresos del Programa.")</f>
        <v/>
      </c>
      <c r="CD151" s="889" t="str">
        <f>IF(CJ151=0,"","* Los Niños, Niñas, Adolescentes y Jóvenes de Programas SENAME NO DEBE ser mayor al Total de ingresos del Programa. ")</f>
        <v xml:space="preserve">* Los Niños, Niñas, Adolescentes y Jóvenes de Programas SENAME NO DEBE ser mayor al Total de ingresos del Programa. </v>
      </c>
      <c r="CE151" s="889" t="str">
        <f>IF(CK151=0,"","* Los Migrantes NO DEBEN ser mayor al Total de ingresos del Programa. ")</f>
        <v xml:space="preserve">* Los Migrantes NO DEBEN ser mayor al Total de ingresos del Programa. </v>
      </c>
      <c r="CF151" s="889" t="str">
        <f>IF(CL151=0,"","* No olvide escribir los campos Gestante y/o Madre de Hijo menor de 5 años y/o Pueblos Originarios y/o Niños, Niñas, Adolescentes y Jóvenes de Programas SENAME y/o Migrante (Digite CERO si no tiene). ")</f>
        <v/>
      </c>
      <c r="CG151" s="1020">
        <f>IF(F151&lt;AO151,1,0)</f>
        <v>1</v>
      </c>
      <c r="CH151" s="1020">
        <f>IF(D151&lt;AP151,1,0)</f>
        <v>1</v>
      </c>
      <c r="CI151" s="1020">
        <f>IF(D151&lt;SUM(AQ151,AR151),1,0)</f>
        <v>0</v>
      </c>
      <c r="CJ151" s="1020">
        <f>IF(D151&lt;AS151,1,0)</f>
        <v>1</v>
      </c>
      <c r="CK151" s="1020">
        <f>IF(D151&lt;AT151,1,0)</f>
        <v>1</v>
      </c>
      <c r="CL151" s="1020">
        <f>IF(AND(D151&lt;&gt;0,OR(AO151="",AP151="",AQ151="",AR151="",AS151="",AT151="")),1,0)</f>
        <v>0</v>
      </c>
      <c r="CM151" s="1020">
        <f>IF(AND(D151=0,OR(D153&gt;0,D154&gt;0,D155&gt;0,D156&gt;0,D157&gt;0)),1,0)</f>
        <v>0</v>
      </c>
      <c r="CN151" s="1020"/>
      <c r="DA151" s="80"/>
    </row>
    <row r="152" spans="1:105" ht="26.25" customHeight="1" x14ac:dyDescent="0.2">
      <c r="A152" s="2449"/>
      <c r="B152" s="5699" t="s">
        <v>355</v>
      </c>
      <c r="C152" s="5700"/>
      <c r="D152" s="2761"/>
      <c r="E152" s="2762"/>
      <c r="F152" s="2762"/>
      <c r="G152" s="2762"/>
      <c r="H152" s="2762"/>
      <c r="I152" s="2762"/>
      <c r="J152" s="2762"/>
      <c r="K152" s="2762"/>
      <c r="L152" s="2762"/>
      <c r="M152" s="2762"/>
      <c r="N152" s="2762"/>
      <c r="O152" s="2762"/>
      <c r="P152" s="2762"/>
      <c r="Q152" s="2762"/>
      <c r="R152" s="2762"/>
      <c r="S152" s="2762"/>
      <c r="T152" s="2762"/>
      <c r="U152" s="2762"/>
      <c r="V152" s="2762"/>
      <c r="W152" s="2762"/>
      <c r="X152" s="2762"/>
      <c r="Y152" s="2762"/>
      <c r="Z152" s="2762"/>
      <c r="AA152" s="2762"/>
      <c r="AB152" s="2762"/>
      <c r="AC152" s="2762"/>
      <c r="AD152" s="2762"/>
      <c r="AE152" s="2762"/>
      <c r="AF152" s="2762"/>
      <c r="AG152" s="2762"/>
      <c r="AH152" s="2762"/>
      <c r="AI152" s="2762"/>
      <c r="AJ152" s="2762"/>
      <c r="AK152" s="2762"/>
      <c r="AL152" s="2762"/>
      <c r="AM152" s="2762"/>
      <c r="AN152" s="2762"/>
      <c r="AO152" s="2762"/>
      <c r="AP152" s="2762"/>
      <c r="AQ152" s="2762"/>
      <c r="AR152" s="2762"/>
      <c r="AS152" s="2762"/>
      <c r="AT152" s="2763"/>
      <c r="AU152" s="1162"/>
      <c r="AV152" s="1058"/>
      <c r="AW152" s="1058"/>
      <c r="AX152" s="1058"/>
      <c r="AY152" s="1058"/>
      <c r="AZ152" s="1058"/>
      <c r="BA152" s="1058"/>
      <c r="BB152" s="1058"/>
      <c r="BC152" s="1058"/>
      <c r="BD152" s="1058"/>
      <c r="BE152" s="1058"/>
      <c r="BF152" s="94"/>
      <c r="BG152" s="94"/>
      <c r="BZ152" s="79"/>
      <c r="CA152" s="889"/>
      <c r="CG152" s="1020"/>
      <c r="CH152" s="1020"/>
      <c r="CI152" s="1020"/>
      <c r="CJ152" s="1020"/>
      <c r="CK152" s="1020"/>
      <c r="CL152" s="1020"/>
      <c r="CM152" s="1020"/>
      <c r="CN152" s="1020"/>
      <c r="DA152" s="80"/>
    </row>
    <row r="153" spans="1:105" ht="16.350000000000001" customHeight="1" x14ac:dyDescent="0.2">
      <c r="A153" s="2695" t="s">
        <v>3166</v>
      </c>
      <c r="B153" s="5684" t="s">
        <v>356</v>
      </c>
      <c r="C153" s="2764" t="s">
        <v>357</v>
      </c>
      <c r="D153" s="2765" t="s">
        <v>2777</v>
      </c>
      <c r="E153" s="2766" t="s">
        <v>2778</v>
      </c>
      <c r="F153" s="2767" t="s">
        <v>2779</v>
      </c>
      <c r="G153" s="2483" t="s">
        <v>2780</v>
      </c>
      <c r="H153" s="2499" t="s">
        <v>2781</v>
      </c>
      <c r="I153" s="2483" t="s">
        <v>2782</v>
      </c>
      <c r="J153" s="2499" t="s">
        <v>2783</v>
      </c>
      <c r="K153" s="2483" t="s">
        <v>2784</v>
      </c>
      <c r="L153" s="2499" t="s">
        <v>2785</v>
      </c>
      <c r="M153" s="2483" t="s">
        <v>2786</v>
      </c>
      <c r="N153" s="2499" t="s">
        <v>2787</v>
      </c>
      <c r="O153" s="2483" t="s">
        <v>2788</v>
      </c>
      <c r="P153" s="2499" t="s">
        <v>2789</v>
      </c>
      <c r="Q153" s="2483" t="s">
        <v>2790</v>
      </c>
      <c r="R153" s="2499" t="s">
        <v>2791</v>
      </c>
      <c r="S153" s="2483" t="s">
        <v>2792</v>
      </c>
      <c r="T153" s="2499" t="s">
        <v>2793</v>
      </c>
      <c r="U153" s="2483" t="s">
        <v>2794</v>
      </c>
      <c r="V153" s="2499" t="s">
        <v>2795</v>
      </c>
      <c r="W153" s="2483" t="s">
        <v>2796</v>
      </c>
      <c r="X153" s="2499" t="s">
        <v>2797</v>
      </c>
      <c r="Y153" s="2483" t="s">
        <v>2798</v>
      </c>
      <c r="Z153" s="2499" t="s">
        <v>2799</v>
      </c>
      <c r="AA153" s="2483" t="s">
        <v>2800</v>
      </c>
      <c r="AB153" s="2499" t="s">
        <v>2801</v>
      </c>
      <c r="AC153" s="2483" t="s">
        <v>2817</v>
      </c>
      <c r="AD153" s="2499" t="s">
        <v>2818</v>
      </c>
      <c r="AE153" s="2483" t="s">
        <v>2819</v>
      </c>
      <c r="AF153" s="2499" t="s">
        <v>2821</v>
      </c>
      <c r="AG153" s="2483" t="s">
        <v>2822</v>
      </c>
      <c r="AH153" s="2499" t="s">
        <v>2823</v>
      </c>
      <c r="AI153" s="2483" t="s">
        <v>2824</v>
      </c>
      <c r="AJ153" s="2499" t="s">
        <v>2825</v>
      </c>
      <c r="AK153" s="2483" t="s">
        <v>2826</v>
      </c>
      <c r="AL153" s="2499" t="s">
        <v>2827</v>
      </c>
      <c r="AM153" s="2483" t="s">
        <v>2831</v>
      </c>
      <c r="AN153" s="2587" t="s">
        <v>2832</v>
      </c>
      <c r="AO153" s="2722" t="s">
        <v>2833</v>
      </c>
      <c r="AP153" s="2455" t="s">
        <v>2834</v>
      </c>
      <c r="AQ153" s="2483" t="s">
        <v>3011</v>
      </c>
      <c r="AR153" s="2499" t="s">
        <v>3012</v>
      </c>
      <c r="AS153" s="2499" t="s">
        <v>3013</v>
      </c>
      <c r="AT153" s="2499" t="s">
        <v>3014</v>
      </c>
      <c r="AU153" s="1162" t="str">
        <f>CA153&amp;CB153&amp;CC153&amp;CD153&amp;CE153&amp;CF153</f>
        <v xml:space="preserve">* Las gestantes ingresadas al Programa NO debe ser mayor al Total de Mujeres ingresadas. * Las madres de hijos menor de 5 años NO DEBE ser mayor al Total de Mujeres ingresadas al Programa. * Los Niños, Niñas, Adolescentes y Jóvenes de Programas SENAME NO DEBE ser mayor al Total de ingresos del Programa. * Los Migrantes NO DEBEN ser mayor al Total de ingresos del Programa. </v>
      </c>
      <c r="AV153" s="1058"/>
      <c r="AW153" s="1058"/>
      <c r="AX153" s="1058"/>
      <c r="AY153" s="1058"/>
      <c r="AZ153" s="1058"/>
      <c r="BA153" s="1058"/>
      <c r="BB153" s="1058"/>
      <c r="BC153" s="1058"/>
      <c r="BD153" s="1058"/>
      <c r="BE153" s="1058"/>
      <c r="BF153" s="94"/>
      <c r="BG153" s="94"/>
      <c r="BZ153" s="79"/>
      <c r="CA153" s="889" t="str">
        <f t="shared" ref="CA153:CA179" si="20">IF(CG153=0,"","* Las gestantes ingresadas al Programa NO debe ser mayor al Total de Mujeres ingresadas. ")</f>
        <v xml:space="preserve">* Las gestantes ingresadas al Programa NO debe ser mayor al Total de Mujeres ingresadas. </v>
      </c>
      <c r="CB153" s="889" t="str">
        <f t="shared" ref="CB153:CB169" si="21">IF(CH153=0,"","* Las madres de hijos menor de 5 años NO DEBE ser mayor al Total de Mujeres ingresadas al Programa. ")</f>
        <v xml:space="preserve">* Las madres de hijos menor de 5 años NO DEBE ser mayor al Total de Mujeres ingresadas al Programa. </v>
      </c>
      <c r="CC153" s="889" t="str">
        <f t="shared" ref="CC153:CC189" si="22">IF(CI153=0,"","* Los ingresos de Pueblos Originarios NO DEBE ser mayor al Total de ingresos del Programa.")</f>
        <v/>
      </c>
      <c r="CD153" s="889" t="str">
        <f t="shared" ref="CD153:CD189" si="23">IF(CJ153=0,"","* Los Niños, Niñas, Adolescentes y Jóvenes de Programas SENAME NO DEBE ser mayor al Total de ingresos del Programa. ")</f>
        <v xml:space="preserve">* Los Niños, Niñas, Adolescentes y Jóvenes de Programas SENAME NO DEBE ser mayor al Total de ingresos del Programa. </v>
      </c>
      <c r="CE153" s="889" t="str">
        <f t="shared" ref="CE153:CE189" si="24">IF(CK153=0,"","* Los Migrantes NO DEBEN ser mayor al Total de ingresos del Programa. ")</f>
        <v xml:space="preserve">* Los Migrantes NO DEBEN ser mayor al Total de ingresos del Programa. </v>
      </c>
      <c r="CF153" s="889" t="str">
        <f t="shared" ref="CF153:CF189" si="25">IF(CL153=0,"","* No olvide escribir los campos Gestante y/o Madre de Hijo menor de 5 años y/o Pueblos Originarios y/o Niños, Niñas, Adolescentes y Jóvenes de Programas SENAME y/o Migrante (Digite CERO si no tiene). ")</f>
        <v/>
      </c>
      <c r="CG153" s="1020">
        <f t="shared" ref="CG153:CG179" si="26">IF(F153&lt;AO153,1,0)</f>
        <v>1</v>
      </c>
      <c r="CH153" s="1020">
        <f t="shared" ref="CH153:CH169" si="27">IF(D153&lt;AP153,1,0)</f>
        <v>1</v>
      </c>
      <c r="CI153" s="1020">
        <f t="shared" ref="CI153:CI189" si="28">IF(D153&lt;SUM(AQ153,AR153),1,0)</f>
        <v>0</v>
      </c>
      <c r="CJ153" s="1020">
        <f t="shared" ref="CJ153:CJ189" si="29">IF(D153&lt;AS153,1,0)</f>
        <v>1</v>
      </c>
      <c r="CK153" s="1020">
        <f t="shared" ref="CK153:CK189" si="30">IF(D153&lt;AT153,1,0)</f>
        <v>1</v>
      </c>
      <c r="CL153" s="1020">
        <f t="shared" ref="CL153:CL169" si="31">IF(AND(D153&lt;&gt;0,OR(AO153="",AP153="",AQ153="",AR153="",AS153="",AT153="")),1,0)</f>
        <v>0</v>
      </c>
      <c r="CM153" s="1020"/>
      <c r="CN153" s="1020"/>
      <c r="DA153" s="80"/>
    </row>
    <row r="154" spans="1:105" ht="16.350000000000001" customHeight="1" x14ac:dyDescent="0.2">
      <c r="A154" s="2695" t="s">
        <v>3167</v>
      </c>
      <c r="B154" s="5314"/>
      <c r="C154" s="2768" t="s">
        <v>833</v>
      </c>
      <c r="D154" s="2769" t="s">
        <v>2777</v>
      </c>
      <c r="E154" s="2770" t="s">
        <v>2778</v>
      </c>
      <c r="F154" s="2771" t="s">
        <v>2779</v>
      </c>
      <c r="G154" s="2717" t="s">
        <v>2780</v>
      </c>
      <c r="H154" s="2719" t="s">
        <v>2781</v>
      </c>
      <c r="I154" s="2717" t="s">
        <v>2782</v>
      </c>
      <c r="J154" s="2719" t="s">
        <v>2783</v>
      </c>
      <c r="K154" s="2717" t="s">
        <v>2784</v>
      </c>
      <c r="L154" s="2719" t="s">
        <v>2785</v>
      </c>
      <c r="M154" s="2717" t="s">
        <v>2786</v>
      </c>
      <c r="N154" s="2719" t="s">
        <v>2787</v>
      </c>
      <c r="O154" s="2717" t="s">
        <v>2788</v>
      </c>
      <c r="P154" s="2719" t="s">
        <v>2789</v>
      </c>
      <c r="Q154" s="2717" t="s">
        <v>2790</v>
      </c>
      <c r="R154" s="2719" t="s">
        <v>2791</v>
      </c>
      <c r="S154" s="2717" t="s">
        <v>2792</v>
      </c>
      <c r="T154" s="2719" t="s">
        <v>2793</v>
      </c>
      <c r="U154" s="2717" t="s">
        <v>2794</v>
      </c>
      <c r="V154" s="2719" t="s">
        <v>2795</v>
      </c>
      <c r="W154" s="2717" t="s">
        <v>2796</v>
      </c>
      <c r="X154" s="2719" t="s">
        <v>2797</v>
      </c>
      <c r="Y154" s="2717" t="s">
        <v>2798</v>
      </c>
      <c r="Z154" s="2719" t="s">
        <v>2799</v>
      </c>
      <c r="AA154" s="2717" t="s">
        <v>2800</v>
      </c>
      <c r="AB154" s="2719" t="s">
        <v>2801</v>
      </c>
      <c r="AC154" s="2717" t="s">
        <v>2817</v>
      </c>
      <c r="AD154" s="2719" t="s">
        <v>2818</v>
      </c>
      <c r="AE154" s="2717" t="s">
        <v>2819</v>
      </c>
      <c r="AF154" s="2719" t="s">
        <v>2821</v>
      </c>
      <c r="AG154" s="2717" t="s">
        <v>2822</v>
      </c>
      <c r="AH154" s="2719" t="s">
        <v>2823</v>
      </c>
      <c r="AI154" s="2717" t="s">
        <v>2824</v>
      </c>
      <c r="AJ154" s="2719" t="s">
        <v>2825</v>
      </c>
      <c r="AK154" s="2717" t="s">
        <v>2826</v>
      </c>
      <c r="AL154" s="2719" t="s">
        <v>2827</v>
      </c>
      <c r="AM154" s="2717" t="s">
        <v>2831</v>
      </c>
      <c r="AN154" s="2772" t="s">
        <v>2832</v>
      </c>
      <c r="AO154" s="2773" t="s">
        <v>2833</v>
      </c>
      <c r="AP154" s="2747" t="s">
        <v>2834</v>
      </c>
      <c r="AQ154" s="2717" t="s">
        <v>3011</v>
      </c>
      <c r="AR154" s="2719" t="s">
        <v>3012</v>
      </c>
      <c r="AS154" s="2719" t="s">
        <v>3013</v>
      </c>
      <c r="AT154" s="2719" t="s">
        <v>3014</v>
      </c>
      <c r="AU154" s="1162" t="str">
        <f>CA154&amp;CB154&amp;CC154&amp;CD154&amp;CE154&amp;CF154</f>
        <v xml:space="preserve">* Las gestantes ingresadas al Programa NO debe ser mayor al Total de Mujeres ingresadas. * Las madres de hijos menor de 5 años NO DEBE ser mayor al Total de Mujeres ingresadas al Programa. * Los Niños, Niñas, Adolescentes y Jóvenes de Programas SENAME NO DEBE ser mayor al Total de ingresos del Programa. * Los Migrantes NO DEBEN ser mayor al Total de ingresos del Programa. </v>
      </c>
      <c r="AV154" s="1058"/>
      <c r="AW154" s="1058"/>
      <c r="AX154" s="1058"/>
      <c r="AY154" s="1058"/>
      <c r="AZ154" s="1058"/>
      <c r="BA154" s="1058"/>
      <c r="BB154" s="1058"/>
      <c r="BC154" s="1058"/>
      <c r="BD154" s="1058"/>
      <c r="BE154" s="1058"/>
      <c r="BF154" s="94"/>
      <c r="BG154" s="94"/>
      <c r="BZ154" s="79"/>
      <c r="CA154" s="889" t="str">
        <f t="shared" si="20"/>
        <v xml:space="preserve">* Las gestantes ingresadas al Programa NO debe ser mayor al Total de Mujeres ingresadas. </v>
      </c>
      <c r="CB154" s="889" t="str">
        <f t="shared" si="21"/>
        <v xml:space="preserve">* Las madres de hijos menor de 5 años NO DEBE ser mayor al Total de Mujeres ingresadas al Programa. </v>
      </c>
      <c r="CC154" s="889" t="str">
        <f t="shared" si="22"/>
        <v/>
      </c>
      <c r="CD154" s="889" t="str">
        <f t="shared" si="23"/>
        <v xml:space="preserve">* Los Niños, Niñas, Adolescentes y Jóvenes de Programas SENAME NO DEBE ser mayor al Total de ingresos del Programa. </v>
      </c>
      <c r="CE154" s="889" t="str">
        <f t="shared" si="24"/>
        <v xml:space="preserve">* Los Migrantes NO DEBEN ser mayor al Total de ingresos del Programa. </v>
      </c>
      <c r="CF154" s="889" t="str">
        <f t="shared" si="25"/>
        <v/>
      </c>
      <c r="CG154" s="1020">
        <f t="shared" si="26"/>
        <v>1</v>
      </c>
      <c r="CH154" s="1020">
        <f t="shared" si="27"/>
        <v>1</v>
      </c>
      <c r="CI154" s="1020">
        <f t="shared" si="28"/>
        <v>0</v>
      </c>
      <c r="CJ154" s="1020">
        <f t="shared" si="29"/>
        <v>1</v>
      </c>
      <c r="CK154" s="1020">
        <f t="shared" si="30"/>
        <v>1</v>
      </c>
      <c r="CL154" s="1020">
        <f t="shared" si="31"/>
        <v>0</v>
      </c>
      <c r="CM154" s="1020"/>
      <c r="CN154" s="1020"/>
      <c r="DA154" s="80"/>
    </row>
    <row r="155" spans="1:105" ht="18" customHeight="1" x14ac:dyDescent="0.2">
      <c r="A155" s="2695" t="s">
        <v>3168</v>
      </c>
      <c r="B155" s="5690" t="s">
        <v>358</v>
      </c>
      <c r="C155" s="5691"/>
      <c r="D155" s="2758" t="s">
        <v>2777</v>
      </c>
      <c r="E155" s="2759" t="s">
        <v>2778</v>
      </c>
      <c r="F155" s="2775" t="s">
        <v>2779</v>
      </c>
      <c r="G155" s="2551" t="s">
        <v>2780</v>
      </c>
      <c r="H155" s="2721" t="s">
        <v>2781</v>
      </c>
      <c r="I155" s="2551" t="s">
        <v>2782</v>
      </c>
      <c r="J155" s="2721" t="s">
        <v>2783</v>
      </c>
      <c r="K155" s="2551" t="s">
        <v>2784</v>
      </c>
      <c r="L155" s="2721" t="s">
        <v>2785</v>
      </c>
      <c r="M155" s="2551" t="s">
        <v>2786</v>
      </c>
      <c r="N155" s="2721" t="s">
        <v>2787</v>
      </c>
      <c r="O155" s="2551" t="s">
        <v>2788</v>
      </c>
      <c r="P155" s="2721" t="s">
        <v>2789</v>
      </c>
      <c r="Q155" s="2551" t="s">
        <v>2790</v>
      </c>
      <c r="R155" s="2721" t="s">
        <v>2791</v>
      </c>
      <c r="S155" s="2551" t="s">
        <v>2792</v>
      </c>
      <c r="T155" s="2721" t="s">
        <v>2793</v>
      </c>
      <c r="U155" s="2551" t="s">
        <v>2794</v>
      </c>
      <c r="V155" s="2721" t="s">
        <v>2795</v>
      </c>
      <c r="W155" s="2551" t="s">
        <v>2796</v>
      </c>
      <c r="X155" s="2721" t="s">
        <v>2797</v>
      </c>
      <c r="Y155" s="2551" t="s">
        <v>2798</v>
      </c>
      <c r="Z155" s="2721" t="s">
        <v>2799</v>
      </c>
      <c r="AA155" s="2551" t="s">
        <v>2800</v>
      </c>
      <c r="AB155" s="2721" t="s">
        <v>2801</v>
      </c>
      <c r="AC155" s="2551" t="s">
        <v>2817</v>
      </c>
      <c r="AD155" s="2721" t="s">
        <v>2818</v>
      </c>
      <c r="AE155" s="2551" t="s">
        <v>2819</v>
      </c>
      <c r="AF155" s="2721" t="s">
        <v>2821</v>
      </c>
      <c r="AG155" s="2551" t="s">
        <v>2822</v>
      </c>
      <c r="AH155" s="2721" t="s">
        <v>2823</v>
      </c>
      <c r="AI155" s="2551" t="s">
        <v>2824</v>
      </c>
      <c r="AJ155" s="2721" t="s">
        <v>2825</v>
      </c>
      <c r="AK155" s="2551" t="s">
        <v>2826</v>
      </c>
      <c r="AL155" s="2721" t="s">
        <v>2827</v>
      </c>
      <c r="AM155" s="2551" t="s">
        <v>2831</v>
      </c>
      <c r="AN155" s="2776" t="s">
        <v>2832</v>
      </c>
      <c r="AO155" s="2777" t="s">
        <v>2833</v>
      </c>
      <c r="AP155" s="2581" t="s">
        <v>2834</v>
      </c>
      <c r="AQ155" s="2551" t="s">
        <v>3011</v>
      </c>
      <c r="AR155" s="2721" t="s">
        <v>3012</v>
      </c>
      <c r="AS155" s="2721" t="s">
        <v>3013</v>
      </c>
      <c r="AT155" s="2721" t="s">
        <v>3014</v>
      </c>
      <c r="AU155" s="1162" t="str">
        <f>CA155&amp;CB155&amp;CC155&amp;CD155&amp;CE155&amp;CF155</f>
        <v xml:space="preserve">* Las gestantes ingresadas al Programa NO debe ser mayor al Total de Mujeres ingresadas. * Las madres de hijos menor de 5 años NO DEBE ser mayor al Total de Mujeres ingresadas al Programa. * Los Niños, Niñas, Adolescentes y Jóvenes de Programas SENAME NO DEBE ser mayor al Total de ingresos del Programa. * Los Migrantes NO DEBEN ser mayor al Total de ingresos del Programa. </v>
      </c>
      <c r="AV155" s="1058"/>
      <c r="AW155" s="1058"/>
      <c r="AX155" s="1058"/>
      <c r="AY155" s="1058"/>
      <c r="AZ155" s="1058"/>
      <c r="BA155" s="1058"/>
      <c r="BB155" s="1058"/>
      <c r="BC155" s="1058"/>
      <c r="BD155" s="1058"/>
      <c r="BE155" s="1058"/>
      <c r="BF155" s="94"/>
      <c r="BG155" s="94"/>
      <c r="BZ155" s="79"/>
      <c r="CA155" s="889" t="str">
        <f t="shared" si="20"/>
        <v xml:space="preserve">* Las gestantes ingresadas al Programa NO debe ser mayor al Total de Mujeres ingresadas. </v>
      </c>
      <c r="CB155" s="889" t="str">
        <f t="shared" si="21"/>
        <v xml:space="preserve">* Las madres de hijos menor de 5 años NO DEBE ser mayor al Total de Mujeres ingresadas al Programa. </v>
      </c>
      <c r="CC155" s="889" t="str">
        <f t="shared" si="22"/>
        <v/>
      </c>
      <c r="CD155" s="889" t="str">
        <f t="shared" si="23"/>
        <v xml:space="preserve">* Los Niños, Niñas, Adolescentes y Jóvenes de Programas SENAME NO DEBE ser mayor al Total de ingresos del Programa. </v>
      </c>
      <c r="CE155" s="889" t="str">
        <f t="shared" si="24"/>
        <v xml:space="preserve">* Los Migrantes NO DEBEN ser mayor al Total de ingresos del Programa. </v>
      </c>
      <c r="CF155" s="889" t="str">
        <f t="shared" si="25"/>
        <v/>
      </c>
      <c r="CG155" s="1020">
        <f t="shared" si="26"/>
        <v>1</v>
      </c>
      <c r="CH155" s="1020">
        <f t="shared" si="27"/>
        <v>1</v>
      </c>
      <c r="CI155" s="1020">
        <f t="shared" si="28"/>
        <v>0</v>
      </c>
      <c r="CJ155" s="1020">
        <f t="shared" si="29"/>
        <v>1</v>
      </c>
      <c r="CK155" s="1020">
        <f t="shared" si="30"/>
        <v>1</v>
      </c>
      <c r="CL155" s="1020">
        <f t="shared" si="31"/>
        <v>0</v>
      </c>
      <c r="CM155" s="1020"/>
      <c r="CN155" s="1020"/>
      <c r="DA155" s="80"/>
    </row>
    <row r="156" spans="1:105" ht="16.350000000000001" customHeight="1" x14ac:dyDescent="0.2">
      <c r="A156" s="2695" t="s">
        <v>3169</v>
      </c>
      <c r="B156" s="5688" t="s">
        <v>1504</v>
      </c>
      <c r="C156" s="2774" t="s">
        <v>1505</v>
      </c>
      <c r="D156" s="2765" t="s">
        <v>2777</v>
      </c>
      <c r="E156" s="2766" t="s">
        <v>2778</v>
      </c>
      <c r="F156" s="2767" t="s">
        <v>2779</v>
      </c>
      <c r="G156" s="2483" t="s">
        <v>2780</v>
      </c>
      <c r="H156" s="2499" t="s">
        <v>2781</v>
      </c>
      <c r="I156" s="2483" t="s">
        <v>2782</v>
      </c>
      <c r="J156" s="2499" t="s">
        <v>2783</v>
      </c>
      <c r="K156" s="2483" t="s">
        <v>2784</v>
      </c>
      <c r="L156" s="2499" t="s">
        <v>2785</v>
      </c>
      <c r="M156" s="2483" t="s">
        <v>2786</v>
      </c>
      <c r="N156" s="2499" t="s">
        <v>2787</v>
      </c>
      <c r="O156" s="2483" t="s">
        <v>2788</v>
      </c>
      <c r="P156" s="2499" t="s">
        <v>2789</v>
      </c>
      <c r="Q156" s="2483" t="s">
        <v>2790</v>
      </c>
      <c r="R156" s="2499" t="s">
        <v>2791</v>
      </c>
      <c r="S156" s="2483" t="s">
        <v>2792</v>
      </c>
      <c r="T156" s="2499" t="s">
        <v>2793</v>
      </c>
      <c r="U156" s="2483" t="s">
        <v>2794</v>
      </c>
      <c r="V156" s="2499" t="s">
        <v>2795</v>
      </c>
      <c r="W156" s="2483" t="s">
        <v>2796</v>
      </c>
      <c r="X156" s="2499" t="s">
        <v>2797</v>
      </c>
      <c r="Y156" s="2483" t="s">
        <v>2798</v>
      </c>
      <c r="Z156" s="2499" t="s">
        <v>2799</v>
      </c>
      <c r="AA156" s="2483" t="s">
        <v>2800</v>
      </c>
      <c r="AB156" s="2499" t="s">
        <v>2801</v>
      </c>
      <c r="AC156" s="2483" t="s">
        <v>2817</v>
      </c>
      <c r="AD156" s="2499" t="s">
        <v>2818</v>
      </c>
      <c r="AE156" s="2483" t="s">
        <v>2819</v>
      </c>
      <c r="AF156" s="2499" t="s">
        <v>2821</v>
      </c>
      <c r="AG156" s="2483" t="s">
        <v>2822</v>
      </c>
      <c r="AH156" s="2499" t="s">
        <v>2823</v>
      </c>
      <c r="AI156" s="2483" t="s">
        <v>2824</v>
      </c>
      <c r="AJ156" s="2499" t="s">
        <v>2825</v>
      </c>
      <c r="AK156" s="2483" t="s">
        <v>2826</v>
      </c>
      <c r="AL156" s="2499" t="s">
        <v>2827</v>
      </c>
      <c r="AM156" s="2483" t="s">
        <v>2831</v>
      </c>
      <c r="AN156" s="2587" t="s">
        <v>2832</v>
      </c>
      <c r="AO156" s="2722" t="s">
        <v>2833</v>
      </c>
      <c r="AP156" s="2455" t="s">
        <v>2834</v>
      </c>
      <c r="AQ156" s="2483" t="s">
        <v>3011</v>
      </c>
      <c r="AR156" s="2499" t="s">
        <v>3012</v>
      </c>
      <c r="AS156" s="2499" t="s">
        <v>3013</v>
      </c>
      <c r="AT156" s="2499" t="s">
        <v>3014</v>
      </c>
      <c r="AU156" s="1162" t="str">
        <f>CA156&amp;CB156&amp;CC156&amp;CD156&amp;CE156&amp;CF156</f>
        <v xml:space="preserve">* Las gestantes ingresadas al Programa NO debe ser mayor al Total de Mujeres ingresadas. * Las madres de hijos menor de 5 años NO DEBE ser mayor al Total de Mujeres ingresadas al Programa. * Los Niños, Niñas, Adolescentes y Jóvenes de Programas SENAME NO DEBE ser mayor al Total de ingresos del Programa. * Los Migrantes NO DEBEN ser mayor al Total de ingresos del Programa. </v>
      </c>
      <c r="AV156" s="1058"/>
      <c r="AW156" s="1058"/>
      <c r="AX156" s="1058"/>
      <c r="AY156" s="1058"/>
      <c r="AZ156" s="1058"/>
      <c r="BA156" s="1058"/>
      <c r="BB156" s="1058"/>
      <c r="BC156" s="1058"/>
      <c r="BD156" s="1058"/>
      <c r="BE156" s="1058"/>
      <c r="BF156" s="94"/>
      <c r="BG156" s="94"/>
      <c r="BZ156" s="79"/>
      <c r="CA156" s="889" t="str">
        <f t="shared" si="20"/>
        <v xml:space="preserve">* Las gestantes ingresadas al Programa NO debe ser mayor al Total de Mujeres ingresadas. </v>
      </c>
      <c r="CB156" s="889" t="str">
        <f t="shared" si="21"/>
        <v xml:space="preserve">* Las madres de hijos menor de 5 años NO DEBE ser mayor al Total de Mujeres ingresadas al Programa. </v>
      </c>
      <c r="CC156" s="889" t="str">
        <f t="shared" si="22"/>
        <v/>
      </c>
      <c r="CD156" s="889" t="str">
        <f t="shared" si="23"/>
        <v xml:space="preserve">* Los Niños, Niñas, Adolescentes y Jóvenes de Programas SENAME NO DEBE ser mayor al Total de ingresos del Programa. </v>
      </c>
      <c r="CE156" s="889" t="str">
        <f t="shared" si="24"/>
        <v xml:space="preserve">* Los Migrantes NO DEBEN ser mayor al Total de ingresos del Programa. </v>
      </c>
      <c r="CF156" s="889" t="str">
        <f t="shared" si="25"/>
        <v/>
      </c>
      <c r="CG156" s="1020">
        <f t="shared" si="26"/>
        <v>1</v>
      </c>
      <c r="CH156" s="1020">
        <f t="shared" si="27"/>
        <v>1</v>
      </c>
      <c r="CI156" s="1020">
        <f t="shared" si="28"/>
        <v>0</v>
      </c>
      <c r="CJ156" s="1020">
        <f t="shared" si="29"/>
        <v>1</v>
      </c>
      <c r="CK156" s="1020">
        <f t="shared" si="30"/>
        <v>1</v>
      </c>
      <c r="CL156" s="1020">
        <f t="shared" si="31"/>
        <v>0</v>
      </c>
      <c r="CM156" s="1020"/>
      <c r="CN156" s="1020"/>
      <c r="DA156" s="80"/>
    </row>
    <row r="157" spans="1:105" ht="16.350000000000001" customHeight="1" x14ac:dyDescent="0.2">
      <c r="A157" s="2695" t="s">
        <v>3170</v>
      </c>
      <c r="B157" s="5689"/>
      <c r="C157" s="2774" t="s">
        <v>1506</v>
      </c>
      <c r="D157" s="2778" t="s">
        <v>2777</v>
      </c>
      <c r="E157" s="2779" t="s">
        <v>2778</v>
      </c>
      <c r="F157" s="2760" t="s">
        <v>2779</v>
      </c>
      <c r="G157" s="2249" t="s">
        <v>2780</v>
      </c>
      <c r="H157" s="2347" t="s">
        <v>2781</v>
      </c>
      <c r="I157" s="2249" t="s">
        <v>2782</v>
      </c>
      <c r="J157" s="2347" t="s">
        <v>2783</v>
      </c>
      <c r="K157" s="2249" t="s">
        <v>2784</v>
      </c>
      <c r="L157" s="2347" t="s">
        <v>2785</v>
      </c>
      <c r="M157" s="2717" t="s">
        <v>2786</v>
      </c>
      <c r="N157" s="2719" t="s">
        <v>2787</v>
      </c>
      <c r="O157" s="2249" t="s">
        <v>2788</v>
      </c>
      <c r="P157" s="2347" t="s">
        <v>2789</v>
      </c>
      <c r="Q157" s="2249" t="s">
        <v>2790</v>
      </c>
      <c r="R157" s="2347" t="s">
        <v>2791</v>
      </c>
      <c r="S157" s="2249" t="s">
        <v>2792</v>
      </c>
      <c r="T157" s="2347" t="s">
        <v>2793</v>
      </c>
      <c r="U157" s="2249" t="s">
        <v>2794</v>
      </c>
      <c r="V157" s="2347" t="s">
        <v>2795</v>
      </c>
      <c r="W157" s="2249" t="s">
        <v>2796</v>
      </c>
      <c r="X157" s="2347" t="s">
        <v>2797</v>
      </c>
      <c r="Y157" s="2249" t="s">
        <v>2798</v>
      </c>
      <c r="Z157" s="2347" t="s">
        <v>2799</v>
      </c>
      <c r="AA157" s="2249" t="s">
        <v>2800</v>
      </c>
      <c r="AB157" s="2347" t="s">
        <v>2801</v>
      </c>
      <c r="AC157" s="2249" t="s">
        <v>2817</v>
      </c>
      <c r="AD157" s="2347" t="s">
        <v>2818</v>
      </c>
      <c r="AE157" s="2249" t="s">
        <v>2819</v>
      </c>
      <c r="AF157" s="2347" t="s">
        <v>2821</v>
      </c>
      <c r="AG157" s="2249" t="s">
        <v>2822</v>
      </c>
      <c r="AH157" s="2347" t="s">
        <v>2823</v>
      </c>
      <c r="AI157" s="2249" t="s">
        <v>2824</v>
      </c>
      <c r="AJ157" s="2347" t="s">
        <v>2825</v>
      </c>
      <c r="AK157" s="2249" t="s">
        <v>2826</v>
      </c>
      <c r="AL157" s="2347" t="s">
        <v>2827</v>
      </c>
      <c r="AM157" s="2249" t="s">
        <v>2831</v>
      </c>
      <c r="AN157" s="366" t="s">
        <v>2832</v>
      </c>
      <c r="AO157" s="2773" t="s">
        <v>2833</v>
      </c>
      <c r="AP157" s="2747" t="s">
        <v>2834</v>
      </c>
      <c r="AQ157" s="2717" t="s">
        <v>3011</v>
      </c>
      <c r="AR157" s="2719" t="s">
        <v>3012</v>
      </c>
      <c r="AS157" s="2719" t="s">
        <v>3013</v>
      </c>
      <c r="AT157" s="2719" t="s">
        <v>3014</v>
      </c>
      <c r="AU157" s="1162" t="str">
        <f>CA157&amp;CB157&amp;CC157&amp;CD157&amp;CE157&amp;CF157</f>
        <v xml:space="preserve">* Las gestantes ingresadas al Programa NO debe ser mayor al Total de Mujeres ingresadas. * Las madres de hijos menor de 5 años NO DEBE ser mayor al Total de Mujeres ingresadas al Programa. * Los Niños, Niñas, Adolescentes y Jóvenes de Programas SENAME NO DEBE ser mayor al Total de ingresos del Programa. * Los Migrantes NO DEBEN ser mayor al Total de ingresos del Programa. </v>
      </c>
      <c r="AV157" s="1058"/>
      <c r="AW157" s="1058"/>
      <c r="AX157" s="1058"/>
      <c r="AY157" s="1058"/>
      <c r="AZ157" s="1058"/>
      <c r="BA157" s="1058"/>
      <c r="BB157" s="1058"/>
      <c r="BC157" s="1058"/>
      <c r="BD157" s="1058"/>
      <c r="BE157" s="1058"/>
      <c r="BF157" s="94"/>
      <c r="BG157" s="94"/>
      <c r="BZ157" s="79"/>
      <c r="CA157" s="889" t="str">
        <f t="shared" si="20"/>
        <v xml:space="preserve">* Las gestantes ingresadas al Programa NO debe ser mayor al Total de Mujeres ingresadas. </v>
      </c>
      <c r="CB157" s="889" t="str">
        <f t="shared" si="21"/>
        <v xml:space="preserve">* Las madres de hijos menor de 5 años NO DEBE ser mayor al Total de Mujeres ingresadas al Programa. </v>
      </c>
      <c r="CC157" s="889" t="str">
        <f t="shared" si="22"/>
        <v/>
      </c>
      <c r="CD157" s="889" t="str">
        <f t="shared" si="23"/>
        <v xml:space="preserve">* Los Niños, Niñas, Adolescentes y Jóvenes de Programas SENAME NO DEBE ser mayor al Total de ingresos del Programa. </v>
      </c>
      <c r="CE157" s="889" t="str">
        <f t="shared" si="24"/>
        <v xml:space="preserve">* Los Migrantes NO DEBEN ser mayor al Total de ingresos del Programa. </v>
      </c>
      <c r="CF157" s="889" t="str">
        <f t="shared" si="25"/>
        <v/>
      </c>
      <c r="CG157" s="1020">
        <f t="shared" si="26"/>
        <v>1</v>
      </c>
      <c r="CH157" s="1020">
        <f t="shared" si="27"/>
        <v>1</v>
      </c>
      <c r="CI157" s="1020">
        <f t="shared" si="28"/>
        <v>0</v>
      </c>
      <c r="CJ157" s="1020">
        <f t="shared" si="29"/>
        <v>1</v>
      </c>
      <c r="CK157" s="1020">
        <f t="shared" si="30"/>
        <v>1</v>
      </c>
      <c r="CL157" s="1020">
        <f t="shared" si="31"/>
        <v>0</v>
      </c>
      <c r="CM157" s="1020"/>
      <c r="CN157" s="1020"/>
      <c r="DA157" s="80"/>
    </row>
    <row r="158" spans="1:105" ht="21.75" customHeight="1" x14ac:dyDescent="0.2">
      <c r="A158" s="2695" t="s">
        <v>3171</v>
      </c>
      <c r="B158" s="2780" t="s">
        <v>359</v>
      </c>
      <c r="C158" s="2781"/>
      <c r="D158" s="2520" t="s">
        <v>2777</v>
      </c>
      <c r="E158" s="2612" t="s">
        <v>2778</v>
      </c>
      <c r="F158" s="2745" t="s">
        <v>2779</v>
      </c>
      <c r="G158" s="2551" t="s">
        <v>2780</v>
      </c>
      <c r="H158" s="2721" t="s">
        <v>2781</v>
      </c>
      <c r="I158" s="2551" t="s">
        <v>2782</v>
      </c>
      <c r="J158" s="2721" t="s">
        <v>2783</v>
      </c>
      <c r="K158" s="2551" t="s">
        <v>2784</v>
      </c>
      <c r="L158" s="2721" t="s">
        <v>2785</v>
      </c>
      <c r="M158" s="2551" t="s">
        <v>2786</v>
      </c>
      <c r="N158" s="2721" t="s">
        <v>2787</v>
      </c>
      <c r="O158" s="2551" t="s">
        <v>2788</v>
      </c>
      <c r="P158" s="2721" t="s">
        <v>2789</v>
      </c>
      <c r="Q158" s="2551" t="s">
        <v>2790</v>
      </c>
      <c r="R158" s="2721" t="s">
        <v>2791</v>
      </c>
      <c r="S158" s="2551" t="s">
        <v>2792</v>
      </c>
      <c r="T158" s="2721" t="s">
        <v>2793</v>
      </c>
      <c r="U158" s="2551" t="s">
        <v>2794</v>
      </c>
      <c r="V158" s="2721" t="s">
        <v>2795</v>
      </c>
      <c r="W158" s="2551" t="s">
        <v>2796</v>
      </c>
      <c r="X158" s="2721" t="s">
        <v>2797</v>
      </c>
      <c r="Y158" s="2551" t="s">
        <v>2798</v>
      </c>
      <c r="Z158" s="2721" t="s">
        <v>2799</v>
      </c>
      <c r="AA158" s="2551" t="s">
        <v>2800</v>
      </c>
      <c r="AB158" s="2721" t="s">
        <v>2801</v>
      </c>
      <c r="AC158" s="2551" t="s">
        <v>2817</v>
      </c>
      <c r="AD158" s="2721" t="s">
        <v>2818</v>
      </c>
      <c r="AE158" s="2551" t="s">
        <v>2819</v>
      </c>
      <c r="AF158" s="2721" t="s">
        <v>2821</v>
      </c>
      <c r="AG158" s="2551" t="s">
        <v>2822</v>
      </c>
      <c r="AH158" s="2721" t="s">
        <v>2823</v>
      </c>
      <c r="AI158" s="2551" t="s">
        <v>2824</v>
      </c>
      <c r="AJ158" s="2721" t="s">
        <v>2825</v>
      </c>
      <c r="AK158" s="2551" t="s">
        <v>2826</v>
      </c>
      <c r="AL158" s="2721" t="s">
        <v>2827</v>
      </c>
      <c r="AM158" s="2551" t="s">
        <v>2831</v>
      </c>
      <c r="AN158" s="2776" t="s">
        <v>2832</v>
      </c>
      <c r="AO158" s="2777" t="s">
        <v>2833</v>
      </c>
      <c r="AP158" s="2581" t="s">
        <v>2834</v>
      </c>
      <c r="AQ158" s="2717" t="s">
        <v>3011</v>
      </c>
      <c r="AR158" s="2721" t="s">
        <v>3012</v>
      </c>
      <c r="AS158" s="2721" t="s">
        <v>3013</v>
      </c>
      <c r="AT158" s="2721" t="s">
        <v>3014</v>
      </c>
      <c r="AU158" s="1162" t="str">
        <f>CA158&amp;CB158&amp;CC158&amp;CD158&amp;CE158&amp;CF158&amp;CO155</f>
        <v xml:space="preserve">* Las gestantes ingresadas al Programa NO debe ser mayor al Total de Mujeres ingresadas. * Las madres de hijos menor de 5 años NO DEBE ser mayor al Total de Mujeres ingresadas al Programa. * Los Niños, Niñas, Adolescentes y Jóvenes de Programas SENAME NO DEBE ser mayor al Total de ingresos del Programa. * Los Migrantes NO DEBEN ser mayor al Total de ingresos del Programa. </v>
      </c>
      <c r="AV158" s="1058"/>
      <c r="AW158" s="1058"/>
      <c r="AX158" s="1058"/>
      <c r="AY158" s="1058"/>
      <c r="AZ158" s="1058"/>
      <c r="BA158" s="1058"/>
      <c r="BB158" s="1058"/>
      <c r="BC158" s="1058"/>
      <c r="BD158" s="1058"/>
      <c r="BE158" s="1058"/>
      <c r="BF158" s="94"/>
      <c r="BG158" s="94"/>
      <c r="BZ158" s="79"/>
      <c r="CA158" s="889" t="str">
        <f t="shared" si="20"/>
        <v xml:space="preserve">* Las gestantes ingresadas al Programa NO debe ser mayor al Total de Mujeres ingresadas. </v>
      </c>
      <c r="CB158" s="889" t="str">
        <f t="shared" si="21"/>
        <v xml:space="preserve">* Las madres de hijos menor de 5 años NO DEBE ser mayor al Total de Mujeres ingresadas al Programa. </v>
      </c>
      <c r="CC158" s="889" t="str">
        <f t="shared" si="22"/>
        <v/>
      </c>
      <c r="CD158" s="889" t="str">
        <f t="shared" si="23"/>
        <v xml:space="preserve">* Los Niños, Niñas, Adolescentes y Jóvenes de Programas SENAME NO DEBE ser mayor al Total de ingresos del Programa. </v>
      </c>
      <c r="CE158" s="889" t="str">
        <f t="shared" si="24"/>
        <v xml:space="preserve">* Los Migrantes NO DEBEN ser mayor al Total de ingresos del Programa. </v>
      </c>
      <c r="CF158" s="889" t="str">
        <f t="shared" si="25"/>
        <v/>
      </c>
      <c r="CG158" s="1020">
        <f t="shared" si="26"/>
        <v>1</v>
      </c>
      <c r="CH158" s="1020">
        <f t="shared" si="27"/>
        <v>1</v>
      </c>
      <c r="CI158" s="1020">
        <f t="shared" si="28"/>
        <v>0</v>
      </c>
      <c r="CJ158" s="1020">
        <f t="shared" si="29"/>
        <v>1</v>
      </c>
      <c r="CK158" s="1020">
        <f t="shared" si="30"/>
        <v>1</v>
      </c>
      <c r="CL158" s="1020">
        <f t="shared" si="31"/>
        <v>0</v>
      </c>
      <c r="CM158" s="1020">
        <v>0</v>
      </c>
      <c r="CN158" s="1020">
        <v>0</v>
      </c>
      <c r="DA158" s="80"/>
    </row>
    <row r="159" spans="1:105" ht="16.350000000000001" customHeight="1" x14ac:dyDescent="0.2">
      <c r="A159" s="2695" t="s">
        <v>3172</v>
      </c>
      <c r="B159" s="5109" t="s">
        <v>360</v>
      </c>
      <c r="C159" s="1251" t="s">
        <v>361</v>
      </c>
      <c r="D159" s="2782" t="s">
        <v>2777</v>
      </c>
      <c r="E159" s="2783" t="s">
        <v>2778</v>
      </c>
      <c r="F159" s="383" t="s">
        <v>2779</v>
      </c>
      <c r="G159" s="2577" t="s">
        <v>2780</v>
      </c>
      <c r="H159" s="197" t="s">
        <v>2781</v>
      </c>
      <c r="I159" s="2577" t="s">
        <v>2782</v>
      </c>
      <c r="J159" s="197" t="s">
        <v>2783</v>
      </c>
      <c r="K159" s="2577" t="s">
        <v>2784</v>
      </c>
      <c r="L159" s="197" t="s">
        <v>2785</v>
      </c>
      <c r="M159" s="2577" t="s">
        <v>2786</v>
      </c>
      <c r="N159" s="197" t="s">
        <v>2787</v>
      </c>
      <c r="O159" s="2577" t="s">
        <v>2788</v>
      </c>
      <c r="P159" s="197" t="s">
        <v>2789</v>
      </c>
      <c r="Q159" s="2577" t="s">
        <v>2790</v>
      </c>
      <c r="R159" s="197" t="s">
        <v>2791</v>
      </c>
      <c r="S159" s="2577" t="s">
        <v>2792</v>
      </c>
      <c r="T159" s="197" t="s">
        <v>2793</v>
      </c>
      <c r="U159" s="2577" t="s">
        <v>2794</v>
      </c>
      <c r="V159" s="197" t="s">
        <v>2795</v>
      </c>
      <c r="W159" s="2577" t="s">
        <v>2796</v>
      </c>
      <c r="X159" s="197" t="s">
        <v>2797</v>
      </c>
      <c r="Y159" s="2577" t="s">
        <v>2798</v>
      </c>
      <c r="Z159" s="197" t="s">
        <v>2799</v>
      </c>
      <c r="AA159" s="2577" t="s">
        <v>2800</v>
      </c>
      <c r="AB159" s="197" t="s">
        <v>2801</v>
      </c>
      <c r="AC159" s="2577" t="s">
        <v>2817</v>
      </c>
      <c r="AD159" s="197" t="s">
        <v>2818</v>
      </c>
      <c r="AE159" s="2577" t="s">
        <v>2819</v>
      </c>
      <c r="AF159" s="197" t="s">
        <v>2821</v>
      </c>
      <c r="AG159" s="2577" t="s">
        <v>2822</v>
      </c>
      <c r="AH159" s="197" t="s">
        <v>2823</v>
      </c>
      <c r="AI159" s="2577" t="s">
        <v>2824</v>
      </c>
      <c r="AJ159" s="197" t="s">
        <v>2825</v>
      </c>
      <c r="AK159" s="2577" t="s">
        <v>2826</v>
      </c>
      <c r="AL159" s="197" t="s">
        <v>2827</v>
      </c>
      <c r="AM159" s="2577" t="s">
        <v>2831</v>
      </c>
      <c r="AN159" s="493" t="s">
        <v>2832</v>
      </c>
      <c r="AO159" s="2784" t="s">
        <v>2833</v>
      </c>
      <c r="AP159" s="2580" t="s">
        <v>2834</v>
      </c>
      <c r="AQ159" s="2577" t="s">
        <v>3011</v>
      </c>
      <c r="AR159" s="2347" t="s">
        <v>3012</v>
      </c>
      <c r="AS159" s="2347" t="s">
        <v>3013</v>
      </c>
      <c r="AT159" s="2347" t="s">
        <v>3014</v>
      </c>
      <c r="AU159" s="1162" t="str">
        <f t="shared" ref="AU159:AU189" si="32">CA159&amp;CB159&amp;CC159&amp;CD159&amp;CE159&amp;CF159</f>
        <v xml:space="preserve">* Las gestantes ingresadas al Programa NO debe ser mayor al Total de Mujeres ingresadas. * Las madres de hijos menor de 5 años NO DEBE ser mayor al Total de Mujeres ingresadas al Programa. * Los Niños, Niñas, Adolescentes y Jóvenes de Programas SENAME NO DEBE ser mayor al Total de ingresos del Programa. * Los Migrantes NO DEBEN ser mayor al Total de ingresos del Programa. </v>
      </c>
      <c r="AV159" s="1058"/>
      <c r="AW159" s="1058"/>
      <c r="AX159" s="1058"/>
      <c r="AY159" s="1058"/>
      <c r="AZ159" s="1058"/>
      <c r="BA159" s="1058"/>
      <c r="BB159" s="1058"/>
      <c r="BC159" s="1058"/>
      <c r="BD159" s="1058"/>
      <c r="BE159" s="1058"/>
      <c r="BF159" s="94"/>
      <c r="BG159" s="94"/>
      <c r="BZ159" s="79"/>
      <c r="CA159" s="889" t="str">
        <f t="shared" si="20"/>
        <v xml:space="preserve">* Las gestantes ingresadas al Programa NO debe ser mayor al Total de Mujeres ingresadas. </v>
      </c>
      <c r="CB159" s="889" t="str">
        <f t="shared" si="21"/>
        <v xml:space="preserve">* Las madres de hijos menor de 5 años NO DEBE ser mayor al Total de Mujeres ingresadas al Programa. </v>
      </c>
      <c r="CC159" s="889" t="str">
        <f t="shared" si="22"/>
        <v/>
      </c>
      <c r="CD159" s="889" t="str">
        <f t="shared" si="23"/>
        <v xml:space="preserve">* Los Niños, Niñas, Adolescentes y Jóvenes de Programas SENAME NO DEBE ser mayor al Total de ingresos del Programa. </v>
      </c>
      <c r="CE159" s="889" t="str">
        <f t="shared" si="24"/>
        <v xml:space="preserve">* Los Migrantes NO DEBEN ser mayor al Total de ingresos del Programa. </v>
      </c>
      <c r="CF159" s="889" t="str">
        <f t="shared" si="25"/>
        <v/>
      </c>
      <c r="CG159" s="1020">
        <f t="shared" si="26"/>
        <v>1</v>
      </c>
      <c r="CH159" s="1020">
        <f t="shared" si="27"/>
        <v>1</v>
      </c>
      <c r="CI159" s="1020">
        <f t="shared" si="28"/>
        <v>0</v>
      </c>
      <c r="CJ159" s="1020">
        <f t="shared" si="29"/>
        <v>1</v>
      </c>
      <c r="CK159" s="1020">
        <f t="shared" si="30"/>
        <v>1</v>
      </c>
      <c r="CL159" s="1020">
        <f t="shared" si="31"/>
        <v>0</v>
      </c>
      <c r="CM159" s="1020"/>
      <c r="CN159" s="1020"/>
      <c r="DA159" s="80"/>
    </row>
    <row r="160" spans="1:105" ht="16.350000000000001" customHeight="1" x14ac:dyDescent="0.2">
      <c r="A160" s="2695" t="s">
        <v>3173</v>
      </c>
      <c r="B160" s="5103"/>
      <c r="C160" s="2420" t="s">
        <v>362</v>
      </c>
      <c r="D160" s="714" t="s">
        <v>2777</v>
      </c>
      <c r="E160" s="715" t="s">
        <v>2778</v>
      </c>
      <c r="F160" s="2433" t="s">
        <v>2779</v>
      </c>
      <c r="G160" s="141" t="s">
        <v>2780</v>
      </c>
      <c r="H160" s="198" t="s">
        <v>2781</v>
      </c>
      <c r="I160" s="141" t="s">
        <v>2782</v>
      </c>
      <c r="J160" s="198" t="s">
        <v>2783</v>
      </c>
      <c r="K160" s="141" t="s">
        <v>2784</v>
      </c>
      <c r="L160" s="198" t="s">
        <v>2785</v>
      </c>
      <c r="M160" s="141" t="s">
        <v>2786</v>
      </c>
      <c r="N160" s="198" t="s">
        <v>2787</v>
      </c>
      <c r="O160" s="141" t="s">
        <v>2788</v>
      </c>
      <c r="P160" s="198" t="s">
        <v>2789</v>
      </c>
      <c r="Q160" s="141" t="s">
        <v>2790</v>
      </c>
      <c r="R160" s="198" t="s">
        <v>2791</v>
      </c>
      <c r="S160" s="141" t="s">
        <v>2792</v>
      </c>
      <c r="T160" s="198" t="s">
        <v>2793</v>
      </c>
      <c r="U160" s="141" t="s">
        <v>2794</v>
      </c>
      <c r="V160" s="198" t="s">
        <v>2795</v>
      </c>
      <c r="W160" s="141" t="s">
        <v>2796</v>
      </c>
      <c r="X160" s="198" t="s">
        <v>2797</v>
      </c>
      <c r="Y160" s="141" t="s">
        <v>2798</v>
      </c>
      <c r="Z160" s="198" t="s">
        <v>2799</v>
      </c>
      <c r="AA160" s="141" t="s">
        <v>2800</v>
      </c>
      <c r="AB160" s="198" t="s">
        <v>2801</v>
      </c>
      <c r="AC160" s="141" t="s">
        <v>2817</v>
      </c>
      <c r="AD160" s="198" t="s">
        <v>2818</v>
      </c>
      <c r="AE160" s="141" t="s">
        <v>2819</v>
      </c>
      <c r="AF160" s="198" t="s">
        <v>2821</v>
      </c>
      <c r="AG160" s="141" t="s">
        <v>2822</v>
      </c>
      <c r="AH160" s="198" t="s">
        <v>2823</v>
      </c>
      <c r="AI160" s="141" t="s">
        <v>2824</v>
      </c>
      <c r="AJ160" s="198" t="s">
        <v>2825</v>
      </c>
      <c r="AK160" s="141" t="s">
        <v>2826</v>
      </c>
      <c r="AL160" s="198" t="s">
        <v>2827</v>
      </c>
      <c r="AM160" s="141" t="s">
        <v>2831</v>
      </c>
      <c r="AN160" s="143" t="s">
        <v>2832</v>
      </c>
      <c r="AO160" s="355" t="s">
        <v>2833</v>
      </c>
      <c r="AP160" s="164" t="s">
        <v>2834</v>
      </c>
      <c r="AQ160" s="141" t="s">
        <v>3011</v>
      </c>
      <c r="AR160" s="240" t="s">
        <v>3012</v>
      </c>
      <c r="AS160" s="240" t="s">
        <v>3013</v>
      </c>
      <c r="AT160" s="240" t="s">
        <v>3014</v>
      </c>
      <c r="AU160" s="1162" t="str">
        <f t="shared" si="32"/>
        <v xml:space="preserve">* Las gestantes ingresadas al Programa NO debe ser mayor al Total de Mujeres ingresadas. * Las madres de hijos menor de 5 años NO DEBE ser mayor al Total de Mujeres ingresadas al Programa. * Los Niños, Niñas, Adolescentes y Jóvenes de Programas SENAME NO DEBE ser mayor al Total de ingresos del Programa. * Los Migrantes NO DEBEN ser mayor al Total de ingresos del Programa. </v>
      </c>
      <c r="AV160" s="1058"/>
      <c r="AW160" s="1058"/>
      <c r="AX160" s="1058"/>
      <c r="AY160" s="1058"/>
      <c r="AZ160" s="1058"/>
      <c r="BA160" s="1058"/>
      <c r="BB160" s="1058"/>
      <c r="BC160" s="1058"/>
      <c r="BD160" s="1058"/>
      <c r="BE160" s="1058"/>
      <c r="BF160" s="94"/>
      <c r="BG160" s="94"/>
      <c r="BZ160" s="79"/>
      <c r="CA160" s="889" t="str">
        <f t="shared" si="20"/>
        <v xml:space="preserve">* Las gestantes ingresadas al Programa NO debe ser mayor al Total de Mujeres ingresadas. </v>
      </c>
      <c r="CB160" s="889" t="str">
        <f t="shared" si="21"/>
        <v xml:space="preserve">* Las madres de hijos menor de 5 años NO DEBE ser mayor al Total de Mujeres ingresadas al Programa. </v>
      </c>
      <c r="CC160" s="889" t="str">
        <f t="shared" si="22"/>
        <v/>
      </c>
      <c r="CD160" s="889" t="str">
        <f t="shared" si="23"/>
        <v xml:space="preserve">* Los Niños, Niñas, Adolescentes y Jóvenes de Programas SENAME NO DEBE ser mayor al Total de ingresos del Programa. </v>
      </c>
      <c r="CE160" s="889" t="str">
        <f t="shared" si="24"/>
        <v xml:space="preserve">* Los Migrantes NO DEBEN ser mayor al Total de ingresos del Programa. </v>
      </c>
      <c r="CF160" s="889" t="str">
        <f t="shared" si="25"/>
        <v/>
      </c>
      <c r="CG160" s="1020">
        <f t="shared" si="26"/>
        <v>1</v>
      </c>
      <c r="CH160" s="1020">
        <f t="shared" si="27"/>
        <v>1</v>
      </c>
      <c r="CI160" s="1020">
        <f t="shared" si="28"/>
        <v>0</v>
      </c>
      <c r="CJ160" s="1020">
        <f t="shared" si="29"/>
        <v>1</v>
      </c>
      <c r="CK160" s="1020">
        <f t="shared" si="30"/>
        <v>1</v>
      </c>
      <c r="CL160" s="1020">
        <f t="shared" si="31"/>
        <v>0</v>
      </c>
      <c r="CM160" s="1020"/>
      <c r="CN160" s="1020"/>
      <c r="DA160" s="80"/>
    </row>
    <row r="161" spans="1:105" ht="16.350000000000001" customHeight="1" x14ac:dyDescent="0.2">
      <c r="A161" s="2695" t="s">
        <v>3174</v>
      </c>
      <c r="B161" s="5103"/>
      <c r="C161" s="2420" t="s">
        <v>363</v>
      </c>
      <c r="D161" s="714" t="s">
        <v>2777</v>
      </c>
      <c r="E161" s="713" t="s">
        <v>2778</v>
      </c>
      <c r="F161" s="2433" t="s">
        <v>2779</v>
      </c>
      <c r="G161" s="141" t="s">
        <v>2780</v>
      </c>
      <c r="H161" s="198" t="s">
        <v>2781</v>
      </c>
      <c r="I161" s="141" t="s">
        <v>2782</v>
      </c>
      <c r="J161" s="198" t="s">
        <v>2783</v>
      </c>
      <c r="K161" s="141" t="s">
        <v>2784</v>
      </c>
      <c r="L161" s="198" t="s">
        <v>2785</v>
      </c>
      <c r="M161" s="141" t="s">
        <v>2786</v>
      </c>
      <c r="N161" s="198" t="s">
        <v>2787</v>
      </c>
      <c r="O161" s="141" t="s">
        <v>2788</v>
      </c>
      <c r="P161" s="198" t="s">
        <v>2789</v>
      </c>
      <c r="Q161" s="141" t="s">
        <v>2790</v>
      </c>
      <c r="R161" s="198" t="s">
        <v>2791</v>
      </c>
      <c r="S161" s="141" t="s">
        <v>2792</v>
      </c>
      <c r="T161" s="198" t="s">
        <v>2793</v>
      </c>
      <c r="U161" s="141" t="s">
        <v>2794</v>
      </c>
      <c r="V161" s="198" t="s">
        <v>2795</v>
      </c>
      <c r="W161" s="141" t="s">
        <v>2796</v>
      </c>
      <c r="X161" s="198" t="s">
        <v>2797</v>
      </c>
      <c r="Y161" s="141" t="s">
        <v>2798</v>
      </c>
      <c r="Z161" s="198" t="s">
        <v>2799</v>
      </c>
      <c r="AA161" s="141" t="s">
        <v>2800</v>
      </c>
      <c r="AB161" s="198" t="s">
        <v>2801</v>
      </c>
      <c r="AC161" s="141" t="s">
        <v>2817</v>
      </c>
      <c r="AD161" s="198" t="s">
        <v>2818</v>
      </c>
      <c r="AE161" s="141" t="s">
        <v>2819</v>
      </c>
      <c r="AF161" s="198" t="s">
        <v>2821</v>
      </c>
      <c r="AG161" s="141" t="s">
        <v>2822</v>
      </c>
      <c r="AH161" s="198" t="s">
        <v>2823</v>
      </c>
      <c r="AI161" s="141" t="s">
        <v>2824</v>
      </c>
      <c r="AJ161" s="198" t="s">
        <v>2825</v>
      </c>
      <c r="AK161" s="141" t="s">
        <v>2826</v>
      </c>
      <c r="AL161" s="198" t="s">
        <v>2827</v>
      </c>
      <c r="AM161" s="141" t="s">
        <v>2831</v>
      </c>
      <c r="AN161" s="143" t="s">
        <v>2832</v>
      </c>
      <c r="AO161" s="355" t="s">
        <v>2833</v>
      </c>
      <c r="AP161" s="164" t="s">
        <v>2834</v>
      </c>
      <c r="AQ161" s="141" t="s">
        <v>3011</v>
      </c>
      <c r="AR161" s="198" t="s">
        <v>3012</v>
      </c>
      <c r="AS161" s="198" t="s">
        <v>3013</v>
      </c>
      <c r="AT161" s="198" t="s">
        <v>3014</v>
      </c>
      <c r="AU161" s="1162" t="str">
        <f t="shared" si="32"/>
        <v xml:space="preserve">* Las gestantes ingresadas al Programa NO debe ser mayor al Total de Mujeres ingresadas. * Las madres de hijos menor de 5 años NO DEBE ser mayor al Total de Mujeres ingresadas al Programa. * Los Niños, Niñas, Adolescentes y Jóvenes de Programas SENAME NO DEBE ser mayor al Total de ingresos del Programa. * Los Migrantes NO DEBEN ser mayor al Total de ingresos del Programa. </v>
      </c>
      <c r="AV161" s="1058"/>
      <c r="AW161" s="1058"/>
      <c r="AX161" s="1058"/>
      <c r="AY161" s="1058"/>
      <c r="AZ161" s="1058"/>
      <c r="BA161" s="1058"/>
      <c r="BB161" s="1058"/>
      <c r="BC161" s="1058"/>
      <c r="BD161" s="1058"/>
      <c r="BE161" s="1058"/>
      <c r="BF161" s="94"/>
      <c r="BG161" s="94"/>
      <c r="BZ161" s="79"/>
      <c r="CA161" s="889" t="str">
        <f t="shared" si="20"/>
        <v xml:space="preserve">* Las gestantes ingresadas al Programa NO debe ser mayor al Total de Mujeres ingresadas. </v>
      </c>
      <c r="CB161" s="889" t="str">
        <f t="shared" si="21"/>
        <v xml:space="preserve">* Las madres de hijos menor de 5 años NO DEBE ser mayor al Total de Mujeres ingresadas al Programa. </v>
      </c>
      <c r="CC161" s="889" t="str">
        <f t="shared" si="22"/>
        <v/>
      </c>
      <c r="CD161" s="889" t="str">
        <f t="shared" si="23"/>
        <v xml:space="preserve">* Los Niños, Niñas, Adolescentes y Jóvenes de Programas SENAME NO DEBE ser mayor al Total de ingresos del Programa. </v>
      </c>
      <c r="CE161" s="889" t="str">
        <f t="shared" si="24"/>
        <v xml:space="preserve">* Los Migrantes NO DEBEN ser mayor al Total de ingresos del Programa. </v>
      </c>
      <c r="CF161" s="889" t="str">
        <f t="shared" si="25"/>
        <v/>
      </c>
      <c r="CG161" s="1020">
        <f t="shared" si="26"/>
        <v>1</v>
      </c>
      <c r="CH161" s="1020">
        <f t="shared" si="27"/>
        <v>1</v>
      </c>
      <c r="CI161" s="1020">
        <f t="shared" si="28"/>
        <v>0</v>
      </c>
      <c r="CJ161" s="1020">
        <f t="shared" si="29"/>
        <v>1</v>
      </c>
      <c r="CK161" s="1020">
        <f t="shared" si="30"/>
        <v>1</v>
      </c>
      <c r="CL161" s="1020">
        <f t="shared" si="31"/>
        <v>0</v>
      </c>
      <c r="CM161" s="1020"/>
      <c r="CN161" s="1020"/>
      <c r="DA161" s="80"/>
    </row>
    <row r="162" spans="1:105" ht="16.350000000000001" customHeight="1" x14ac:dyDescent="0.2">
      <c r="A162" s="2695" t="s">
        <v>3175</v>
      </c>
      <c r="B162" s="5103"/>
      <c r="C162" s="2424" t="s">
        <v>861</v>
      </c>
      <c r="D162" s="714" t="s">
        <v>2777</v>
      </c>
      <c r="E162" s="2469" t="s">
        <v>2778</v>
      </c>
      <c r="F162" s="2433" t="s">
        <v>2779</v>
      </c>
      <c r="G162" s="2578" t="s">
        <v>2780</v>
      </c>
      <c r="H162" s="4513" t="s">
        <v>2781</v>
      </c>
      <c r="I162" s="2578" t="s">
        <v>2782</v>
      </c>
      <c r="J162" s="4513" t="s">
        <v>2783</v>
      </c>
      <c r="K162" s="2578" t="s">
        <v>2784</v>
      </c>
      <c r="L162" s="4378" t="s">
        <v>2785</v>
      </c>
      <c r="M162" s="2578" t="s">
        <v>2786</v>
      </c>
      <c r="N162" s="4378" t="s">
        <v>2787</v>
      </c>
      <c r="O162" s="2578" t="s">
        <v>2788</v>
      </c>
      <c r="P162" s="4378" t="s">
        <v>2789</v>
      </c>
      <c r="Q162" s="2578" t="s">
        <v>2790</v>
      </c>
      <c r="R162" s="4378" t="s">
        <v>2791</v>
      </c>
      <c r="S162" s="2578" t="s">
        <v>2792</v>
      </c>
      <c r="T162" s="4378" t="s">
        <v>2793</v>
      </c>
      <c r="U162" s="2578" t="s">
        <v>2794</v>
      </c>
      <c r="V162" s="4378" t="s">
        <v>2795</v>
      </c>
      <c r="W162" s="2578" t="s">
        <v>2796</v>
      </c>
      <c r="X162" s="4378" t="s">
        <v>2797</v>
      </c>
      <c r="Y162" s="2578" t="s">
        <v>2798</v>
      </c>
      <c r="Z162" s="4378" t="s">
        <v>2799</v>
      </c>
      <c r="AA162" s="2578" t="s">
        <v>2800</v>
      </c>
      <c r="AB162" s="4378" t="s">
        <v>2801</v>
      </c>
      <c r="AC162" s="2578" t="s">
        <v>2817</v>
      </c>
      <c r="AD162" s="4378" t="s">
        <v>2818</v>
      </c>
      <c r="AE162" s="2578" t="s">
        <v>2819</v>
      </c>
      <c r="AF162" s="4378" t="s">
        <v>2821</v>
      </c>
      <c r="AG162" s="2578" t="s">
        <v>2822</v>
      </c>
      <c r="AH162" s="4378" t="s">
        <v>2823</v>
      </c>
      <c r="AI162" s="2578" t="s">
        <v>2824</v>
      </c>
      <c r="AJ162" s="4378" t="s">
        <v>2825</v>
      </c>
      <c r="AK162" s="2578" t="s">
        <v>2826</v>
      </c>
      <c r="AL162" s="4378" t="s">
        <v>2827</v>
      </c>
      <c r="AM162" s="2578" t="s">
        <v>2831</v>
      </c>
      <c r="AN162" s="3011" t="s">
        <v>2832</v>
      </c>
      <c r="AO162" s="2784" t="s">
        <v>2833</v>
      </c>
      <c r="AP162" s="2580" t="s">
        <v>2834</v>
      </c>
      <c r="AQ162" s="2578" t="s">
        <v>3011</v>
      </c>
      <c r="AR162" s="4378" t="s">
        <v>3012</v>
      </c>
      <c r="AS162" s="4378" t="s">
        <v>3013</v>
      </c>
      <c r="AT162" s="4378" t="s">
        <v>3014</v>
      </c>
      <c r="AU162" s="1162" t="str">
        <f t="shared" si="32"/>
        <v xml:space="preserve">* Las gestantes ingresadas al Programa NO debe ser mayor al Total de Mujeres ingresadas. * Las madres de hijos menor de 5 años NO DEBE ser mayor al Total de Mujeres ingresadas al Programa. * Los Niños, Niñas, Adolescentes y Jóvenes de Programas SENAME NO DEBE ser mayor al Total de ingresos del Programa. * Los Migrantes NO DEBEN ser mayor al Total de ingresos del Programa. </v>
      </c>
      <c r="AV162" s="1058"/>
      <c r="AW162" s="1058"/>
      <c r="AX162" s="1058"/>
      <c r="AY162" s="1058"/>
      <c r="AZ162" s="1058"/>
      <c r="BA162" s="1058"/>
      <c r="BB162" s="1058"/>
      <c r="BC162" s="1058"/>
      <c r="BD162" s="1058"/>
      <c r="BE162" s="1058"/>
      <c r="BF162" s="94"/>
      <c r="BG162" s="94"/>
      <c r="BZ162" s="79"/>
      <c r="CA162" s="889" t="str">
        <f t="shared" si="20"/>
        <v xml:space="preserve">* Las gestantes ingresadas al Programa NO debe ser mayor al Total de Mujeres ingresadas. </v>
      </c>
      <c r="CB162" s="889" t="str">
        <f t="shared" si="21"/>
        <v xml:space="preserve">* Las madres de hijos menor de 5 años NO DEBE ser mayor al Total de Mujeres ingresadas al Programa. </v>
      </c>
      <c r="CC162" s="889" t="str">
        <f t="shared" si="22"/>
        <v/>
      </c>
      <c r="CD162" s="889" t="str">
        <f t="shared" si="23"/>
        <v xml:space="preserve">* Los Niños, Niñas, Adolescentes y Jóvenes de Programas SENAME NO DEBE ser mayor al Total de ingresos del Programa. </v>
      </c>
      <c r="CE162" s="889" t="str">
        <f t="shared" si="24"/>
        <v xml:space="preserve">* Los Migrantes NO DEBEN ser mayor al Total de ingresos del Programa. </v>
      </c>
      <c r="CF162" s="889" t="str">
        <f t="shared" si="25"/>
        <v/>
      </c>
      <c r="CG162" s="1020">
        <f t="shared" si="26"/>
        <v>1</v>
      </c>
      <c r="CH162" s="1020">
        <f t="shared" si="27"/>
        <v>1</v>
      </c>
      <c r="CI162" s="1020">
        <f t="shared" si="28"/>
        <v>0</v>
      </c>
      <c r="CJ162" s="1020">
        <f t="shared" si="29"/>
        <v>1</v>
      </c>
      <c r="CK162" s="1020">
        <f t="shared" si="30"/>
        <v>1</v>
      </c>
      <c r="CL162" s="1020">
        <f t="shared" si="31"/>
        <v>0</v>
      </c>
      <c r="CM162" s="1020"/>
      <c r="CN162" s="1020"/>
      <c r="DA162" s="80"/>
    </row>
    <row r="163" spans="1:105" ht="16.350000000000001" customHeight="1" x14ac:dyDescent="0.2">
      <c r="A163" s="2695" t="s">
        <v>3176</v>
      </c>
      <c r="B163" s="5103"/>
      <c r="C163" s="2420" t="s">
        <v>364</v>
      </c>
      <c r="D163" s="714" t="s">
        <v>2777</v>
      </c>
      <c r="E163" s="2783" t="s">
        <v>2778</v>
      </c>
      <c r="F163" s="2433" t="s">
        <v>2779</v>
      </c>
      <c r="G163" s="2577" t="s">
        <v>2780</v>
      </c>
      <c r="H163" s="4378" t="s">
        <v>2781</v>
      </c>
      <c r="I163" s="2577" t="s">
        <v>2782</v>
      </c>
      <c r="J163" s="4378" t="s">
        <v>2783</v>
      </c>
      <c r="K163" s="2577" t="s">
        <v>2784</v>
      </c>
      <c r="L163" s="4378" t="s">
        <v>2785</v>
      </c>
      <c r="M163" s="2577" t="s">
        <v>2786</v>
      </c>
      <c r="N163" s="4378" t="s">
        <v>2787</v>
      </c>
      <c r="O163" s="2577" t="s">
        <v>2788</v>
      </c>
      <c r="P163" s="4378" t="s">
        <v>2789</v>
      </c>
      <c r="Q163" s="2577" t="s">
        <v>2790</v>
      </c>
      <c r="R163" s="4378" t="s">
        <v>2791</v>
      </c>
      <c r="S163" s="2577" t="s">
        <v>2792</v>
      </c>
      <c r="T163" s="4378" t="s">
        <v>2793</v>
      </c>
      <c r="U163" s="2577" t="s">
        <v>2794</v>
      </c>
      <c r="V163" s="4378" t="s">
        <v>2795</v>
      </c>
      <c r="W163" s="2577" t="s">
        <v>2796</v>
      </c>
      <c r="X163" s="4378" t="s">
        <v>2797</v>
      </c>
      <c r="Y163" s="2577" t="s">
        <v>2798</v>
      </c>
      <c r="Z163" s="4378" t="s">
        <v>2799</v>
      </c>
      <c r="AA163" s="2577" t="s">
        <v>2800</v>
      </c>
      <c r="AB163" s="4378" t="s">
        <v>2801</v>
      </c>
      <c r="AC163" s="2577" t="s">
        <v>2817</v>
      </c>
      <c r="AD163" s="4378" t="s">
        <v>2818</v>
      </c>
      <c r="AE163" s="2577" t="s">
        <v>2819</v>
      </c>
      <c r="AF163" s="4378" t="s">
        <v>2821</v>
      </c>
      <c r="AG163" s="2577" t="s">
        <v>2822</v>
      </c>
      <c r="AH163" s="4378" t="s">
        <v>2823</v>
      </c>
      <c r="AI163" s="2577" t="s">
        <v>2824</v>
      </c>
      <c r="AJ163" s="4378" t="s">
        <v>2825</v>
      </c>
      <c r="AK163" s="2577" t="s">
        <v>2826</v>
      </c>
      <c r="AL163" s="4378" t="s">
        <v>2827</v>
      </c>
      <c r="AM163" s="2577" t="s">
        <v>2831</v>
      </c>
      <c r="AN163" s="3011" t="s">
        <v>2832</v>
      </c>
      <c r="AO163" s="2784" t="s">
        <v>2833</v>
      </c>
      <c r="AP163" s="2580" t="s">
        <v>2834</v>
      </c>
      <c r="AQ163" s="2577" t="s">
        <v>3011</v>
      </c>
      <c r="AR163" s="4378" t="s">
        <v>3012</v>
      </c>
      <c r="AS163" s="4378" t="s">
        <v>3013</v>
      </c>
      <c r="AT163" s="4378" t="s">
        <v>3014</v>
      </c>
      <c r="AU163" s="1162" t="str">
        <f t="shared" si="32"/>
        <v xml:space="preserve">* Las gestantes ingresadas al Programa NO debe ser mayor al Total de Mujeres ingresadas. * Las madres de hijos menor de 5 años NO DEBE ser mayor al Total de Mujeres ingresadas al Programa. * Los Niños, Niñas, Adolescentes y Jóvenes de Programas SENAME NO DEBE ser mayor al Total de ingresos del Programa. * Los Migrantes NO DEBEN ser mayor al Total de ingresos del Programa. </v>
      </c>
      <c r="AV163" s="1058"/>
      <c r="AW163" s="1058"/>
      <c r="AX163" s="1058"/>
      <c r="AY163" s="1058"/>
      <c r="AZ163" s="1058"/>
      <c r="BA163" s="1058"/>
      <c r="BB163" s="1058"/>
      <c r="BC163" s="1058"/>
      <c r="BD163" s="1058"/>
      <c r="BE163" s="1058"/>
      <c r="BF163" s="94"/>
      <c r="BG163" s="94"/>
      <c r="BZ163" s="79"/>
      <c r="CA163" s="889" t="str">
        <f t="shared" si="20"/>
        <v xml:space="preserve">* Las gestantes ingresadas al Programa NO debe ser mayor al Total de Mujeres ingresadas. </v>
      </c>
      <c r="CB163" s="889" t="str">
        <f t="shared" si="21"/>
        <v xml:space="preserve">* Las madres de hijos menor de 5 años NO DEBE ser mayor al Total de Mujeres ingresadas al Programa. </v>
      </c>
      <c r="CC163" s="889" t="str">
        <f t="shared" si="22"/>
        <v/>
      </c>
      <c r="CD163" s="889" t="str">
        <f t="shared" si="23"/>
        <v xml:space="preserve">* Los Niños, Niñas, Adolescentes y Jóvenes de Programas SENAME NO DEBE ser mayor al Total de ingresos del Programa. </v>
      </c>
      <c r="CE163" s="889" t="str">
        <f t="shared" si="24"/>
        <v xml:space="preserve">* Los Migrantes NO DEBEN ser mayor al Total de ingresos del Programa. </v>
      </c>
      <c r="CF163" s="889" t="str">
        <f t="shared" si="25"/>
        <v/>
      </c>
      <c r="CG163" s="1020">
        <f t="shared" si="26"/>
        <v>1</v>
      </c>
      <c r="CH163" s="1020">
        <f t="shared" si="27"/>
        <v>1</v>
      </c>
      <c r="CI163" s="1020">
        <f t="shared" si="28"/>
        <v>0</v>
      </c>
      <c r="CJ163" s="1020">
        <f t="shared" si="29"/>
        <v>1</v>
      </c>
      <c r="CK163" s="1020">
        <f t="shared" si="30"/>
        <v>1</v>
      </c>
      <c r="CL163" s="1020">
        <f t="shared" si="31"/>
        <v>0</v>
      </c>
      <c r="CM163" s="1020"/>
      <c r="CN163" s="1020"/>
      <c r="DA163" s="80"/>
    </row>
    <row r="164" spans="1:105" ht="16.350000000000001" customHeight="1" x14ac:dyDescent="0.2">
      <c r="A164" s="2695" t="s">
        <v>3177</v>
      </c>
      <c r="B164" s="5103"/>
      <c r="C164" s="1254" t="s">
        <v>365</v>
      </c>
      <c r="D164" s="714" t="s">
        <v>2777</v>
      </c>
      <c r="E164" s="715" t="s">
        <v>2778</v>
      </c>
      <c r="F164" s="2433" t="s">
        <v>2779</v>
      </c>
      <c r="G164" s="141" t="s">
        <v>2780</v>
      </c>
      <c r="H164" s="198" t="s">
        <v>2781</v>
      </c>
      <c r="I164" s="141" t="s">
        <v>2782</v>
      </c>
      <c r="J164" s="198" t="s">
        <v>2783</v>
      </c>
      <c r="K164" s="141" t="s">
        <v>2784</v>
      </c>
      <c r="L164" s="198" t="s">
        <v>2785</v>
      </c>
      <c r="M164" s="141" t="s">
        <v>2786</v>
      </c>
      <c r="N164" s="198" t="s">
        <v>2787</v>
      </c>
      <c r="O164" s="141" t="s">
        <v>2788</v>
      </c>
      <c r="P164" s="198" t="s">
        <v>2789</v>
      </c>
      <c r="Q164" s="141" t="s">
        <v>2790</v>
      </c>
      <c r="R164" s="198" t="s">
        <v>2791</v>
      </c>
      <c r="S164" s="141" t="s">
        <v>2792</v>
      </c>
      <c r="T164" s="198" t="s">
        <v>2793</v>
      </c>
      <c r="U164" s="141" t="s">
        <v>2794</v>
      </c>
      <c r="V164" s="198" t="s">
        <v>2795</v>
      </c>
      <c r="W164" s="141" t="s">
        <v>2796</v>
      </c>
      <c r="X164" s="198" t="s">
        <v>2797</v>
      </c>
      <c r="Y164" s="141" t="s">
        <v>2798</v>
      </c>
      <c r="Z164" s="198" t="s">
        <v>2799</v>
      </c>
      <c r="AA164" s="141" t="s">
        <v>2800</v>
      </c>
      <c r="AB164" s="198" t="s">
        <v>2801</v>
      </c>
      <c r="AC164" s="141" t="s">
        <v>2817</v>
      </c>
      <c r="AD164" s="198" t="s">
        <v>2818</v>
      </c>
      <c r="AE164" s="141" t="s">
        <v>2819</v>
      </c>
      <c r="AF164" s="198" t="s">
        <v>2821</v>
      </c>
      <c r="AG164" s="141" t="s">
        <v>2822</v>
      </c>
      <c r="AH164" s="198" t="s">
        <v>2823</v>
      </c>
      <c r="AI164" s="141" t="s">
        <v>2824</v>
      </c>
      <c r="AJ164" s="198" t="s">
        <v>2825</v>
      </c>
      <c r="AK164" s="141" t="s">
        <v>2826</v>
      </c>
      <c r="AL164" s="198" t="s">
        <v>2827</v>
      </c>
      <c r="AM164" s="141" t="s">
        <v>2831</v>
      </c>
      <c r="AN164" s="143" t="s">
        <v>2832</v>
      </c>
      <c r="AO164" s="355" t="s">
        <v>2833</v>
      </c>
      <c r="AP164" s="164" t="s">
        <v>2834</v>
      </c>
      <c r="AQ164" s="141" t="s">
        <v>3011</v>
      </c>
      <c r="AR164" s="2347" t="s">
        <v>3012</v>
      </c>
      <c r="AS164" s="2347" t="s">
        <v>3013</v>
      </c>
      <c r="AT164" s="2347" t="s">
        <v>3014</v>
      </c>
      <c r="AU164" s="1162" t="str">
        <f t="shared" si="32"/>
        <v xml:space="preserve">* Las gestantes ingresadas al Programa NO debe ser mayor al Total de Mujeres ingresadas. * Las madres de hijos menor de 5 años NO DEBE ser mayor al Total de Mujeres ingresadas al Programa. * Los Niños, Niñas, Adolescentes y Jóvenes de Programas SENAME NO DEBE ser mayor al Total de ingresos del Programa. * Los Migrantes NO DEBEN ser mayor al Total de ingresos del Programa. </v>
      </c>
      <c r="AV164" s="1058"/>
      <c r="AW164" s="1058"/>
      <c r="AX164" s="1058"/>
      <c r="AY164" s="1058"/>
      <c r="AZ164" s="1058"/>
      <c r="BA164" s="1058"/>
      <c r="BB164" s="1058"/>
      <c r="BC164" s="1058"/>
      <c r="BD164" s="1058"/>
      <c r="BE164" s="1058"/>
      <c r="BF164" s="94"/>
      <c r="BG164" s="94"/>
      <c r="BZ164" s="79"/>
      <c r="CA164" s="889" t="str">
        <f t="shared" si="20"/>
        <v xml:space="preserve">* Las gestantes ingresadas al Programa NO debe ser mayor al Total de Mujeres ingresadas. </v>
      </c>
      <c r="CB164" s="889" t="str">
        <f t="shared" si="21"/>
        <v xml:space="preserve">* Las madres de hijos menor de 5 años NO DEBE ser mayor al Total de Mujeres ingresadas al Programa. </v>
      </c>
      <c r="CC164" s="889" t="str">
        <f t="shared" si="22"/>
        <v/>
      </c>
      <c r="CD164" s="889" t="str">
        <f t="shared" si="23"/>
        <v xml:space="preserve">* Los Niños, Niñas, Adolescentes y Jóvenes de Programas SENAME NO DEBE ser mayor al Total de ingresos del Programa. </v>
      </c>
      <c r="CE164" s="889" t="str">
        <f t="shared" si="24"/>
        <v xml:space="preserve">* Los Migrantes NO DEBEN ser mayor al Total de ingresos del Programa. </v>
      </c>
      <c r="CF164" s="889" t="str">
        <f t="shared" si="25"/>
        <v/>
      </c>
      <c r="CG164" s="1020">
        <f t="shared" si="26"/>
        <v>1</v>
      </c>
      <c r="CH164" s="1020">
        <f t="shared" si="27"/>
        <v>1</v>
      </c>
      <c r="CI164" s="1020">
        <f t="shared" si="28"/>
        <v>0</v>
      </c>
      <c r="CJ164" s="1020">
        <f t="shared" si="29"/>
        <v>1</v>
      </c>
      <c r="CK164" s="1020">
        <f t="shared" si="30"/>
        <v>1</v>
      </c>
      <c r="CL164" s="1020">
        <f t="shared" si="31"/>
        <v>0</v>
      </c>
      <c r="CM164" s="1020"/>
      <c r="CN164" s="1020"/>
      <c r="DA164" s="80"/>
    </row>
    <row r="165" spans="1:105" ht="23.25" customHeight="1" x14ac:dyDescent="0.2">
      <c r="A165" s="2695" t="s">
        <v>3178</v>
      </c>
      <c r="B165" s="5103"/>
      <c r="C165" s="1255" t="s">
        <v>366</v>
      </c>
      <c r="D165" s="714" t="s">
        <v>2777</v>
      </c>
      <c r="E165" s="715" t="s">
        <v>2778</v>
      </c>
      <c r="F165" s="2433" t="s">
        <v>2779</v>
      </c>
      <c r="G165" s="141" t="s">
        <v>2780</v>
      </c>
      <c r="H165" s="198" t="s">
        <v>2781</v>
      </c>
      <c r="I165" s="141" t="s">
        <v>2782</v>
      </c>
      <c r="J165" s="198" t="s">
        <v>2783</v>
      </c>
      <c r="K165" s="141" t="s">
        <v>2784</v>
      </c>
      <c r="L165" s="198" t="s">
        <v>2785</v>
      </c>
      <c r="M165" s="141" t="s">
        <v>2786</v>
      </c>
      <c r="N165" s="198" t="s">
        <v>2787</v>
      </c>
      <c r="O165" s="141" t="s">
        <v>2788</v>
      </c>
      <c r="P165" s="198" t="s">
        <v>2789</v>
      </c>
      <c r="Q165" s="141" t="s">
        <v>2790</v>
      </c>
      <c r="R165" s="198" t="s">
        <v>2791</v>
      </c>
      <c r="S165" s="141" t="s">
        <v>2792</v>
      </c>
      <c r="T165" s="198" t="s">
        <v>2793</v>
      </c>
      <c r="U165" s="141" t="s">
        <v>2794</v>
      </c>
      <c r="V165" s="198" t="s">
        <v>2795</v>
      </c>
      <c r="W165" s="141" t="s">
        <v>2796</v>
      </c>
      <c r="X165" s="198" t="s">
        <v>2797</v>
      </c>
      <c r="Y165" s="141" t="s">
        <v>2798</v>
      </c>
      <c r="Z165" s="198" t="s">
        <v>2799</v>
      </c>
      <c r="AA165" s="141" t="s">
        <v>2800</v>
      </c>
      <c r="AB165" s="198" t="s">
        <v>2801</v>
      </c>
      <c r="AC165" s="141" t="s">
        <v>2817</v>
      </c>
      <c r="AD165" s="198" t="s">
        <v>2818</v>
      </c>
      <c r="AE165" s="141" t="s">
        <v>2819</v>
      </c>
      <c r="AF165" s="198" t="s">
        <v>2821</v>
      </c>
      <c r="AG165" s="141" t="s">
        <v>2822</v>
      </c>
      <c r="AH165" s="198" t="s">
        <v>2823</v>
      </c>
      <c r="AI165" s="141" t="s">
        <v>2824</v>
      </c>
      <c r="AJ165" s="198" t="s">
        <v>2825</v>
      </c>
      <c r="AK165" s="141" t="s">
        <v>2826</v>
      </c>
      <c r="AL165" s="198" t="s">
        <v>2827</v>
      </c>
      <c r="AM165" s="141" t="s">
        <v>2831</v>
      </c>
      <c r="AN165" s="143" t="s">
        <v>2832</v>
      </c>
      <c r="AO165" s="355" t="s">
        <v>2833</v>
      </c>
      <c r="AP165" s="164" t="s">
        <v>2834</v>
      </c>
      <c r="AQ165" s="141" t="s">
        <v>3011</v>
      </c>
      <c r="AR165" s="240" t="s">
        <v>3012</v>
      </c>
      <c r="AS165" s="240" t="s">
        <v>3013</v>
      </c>
      <c r="AT165" s="240" t="s">
        <v>3014</v>
      </c>
      <c r="AU165" s="1162" t="str">
        <f t="shared" si="32"/>
        <v xml:space="preserve">* Las gestantes ingresadas al Programa NO debe ser mayor al Total de Mujeres ingresadas. * Las madres de hijos menor de 5 años NO DEBE ser mayor al Total de Mujeres ingresadas al Programa. * Los Niños, Niñas, Adolescentes y Jóvenes de Programas SENAME NO DEBE ser mayor al Total de ingresos del Programa. * Los Migrantes NO DEBEN ser mayor al Total de ingresos del Programa. </v>
      </c>
      <c r="AV165" s="1058"/>
      <c r="AW165" s="1058"/>
      <c r="AX165" s="1058"/>
      <c r="AY165" s="1058"/>
      <c r="AZ165" s="1058"/>
      <c r="BA165" s="1058"/>
      <c r="BB165" s="1058"/>
      <c r="BC165" s="1058"/>
      <c r="BD165" s="1058"/>
      <c r="BE165" s="1058"/>
      <c r="BF165" s="94"/>
      <c r="BG165" s="94"/>
      <c r="BZ165" s="79"/>
      <c r="CA165" s="889" t="str">
        <f t="shared" si="20"/>
        <v xml:space="preserve">* Las gestantes ingresadas al Programa NO debe ser mayor al Total de Mujeres ingresadas. </v>
      </c>
      <c r="CB165" s="889" t="str">
        <f t="shared" si="21"/>
        <v xml:space="preserve">* Las madres de hijos menor de 5 años NO DEBE ser mayor al Total de Mujeres ingresadas al Programa. </v>
      </c>
      <c r="CC165" s="889" t="str">
        <f t="shared" si="22"/>
        <v/>
      </c>
      <c r="CD165" s="889" t="str">
        <f t="shared" si="23"/>
        <v xml:space="preserve">* Los Niños, Niñas, Adolescentes y Jóvenes de Programas SENAME NO DEBE ser mayor al Total de ingresos del Programa. </v>
      </c>
      <c r="CE165" s="889" t="str">
        <f t="shared" si="24"/>
        <v xml:space="preserve">* Los Migrantes NO DEBEN ser mayor al Total de ingresos del Programa. </v>
      </c>
      <c r="CF165" s="889" t="str">
        <f t="shared" si="25"/>
        <v/>
      </c>
      <c r="CG165" s="1020">
        <f t="shared" si="26"/>
        <v>1</v>
      </c>
      <c r="CH165" s="1020">
        <f t="shared" si="27"/>
        <v>1</v>
      </c>
      <c r="CI165" s="1020">
        <f t="shared" si="28"/>
        <v>0</v>
      </c>
      <c r="CJ165" s="1020">
        <f t="shared" si="29"/>
        <v>1</v>
      </c>
      <c r="CK165" s="1020">
        <f t="shared" si="30"/>
        <v>1</v>
      </c>
      <c r="CL165" s="1020">
        <f t="shared" si="31"/>
        <v>0</v>
      </c>
      <c r="CM165" s="1020"/>
      <c r="CN165" s="1020"/>
      <c r="DA165" s="80"/>
    </row>
    <row r="166" spans="1:105" ht="16.350000000000001" customHeight="1" x14ac:dyDescent="0.2">
      <c r="A166" s="2695" t="s">
        <v>3179</v>
      </c>
      <c r="B166" s="5343"/>
      <c r="C166" s="1256" t="s">
        <v>367</v>
      </c>
      <c r="D166" s="2369" t="s">
        <v>2777</v>
      </c>
      <c r="E166" s="713" t="s">
        <v>2778</v>
      </c>
      <c r="F166" s="2434" t="s">
        <v>2779</v>
      </c>
      <c r="G166" s="2245" t="s">
        <v>2780</v>
      </c>
      <c r="H166" s="240" t="s">
        <v>2781</v>
      </c>
      <c r="I166" s="2245" t="s">
        <v>2782</v>
      </c>
      <c r="J166" s="240" t="s">
        <v>2783</v>
      </c>
      <c r="K166" s="2245" t="s">
        <v>2784</v>
      </c>
      <c r="L166" s="240" t="s">
        <v>2785</v>
      </c>
      <c r="M166" s="2245" t="s">
        <v>2786</v>
      </c>
      <c r="N166" s="240" t="s">
        <v>2787</v>
      </c>
      <c r="O166" s="2245" t="s">
        <v>2788</v>
      </c>
      <c r="P166" s="240" t="s">
        <v>2789</v>
      </c>
      <c r="Q166" s="2245" t="s">
        <v>2790</v>
      </c>
      <c r="R166" s="240" t="s">
        <v>2791</v>
      </c>
      <c r="S166" s="2245" t="s">
        <v>2792</v>
      </c>
      <c r="T166" s="240" t="s">
        <v>2793</v>
      </c>
      <c r="U166" s="2245" t="s">
        <v>2794</v>
      </c>
      <c r="V166" s="240" t="s">
        <v>2795</v>
      </c>
      <c r="W166" s="2245" t="s">
        <v>2796</v>
      </c>
      <c r="X166" s="240" t="s">
        <v>2797</v>
      </c>
      <c r="Y166" s="2245" t="s">
        <v>2798</v>
      </c>
      <c r="Z166" s="240" t="s">
        <v>2799</v>
      </c>
      <c r="AA166" s="2245" t="s">
        <v>2800</v>
      </c>
      <c r="AB166" s="240" t="s">
        <v>2801</v>
      </c>
      <c r="AC166" s="2245" t="s">
        <v>2817</v>
      </c>
      <c r="AD166" s="240" t="s">
        <v>2818</v>
      </c>
      <c r="AE166" s="2245" t="s">
        <v>2819</v>
      </c>
      <c r="AF166" s="240" t="s">
        <v>2821</v>
      </c>
      <c r="AG166" s="2245" t="s">
        <v>2822</v>
      </c>
      <c r="AH166" s="240" t="s">
        <v>2823</v>
      </c>
      <c r="AI166" s="2245" t="s">
        <v>2824</v>
      </c>
      <c r="AJ166" s="240" t="s">
        <v>2825</v>
      </c>
      <c r="AK166" s="2245" t="s">
        <v>2826</v>
      </c>
      <c r="AL166" s="240" t="s">
        <v>2827</v>
      </c>
      <c r="AM166" s="2245" t="s">
        <v>2831</v>
      </c>
      <c r="AN166" s="148" t="s">
        <v>2832</v>
      </c>
      <c r="AO166" s="357" t="s">
        <v>2833</v>
      </c>
      <c r="AP166" s="2324" t="s">
        <v>2834</v>
      </c>
      <c r="AQ166" s="2245" t="s">
        <v>3011</v>
      </c>
      <c r="AR166" s="168" t="s">
        <v>3012</v>
      </c>
      <c r="AS166" s="168" t="s">
        <v>3013</v>
      </c>
      <c r="AT166" s="168" t="s">
        <v>3014</v>
      </c>
      <c r="AU166" s="1162" t="str">
        <f t="shared" si="32"/>
        <v xml:space="preserve">* Las gestantes ingresadas al Programa NO debe ser mayor al Total de Mujeres ingresadas. * Las madres de hijos menor de 5 años NO DEBE ser mayor al Total de Mujeres ingresadas al Programa. * Los Niños, Niñas, Adolescentes y Jóvenes de Programas SENAME NO DEBE ser mayor al Total de ingresos del Programa. * Los Migrantes NO DEBEN ser mayor al Total de ingresos del Programa. </v>
      </c>
      <c r="AV166" s="1058"/>
      <c r="AW166" s="1058"/>
      <c r="AX166" s="1058"/>
      <c r="AY166" s="1058"/>
      <c r="AZ166" s="1058"/>
      <c r="BA166" s="1058"/>
      <c r="BB166" s="1058"/>
      <c r="BC166" s="1058"/>
      <c r="BD166" s="1058"/>
      <c r="BE166" s="1058"/>
      <c r="BF166" s="94"/>
      <c r="BG166" s="94"/>
      <c r="BZ166" s="79"/>
      <c r="CA166" s="889" t="str">
        <f t="shared" si="20"/>
        <v xml:space="preserve">* Las gestantes ingresadas al Programa NO debe ser mayor al Total de Mujeres ingresadas. </v>
      </c>
      <c r="CB166" s="889" t="str">
        <f t="shared" si="21"/>
        <v xml:space="preserve">* Las madres de hijos menor de 5 años NO DEBE ser mayor al Total de Mujeres ingresadas al Programa. </v>
      </c>
      <c r="CC166" s="889" t="str">
        <f t="shared" si="22"/>
        <v/>
      </c>
      <c r="CD166" s="889" t="str">
        <f t="shared" si="23"/>
        <v xml:space="preserve">* Los Niños, Niñas, Adolescentes y Jóvenes de Programas SENAME NO DEBE ser mayor al Total de ingresos del Programa. </v>
      </c>
      <c r="CE166" s="889" t="str">
        <f t="shared" si="24"/>
        <v xml:space="preserve">* Los Migrantes NO DEBEN ser mayor al Total de ingresos del Programa. </v>
      </c>
      <c r="CF166" s="889" t="str">
        <f t="shared" si="25"/>
        <v/>
      </c>
      <c r="CG166" s="1020">
        <f t="shared" si="26"/>
        <v>1</v>
      </c>
      <c r="CH166" s="1020">
        <f t="shared" si="27"/>
        <v>1</v>
      </c>
      <c r="CI166" s="1020">
        <f t="shared" si="28"/>
        <v>0</v>
      </c>
      <c r="CJ166" s="1020">
        <f t="shared" si="29"/>
        <v>1</v>
      </c>
      <c r="CK166" s="1020">
        <f t="shared" si="30"/>
        <v>1</v>
      </c>
      <c r="CL166" s="1020">
        <f t="shared" si="31"/>
        <v>0</v>
      </c>
      <c r="CM166" s="1020"/>
      <c r="CN166" s="1020"/>
      <c r="DA166" s="80"/>
    </row>
    <row r="167" spans="1:105" ht="25.5" customHeight="1" x14ac:dyDescent="0.2">
      <c r="A167" s="2695" t="s">
        <v>3180</v>
      </c>
      <c r="B167" s="5109" t="s">
        <v>368</v>
      </c>
      <c r="C167" s="2785" t="s">
        <v>369</v>
      </c>
      <c r="D167" s="2765" t="s">
        <v>2777</v>
      </c>
      <c r="E167" s="2766" t="s">
        <v>2778</v>
      </c>
      <c r="F167" s="2767" t="s">
        <v>2779</v>
      </c>
      <c r="G167" s="2483" t="s">
        <v>2780</v>
      </c>
      <c r="H167" s="2499" t="s">
        <v>2781</v>
      </c>
      <c r="I167" s="2483" t="s">
        <v>2782</v>
      </c>
      <c r="J167" s="2499" t="s">
        <v>2783</v>
      </c>
      <c r="K167" s="2483" t="s">
        <v>2784</v>
      </c>
      <c r="L167" s="2499" t="s">
        <v>2785</v>
      </c>
      <c r="M167" s="2483" t="s">
        <v>2786</v>
      </c>
      <c r="N167" s="2499" t="s">
        <v>2787</v>
      </c>
      <c r="O167" s="2483" t="s">
        <v>2788</v>
      </c>
      <c r="P167" s="2499" t="s">
        <v>2789</v>
      </c>
      <c r="Q167" s="2483" t="s">
        <v>2790</v>
      </c>
      <c r="R167" s="2499" t="s">
        <v>2791</v>
      </c>
      <c r="S167" s="2483" t="s">
        <v>2792</v>
      </c>
      <c r="T167" s="2499" t="s">
        <v>2793</v>
      </c>
      <c r="U167" s="2483" t="s">
        <v>2794</v>
      </c>
      <c r="V167" s="2499" t="s">
        <v>2795</v>
      </c>
      <c r="W167" s="2483" t="s">
        <v>2796</v>
      </c>
      <c r="X167" s="2499" t="s">
        <v>2797</v>
      </c>
      <c r="Y167" s="2483" t="s">
        <v>2798</v>
      </c>
      <c r="Z167" s="2499" t="s">
        <v>2799</v>
      </c>
      <c r="AA167" s="2483" t="s">
        <v>2800</v>
      </c>
      <c r="AB167" s="2499" t="s">
        <v>2801</v>
      </c>
      <c r="AC167" s="2483" t="s">
        <v>2817</v>
      </c>
      <c r="AD167" s="2499" t="s">
        <v>2818</v>
      </c>
      <c r="AE167" s="2483" t="s">
        <v>2819</v>
      </c>
      <c r="AF167" s="2499" t="s">
        <v>2821</v>
      </c>
      <c r="AG167" s="2483" t="s">
        <v>2822</v>
      </c>
      <c r="AH167" s="2499" t="s">
        <v>2823</v>
      </c>
      <c r="AI167" s="2483" t="s">
        <v>2824</v>
      </c>
      <c r="AJ167" s="2499" t="s">
        <v>2825</v>
      </c>
      <c r="AK167" s="2483" t="s">
        <v>2826</v>
      </c>
      <c r="AL167" s="2499" t="s">
        <v>2827</v>
      </c>
      <c r="AM167" s="2483" t="s">
        <v>2831</v>
      </c>
      <c r="AN167" s="2587" t="s">
        <v>2832</v>
      </c>
      <c r="AO167" s="2722" t="s">
        <v>2833</v>
      </c>
      <c r="AP167" s="2455" t="s">
        <v>2834</v>
      </c>
      <c r="AQ167" s="2483" t="s">
        <v>3011</v>
      </c>
      <c r="AR167" s="2786" t="s">
        <v>3012</v>
      </c>
      <c r="AS167" s="2786" t="s">
        <v>3013</v>
      </c>
      <c r="AT167" s="2786" t="s">
        <v>3014</v>
      </c>
      <c r="AU167" s="1162" t="str">
        <f t="shared" si="32"/>
        <v xml:space="preserve">* Las gestantes ingresadas al Programa NO debe ser mayor al Total de Mujeres ingresadas. * Las madres de hijos menor de 5 años NO DEBE ser mayor al Total de Mujeres ingresadas al Programa. * Los Niños, Niñas, Adolescentes y Jóvenes de Programas SENAME NO DEBE ser mayor al Total de ingresos del Programa. * Los Migrantes NO DEBEN ser mayor al Total de ingresos del Programa. </v>
      </c>
      <c r="AV167" s="1058"/>
      <c r="AW167" s="1058"/>
      <c r="AX167" s="1058"/>
      <c r="AY167" s="1058"/>
      <c r="AZ167" s="1058"/>
      <c r="BA167" s="1058"/>
      <c r="BB167" s="1058"/>
      <c r="BC167" s="1058"/>
      <c r="BD167" s="1058"/>
      <c r="BE167" s="1058"/>
      <c r="BF167" s="94"/>
      <c r="BG167" s="94"/>
      <c r="BZ167" s="79"/>
      <c r="CA167" s="889" t="str">
        <f t="shared" si="20"/>
        <v xml:space="preserve">* Las gestantes ingresadas al Programa NO debe ser mayor al Total de Mujeres ingresadas. </v>
      </c>
      <c r="CB167" s="889" t="str">
        <f t="shared" si="21"/>
        <v xml:space="preserve">* Las madres de hijos menor de 5 años NO DEBE ser mayor al Total de Mujeres ingresadas al Programa. </v>
      </c>
      <c r="CC167" s="889" t="str">
        <f t="shared" si="22"/>
        <v/>
      </c>
      <c r="CD167" s="889" t="str">
        <f t="shared" si="23"/>
        <v xml:space="preserve">* Los Niños, Niñas, Adolescentes y Jóvenes de Programas SENAME NO DEBE ser mayor al Total de ingresos del Programa. </v>
      </c>
      <c r="CE167" s="889" t="str">
        <f t="shared" si="24"/>
        <v xml:space="preserve">* Los Migrantes NO DEBEN ser mayor al Total de ingresos del Programa. </v>
      </c>
      <c r="CF167" s="889" t="str">
        <f t="shared" si="25"/>
        <v/>
      </c>
      <c r="CG167" s="1020">
        <f t="shared" si="26"/>
        <v>1</v>
      </c>
      <c r="CH167" s="1020">
        <f t="shared" si="27"/>
        <v>1</v>
      </c>
      <c r="CI167" s="1020">
        <f t="shared" si="28"/>
        <v>0</v>
      </c>
      <c r="CJ167" s="1020">
        <f t="shared" si="29"/>
        <v>1</v>
      </c>
      <c r="CK167" s="1020">
        <f t="shared" si="30"/>
        <v>1</v>
      </c>
      <c r="CL167" s="1020">
        <f t="shared" si="31"/>
        <v>0</v>
      </c>
      <c r="CM167" s="1020"/>
      <c r="CN167" s="1020"/>
      <c r="DA167" s="80"/>
    </row>
    <row r="168" spans="1:105" ht="22.5" customHeight="1" x14ac:dyDescent="0.2">
      <c r="A168" s="2695" t="s">
        <v>3181</v>
      </c>
      <c r="B168" s="5103"/>
      <c r="C168" s="2420" t="s">
        <v>370</v>
      </c>
      <c r="D168" s="714" t="s">
        <v>2777</v>
      </c>
      <c r="E168" s="715" t="s">
        <v>2778</v>
      </c>
      <c r="F168" s="2433" t="s">
        <v>2779</v>
      </c>
      <c r="G168" s="141" t="s">
        <v>2780</v>
      </c>
      <c r="H168" s="198" t="s">
        <v>2781</v>
      </c>
      <c r="I168" s="141" t="s">
        <v>2782</v>
      </c>
      <c r="J168" s="198" t="s">
        <v>2783</v>
      </c>
      <c r="K168" s="141" t="s">
        <v>2784</v>
      </c>
      <c r="L168" s="198" t="s">
        <v>2785</v>
      </c>
      <c r="M168" s="141" t="s">
        <v>2786</v>
      </c>
      <c r="N168" s="198" t="s">
        <v>2787</v>
      </c>
      <c r="O168" s="141" t="s">
        <v>2788</v>
      </c>
      <c r="P168" s="198" t="s">
        <v>2789</v>
      </c>
      <c r="Q168" s="141" t="s">
        <v>2790</v>
      </c>
      <c r="R168" s="198" t="s">
        <v>2791</v>
      </c>
      <c r="S168" s="141" t="s">
        <v>2792</v>
      </c>
      <c r="T168" s="198" t="s">
        <v>2793</v>
      </c>
      <c r="U168" s="141" t="s">
        <v>2794</v>
      </c>
      <c r="V168" s="198" t="s">
        <v>2795</v>
      </c>
      <c r="W168" s="141" t="s">
        <v>2796</v>
      </c>
      <c r="X168" s="198" t="s">
        <v>2797</v>
      </c>
      <c r="Y168" s="141" t="s">
        <v>2798</v>
      </c>
      <c r="Z168" s="198" t="s">
        <v>2799</v>
      </c>
      <c r="AA168" s="141" t="s">
        <v>2800</v>
      </c>
      <c r="AB168" s="198" t="s">
        <v>2801</v>
      </c>
      <c r="AC168" s="141" t="s">
        <v>2817</v>
      </c>
      <c r="AD168" s="198" t="s">
        <v>2818</v>
      </c>
      <c r="AE168" s="141" t="s">
        <v>2819</v>
      </c>
      <c r="AF168" s="198" t="s">
        <v>2821</v>
      </c>
      <c r="AG168" s="141" t="s">
        <v>2822</v>
      </c>
      <c r="AH168" s="198" t="s">
        <v>2823</v>
      </c>
      <c r="AI168" s="141" t="s">
        <v>2824</v>
      </c>
      <c r="AJ168" s="198" t="s">
        <v>2825</v>
      </c>
      <c r="AK168" s="141" t="s">
        <v>2826</v>
      </c>
      <c r="AL168" s="198" t="s">
        <v>2827</v>
      </c>
      <c r="AM168" s="141" t="s">
        <v>2831</v>
      </c>
      <c r="AN168" s="143" t="s">
        <v>2832</v>
      </c>
      <c r="AO168" s="355" t="s">
        <v>2833</v>
      </c>
      <c r="AP168" s="164" t="s">
        <v>2834</v>
      </c>
      <c r="AQ168" s="141" t="s">
        <v>3011</v>
      </c>
      <c r="AR168" s="240" t="s">
        <v>3012</v>
      </c>
      <c r="AS168" s="240" t="s">
        <v>3013</v>
      </c>
      <c r="AT168" s="240" t="s">
        <v>3014</v>
      </c>
      <c r="AU168" s="1162" t="str">
        <f t="shared" si="32"/>
        <v xml:space="preserve">* Las gestantes ingresadas al Programa NO debe ser mayor al Total de Mujeres ingresadas. * Las madres de hijos menor de 5 años NO DEBE ser mayor al Total de Mujeres ingresadas al Programa. * Los Niños, Niñas, Adolescentes y Jóvenes de Programas SENAME NO DEBE ser mayor al Total de ingresos del Programa. * Los Migrantes NO DEBEN ser mayor al Total de ingresos del Programa. </v>
      </c>
      <c r="AV168" s="1058"/>
      <c r="AW168" s="1058"/>
      <c r="AX168" s="1058"/>
      <c r="AY168" s="1058"/>
      <c r="AZ168" s="1058"/>
      <c r="BA168" s="1058"/>
      <c r="BB168" s="1058"/>
      <c r="BC168" s="1058"/>
      <c r="BD168" s="1058"/>
      <c r="BE168" s="1058"/>
      <c r="BF168" s="94"/>
      <c r="BG168" s="94"/>
      <c r="BZ168" s="79"/>
      <c r="CA168" s="889" t="str">
        <f t="shared" si="20"/>
        <v xml:space="preserve">* Las gestantes ingresadas al Programa NO debe ser mayor al Total de Mujeres ingresadas. </v>
      </c>
      <c r="CB168" s="889" t="str">
        <f t="shared" si="21"/>
        <v xml:space="preserve">* Las madres de hijos menor de 5 años NO DEBE ser mayor al Total de Mujeres ingresadas al Programa. </v>
      </c>
      <c r="CC168" s="889" t="str">
        <f t="shared" si="22"/>
        <v/>
      </c>
      <c r="CD168" s="889" t="str">
        <f t="shared" si="23"/>
        <v xml:space="preserve">* Los Niños, Niñas, Adolescentes y Jóvenes de Programas SENAME NO DEBE ser mayor al Total de ingresos del Programa. </v>
      </c>
      <c r="CE168" s="889" t="str">
        <f t="shared" si="24"/>
        <v xml:space="preserve">* Los Migrantes NO DEBEN ser mayor al Total de ingresos del Programa. </v>
      </c>
      <c r="CF168" s="889" t="str">
        <f t="shared" si="25"/>
        <v/>
      </c>
      <c r="CG168" s="1020">
        <f t="shared" si="26"/>
        <v>1</v>
      </c>
      <c r="CH168" s="1020">
        <f t="shared" si="27"/>
        <v>1</v>
      </c>
      <c r="CI168" s="1020">
        <f t="shared" si="28"/>
        <v>0</v>
      </c>
      <c r="CJ168" s="1020">
        <f t="shared" si="29"/>
        <v>1</v>
      </c>
      <c r="CK168" s="1020">
        <f t="shared" si="30"/>
        <v>1</v>
      </c>
      <c r="CL168" s="1020">
        <f t="shared" si="31"/>
        <v>0</v>
      </c>
      <c r="CM168" s="1020"/>
      <c r="CN168" s="1020"/>
      <c r="DA168" s="80"/>
    </row>
    <row r="169" spans="1:105" ht="23.25" customHeight="1" x14ac:dyDescent="0.2">
      <c r="A169" s="2695" t="s">
        <v>3182</v>
      </c>
      <c r="B169" s="5343"/>
      <c r="C169" s="2421" t="s">
        <v>371</v>
      </c>
      <c r="D169" s="716" t="s">
        <v>2777</v>
      </c>
      <c r="E169" s="717" t="s">
        <v>2778</v>
      </c>
      <c r="F169" s="384" t="s">
        <v>2779</v>
      </c>
      <c r="G169" s="166" t="s">
        <v>2780</v>
      </c>
      <c r="H169" s="168" t="s">
        <v>2781</v>
      </c>
      <c r="I169" s="166" t="s">
        <v>2782</v>
      </c>
      <c r="J169" s="168" t="s">
        <v>2783</v>
      </c>
      <c r="K169" s="166" t="s">
        <v>2784</v>
      </c>
      <c r="L169" s="168" t="s">
        <v>2785</v>
      </c>
      <c r="M169" s="166" t="s">
        <v>2786</v>
      </c>
      <c r="N169" s="168" t="s">
        <v>2787</v>
      </c>
      <c r="O169" s="166" t="s">
        <v>2788</v>
      </c>
      <c r="P169" s="168" t="s">
        <v>2789</v>
      </c>
      <c r="Q169" s="166" t="s">
        <v>2790</v>
      </c>
      <c r="R169" s="168" t="s">
        <v>2791</v>
      </c>
      <c r="S169" s="166" t="s">
        <v>2792</v>
      </c>
      <c r="T169" s="168" t="s">
        <v>2793</v>
      </c>
      <c r="U169" s="166" t="s">
        <v>2794</v>
      </c>
      <c r="V169" s="168" t="s">
        <v>2795</v>
      </c>
      <c r="W169" s="166" t="s">
        <v>2796</v>
      </c>
      <c r="X169" s="168" t="s">
        <v>2797</v>
      </c>
      <c r="Y169" s="166" t="s">
        <v>2798</v>
      </c>
      <c r="Z169" s="168" t="s">
        <v>2799</v>
      </c>
      <c r="AA169" s="166" t="s">
        <v>2800</v>
      </c>
      <c r="AB169" s="168" t="s">
        <v>2801</v>
      </c>
      <c r="AC169" s="166" t="s">
        <v>2817</v>
      </c>
      <c r="AD169" s="168" t="s">
        <v>2818</v>
      </c>
      <c r="AE169" s="166" t="s">
        <v>2819</v>
      </c>
      <c r="AF169" s="168" t="s">
        <v>2821</v>
      </c>
      <c r="AG169" s="166" t="s">
        <v>2822</v>
      </c>
      <c r="AH169" s="168" t="s">
        <v>2823</v>
      </c>
      <c r="AI169" s="166" t="s">
        <v>2824</v>
      </c>
      <c r="AJ169" s="168" t="s">
        <v>2825</v>
      </c>
      <c r="AK169" s="166" t="s">
        <v>2826</v>
      </c>
      <c r="AL169" s="168" t="s">
        <v>2827</v>
      </c>
      <c r="AM169" s="166" t="s">
        <v>2831</v>
      </c>
      <c r="AN169" s="265" t="s">
        <v>2832</v>
      </c>
      <c r="AO169" s="372" t="s">
        <v>2833</v>
      </c>
      <c r="AP169" s="105" t="s">
        <v>2834</v>
      </c>
      <c r="AQ169" s="166" t="s">
        <v>3011</v>
      </c>
      <c r="AR169" s="168" t="s">
        <v>3012</v>
      </c>
      <c r="AS169" s="168" t="s">
        <v>3013</v>
      </c>
      <c r="AT169" s="168" t="s">
        <v>3014</v>
      </c>
      <c r="AU169" s="1162" t="str">
        <f t="shared" si="32"/>
        <v xml:space="preserve">* Las gestantes ingresadas al Programa NO debe ser mayor al Total de Mujeres ingresadas. * Las madres de hijos menor de 5 años NO DEBE ser mayor al Total de Mujeres ingresadas al Programa. * Los Niños, Niñas, Adolescentes y Jóvenes de Programas SENAME NO DEBE ser mayor al Total de ingresos del Programa. * Los Migrantes NO DEBEN ser mayor al Total de ingresos del Programa. </v>
      </c>
      <c r="AV169" s="1058"/>
      <c r="AW169" s="1058"/>
      <c r="AX169" s="1058"/>
      <c r="AY169" s="1058"/>
      <c r="AZ169" s="1058"/>
      <c r="BA169" s="1058"/>
      <c r="BB169" s="1058"/>
      <c r="BC169" s="1058"/>
      <c r="BD169" s="1058"/>
      <c r="BE169" s="1058"/>
      <c r="BF169" s="94"/>
      <c r="BG169" s="94"/>
      <c r="BZ169" s="79"/>
      <c r="CA169" s="889" t="str">
        <f t="shared" si="20"/>
        <v xml:space="preserve">* Las gestantes ingresadas al Programa NO debe ser mayor al Total de Mujeres ingresadas. </v>
      </c>
      <c r="CB169" s="889" t="str">
        <f t="shared" si="21"/>
        <v xml:space="preserve">* Las madres de hijos menor de 5 años NO DEBE ser mayor al Total de Mujeres ingresadas al Programa. </v>
      </c>
      <c r="CC169" s="889" t="str">
        <f t="shared" si="22"/>
        <v/>
      </c>
      <c r="CD169" s="889" t="str">
        <f t="shared" si="23"/>
        <v xml:space="preserve">* Los Niños, Niñas, Adolescentes y Jóvenes de Programas SENAME NO DEBE ser mayor al Total de ingresos del Programa. </v>
      </c>
      <c r="CE169" s="889" t="str">
        <f t="shared" si="24"/>
        <v xml:space="preserve">* Los Migrantes NO DEBEN ser mayor al Total de ingresos del Programa. </v>
      </c>
      <c r="CF169" s="889" t="str">
        <f t="shared" si="25"/>
        <v/>
      </c>
      <c r="CG169" s="1020">
        <f t="shared" si="26"/>
        <v>1</v>
      </c>
      <c r="CH169" s="1020">
        <f t="shared" si="27"/>
        <v>1</v>
      </c>
      <c r="CI169" s="1020">
        <f t="shared" si="28"/>
        <v>0</v>
      </c>
      <c r="CJ169" s="1020">
        <f t="shared" si="29"/>
        <v>1</v>
      </c>
      <c r="CK169" s="1020">
        <f t="shared" si="30"/>
        <v>1</v>
      </c>
      <c r="CL169" s="1020">
        <f t="shared" si="31"/>
        <v>0</v>
      </c>
      <c r="CM169" s="1020"/>
      <c r="CN169" s="1020"/>
      <c r="DA169" s="80"/>
    </row>
    <row r="170" spans="1:105" ht="22.35" customHeight="1" x14ac:dyDescent="0.2">
      <c r="A170" s="2695" t="s">
        <v>3183</v>
      </c>
      <c r="B170" s="5663" t="s">
        <v>372</v>
      </c>
      <c r="C170" s="2726" t="s">
        <v>373</v>
      </c>
      <c r="D170" s="2765" t="s">
        <v>2777</v>
      </c>
      <c r="E170" s="2766" t="s">
        <v>2778</v>
      </c>
      <c r="F170" s="2767" t="s">
        <v>2779</v>
      </c>
      <c r="G170" s="2483" t="s">
        <v>2780</v>
      </c>
      <c r="H170" s="2499" t="s">
        <v>2781</v>
      </c>
      <c r="I170" s="2483" t="s">
        <v>2782</v>
      </c>
      <c r="J170" s="2499" t="s">
        <v>2783</v>
      </c>
      <c r="K170" s="2483" t="s">
        <v>2784</v>
      </c>
      <c r="L170" s="2499" t="s">
        <v>2785</v>
      </c>
      <c r="M170" s="2483" t="s">
        <v>2786</v>
      </c>
      <c r="N170" s="2499" t="s">
        <v>2787</v>
      </c>
      <c r="O170" s="2483" t="s">
        <v>2788</v>
      </c>
      <c r="P170" s="2499" t="s">
        <v>2789</v>
      </c>
      <c r="Q170" s="2452" t="s">
        <v>2790</v>
      </c>
      <c r="R170" s="2457" t="s">
        <v>2791</v>
      </c>
      <c r="S170" s="2452" t="s">
        <v>2792</v>
      </c>
      <c r="T170" s="2457" t="s">
        <v>2793</v>
      </c>
      <c r="U170" s="2452" t="s">
        <v>2794</v>
      </c>
      <c r="V170" s="2457" t="s">
        <v>2795</v>
      </c>
      <c r="W170" s="2452" t="s">
        <v>2796</v>
      </c>
      <c r="X170" s="2457" t="s">
        <v>2797</v>
      </c>
      <c r="Y170" s="2452" t="s">
        <v>2798</v>
      </c>
      <c r="Z170" s="2457" t="s">
        <v>2799</v>
      </c>
      <c r="AA170" s="2452" t="s">
        <v>2800</v>
      </c>
      <c r="AB170" s="2457" t="s">
        <v>2801</v>
      </c>
      <c r="AC170" s="2452" t="s">
        <v>2817</v>
      </c>
      <c r="AD170" s="2457" t="s">
        <v>2818</v>
      </c>
      <c r="AE170" s="2452" t="s">
        <v>2819</v>
      </c>
      <c r="AF170" s="2457" t="s">
        <v>2821</v>
      </c>
      <c r="AG170" s="2452" t="s">
        <v>2822</v>
      </c>
      <c r="AH170" s="2457" t="s">
        <v>2823</v>
      </c>
      <c r="AI170" s="2452" t="s">
        <v>2824</v>
      </c>
      <c r="AJ170" s="2457" t="s">
        <v>2825</v>
      </c>
      <c r="AK170" s="2452" t="s">
        <v>2826</v>
      </c>
      <c r="AL170" s="2457" t="s">
        <v>2827</v>
      </c>
      <c r="AM170" s="2452" t="s">
        <v>2831</v>
      </c>
      <c r="AN170" s="2787" t="s">
        <v>2832</v>
      </c>
      <c r="AO170" s="2722" t="s">
        <v>2833</v>
      </c>
      <c r="AP170" s="2456" t="s">
        <v>2834</v>
      </c>
      <c r="AQ170" s="2483" t="s">
        <v>3011</v>
      </c>
      <c r="AR170" s="2786" t="s">
        <v>3012</v>
      </c>
      <c r="AS170" s="2786" t="s">
        <v>3013</v>
      </c>
      <c r="AT170" s="2786" t="s">
        <v>3014</v>
      </c>
      <c r="AU170" s="1162" t="str">
        <f t="shared" si="32"/>
        <v xml:space="preserve">* Las gestantes ingresadas al Programa NO debe ser mayor al Total de Mujeres ingresadas. * Los Niños, Niñas, Adolescentes y Jóvenes de Programas SENAME NO DEBE ser mayor al Total de ingresos del Programa. * Los Migrantes NO DEBEN ser mayor al Total de ingresos del Programa. </v>
      </c>
      <c r="AV170" s="1058"/>
      <c r="AW170" s="1058"/>
      <c r="AX170" s="1058"/>
      <c r="AY170" s="1058"/>
      <c r="AZ170" s="1058"/>
      <c r="BA170" s="1058"/>
      <c r="BB170" s="1058"/>
      <c r="BC170" s="1058"/>
      <c r="BD170" s="1058"/>
      <c r="BE170" s="1058"/>
      <c r="BF170" s="94"/>
      <c r="BG170" s="94"/>
      <c r="BZ170" s="79"/>
      <c r="CA170" s="889" t="str">
        <f t="shared" si="20"/>
        <v xml:space="preserve">* Las gestantes ingresadas al Programa NO debe ser mayor al Total de Mujeres ingresadas. </v>
      </c>
      <c r="CC170" s="889" t="str">
        <f t="shared" si="22"/>
        <v/>
      </c>
      <c r="CD170" s="889" t="str">
        <f t="shared" si="23"/>
        <v xml:space="preserve">* Los Niños, Niñas, Adolescentes y Jóvenes de Programas SENAME NO DEBE ser mayor al Total de ingresos del Programa. </v>
      </c>
      <c r="CE170" s="889" t="str">
        <f t="shared" si="24"/>
        <v xml:space="preserve">* Los Migrantes NO DEBEN ser mayor al Total de ingresos del Programa. </v>
      </c>
      <c r="CF170" s="889" t="str">
        <f t="shared" si="25"/>
        <v/>
      </c>
      <c r="CG170" s="1020">
        <f t="shared" si="26"/>
        <v>1</v>
      </c>
      <c r="CH170" s="1020"/>
      <c r="CI170" s="1020">
        <f t="shared" si="28"/>
        <v>0</v>
      </c>
      <c r="CJ170" s="1020">
        <f t="shared" si="29"/>
        <v>1</v>
      </c>
      <c r="CK170" s="1020">
        <f t="shared" si="30"/>
        <v>1</v>
      </c>
      <c r="CL170" s="1020">
        <f>IF(AND(D170&lt;&gt;0,OR(AO170="",AQ170="",AR170="",AS170="",AT170="")),1,0)</f>
        <v>0</v>
      </c>
      <c r="CM170" s="1020"/>
      <c r="CN170" s="1020"/>
      <c r="DA170" s="80"/>
    </row>
    <row r="171" spans="1:105" ht="27" customHeight="1" x14ac:dyDescent="0.2">
      <c r="A171" s="2695" t="s">
        <v>3184</v>
      </c>
      <c r="B171" s="5664"/>
      <c r="C171" s="2420" t="s">
        <v>374</v>
      </c>
      <c r="D171" s="714" t="s">
        <v>2777</v>
      </c>
      <c r="E171" s="715" t="s">
        <v>2778</v>
      </c>
      <c r="F171" s="2433" t="s">
        <v>2779</v>
      </c>
      <c r="G171" s="141" t="s">
        <v>2780</v>
      </c>
      <c r="H171" s="198" t="s">
        <v>2781</v>
      </c>
      <c r="I171" s="141" t="s">
        <v>2782</v>
      </c>
      <c r="J171" s="198" t="s">
        <v>2783</v>
      </c>
      <c r="K171" s="141" t="s">
        <v>2784</v>
      </c>
      <c r="L171" s="198" t="s">
        <v>2785</v>
      </c>
      <c r="M171" s="141" t="s">
        <v>2786</v>
      </c>
      <c r="N171" s="198" t="s">
        <v>2787</v>
      </c>
      <c r="O171" s="141" t="s">
        <v>2788</v>
      </c>
      <c r="P171" s="198" t="s">
        <v>2789</v>
      </c>
      <c r="Q171" s="173" t="s">
        <v>2790</v>
      </c>
      <c r="R171" s="174" t="s">
        <v>2791</v>
      </c>
      <c r="S171" s="173" t="s">
        <v>2792</v>
      </c>
      <c r="T171" s="174" t="s">
        <v>2793</v>
      </c>
      <c r="U171" s="173" t="s">
        <v>2794</v>
      </c>
      <c r="V171" s="174" t="s">
        <v>2795</v>
      </c>
      <c r="W171" s="173" t="s">
        <v>2796</v>
      </c>
      <c r="X171" s="174" t="s">
        <v>2797</v>
      </c>
      <c r="Y171" s="173" t="s">
        <v>2798</v>
      </c>
      <c r="Z171" s="174" t="s">
        <v>2799</v>
      </c>
      <c r="AA171" s="173" t="s">
        <v>2800</v>
      </c>
      <c r="AB171" s="174" t="s">
        <v>2801</v>
      </c>
      <c r="AC171" s="173" t="s">
        <v>2817</v>
      </c>
      <c r="AD171" s="174" t="s">
        <v>2818</v>
      </c>
      <c r="AE171" s="173" t="s">
        <v>2819</v>
      </c>
      <c r="AF171" s="174" t="s">
        <v>2821</v>
      </c>
      <c r="AG171" s="173" t="s">
        <v>2822</v>
      </c>
      <c r="AH171" s="174" t="s">
        <v>2823</v>
      </c>
      <c r="AI171" s="173" t="s">
        <v>2824</v>
      </c>
      <c r="AJ171" s="174" t="s">
        <v>2825</v>
      </c>
      <c r="AK171" s="173" t="s">
        <v>2826</v>
      </c>
      <c r="AL171" s="174" t="s">
        <v>2827</v>
      </c>
      <c r="AM171" s="173" t="s">
        <v>2831</v>
      </c>
      <c r="AN171" s="641" t="s">
        <v>2832</v>
      </c>
      <c r="AO171" s="355" t="s">
        <v>2833</v>
      </c>
      <c r="AP171" s="2788" t="s">
        <v>2834</v>
      </c>
      <c r="AQ171" s="141" t="s">
        <v>3011</v>
      </c>
      <c r="AR171" s="240" t="s">
        <v>3012</v>
      </c>
      <c r="AS171" s="240" t="s">
        <v>3013</v>
      </c>
      <c r="AT171" s="240" t="s">
        <v>3014</v>
      </c>
      <c r="AU171" s="1162" t="str">
        <f t="shared" si="32"/>
        <v xml:space="preserve">* Las gestantes ingresadas al Programa NO debe ser mayor al Total de Mujeres ingresadas. * Los Niños, Niñas, Adolescentes y Jóvenes de Programas SENAME NO DEBE ser mayor al Total de ingresos del Programa. * Los Migrantes NO DEBEN ser mayor al Total de ingresos del Programa. </v>
      </c>
      <c r="AV171" s="1058"/>
      <c r="AW171" s="1058"/>
      <c r="AX171" s="1058"/>
      <c r="AY171" s="1058"/>
      <c r="AZ171" s="1058"/>
      <c r="BA171" s="1058"/>
      <c r="BB171" s="1058"/>
      <c r="BC171" s="1058"/>
      <c r="BD171" s="1058"/>
      <c r="BE171" s="1058"/>
      <c r="BF171" s="94"/>
      <c r="BG171" s="94"/>
      <c r="BZ171" s="79"/>
      <c r="CA171" s="889" t="str">
        <f t="shared" si="20"/>
        <v xml:space="preserve">* Las gestantes ingresadas al Programa NO debe ser mayor al Total de Mujeres ingresadas. </v>
      </c>
      <c r="CC171" s="889" t="str">
        <f t="shared" si="22"/>
        <v/>
      </c>
      <c r="CD171" s="889" t="str">
        <f t="shared" si="23"/>
        <v xml:space="preserve">* Los Niños, Niñas, Adolescentes y Jóvenes de Programas SENAME NO DEBE ser mayor al Total de ingresos del Programa. </v>
      </c>
      <c r="CE171" s="889" t="str">
        <f t="shared" si="24"/>
        <v xml:space="preserve">* Los Migrantes NO DEBEN ser mayor al Total de ingresos del Programa. </v>
      </c>
      <c r="CF171" s="889" t="str">
        <f t="shared" si="25"/>
        <v/>
      </c>
      <c r="CG171" s="1020">
        <f t="shared" si="26"/>
        <v>1</v>
      </c>
      <c r="CH171" s="1020"/>
      <c r="CI171" s="1020">
        <f t="shared" si="28"/>
        <v>0</v>
      </c>
      <c r="CJ171" s="1020">
        <f t="shared" si="29"/>
        <v>1</v>
      </c>
      <c r="CK171" s="1020">
        <f t="shared" si="30"/>
        <v>1</v>
      </c>
      <c r="CL171" s="1020">
        <f>IF(AND(D171&lt;&gt;0,OR(AO171="",AQ171="",AR171="",AS171="",AT171="")),1,0)</f>
        <v>0</v>
      </c>
      <c r="CM171" s="1020"/>
      <c r="CN171" s="1020"/>
      <c r="DA171" s="80"/>
    </row>
    <row r="172" spans="1:105" ht="25.5" customHeight="1" x14ac:dyDescent="0.2">
      <c r="A172" s="2695" t="s">
        <v>3185</v>
      </c>
      <c r="B172" s="5664"/>
      <c r="C172" s="2420" t="s">
        <v>375</v>
      </c>
      <c r="D172" s="714" t="s">
        <v>2777</v>
      </c>
      <c r="E172" s="715" t="s">
        <v>2778</v>
      </c>
      <c r="F172" s="2433" t="s">
        <v>2779</v>
      </c>
      <c r="G172" s="141" t="s">
        <v>2780</v>
      </c>
      <c r="H172" s="198" t="s">
        <v>2781</v>
      </c>
      <c r="I172" s="141" t="s">
        <v>2782</v>
      </c>
      <c r="J172" s="198" t="s">
        <v>2783</v>
      </c>
      <c r="K172" s="141" t="s">
        <v>2784</v>
      </c>
      <c r="L172" s="198" t="s">
        <v>2785</v>
      </c>
      <c r="M172" s="141" t="s">
        <v>2786</v>
      </c>
      <c r="N172" s="198" t="s">
        <v>2787</v>
      </c>
      <c r="O172" s="141" t="s">
        <v>2788</v>
      </c>
      <c r="P172" s="198" t="s">
        <v>2789</v>
      </c>
      <c r="Q172" s="173" t="s">
        <v>2790</v>
      </c>
      <c r="R172" s="174" t="s">
        <v>2791</v>
      </c>
      <c r="S172" s="173" t="s">
        <v>2792</v>
      </c>
      <c r="T172" s="174" t="s">
        <v>2793</v>
      </c>
      <c r="U172" s="173" t="s">
        <v>2794</v>
      </c>
      <c r="V172" s="174" t="s">
        <v>2795</v>
      </c>
      <c r="W172" s="173" t="s">
        <v>2796</v>
      </c>
      <c r="X172" s="174" t="s">
        <v>2797</v>
      </c>
      <c r="Y172" s="173" t="s">
        <v>2798</v>
      </c>
      <c r="Z172" s="174" t="s">
        <v>2799</v>
      </c>
      <c r="AA172" s="173" t="s">
        <v>2800</v>
      </c>
      <c r="AB172" s="174" t="s">
        <v>2801</v>
      </c>
      <c r="AC172" s="173" t="s">
        <v>2817</v>
      </c>
      <c r="AD172" s="174" t="s">
        <v>2818</v>
      </c>
      <c r="AE172" s="173" t="s">
        <v>2819</v>
      </c>
      <c r="AF172" s="174" t="s">
        <v>2821</v>
      </c>
      <c r="AG172" s="173" t="s">
        <v>2822</v>
      </c>
      <c r="AH172" s="174" t="s">
        <v>2823</v>
      </c>
      <c r="AI172" s="173" t="s">
        <v>2824</v>
      </c>
      <c r="AJ172" s="174" t="s">
        <v>2825</v>
      </c>
      <c r="AK172" s="173" t="s">
        <v>2826</v>
      </c>
      <c r="AL172" s="174" t="s">
        <v>2827</v>
      </c>
      <c r="AM172" s="173" t="s">
        <v>2831</v>
      </c>
      <c r="AN172" s="641" t="s">
        <v>2832</v>
      </c>
      <c r="AO172" s="355" t="s">
        <v>2833</v>
      </c>
      <c r="AP172" s="258" t="s">
        <v>2834</v>
      </c>
      <c r="AQ172" s="141" t="s">
        <v>3011</v>
      </c>
      <c r="AR172" s="240" t="s">
        <v>3012</v>
      </c>
      <c r="AS172" s="240" t="s">
        <v>3013</v>
      </c>
      <c r="AT172" s="240" t="s">
        <v>3014</v>
      </c>
      <c r="AU172" s="1162" t="str">
        <f t="shared" si="32"/>
        <v xml:space="preserve">* Las gestantes ingresadas al Programa NO debe ser mayor al Total de Mujeres ingresadas. * Los Niños, Niñas, Adolescentes y Jóvenes de Programas SENAME NO DEBE ser mayor al Total de ingresos del Programa. * Los Migrantes NO DEBEN ser mayor al Total de ingresos del Programa. </v>
      </c>
      <c r="AV172" s="1058"/>
      <c r="AW172" s="1058"/>
      <c r="AX172" s="1058"/>
      <c r="AY172" s="1058"/>
      <c r="AZ172" s="1058"/>
      <c r="BA172" s="1058"/>
      <c r="BB172" s="1058"/>
      <c r="BC172" s="1058"/>
      <c r="BD172" s="1058"/>
      <c r="BE172" s="1058"/>
      <c r="BF172" s="94"/>
      <c r="BG172" s="94"/>
      <c r="BZ172" s="79"/>
      <c r="CA172" s="889" t="str">
        <f t="shared" si="20"/>
        <v xml:space="preserve">* Las gestantes ingresadas al Programa NO debe ser mayor al Total de Mujeres ingresadas. </v>
      </c>
      <c r="CC172" s="889" t="str">
        <f t="shared" si="22"/>
        <v/>
      </c>
      <c r="CD172" s="889" t="str">
        <f t="shared" si="23"/>
        <v xml:space="preserve">* Los Niños, Niñas, Adolescentes y Jóvenes de Programas SENAME NO DEBE ser mayor al Total de ingresos del Programa. </v>
      </c>
      <c r="CE172" s="889" t="str">
        <f t="shared" si="24"/>
        <v xml:space="preserve">* Los Migrantes NO DEBEN ser mayor al Total de ingresos del Programa. </v>
      </c>
      <c r="CF172" s="889" t="str">
        <f t="shared" si="25"/>
        <v/>
      </c>
      <c r="CG172" s="1020">
        <f t="shared" si="26"/>
        <v>1</v>
      </c>
      <c r="CH172" s="1020"/>
      <c r="CI172" s="1020">
        <f t="shared" si="28"/>
        <v>0</v>
      </c>
      <c r="CJ172" s="1020">
        <f t="shared" si="29"/>
        <v>1</v>
      </c>
      <c r="CK172" s="1020">
        <f t="shared" si="30"/>
        <v>1</v>
      </c>
      <c r="CL172" s="1020">
        <f>IF(AND(D172&lt;&gt;0,OR(AO172="",AQ172="",AR172="",AS172="",AT172="")),1,0)</f>
        <v>0</v>
      </c>
      <c r="CM172" s="1020"/>
      <c r="CN172" s="1020"/>
      <c r="DA172" s="80"/>
    </row>
    <row r="173" spans="1:105" ht="32.25" customHeight="1" x14ac:dyDescent="0.2">
      <c r="A173" s="2695" t="s">
        <v>3186</v>
      </c>
      <c r="B173" s="5665"/>
      <c r="C173" s="2421" t="s">
        <v>376</v>
      </c>
      <c r="D173" s="716" t="s">
        <v>2777</v>
      </c>
      <c r="E173" s="717" t="s">
        <v>2778</v>
      </c>
      <c r="F173" s="384" t="s">
        <v>2779</v>
      </c>
      <c r="G173" s="166" t="s">
        <v>2780</v>
      </c>
      <c r="H173" s="168" t="s">
        <v>2781</v>
      </c>
      <c r="I173" s="166" t="s">
        <v>2782</v>
      </c>
      <c r="J173" s="168" t="s">
        <v>2783</v>
      </c>
      <c r="K173" s="166" t="s">
        <v>2784</v>
      </c>
      <c r="L173" s="168" t="s">
        <v>2785</v>
      </c>
      <c r="M173" s="166" t="s">
        <v>2786</v>
      </c>
      <c r="N173" s="168" t="s">
        <v>2787</v>
      </c>
      <c r="O173" s="166" t="s">
        <v>2788</v>
      </c>
      <c r="P173" s="168" t="s">
        <v>2789</v>
      </c>
      <c r="Q173" s="2789" t="s">
        <v>2790</v>
      </c>
      <c r="R173" s="2790" t="s">
        <v>2791</v>
      </c>
      <c r="S173" s="2789" t="s">
        <v>2792</v>
      </c>
      <c r="T173" s="2790" t="s">
        <v>2793</v>
      </c>
      <c r="U173" s="2789" t="s">
        <v>2794</v>
      </c>
      <c r="V173" s="2790" t="s">
        <v>2795</v>
      </c>
      <c r="W173" s="2789" t="s">
        <v>2796</v>
      </c>
      <c r="X173" s="2790" t="s">
        <v>2797</v>
      </c>
      <c r="Y173" s="2789" t="s">
        <v>2798</v>
      </c>
      <c r="Z173" s="2790" t="s">
        <v>2799</v>
      </c>
      <c r="AA173" s="2789" t="s">
        <v>2800</v>
      </c>
      <c r="AB173" s="2790" t="s">
        <v>2801</v>
      </c>
      <c r="AC173" s="2789" t="s">
        <v>2817</v>
      </c>
      <c r="AD173" s="2790" t="s">
        <v>2818</v>
      </c>
      <c r="AE173" s="2789" t="s">
        <v>2819</v>
      </c>
      <c r="AF173" s="2790" t="s">
        <v>2821</v>
      </c>
      <c r="AG173" s="2789" t="s">
        <v>2822</v>
      </c>
      <c r="AH173" s="2790" t="s">
        <v>2823</v>
      </c>
      <c r="AI173" s="2789" t="s">
        <v>2824</v>
      </c>
      <c r="AJ173" s="2790" t="s">
        <v>2825</v>
      </c>
      <c r="AK173" s="2789" t="s">
        <v>2826</v>
      </c>
      <c r="AL173" s="2790" t="s">
        <v>2827</v>
      </c>
      <c r="AM173" s="2789" t="s">
        <v>2831</v>
      </c>
      <c r="AN173" s="2790" t="s">
        <v>2832</v>
      </c>
      <c r="AO173" s="372" t="s">
        <v>2833</v>
      </c>
      <c r="AP173" s="169" t="s">
        <v>2834</v>
      </c>
      <c r="AQ173" s="166" t="s">
        <v>3011</v>
      </c>
      <c r="AR173" s="168" t="s">
        <v>3012</v>
      </c>
      <c r="AS173" s="168" t="s">
        <v>3013</v>
      </c>
      <c r="AT173" s="168" t="s">
        <v>3014</v>
      </c>
      <c r="AU173" s="1162" t="str">
        <f t="shared" si="32"/>
        <v xml:space="preserve">* Las gestantes ingresadas al Programa NO debe ser mayor al Total de Mujeres ingresadas. * Los Niños, Niñas, Adolescentes y Jóvenes de Programas SENAME NO DEBE ser mayor al Total de ingresos del Programa. * Los Migrantes NO DEBEN ser mayor al Total de ingresos del Programa. </v>
      </c>
      <c r="AV173" s="1058"/>
      <c r="AW173" s="1058"/>
      <c r="AX173" s="1058"/>
      <c r="AY173" s="1058"/>
      <c r="AZ173" s="1058"/>
      <c r="BA173" s="1058"/>
      <c r="BB173" s="1058"/>
      <c r="BC173" s="1058"/>
      <c r="BD173" s="1058"/>
      <c r="BE173" s="1058"/>
      <c r="BF173" s="94"/>
      <c r="BG173" s="94"/>
      <c r="BZ173" s="79"/>
      <c r="CA173" s="889" t="str">
        <f t="shared" si="20"/>
        <v xml:space="preserve">* Las gestantes ingresadas al Programa NO debe ser mayor al Total de Mujeres ingresadas. </v>
      </c>
      <c r="CC173" s="889" t="str">
        <f t="shared" si="22"/>
        <v/>
      </c>
      <c r="CD173" s="889" t="str">
        <f t="shared" si="23"/>
        <v xml:space="preserve">* Los Niños, Niñas, Adolescentes y Jóvenes de Programas SENAME NO DEBE ser mayor al Total de ingresos del Programa. </v>
      </c>
      <c r="CE173" s="889" t="str">
        <f t="shared" si="24"/>
        <v xml:space="preserve">* Los Migrantes NO DEBEN ser mayor al Total de ingresos del Programa. </v>
      </c>
      <c r="CF173" s="889" t="str">
        <f t="shared" si="25"/>
        <v/>
      </c>
      <c r="CG173" s="1020">
        <f t="shared" si="26"/>
        <v>1</v>
      </c>
      <c r="CH173" s="1020"/>
      <c r="CI173" s="1020">
        <f t="shared" si="28"/>
        <v>0</v>
      </c>
      <c r="CJ173" s="1020">
        <f t="shared" si="29"/>
        <v>1</v>
      </c>
      <c r="CK173" s="1020">
        <f t="shared" si="30"/>
        <v>1</v>
      </c>
      <c r="CL173" s="1020">
        <f>IF(AND(D173&lt;&gt;0,OR(AO173="",AQ173="",AR173="",AS173="",AT173="")),1,0)</f>
        <v>0</v>
      </c>
      <c r="CM173" s="1020"/>
      <c r="CN173" s="1020"/>
      <c r="DA173" s="80"/>
    </row>
    <row r="174" spans="1:105" ht="16.350000000000001" customHeight="1" x14ac:dyDescent="0.2">
      <c r="A174" s="2695" t="s">
        <v>3187</v>
      </c>
      <c r="B174" s="5663" t="s">
        <v>377</v>
      </c>
      <c r="C174" s="2792" t="s">
        <v>1507</v>
      </c>
      <c r="D174" s="2782" t="s">
        <v>2777</v>
      </c>
      <c r="E174" s="2783" t="s">
        <v>2778</v>
      </c>
      <c r="F174" s="383" t="s">
        <v>2779</v>
      </c>
      <c r="G174" s="2577" t="s">
        <v>2780</v>
      </c>
      <c r="H174" s="197" t="s">
        <v>2781</v>
      </c>
      <c r="I174" s="2577" t="s">
        <v>2782</v>
      </c>
      <c r="J174" s="197" t="s">
        <v>2783</v>
      </c>
      <c r="K174" s="2577" t="s">
        <v>2784</v>
      </c>
      <c r="L174" s="197" t="s">
        <v>2785</v>
      </c>
      <c r="M174" s="2577" t="s">
        <v>2786</v>
      </c>
      <c r="N174" s="197" t="s">
        <v>2787</v>
      </c>
      <c r="O174" s="2577" t="s">
        <v>2788</v>
      </c>
      <c r="P174" s="197" t="s">
        <v>2789</v>
      </c>
      <c r="Q174" s="2577" t="s">
        <v>2790</v>
      </c>
      <c r="R174" s="197" t="s">
        <v>2791</v>
      </c>
      <c r="S174" s="2577" t="s">
        <v>2792</v>
      </c>
      <c r="T174" s="197" t="s">
        <v>2793</v>
      </c>
      <c r="U174" s="2577" t="s">
        <v>2794</v>
      </c>
      <c r="V174" s="197" t="s">
        <v>2795</v>
      </c>
      <c r="W174" s="2577" t="s">
        <v>2796</v>
      </c>
      <c r="X174" s="197" t="s">
        <v>2797</v>
      </c>
      <c r="Y174" s="2577" t="s">
        <v>2798</v>
      </c>
      <c r="Z174" s="197" t="s">
        <v>2799</v>
      </c>
      <c r="AA174" s="2577" t="s">
        <v>2800</v>
      </c>
      <c r="AB174" s="197" t="s">
        <v>2801</v>
      </c>
      <c r="AC174" s="2577" t="s">
        <v>2817</v>
      </c>
      <c r="AD174" s="197" t="s">
        <v>2818</v>
      </c>
      <c r="AE174" s="2577" t="s">
        <v>2819</v>
      </c>
      <c r="AF174" s="197" t="s">
        <v>2821</v>
      </c>
      <c r="AG174" s="2577" t="s">
        <v>2822</v>
      </c>
      <c r="AH174" s="197" t="s">
        <v>2823</v>
      </c>
      <c r="AI174" s="2577" t="s">
        <v>2824</v>
      </c>
      <c r="AJ174" s="197" t="s">
        <v>2825</v>
      </c>
      <c r="AK174" s="2577" t="s">
        <v>2826</v>
      </c>
      <c r="AL174" s="197" t="s">
        <v>2827</v>
      </c>
      <c r="AM174" s="2577" t="s">
        <v>2831</v>
      </c>
      <c r="AN174" s="2294" t="s">
        <v>2832</v>
      </c>
      <c r="AO174" s="197" t="s">
        <v>2833</v>
      </c>
      <c r="AP174" s="2455" t="s">
        <v>2834</v>
      </c>
      <c r="AQ174" s="2487" t="s">
        <v>3011</v>
      </c>
      <c r="AR174" s="197" t="s">
        <v>3012</v>
      </c>
      <c r="AS174" s="197" t="s">
        <v>3013</v>
      </c>
      <c r="AT174" s="2580" t="s">
        <v>3014</v>
      </c>
      <c r="AU174" s="1162" t="str">
        <f t="shared" si="32"/>
        <v xml:space="preserve">* Las gestantes ingresadas al Programa NO debe ser mayor al Total de Mujeres ingresadas. * Las madres de hijos menor de 5 años NO DEBE ser mayor al Total de Mujeres ingresadas al Programa. * Los Niños, Niñas, Adolescentes y Jóvenes de Programas SENAME NO DEBE ser mayor al Total de ingresos del Programa. * Los Migrantes NO DEBEN ser mayor al Total de ingresos del Programa. </v>
      </c>
      <c r="AV174" s="1058"/>
      <c r="AW174" s="1058"/>
      <c r="AX174" s="1058"/>
      <c r="AY174" s="1058"/>
      <c r="AZ174" s="1058"/>
      <c r="BA174" s="1058"/>
      <c r="BB174" s="1058"/>
      <c r="BC174" s="1058"/>
      <c r="BD174" s="1058"/>
      <c r="BE174" s="1058"/>
      <c r="BF174" s="94"/>
      <c r="BG174" s="94"/>
      <c r="BZ174" s="79"/>
      <c r="CA174" s="889" t="str">
        <f t="shared" si="20"/>
        <v xml:space="preserve">* Las gestantes ingresadas al Programa NO debe ser mayor al Total de Mujeres ingresadas. </v>
      </c>
      <c r="CB174" s="889" t="str">
        <f t="shared" ref="CB174:CB179" si="33">IF(CH174=0,"","* Las madres de hijos menor de 5 años NO DEBE ser mayor al Total de Mujeres ingresadas al Programa. ")</f>
        <v xml:space="preserve">* Las madres de hijos menor de 5 años NO DEBE ser mayor al Total de Mujeres ingresadas al Programa. </v>
      </c>
      <c r="CC174" s="889" t="str">
        <f t="shared" si="22"/>
        <v/>
      </c>
      <c r="CD174" s="889" t="str">
        <f t="shared" si="23"/>
        <v xml:space="preserve">* Los Niños, Niñas, Adolescentes y Jóvenes de Programas SENAME NO DEBE ser mayor al Total de ingresos del Programa. </v>
      </c>
      <c r="CE174" s="889" t="str">
        <f t="shared" si="24"/>
        <v xml:space="preserve">* Los Migrantes NO DEBEN ser mayor al Total de ingresos del Programa. </v>
      </c>
      <c r="CF174" s="889" t="str">
        <f t="shared" si="25"/>
        <v/>
      </c>
      <c r="CG174" s="1020">
        <f t="shared" si="26"/>
        <v>1</v>
      </c>
      <c r="CH174" s="1020">
        <f t="shared" ref="CH174:CH179" si="34">IF(D174&lt;AP174,1,0)</f>
        <v>1</v>
      </c>
      <c r="CI174" s="1020">
        <f t="shared" si="28"/>
        <v>0</v>
      </c>
      <c r="CJ174" s="1020">
        <f t="shared" si="29"/>
        <v>1</v>
      </c>
      <c r="CK174" s="1020">
        <f t="shared" si="30"/>
        <v>1</v>
      </c>
      <c r="CL174" s="1020">
        <f t="shared" ref="CL174:CL179" si="35">IF(AND(D174&lt;&gt;0,OR(AO174="",AP174="",AQ174="",AR174="",AS174="",AT174="")),1,0)</f>
        <v>0</v>
      </c>
      <c r="CM174" s="1020"/>
      <c r="CN174" s="1020"/>
      <c r="DA174" s="80"/>
    </row>
    <row r="175" spans="1:105" ht="16.350000000000001" customHeight="1" x14ac:dyDescent="0.2">
      <c r="A175" s="2695" t="s">
        <v>3188</v>
      </c>
      <c r="B175" s="5664"/>
      <c r="C175" s="2793" t="s">
        <v>3189</v>
      </c>
      <c r="D175" s="714" t="s">
        <v>2777</v>
      </c>
      <c r="E175" s="715" t="s">
        <v>2778</v>
      </c>
      <c r="F175" s="2433" t="s">
        <v>2779</v>
      </c>
      <c r="G175" s="141" t="s">
        <v>2780</v>
      </c>
      <c r="H175" s="198" t="s">
        <v>2781</v>
      </c>
      <c r="I175" s="141" t="s">
        <v>2782</v>
      </c>
      <c r="J175" s="198" t="s">
        <v>2783</v>
      </c>
      <c r="K175" s="141" t="s">
        <v>2784</v>
      </c>
      <c r="L175" s="198" t="s">
        <v>2785</v>
      </c>
      <c r="M175" s="141" t="s">
        <v>2786</v>
      </c>
      <c r="N175" s="198" t="s">
        <v>2787</v>
      </c>
      <c r="O175" s="141" t="s">
        <v>2788</v>
      </c>
      <c r="P175" s="198" t="s">
        <v>2789</v>
      </c>
      <c r="Q175" s="141" t="s">
        <v>2790</v>
      </c>
      <c r="R175" s="198" t="s">
        <v>2791</v>
      </c>
      <c r="S175" s="141" t="s">
        <v>2792</v>
      </c>
      <c r="T175" s="198" t="s">
        <v>2793</v>
      </c>
      <c r="U175" s="141" t="s">
        <v>2794</v>
      </c>
      <c r="V175" s="198" t="s">
        <v>2795</v>
      </c>
      <c r="W175" s="141" t="s">
        <v>2796</v>
      </c>
      <c r="X175" s="198" t="s">
        <v>2797</v>
      </c>
      <c r="Y175" s="141" t="s">
        <v>2798</v>
      </c>
      <c r="Z175" s="198" t="s">
        <v>2799</v>
      </c>
      <c r="AA175" s="141" t="s">
        <v>2800</v>
      </c>
      <c r="AB175" s="198" t="s">
        <v>2801</v>
      </c>
      <c r="AC175" s="141" t="s">
        <v>2817</v>
      </c>
      <c r="AD175" s="198" t="s">
        <v>2818</v>
      </c>
      <c r="AE175" s="141" t="s">
        <v>2819</v>
      </c>
      <c r="AF175" s="198" t="s">
        <v>2821</v>
      </c>
      <c r="AG175" s="141" t="s">
        <v>2822</v>
      </c>
      <c r="AH175" s="198" t="s">
        <v>2823</v>
      </c>
      <c r="AI175" s="141" t="s">
        <v>2824</v>
      </c>
      <c r="AJ175" s="198" t="s">
        <v>2825</v>
      </c>
      <c r="AK175" s="141" t="s">
        <v>2826</v>
      </c>
      <c r="AL175" s="198" t="s">
        <v>2827</v>
      </c>
      <c r="AM175" s="141" t="s">
        <v>2831</v>
      </c>
      <c r="AN175" s="318" t="s">
        <v>2832</v>
      </c>
      <c r="AO175" s="198" t="s">
        <v>2833</v>
      </c>
      <c r="AP175" s="164" t="s">
        <v>2834</v>
      </c>
      <c r="AQ175" s="180" t="s">
        <v>3011</v>
      </c>
      <c r="AR175" s="198" t="s">
        <v>3012</v>
      </c>
      <c r="AS175" s="198" t="s">
        <v>3013</v>
      </c>
      <c r="AT175" s="164" t="s">
        <v>3014</v>
      </c>
      <c r="AU175" s="1162" t="str">
        <f t="shared" si="32"/>
        <v xml:space="preserve">* Las gestantes ingresadas al Programa NO debe ser mayor al Total de Mujeres ingresadas. * Las madres de hijos menor de 5 años NO DEBE ser mayor al Total de Mujeres ingresadas al Programa. * Los Niños, Niñas, Adolescentes y Jóvenes de Programas SENAME NO DEBE ser mayor al Total de ingresos del Programa. * Los Migrantes NO DEBEN ser mayor al Total de ingresos del Programa. </v>
      </c>
      <c r="AV175" s="1058"/>
      <c r="AW175" s="1058"/>
      <c r="AX175" s="1058"/>
      <c r="AY175" s="1058"/>
      <c r="AZ175" s="1058"/>
      <c r="BA175" s="1058"/>
      <c r="BB175" s="1058"/>
      <c r="BC175" s="1058"/>
      <c r="BD175" s="1058"/>
      <c r="BE175" s="1058"/>
      <c r="BF175" s="94"/>
      <c r="BG175" s="94"/>
      <c r="BZ175" s="79"/>
      <c r="CA175" s="889" t="str">
        <f t="shared" si="20"/>
        <v xml:space="preserve">* Las gestantes ingresadas al Programa NO debe ser mayor al Total de Mujeres ingresadas. </v>
      </c>
      <c r="CB175" s="889" t="str">
        <f t="shared" si="33"/>
        <v xml:space="preserve">* Las madres de hijos menor de 5 años NO DEBE ser mayor al Total de Mujeres ingresadas al Programa. </v>
      </c>
      <c r="CC175" s="889" t="str">
        <f t="shared" si="22"/>
        <v/>
      </c>
      <c r="CD175" s="889" t="str">
        <f t="shared" si="23"/>
        <v xml:space="preserve">* Los Niños, Niñas, Adolescentes y Jóvenes de Programas SENAME NO DEBE ser mayor al Total de ingresos del Programa. </v>
      </c>
      <c r="CE175" s="889" t="str">
        <f t="shared" si="24"/>
        <v xml:space="preserve">* Los Migrantes NO DEBEN ser mayor al Total de ingresos del Programa. </v>
      </c>
      <c r="CF175" s="889" t="str">
        <f t="shared" si="25"/>
        <v/>
      </c>
      <c r="CG175" s="1020">
        <f t="shared" si="26"/>
        <v>1</v>
      </c>
      <c r="CH175" s="1020">
        <f t="shared" si="34"/>
        <v>1</v>
      </c>
      <c r="CI175" s="1020">
        <f t="shared" si="28"/>
        <v>0</v>
      </c>
      <c r="CJ175" s="1020">
        <f t="shared" si="29"/>
        <v>1</v>
      </c>
      <c r="CK175" s="1020">
        <f t="shared" si="30"/>
        <v>1</v>
      </c>
      <c r="CL175" s="1020">
        <f t="shared" si="35"/>
        <v>0</v>
      </c>
      <c r="CM175" s="1020"/>
      <c r="CN175" s="1020"/>
      <c r="DA175" s="80"/>
    </row>
    <row r="176" spans="1:105" ht="16.350000000000001" customHeight="1" x14ac:dyDescent="0.2">
      <c r="A176" s="2695" t="s">
        <v>3190</v>
      </c>
      <c r="B176" s="5664"/>
      <c r="C176" s="2794" t="s">
        <v>3191</v>
      </c>
      <c r="D176" s="714" t="s">
        <v>2777</v>
      </c>
      <c r="E176" s="715" t="s">
        <v>2778</v>
      </c>
      <c r="F176" s="2433" t="s">
        <v>2779</v>
      </c>
      <c r="G176" s="141" t="s">
        <v>2780</v>
      </c>
      <c r="H176" s="198" t="s">
        <v>2781</v>
      </c>
      <c r="I176" s="141" t="s">
        <v>2782</v>
      </c>
      <c r="J176" s="198" t="s">
        <v>2783</v>
      </c>
      <c r="K176" s="141" t="s">
        <v>2784</v>
      </c>
      <c r="L176" s="198" t="s">
        <v>2785</v>
      </c>
      <c r="M176" s="141" t="s">
        <v>2786</v>
      </c>
      <c r="N176" s="198" t="s">
        <v>2787</v>
      </c>
      <c r="O176" s="141" t="s">
        <v>2788</v>
      </c>
      <c r="P176" s="198" t="s">
        <v>2789</v>
      </c>
      <c r="Q176" s="141" t="s">
        <v>2790</v>
      </c>
      <c r="R176" s="198" t="s">
        <v>2791</v>
      </c>
      <c r="S176" s="141" t="s">
        <v>2792</v>
      </c>
      <c r="T176" s="198" t="s">
        <v>2793</v>
      </c>
      <c r="U176" s="141" t="s">
        <v>2794</v>
      </c>
      <c r="V176" s="198" t="s">
        <v>2795</v>
      </c>
      <c r="W176" s="141" t="s">
        <v>2796</v>
      </c>
      <c r="X176" s="198" t="s">
        <v>2797</v>
      </c>
      <c r="Y176" s="141" t="s">
        <v>2798</v>
      </c>
      <c r="Z176" s="198" t="s">
        <v>2799</v>
      </c>
      <c r="AA176" s="141" t="s">
        <v>2800</v>
      </c>
      <c r="AB176" s="198" t="s">
        <v>2801</v>
      </c>
      <c r="AC176" s="141" t="s">
        <v>2817</v>
      </c>
      <c r="AD176" s="198" t="s">
        <v>2818</v>
      </c>
      <c r="AE176" s="141" t="s">
        <v>2819</v>
      </c>
      <c r="AF176" s="198" t="s">
        <v>2821</v>
      </c>
      <c r="AG176" s="141" t="s">
        <v>2822</v>
      </c>
      <c r="AH176" s="198" t="s">
        <v>2823</v>
      </c>
      <c r="AI176" s="141" t="s">
        <v>2824</v>
      </c>
      <c r="AJ176" s="198" t="s">
        <v>2825</v>
      </c>
      <c r="AK176" s="141" t="s">
        <v>2826</v>
      </c>
      <c r="AL176" s="198" t="s">
        <v>2827</v>
      </c>
      <c r="AM176" s="141" t="s">
        <v>2831</v>
      </c>
      <c r="AN176" s="318" t="s">
        <v>2832</v>
      </c>
      <c r="AO176" s="198" t="s">
        <v>2833</v>
      </c>
      <c r="AP176" s="164" t="s">
        <v>2834</v>
      </c>
      <c r="AQ176" s="180" t="s">
        <v>3011</v>
      </c>
      <c r="AR176" s="198" t="s">
        <v>3012</v>
      </c>
      <c r="AS176" s="198" t="s">
        <v>3013</v>
      </c>
      <c r="AT176" s="164" t="s">
        <v>3014</v>
      </c>
      <c r="AU176" s="1162" t="str">
        <f t="shared" si="32"/>
        <v xml:space="preserve">* Las gestantes ingresadas al Programa NO debe ser mayor al Total de Mujeres ingresadas. * Las madres de hijos menor de 5 años NO DEBE ser mayor al Total de Mujeres ingresadas al Programa. * Los Niños, Niñas, Adolescentes y Jóvenes de Programas SENAME NO DEBE ser mayor al Total de ingresos del Programa. * Los Migrantes NO DEBEN ser mayor al Total de ingresos del Programa. </v>
      </c>
      <c r="AV176" s="1058"/>
      <c r="AW176" s="1058"/>
      <c r="AX176" s="1058"/>
      <c r="AY176" s="1058"/>
      <c r="AZ176" s="1058"/>
      <c r="BA176" s="1058"/>
      <c r="BB176" s="1058"/>
      <c r="BC176" s="1058"/>
      <c r="BD176" s="1058"/>
      <c r="BE176" s="1058"/>
      <c r="BF176" s="94"/>
      <c r="BG176" s="94"/>
      <c r="BZ176" s="79"/>
      <c r="CA176" s="889" t="str">
        <f t="shared" si="20"/>
        <v xml:space="preserve">* Las gestantes ingresadas al Programa NO debe ser mayor al Total de Mujeres ingresadas. </v>
      </c>
      <c r="CB176" s="889" t="str">
        <f t="shared" si="33"/>
        <v xml:space="preserve">* Las madres de hijos menor de 5 años NO DEBE ser mayor al Total de Mujeres ingresadas al Programa. </v>
      </c>
      <c r="CC176" s="889" t="str">
        <f t="shared" si="22"/>
        <v/>
      </c>
      <c r="CD176" s="889" t="str">
        <f t="shared" si="23"/>
        <v xml:space="preserve">* Los Niños, Niñas, Adolescentes y Jóvenes de Programas SENAME NO DEBE ser mayor al Total de ingresos del Programa. </v>
      </c>
      <c r="CE176" s="889" t="str">
        <f t="shared" si="24"/>
        <v xml:space="preserve">* Los Migrantes NO DEBEN ser mayor al Total de ingresos del Programa. </v>
      </c>
      <c r="CF176" s="889" t="str">
        <f t="shared" si="25"/>
        <v/>
      </c>
      <c r="CG176" s="1020">
        <f t="shared" si="26"/>
        <v>1</v>
      </c>
      <c r="CH176" s="1020">
        <f t="shared" si="34"/>
        <v>1</v>
      </c>
      <c r="CI176" s="1020">
        <f t="shared" si="28"/>
        <v>0</v>
      </c>
      <c r="CJ176" s="1020">
        <f t="shared" si="29"/>
        <v>1</v>
      </c>
      <c r="CK176" s="1020">
        <f t="shared" si="30"/>
        <v>1</v>
      </c>
      <c r="CL176" s="1020">
        <f t="shared" si="35"/>
        <v>0</v>
      </c>
      <c r="CM176" s="1020"/>
      <c r="CN176" s="1020"/>
      <c r="DA176" s="80"/>
    </row>
    <row r="177" spans="1:105" ht="16.350000000000001" customHeight="1" x14ac:dyDescent="0.2">
      <c r="A177" s="2695" t="s">
        <v>3192</v>
      </c>
      <c r="B177" s="5664"/>
      <c r="C177" s="2794" t="s">
        <v>1508</v>
      </c>
      <c r="D177" s="714" t="s">
        <v>2777</v>
      </c>
      <c r="E177" s="715" t="s">
        <v>2778</v>
      </c>
      <c r="F177" s="2433" t="s">
        <v>2779</v>
      </c>
      <c r="G177" s="141" t="s">
        <v>2780</v>
      </c>
      <c r="H177" s="198" t="s">
        <v>2781</v>
      </c>
      <c r="I177" s="141" t="s">
        <v>2782</v>
      </c>
      <c r="J177" s="198" t="s">
        <v>2783</v>
      </c>
      <c r="K177" s="141" t="s">
        <v>2784</v>
      </c>
      <c r="L177" s="198" t="s">
        <v>2785</v>
      </c>
      <c r="M177" s="141" t="s">
        <v>2786</v>
      </c>
      <c r="N177" s="198" t="s">
        <v>2787</v>
      </c>
      <c r="O177" s="141" t="s">
        <v>2788</v>
      </c>
      <c r="P177" s="198" t="s">
        <v>2789</v>
      </c>
      <c r="Q177" s="141" t="s">
        <v>2790</v>
      </c>
      <c r="R177" s="198" t="s">
        <v>2791</v>
      </c>
      <c r="S177" s="141" t="s">
        <v>2792</v>
      </c>
      <c r="T177" s="198" t="s">
        <v>2793</v>
      </c>
      <c r="U177" s="141" t="s">
        <v>2794</v>
      </c>
      <c r="V177" s="198" t="s">
        <v>2795</v>
      </c>
      <c r="W177" s="141" t="s">
        <v>2796</v>
      </c>
      <c r="X177" s="198" t="s">
        <v>2797</v>
      </c>
      <c r="Y177" s="141" t="s">
        <v>2798</v>
      </c>
      <c r="Z177" s="198" t="s">
        <v>2799</v>
      </c>
      <c r="AA177" s="141" t="s">
        <v>2800</v>
      </c>
      <c r="AB177" s="198" t="s">
        <v>2801</v>
      </c>
      <c r="AC177" s="141" t="s">
        <v>2817</v>
      </c>
      <c r="AD177" s="198" t="s">
        <v>2818</v>
      </c>
      <c r="AE177" s="141" t="s">
        <v>2819</v>
      </c>
      <c r="AF177" s="198" t="s">
        <v>2821</v>
      </c>
      <c r="AG177" s="141" t="s">
        <v>2822</v>
      </c>
      <c r="AH177" s="198" t="s">
        <v>2823</v>
      </c>
      <c r="AI177" s="141" t="s">
        <v>2824</v>
      </c>
      <c r="AJ177" s="198" t="s">
        <v>2825</v>
      </c>
      <c r="AK177" s="141" t="s">
        <v>2826</v>
      </c>
      <c r="AL177" s="198" t="s">
        <v>2827</v>
      </c>
      <c r="AM177" s="141" t="s">
        <v>2831</v>
      </c>
      <c r="AN177" s="318" t="s">
        <v>2832</v>
      </c>
      <c r="AO177" s="198" t="s">
        <v>2833</v>
      </c>
      <c r="AP177" s="164" t="s">
        <v>2834</v>
      </c>
      <c r="AQ177" s="180" t="s">
        <v>3011</v>
      </c>
      <c r="AR177" s="198" t="s">
        <v>3012</v>
      </c>
      <c r="AS177" s="198" t="s">
        <v>3013</v>
      </c>
      <c r="AT177" s="164" t="s">
        <v>3014</v>
      </c>
      <c r="AU177" s="1162" t="str">
        <f t="shared" si="32"/>
        <v xml:space="preserve">* Las gestantes ingresadas al Programa NO debe ser mayor al Total de Mujeres ingresadas. * Las madres de hijos menor de 5 años NO DEBE ser mayor al Total de Mujeres ingresadas al Programa. * Los Niños, Niñas, Adolescentes y Jóvenes de Programas SENAME NO DEBE ser mayor al Total de ingresos del Programa. * Los Migrantes NO DEBEN ser mayor al Total de ingresos del Programa. </v>
      </c>
      <c r="AV177" s="1058"/>
      <c r="AW177" s="1058"/>
      <c r="AX177" s="1058"/>
      <c r="AY177" s="1058"/>
      <c r="AZ177" s="1058"/>
      <c r="BA177" s="1058"/>
      <c r="BB177" s="1058"/>
      <c r="BC177" s="1058"/>
      <c r="BD177" s="1058"/>
      <c r="BE177" s="1058"/>
      <c r="BF177" s="94"/>
      <c r="BG177" s="94"/>
      <c r="BZ177" s="79"/>
      <c r="CA177" s="889" t="str">
        <f t="shared" si="20"/>
        <v xml:space="preserve">* Las gestantes ingresadas al Programa NO debe ser mayor al Total de Mujeres ingresadas. </v>
      </c>
      <c r="CB177" s="889" t="str">
        <f t="shared" si="33"/>
        <v xml:space="preserve">* Las madres de hijos menor de 5 años NO DEBE ser mayor al Total de Mujeres ingresadas al Programa. </v>
      </c>
      <c r="CC177" s="889" t="str">
        <f t="shared" si="22"/>
        <v/>
      </c>
      <c r="CD177" s="889" t="str">
        <f t="shared" si="23"/>
        <v xml:space="preserve">* Los Niños, Niñas, Adolescentes y Jóvenes de Programas SENAME NO DEBE ser mayor al Total de ingresos del Programa. </v>
      </c>
      <c r="CE177" s="889" t="str">
        <f t="shared" si="24"/>
        <v xml:space="preserve">* Los Migrantes NO DEBEN ser mayor al Total de ingresos del Programa. </v>
      </c>
      <c r="CF177" s="889" t="str">
        <f t="shared" si="25"/>
        <v/>
      </c>
      <c r="CG177" s="1020">
        <f t="shared" si="26"/>
        <v>1</v>
      </c>
      <c r="CH177" s="1020">
        <f t="shared" si="34"/>
        <v>1</v>
      </c>
      <c r="CI177" s="1020">
        <f t="shared" si="28"/>
        <v>0</v>
      </c>
      <c r="CJ177" s="1020">
        <f t="shared" si="29"/>
        <v>1</v>
      </c>
      <c r="CK177" s="1020">
        <f t="shared" si="30"/>
        <v>1</v>
      </c>
      <c r="CL177" s="1020">
        <f t="shared" si="35"/>
        <v>0</v>
      </c>
      <c r="CM177" s="1020"/>
      <c r="CN177" s="1020"/>
      <c r="DA177" s="80"/>
    </row>
    <row r="178" spans="1:105" ht="16.350000000000001" customHeight="1" x14ac:dyDescent="0.2">
      <c r="A178" s="2695" t="s">
        <v>3193</v>
      </c>
      <c r="B178" s="5664"/>
      <c r="C178" s="2794" t="s">
        <v>1509</v>
      </c>
      <c r="D178" s="714" t="s">
        <v>2777</v>
      </c>
      <c r="E178" s="715" t="s">
        <v>2778</v>
      </c>
      <c r="F178" s="2433" t="s">
        <v>2779</v>
      </c>
      <c r="G178" s="141" t="s">
        <v>2780</v>
      </c>
      <c r="H178" s="198" t="s">
        <v>2781</v>
      </c>
      <c r="I178" s="141" t="s">
        <v>2782</v>
      </c>
      <c r="J178" s="198" t="s">
        <v>2783</v>
      </c>
      <c r="K178" s="141" t="s">
        <v>2784</v>
      </c>
      <c r="L178" s="198" t="s">
        <v>2785</v>
      </c>
      <c r="M178" s="141" t="s">
        <v>2786</v>
      </c>
      <c r="N178" s="198" t="s">
        <v>2787</v>
      </c>
      <c r="O178" s="141" t="s">
        <v>2788</v>
      </c>
      <c r="P178" s="198" t="s">
        <v>2789</v>
      </c>
      <c r="Q178" s="141" t="s">
        <v>2790</v>
      </c>
      <c r="R178" s="198" t="s">
        <v>2791</v>
      </c>
      <c r="S178" s="141" t="s">
        <v>2792</v>
      </c>
      <c r="T178" s="198" t="s">
        <v>2793</v>
      </c>
      <c r="U178" s="141" t="s">
        <v>2794</v>
      </c>
      <c r="V178" s="198" t="s">
        <v>2795</v>
      </c>
      <c r="W178" s="141" t="s">
        <v>2796</v>
      </c>
      <c r="X178" s="198" t="s">
        <v>2797</v>
      </c>
      <c r="Y178" s="141" t="s">
        <v>2798</v>
      </c>
      <c r="Z178" s="198" t="s">
        <v>2799</v>
      </c>
      <c r="AA178" s="141" t="s">
        <v>2800</v>
      </c>
      <c r="AB178" s="198" t="s">
        <v>2801</v>
      </c>
      <c r="AC178" s="141" t="s">
        <v>2817</v>
      </c>
      <c r="AD178" s="198" t="s">
        <v>2818</v>
      </c>
      <c r="AE178" s="141" t="s">
        <v>2819</v>
      </c>
      <c r="AF178" s="198" t="s">
        <v>2821</v>
      </c>
      <c r="AG178" s="141" t="s">
        <v>2822</v>
      </c>
      <c r="AH178" s="198" t="s">
        <v>2823</v>
      </c>
      <c r="AI178" s="141" t="s">
        <v>2824</v>
      </c>
      <c r="AJ178" s="198" t="s">
        <v>2825</v>
      </c>
      <c r="AK178" s="141" t="s">
        <v>2826</v>
      </c>
      <c r="AL178" s="198" t="s">
        <v>2827</v>
      </c>
      <c r="AM178" s="141" t="s">
        <v>2831</v>
      </c>
      <c r="AN178" s="318" t="s">
        <v>2832</v>
      </c>
      <c r="AO178" s="198" t="s">
        <v>2833</v>
      </c>
      <c r="AP178" s="164" t="s">
        <v>2834</v>
      </c>
      <c r="AQ178" s="180" t="s">
        <v>3011</v>
      </c>
      <c r="AR178" s="198" t="s">
        <v>3012</v>
      </c>
      <c r="AS178" s="198" t="s">
        <v>3013</v>
      </c>
      <c r="AT178" s="164" t="s">
        <v>3014</v>
      </c>
      <c r="AU178" s="1162" t="str">
        <f t="shared" si="32"/>
        <v xml:space="preserve">* Las gestantes ingresadas al Programa NO debe ser mayor al Total de Mujeres ingresadas. * Las madres de hijos menor de 5 años NO DEBE ser mayor al Total de Mujeres ingresadas al Programa. * Los Niños, Niñas, Adolescentes y Jóvenes de Programas SENAME NO DEBE ser mayor al Total de ingresos del Programa. * Los Migrantes NO DEBEN ser mayor al Total de ingresos del Programa. </v>
      </c>
      <c r="AV178" s="1058"/>
      <c r="AW178" s="1058"/>
      <c r="AX178" s="1058"/>
      <c r="AY178" s="1058"/>
      <c r="AZ178" s="1058"/>
      <c r="BA178" s="1058"/>
      <c r="BB178" s="1058"/>
      <c r="BC178" s="1058"/>
      <c r="BD178" s="1058"/>
      <c r="BE178" s="1058"/>
      <c r="BF178" s="94"/>
      <c r="BG178" s="94"/>
      <c r="BZ178" s="79"/>
      <c r="CA178" s="889" t="str">
        <f t="shared" si="20"/>
        <v xml:space="preserve">* Las gestantes ingresadas al Programa NO debe ser mayor al Total de Mujeres ingresadas. </v>
      </c>
      <c r="CB178" s="889" t="str">
        <f t="shared" si="33"/>
        <v xml:space="preserve">* Las madres de hijos menor de 5 años NO DEBE ser mayor al Total de Mujeres ingresadas al Programa. </v>
      </c>
      <c r="CC178" s="889" t="str">
        <f t="shared" si="22"/>
        <v/>
      </c>
      <c r="CD178" s="889" t="str">
        <f t="shared" si="23"/>
        <v xml:space="preserve">* Los Niños, Niñas, Adolescentes y Jóvenes de Programas SENAME NO DEBE ser mayor al Total de ingresos del Programa. </v>
      </c>
      <c r="CE178" s="889" t="str">
        <f t="shared" si="24"/>
        <v xml:space="preserve">* Los Migrantes NO DEBEN ser mayor al Total de ingresos del Programa. </v>
      </c>
      <c r="CF178" s="889" t="str">
        <f t="shared" si="25"/>
        <v/>
      </c>
      <c r="CG178" s="1020">
        <f t="shared" si="26"/>
        <v>1</v>
      </c>
      <c r="CH178" s="1020">
        <f t="shared" si="34"/>
        <v>1</v>
      </c>
      <c r="CI178" s="1020">
        <f t="shared" si="28"/>
        <v>0</v>
      </c>
      <c r="CJ178" s="1020">
        <f t="shared" si="29"/>
        <v>1</v>
      </c>
      <c r="CK178" s="1020">
        <f t="shared" si="30"/>
        <v>1</v>
      </c>
      <c r="CL178" s="1020">
        <f t="shared" si="35"/>
        <v>0</v>
      </c>
      <c r="CM178" s="1020"/>
      <c r="CN178" s="1020"/>
      <c r="DA178" s="80"/>
    </row>
    <row r="179" spans="1:105" ht="16.350000000000001" customHeight="1" x14ac:dyDescent="0.2">
      <c r="A179" s="2695" t="s">
        <v>3194</v>
      </c>
      <c r="B179" s="5665"/>
      <c r="C179" s="2795" t="s">
        <v>1510</v>
      </c>
      <c r="D179" s="2778" t="s">
        <v>2777</v>
      </c>
      <c r="E179" s="2779" t="s">
        <v>2778</v>
      </c>
      <c r="F179" s="2760" t="s">
        <v>2779</v>
      </c>
      <c r="G179" s="141" t="s">
        <v>2780</v>
      </c>
      <c r="H179" s="198" t="s">
        <v>2781</v>
      </c>
      <c r="I179" s="141" t="s">
        <v>2782</v>
      </c>
      <c r="J179" s="198" t="s">
        <v>2783</v>
      </c>
      <c r="K179" s="141" t="s">
        <v>2784</v>
      </c>
      <c r="L179" s="198" t="s">
        <v>2785</v>
      </c>
      <c r="M179" s="141" t="s">
        <v>2786</v>
      </c>
      <c r="N179" s="198" t="s">
        <v>2787</v>
      </c>
      <c r="O179" s="141" t="s">
        <v>2788</v>
      </c>
      <c r="P179" s="198" t="s">
        <v>2789</v>
      </c>
      <c r="Q179" s="141" t="s">
        <v>2790</v>
      </c>
      <c r="R179" s="198" t="s">
        <v>2791</v>
      </c>
      <c r="S179" s="141" t="s">
        <v>2792</v>
      </c>
      <c r="T179" s="198" t="s">
        <v>2793</v>
      </c>
      <c r="U179" s="141" t="s">
        <v>2794</v>
      </c>
      <c r="V179" s="198" t="s">
        <v>2795</v>
      </c>
      <c r="W179" s="141" t="s">
        <v>2796</v>
      </c>
      <c r="X179" s="198" t="s">
        <v>2797</v>
      </c>
      <c r="Y179" s="141" t="s">
        <v>2798</v>
      </c>
      <c r="Z179" s="198" t="s">
        <v>2799</v>
      </c>
      <c r="AA179" s="141" t="s">
        <v>2800</v>
      </c>
      <c r="AB179" s="198" t="s">
        <v>2801</v>
      </c>
      <c r="AC179" s="141" t="s">
        <v>2817</v>
      </c>
      <c r="AD179" s="198" t="s">
        <v>2818</v>
      </c>
      <c r="AE179" s="141" t="s">
        <v>2819</v>
      </c>
      <c r="AF179" s="198" t="s">
        <v>2821</v>
      </c>
      <c r="AG179" s="141" t="s">
        <v>2822</v>
      </c>
      <c r="AH179" s="198" t="s">
        <v>2823</v>
      </c>
      <c r="AI179" s="141" t="s">
        <v>2824</v>
      </c>
      <c r="AJ179" s="198" t="s">
        <v>2825</v>
      </c>
      <c r="AK179" s="141" t="s">
        <v>2826</v>
      </c>
      <c r="AL179" s="198" t="s">
        <v>2827</v>
      </c>
      <c r="AM179" s="166" t="s">
        <v>2831</v>
      </c>
      <c r="AN179" s="319" t="s">
        <v>2832</v>
      </c>
      <c r="AO179" s="168" t="s">
        <v>2833</v>
      </c>
      <c r="AP179" s="105" t="s">
        <v>2834</v>
      </c>
      <c r="AQ179" s="126" t="s">
        <v>3011</v>
      </c>
      <c r="AR179" s="168" t="s">
        <v>3012</v>
      </c>
      <c r="AS179" s="168" t="s">
        <v>3013</v>
      </c>
      <c r="AT179" s="105" t="s">
        <v>3014</v>
      </c>
      <c r="AU179" s="1162" t="str">
        <f t="shared" si="32"/>
        <v xml:space="preserve">* Las gestantes ingresadas al Programa NO debe ser mayor al Total de Mujeres ingresadas. * Las madres de hijos menor de 5 años NO DEBE ser mayor al Total de Mujeres ingresadas al Programa. * Los Niños, Niñas, Adolescentes y Jóvenes de Programas SENAME NO DEBE ser mayor al Total de ingresos del Programa. * Los Migrantes NO DEBEN ser mayor al Total de ingresos del Programa. </v>
      </c>
      <c r="AV179" s="1058"/>
      <c r="AW179" s="1058"/>
      <c r="AX179" s="1058"/>
      <c r="AY179" s="1058"/>
      <c r="AZ179" s="1058"/>
      <c r="BA179" s="1058"/>
      <c r="BB179" s="1058"/>
      <c r="BC179" s="1058"/>
      <c r="BD179" s="1058"/>
      <c r="BE179" s="1058"/>
      <c r="BF179" s="94"/>
      <c r="BG179" s="94"/>
      <c r="BZ179" s="79"/>
      <c r="CA179" s="889" t="str">
        <f t="shared" si="20"/>
        <v xml:space="preserve">* Las gestantes ingresadas al Programa NO debe ser mayor al Total de Mujeres ingresadas. </v>
      </c>
      <c r="CB179" s="889" t="str">
        <f t="shared" si="33"/>
        <v xml:space="preserve">* Las madres de hijos menor de 5 años NO DEBE ser mayor al Total de Mujeres ingresadas al Programa. </v>
      </c>
      <c r="CC179" s="889" t="str">
        <f t="shared" si="22"/>
        <v/>
      </c>
      <c r="CD179" s="889" t="str">
        <f t="shared" si="23"/>
        <v xml:space="preserve">* Los Niños, Niñas, Adolescentes y Jóvenes de Programas SENAME NO DEBE ser mayor al Total de ingresos del Programa. </v>
      </c>
      <c r="CE179" s="889" t="str">
        <f t="shared" si="24"/>
        <v xml:space="preserve">* Los Migrantes NO DEBEN ser mayor al Total de ingresos del Programa. </v>
      </c>
      <c r="CF179" s="889" t="str">
        <f t="shared" si="25"/>
        <v/>
      </c>
      <c r="CG179" s="1020">
        <f t="shared" si="26"/>
        <v>1</v>
      </c>
      <c r="CH179" s="1020">
        <f t="shared" si="34"/>
        <v>1</v>
      </c>
      <c r="CI179" s="1020">
        <f t="shared" si="28"/>
        <v>0</v>
      </c>
      <c r="CJ179" s="1020">
        <f t="shared" si="29"/>
        <v>1</v>
      </c>
      <c r="CK179" s="1020">
        <f t="shared" si="30"/>
        <v>1</v>
      </c>
      <c r="CL179" s="1020">
        <f t="shared" si="35"/>
        <v>0</v>
      </c>
      <c r="CM179" s="1020"/>
      <c r="CN179" s="1020"/>
      <c r="DA179" s="80"/>
    </row>
    <row r="180" spans="1:105" ht="16.350000000000001" customHeight="1" x14ac:dyDescent="0.2">
      <c r="A180" s="2695" t="s">
        <v>3195</v>
      </c>
      <c r="B180" s="5646" t="s">
        <v>1496</v>
      </c>
      <c r="C180" s="2785" t="s">
        <v>378</v>
      </c>
      <c r="D180" s="2765" t="s">
        <v>2777</v>
      </c>
      <c r="E180" s="2766" t="s">
        <v>2778</v>
      </c>
      <c r="F180" s="2767" t="s">
        <v>2779</v>
      </c>
      <c r="G180" s="2483" t="s">
        <v>2780</v>
      </c>
      <c r="H180" s="2499" t="s">
        <v>2781</v>
      </c>
      <c r="I180" s="2483" t="s">
        <v>2782</v>
      </c>
      <c r="J180" s="2499" t="s">
        <v>2783</v>
      </c>
      <c r="K180" s="2483" t="s">
        <v>2784</v>
      </c>
      <c r="L180" s="2499" t="s">
        <v>2785</v>
      </c>
      <c r="M180" s="2483" t="s">
        <v>2786</v>
      </c>
      <c r="N180" s="2499" t="s">
        <v>2787</v>
      </c>
      <c r="O180" s="2483" t="s">
        <v>2788</v>
      </c>
      <c r="P180" s="2499" t="s">
        <v>2789</v>
      </c>
      <c r="Q180" s="2483" t="s">
        <v>2790</v>
      </c>
      <c r="R180" s="2499" t="s">
        <v>2791</v>
      </c>
      <c r="S180" s="2483" t="s">
        <v>2792</v>
      </c>
      <c r="T180" s="2499" t="s">
        <v>2793</v>
      </c>
      <c r="U180" s="2483" t="s">
        <v>2794</v>
      </c>
      <c r="V180" s="2499" t="s">
        <v>2795</v>
      </c>
      <c r="W180" s="2483" t="s">
        <v>2796</v>
      </c>
      <c r="X180" s="2499" t="s">
        <v>2797</v>
      </c>
      <c r="Y180" s="2483" t="s">
        <v>2798</v>
      </c>
      <c r="Z180" s="2499" t="s">
        <v>2799</v>
      </c>
      <c r="AA180" s="2483" t="s">
        <v>2800</v>
      </c>
      <c r="AB180" s="2499" t="s">
        <v>2801</v>
      </c>
      <c r="AC180" s="2483" t="s">
        <v>2817</v>
      </c>
      <c r="AD180" s="2499" t="s">
        <v>2818</v>
      </c>
      <c r="AE180" s="2483" t="s">
        <v>2819</v>
      </c>
      <c r="AF180" s="2499" t="s">
        <v>2821</v>
      </c>
      <c r="AG180" s="2483" t="s">
        <v>2822</v>
      </c>
      <c r="AH180" s="2499" t="s">
        <v>2823</v>
      </c>
      <c r="AI180" s="2483" t="s">
        <v>2824</v>
      </c>
      <c r="AJ180" s="2499" t="s">
        <v>2825</v>
      </c>
      <c r="AK180" s="2483" t="s">
        <v>2826</v>
      </c>
      <c r="AL180" s="2499" t="s">
        <v>2827</v>
      </c>
      <c r="AM180" s="2483" t="s">
        <v>2831</v>
      </c>
      <c r="AN180" s="2561" t="s">
        <v>2832</v>
      </c>
      <c r="AO180" s="2791" t="s">
        <v>2833</v>
      </c>
      <c r="AP180" s="2456" t="s">
        <v>2834</v>
      </c>
      <c r="AQ180" s="2487" t="s">
        <v>3011</v>
      </c>
      <c r="AR180" s="2786" t="s">
        <v>3012</v>
      </c>
      <c r="AS180" s="2786" t="s">
        <v>3013</v>
      </c>
      <c r="AT180" s="2786" t="s">
        <v>3014</v>
      </c>
      <c r="AU180" s="1162" t="str">
        <f t="shared" si="32"/>
        <v xml:space="preserve">* Los Niños, Niñas, Adolescentes y Jóvenes de Programas SENAME NO DEBE ser mayor al Total de ingresos del Programa. * Los Migrantes NO DEBEN ser mayor al Total de ingresos del Programa. </v>
      </c>
      <c r="AV180" s="1058"/>
      <c r="AW180" s="1058"/>
      <c r="AX180" s="1058"/>
      <c r="AY180" s="1058"/>
      <c r="AZ180" s="1058"/>
      <c r="BA180" s="1058"/>
      <c r="BB180" s="1058"/>
      <c r="BC180" s="1058"/>
      <c r="BD180" s="1058"/>
      <c r="BE180" s="1058"/>
      <c r="BF180" s="94"/>
      <c r="BG180" s="94"/>
      <c r="BZ180" s="79"/>
      <c r="CA180" s="889"/>
      <c r="CC180" s="889" t="str">
        <f t="shared" si="22"/>
        <v/>
      </c>
      <c r="CD180" s="889" t="str">
        <f t="shared" si="23"/>
        <v xml:space="preserve">* Los Niños, Niñas, Adolescentes y Jóvenes de Programas SENAME NO DEBE ser mayor al Total de ingresos del Programa. </v>
      </c>
      <c r="CE180" s="889" t="str">
        <f t="shared" si="24"/>
        <v xml:space="preserve">* Los Migrantes NO DEBEN ser mayor al Total de ingresos del Programa. </v>
      </c>
      <c r="CF180" s="889" t="str">
        <f t="shared" si="25"/>
        <v/>
      </c>
      <c r="CG180" s="1020"/>
      <c r="CH180" s="1020"/>
      <c r="CI180" s="1020">
        <f t="shared" si="28"/>
        <v>0</v>
      </c>
      <c r="CJ180" s="1020">
        <f t="shared" si="29"/>
        <v>1</v>
      </c>
      <c r="CK180" s="1020">
        <f t="shared" si="30"/>
        <v>1</v>
      </c>
      <c r="CL180" s="1020">
        <f>IF(AND(D180&lt;&gt;0,OR(AQ180="",AR180="",AS180="",AT180="")),1,0)</f>
        <v>0</v>
      </c>
      <c r="CM180" s="1020"/>
      <c r="CN180" s="1020"/>
      <c r="DA180" s="80"/>
    </row>
    <row r="181" spans="1:105" ht="16.350000000000001" customHeight="1" x14ac:dyDescent="0.2">
      <c r="A181" s="2695" t="s">
        <v>3196</v>
      </c>
      <c r="B181" s="5647"/>
      <c r="C181" s="2424" t="s">
        <v>379</v>
      </c>
      <c r="D181" s="714" t="s">
        <v>2777</v>
      </c>
      <c r="E181" s="715" t="s">
        <v>2778</v>
      </c>
      <c r="F181" s="2433" t="s">
        <v>2779</v>
      </c>
      <c r="G181" s="141" t="s">
        <v>2780</v>
      </c>
      <c r="H181" s="198" t="s">
        <v>2781</v>
      </c>
      <c r="I181" s="141" t="s">
        <v>2782</v>
      </c>
      <c r="J181" s="198" t="s">
        <v>2783</v>
      </c>
      <c r="K181" s="141" t="s">
        <v>2784</v>
      </c>
      <c r="L181" s="198" t="s">
        <v>2785</v>
      </c>
      <c r="M181" s="141" t="s">
        <v>2786</v>
      </c>
      <c r="N181" s="198" t="s">
        <v>2787</v>
      </c>
      <c r="O181" s="141" t="s">
        <v>2788</v>
      </c>
      <c r="P181" s="198" t="s">
        <v>2789</v>
      </c>
      <c r="Q181" s="141" t="s">
        <v>2790</v>
      </c>
      <c r="R181" s="198" t="s">
        <v>2791</v>
      </c>
      <c r="S181" s="141" t="s">
        <v>2792</v>
      </c>
      <c r="T181" s="198" t="s">
        <v>2793</v>
      </c>
      <c r="U181" s="141" t="s">
        <v>2794</v>
      </c>
      <c r="V181" s="198" t="s">
        <v>2795</v>
      </c>
      <c r="W181" s="141" t="s">
        <v>2796</v>
      </c>
      <c r="X181" s="198" t="s">
        <v>2797</v>
      </c>
      <c r="Y181" s="141" t="s">
        <v>2798</v>
      </c>
      <c r="Z181" s="198" t="s">
        <v>2799</v>
      </c>
      <c r="AA181" s="141" t="s">
        <v>2800</v>
      </c>
      <c r="AB181" s="198" t="s">
        <v>2801</v>
      </c>
      <c r="AC181" s="141" t="s">
        <v>2817</v>
      </c>
      <c r="AD181" s="198" t="s">
        <v>2818</v>
      </c>
      <c r="AE181" s="141" t="s">
        <v>2819</v>
      </c>
      <c r="AF181" s="198" t="s">
        <v>2821</v>
      </c>
      <c r="AG181" s="141" t="s">
        <v>2822</v>
      </c>
      <c r="AH181" s="198" t="s">
        <v>2823</v>
      </c>
      <c r="AI181" s="141" t="s">
        <v>2824</v>
      </c>
      <c r="AJ181" s="198" t="s">
        <v>2825</v>
      </c>
      <c r="AK181" s="141" t="s">
        <v>2826</v>
      </c>
      <c r="AL181" s="198" t="s">
        <v>2827</v>
      </c>
      <c r="AM181" s="141" t="s">
        <v>2831</v>
      </c>
      <c r="AN181" s="318" t="s">
        <v>2832</v>
      </c>
      <c r="AO181" s="258" t="s">
        <v>2833</v>
      </c>
      <c r="AP181" s="2406" t="s">
        <v>2834</v>
      </c>
      <c r="AQ181" s="141" t="s">
        <v>3011</v>
      </c>
      <c r="AR181" s="240" t="s">
        <v>3012</v>
      </c>
      <c r="AS181" s="240" t="s">
        <v>3013</v>
      </c>
      <c r="AT181" s="240" t="s">
        <v>3014</v>
      </c>
      <c r="AU181" s="1162" t="str">
        <f t="shared" si="32"/>
        <v xml:space="preserve">* Los Niños, Niñas, Adolescentes y Jóvenes de Programas SENAME NO DEBE ser mayor al Total de ingresos del Programa. * Los Migrantes NO DEBEN ser mayor al Total de ingresos del Programa. </v>
      </c>
      <c r="AV181" s="1058"/>
      <c r="AW181" s="1058"/>
      <c r="AX181" s="1058"/>
      <c r="AY181" s="1058"/>
      <c r="AZ181" s="1058"/>
      <c r="BA181" s="1058"/>
      <c r="BB181" s="1058"/>
      <c r="BC181" s="1058"/>
      <c r="BD181" s="1058"/>
      <c r="BE181" s="1058"/>
      <c r="BF181" s="94"/>
      <c r="BG181" s="94"/>
      <c r="BZ181" s="79"/>
      <c r="CA181" s="889"/>
      <c r="CC181" s="889" t="str">
        <f t="shared" si="22"/>
        <v/>
      </c>
      <c r="CD181" s="889" t="str">
        <f t="shared" si="23"/>
        <v xml:space="preserve">* Los Niños, Niñas, Adolescentes y Jóvenes de Programas SENAME NO DEBE ser mayor al Total de ingresos del Programa. </v>
      </c>
      <c r="CE181" s="889" t="str">
        <f t="shared" si="24"/>
        <v xml:space="preserve">* Los Migrantes NO DEBEN ser mayor al Total de ingresos del Programa. </v>
      </c>
      <c r="CF181" s="889" t="str">
        <f t="shared" si="25"/>
        <v/>
      </c>
      <c r="CG181" s="1020"/>
      <c r="CH181" s="1020"/>
      <c r="CI181" s="1020">
        <f t="shared" si="28"/>
        <v>0</v>
      </c>
      <c r="CJ181" s="1020">
        <f t="shared" si="29"/>
        <v>1</v>
      </c>
      <c r="CK181" s="1020">
        <f t="shared" si="30"/>
        <v>1</v>
      </c>
      <c r="CL181" s="1020">
        <f>IF(AND(D181&lt;&gt;0,OR(AQ181="",AR181="",AS181="",AT181="")),1,0)</f>
        <v>0</v>
      </c>
      <c r="CM181" s="1020"/>
      <c r="CN181" s="1020"/>
      <c r="DA181" s="80"/>
    </row>
    <row r="182" spans="1:105" ht="16.350000000000001" customHeight="1" x14ac:dyDescent="0.2">
      <c r="A182" s="2695" t="s">
        <v>3197</v>
      </c>
      <c r="B182" s="5648"/>
      <c r="C182" s="2440" t="s">
        <v>380</v>
      </c>
      <c r="D182" s="716" t="s">
        <v>2777</v>
      </c>
      <c r="E182" s="717" t="s">
        <v>2778</v>
      </c>
      <c r="F182" s="384" t="s">
        <v>2779</v>
      </c>
      <c r="G182" s="166" t="s">
        <v>2780</v>
      </c>
      <c r="H182" s="168" t="s">
        <v>2781</v>
      </c>
      <c r="I182" s="166" t="s">
        <v>2782</v>
      </c>
      <c r="J182" s="168" t="s">
        <v>2783</v>
      </c>
      <c r="K182" s="166" t="s">
        <v>2784</v>
      </c>
      <c r="L182" s="168" t="s">
        <v>2785</v>
      </c>
      <c r="M182" s="166" t="s">
        <v>2786</v>
      </c>
      <c r="N182" s="168" t="s">
        <v>2787</v>
      </c>
      <c r="O182" s="166" t="s">
        <v>2788</v>
      </c>
      <c r="P182" s="168" t="s">
        <v>2789</v>
      </c>
      <c r="Q182" s="166" t="s">
        <v>2790</v>
      </c>
      <c r="R182" s="168" t="s">
        <v>2791</v>
      </c>
      <c r="S182" s="166" t="s">
        <v>2792</v>
      </c>
      <c r="T182" s="168" t="s">
        <v>2793</v>
      </c>
      <c r="U182" s="166" t="s">
        <v>2794</v>
      </c>
      <c r="V182" s="168" t="s">
        <v>2795</v>
      </c>
      <c r="W182" s="166" t="s">
        <v>2796</v>
      </c>
      <c r="X182" s="168" t="s">
        <v>2797</v>
      </c>
      <c r="Y182" s="166" t="s">
        <v>2798</v>
      </c>
      <c r="Z182" s="168" t="s">
        <v>2799</v>
      </c>
      <c r="AA182" s="166" t="s">
        <v>2800</v>
      </c>
      <c r="AB182" s="168" t="s">
        <v>2801</v>
      </c>
      <c r="AC182" s="166" t="s">
        <v>2817</v>
      </c>
      <c r="AD182" s="168" t="s">
        <v>2818</v>
      </c>
      <c r="AE182" s="166" t="s">
        <v>2819</v>
      </c>
      <c r="AF182" s="168" t="s">
        <v>2821</v>
      </c>
      <c r="AG182" s="166" t="s">
        <v>2822</v>
      </c>
      <c r="AH182" s="168" t="s">
        <v>2823</v>
      </c>
      <c r="AI182" s="166" t="s">
        <v>2824</v>
      </c>
      <c r="AJ182" s="168" t="s">
        <v>2825</v>
      </c>
      <c r="AK182" s="166" t="s">
        <v>2826</v>
      </c>
      <c r="AL182" s="168" t="s">
        <v>2827</v>
      </c>
      <c r="AM182" s="166" t="s">
        <v>2831</v>
      </c>
      <c r="AN182" s="319" t="s">
        <v>2832</v>
      </c>
      <c r="AO182" s="169" t="s">
        <v>2833</v>
      </c>
      <c r="AP182" s="169" t="s">
        <v>2834</v>
      </c>
      <c r="AQ182" s="166" t="s">
        <v>3011</v>
      </c>
      <c r="AR182" s="168" t="s">
        <v>3012</v>
      </c>
      <c r="AS182" s="168" t="s">
        <v>3013</v>
      </c>
      <c r="AT182" s="168" t="s">
        <v>3014</v>
      </c>
      <c r="AU182" s="1162" t="str">
        <f t="shared" si="32"/>
        <v xml:space="preserve">* Los Niños, Niñas, Adolescentes y Jóvenes de Programas SENAME NO DEBE ser mayor al Total de ingresos del Programa. * Los Migrantes NO DEBEN ser mayor al Total de ingresos del Programa. </v>
      </c>
      <c r="AV182" s="1058"/>
      <c r="AW182" s="1058"/>
      <c r="AX182" s="1058"/>
      <c r="AY182" s="1058"/>
      <c r="AZ182" s="1058"/>
      <c r="BA182" s="1058"/>
      <c r="BB182" s="1058"/>
      <c r="BC182" s="1058"/>
      <c r="BD182" s="1058"/>
      <c r="BE182" s="1058"/>
      <c r="BF182" s="94"/>
      <c r="BG182" s="94"/>
      <c r="BZ182" s="79"/>
      <c r="CA182" s="889"/>
      <c r="CC182" s="889" t="str">
        <f t="shared" si="22"/>
        <v/>
      </c>
      <c r="CD182" s="889" t="str">
        <f t="shared" si="23"/>
        <v xml:space="preserve">* Los Niños, Niñas, Adolescentes y Jóvenes de Programas SENAME NO DEBE ser mayor al Total de ingresos del Programa. </v>
      </c>
      <c r="CE182" s="889" t="str">
        <f t="shared" si="24"/>
        <v xml:space="preserve">* Los Migrantes NO DEBEN ser mayor al Total de ingresos del Programa. </v>
      </c>
      <c r="CF182" s="889" t="str">
        <f t="shared" si="25"/>
        <v/>
      </c>
      <c r="CG182" s="1020"/>
      <c r="CH182" s="1020"/>
      <c r="CI182" s="1020">
        <f t="shared" si="28"/>
        <v>0</v>
      </c>
      <c r="CJ182" s="1020">
        <f t="shared" si="29"/>
        <v>1</v>
      </c>
      <c r="CK182" s="1020">
        <f t="shared" si="30"/>
        <v>1</v>
      </c>
      <c r="CL182" s="1020">
        <f>IF(AND(D182&lt;&gt;0,OR(AQ182="",AR182="",AS182="",AT182="")),1,0)</f>
        <v>0</v>
      </c>
      <c r="CM182" s="1020"/>
      <c r="CN182" s="1020"/>
      <c r="DA182" s="80"/>
    </row>
    <row r="183" spans="1:105" ht="16.350000000000001" customHeight="1" x14ac:dyDescent="0.2">
      <c r="A183" s="2695" t="s">
        <v>3198</v>
      </c>
      <c r="B183" s="5684" t="s">
        <v>381</v>
      </c>
      <c r="C183" s="5698"/>
      <c r="D183" s="2782" t="s">
        <v>2777</v>
      </c>
      <c r="E183" s="2783" t="s">
        <v>2778</v>
      </c>
      <c r="F183" s="383" t="s">
        <v>2779</v>
      </c>
      <c r="G183" s="2577" t="s">
        <v>2780</v>
      </c>
      <c r="H183" s="197" t="s">
        <v>2781</v>
      </c>
      <c r="I183" s="2577" t="s">
        <v>2782</v>
      </c>
      <c r="J183" s="197" t="s">
        <v>2783</v>
      </c>
      <c r="K183" s="2577" t="s">
        <v>2784</v>
      </c>
      <c r="L183" s="197" t="s">
        <v>2785</v>
      </c>
      <c r="M183" s="2577" t="s">
        <v>2786</v>
      </c>
      <c r="N183" s="197" t="s">
        <v>2787</v>
      </c>
      <c r="O183" s="2577" t="s">
        <v>2788</v>
      </c>
      <c r="P183" s="197" t="s">
        <v>2789</v>
      </c>
      <c r="Q183" s="2577" t="s">
        <v>2790</v>
      </c>
      <c r="R183" s="197" t="s">
        <v>2791</v>
      </c>
      <c r="S183" s="2577" t="s">
        <v>2792</v>
      </c>
      <c r="T183" s="197" t="s">
        <v>2793</v>
      </c>
      <c r="U183" s="2577" t="s">
        <v>2794</v>
      </c>
      <c r="V183" s="197" t="s">
        <v>2795</v>
      </c>
      <c r="W183" s="2577" t="s">
        <v>2796</v>
      </c>
      <c r="X183" s="197" t="s">
        <v>2797</v>
      </c>
      <c r="Y183" s="2577" t="s">
        <v>2798</v>
      </c>
      <c r="Z183" s="197" t="s">
        <v>2799</v>
      </c>
      <c r="AA183" s="2577" t="s">
        <v>2800</v>
      </c>
      <c r="AB183" s="197" t="s">
        <v>2801</v>
      </c>
      <c r="AC183" s="2577" t="s">
        <v>2817</v>
      </c>
      <c r="AD183" s="197" t="s">
        <v>2818</v>
      </c>
      <c r="AE183" s="2577" t="s">
        <v>2819</v>
      </c>
      <c r="AF183" s="197" t="s">
        <v>2821</v>
      </c>
      <c r="AG183" s="2577" t="s">
        <v>2822</v>
      </c>
      <c r="AH183" s="197" t="s">
        <v>2823</v>
      </c>
      <c r="AI183" s="2577" t="s">
        <v>2824</v>
      </c>
      <c r="AJ183" s="197" t="s">
        <v>2825</v>
      </c>
      <c r="AK183" s="2577" t="s">
        <v>2826</v>
      </c>
      <c r="AL183" s="197" t="s">
        <v>2827</v>
      </c>
      <c r="AM183" s="2577" t="s">
        <v>2831</v>
      </c>
      <c r="AN183" s="493" t="s">
        <v>2832</v>
      </c>
      <c r="AO183" s="2784" t="s">
        <v>2833</v>
      </c>
      <c r="AP183" s="2580" t="s">
        <v>2834</v>
      </c>
      <c r="AQ183" s="2577" t="s">
        <v>3011</v>
      </c>
      <c r="AR183" s="197" t="s">
        <v>3012</v>
      </c>
      <c r="AS183" s="197" t="s">
        <v>3013</v>
      </c>
      <c r="AT183" s="197" t="s">
        <v>3014</v>
      </c>
      <c r="AU183" s="1162" t="str">
        <f t="shared" si="32"/>
        <v xml:space="preserve">* Las gestantes ingresadas al Programa NO debe ser mayor al Total de Mujeres ingresadas. * Las madres de hijos menor de 5 años NO DEBE ser mayor al Total de Mujeres ingresadas al Programa. * Los Niños, Niñas, Adolescentes y Jóvenes de Programas SENAME NO DEBE ser mayor al Total de ingresos del Programa. * Los Migrantes NO DEBEN ser mayor al Total de ingresos del Programa. </v>
      </c>
      <c r="AV183" s="1058"/>
      <c r="AW183" s="1058"/>
      <c r="AX183" s="1058"/>
      <c r="AY183" s="1058"/>
      <c r="AZ183" s="1058"/>
      <c r="BA183" s="1058"/>
      <c r="BB183" s="1058"/>
      <c r="BC183" s="1058"/>
      <c r="BD183" s="1058"/>
      <c r="BE183" s="1058"/>
      <c r="BF183" s="94"/>
      <c r="BG183" s="94"/>
      <c r="BZ183" s="79"/>
      <c r="CA183" s="889" t="str">
        <f t="shared" ref="CA183:CA189" si="36">IF(CG183=0,"","* Las gestantes ingresadas al Programa NO debe ser mayor al Total de Mujeres ingresadas. ")</f>
        <v xml:space="preserve">* Las gestantes ingresadas al Programa NO debe ser mayor al Total de Mujeres ingresadas. </v>
      </c>
      <c r="CB183" s="889" t="str">
        <f t="shared" ref="CB183:CB189" si="37">IF(CH183=0,"","* Las madres de hijos menor de 5 años NO DEBE ser mayor al Total de Mujeres ingresadas al Programa. ")</f>
        <v xml:space="preserve">* Las madres de hijos menor de 5 años NO DEBE ser mayor al Total de Mujeres ingresadas al Programa. </v>
      </c>
      <c r="CC183" s="889" t="str">
        <f t="shared" si="22"/>
        <v/>
      </c>
      <c r="CD183" s="889" t="str">
        <f t="shared" si="23"/>
        <v xml:space="preserve">* Los Niños, Niñas, Adolescentes y Jóvenes de Programas SENAME NO DEBE ser mayor al Total de ingresos del Programa. </v>
      </c>
      <c r="CE183" s="889" t="str">
        <f t="shared" si="24"/>
        <v xml:space="preserve">* Los Migrantes NO DEBEN ser mayor al Total de ingresos del Programa. </v>
      </c>
      <c r="CF183" s="889" t="str">
        <f t="shared" si="25"/>
        <v/>
      </c>
      <c r="CG183" s="1020">
        <f t="shared" ref="CG183:CG189" si="38">IF(F183&lt;AO183,1,0)</f>
        <v>1</v>
      </c>
      <c r="CH183" s="1020">
        <f t="shared" ref="CH183:CH189" si="39">IF(D183&lt;AP183,1,0)</f>
        <v>1</v>
      </c>
      <c r="CI183" s="1020">
        <f t="shared" si="28"/>
        <v>0</v>
      </c>
      <c r="CJ183" s="1020">
        <f t="shared" si="29"/>
        <v>1</v>
      </c>
      <c r="CK183" s="1020">
        <f t="shared" si="30"/>
        <v>1</v>
      </c>
      <c r="CL183" s="1020">
        <f t="shared" ref="CL183:CL189" si="40">IF(AND(D183&lt;&gt;0,OR(AO183="",AP183="",AQ183="",AR183="",AS183="",AT183="")),1,0)</f>
        <v>0</v>
      </c>
      <c r="CM183" s="1020"/>
      <c r="CN183" s="1020"/>
      <c r="DA183" s="80"/>
    </row>
    <row r="184" spans="1:105" ht="16.350000000000001" customHeight="1" x14ac:dyDescent="0.2">
      <c r="A184" s="2695" t="s">
        <v>3199</v>
      </c>
      <c r="B184" s="5313" t="s">
        <v>382</v>
      </c>
      <c r="C184" s="5303"/>
      <c r="D184" s="714" t="s">
        <v>2777</v>
      </c>
      <c r="E184" s="715" t="s">
        <v>2778</v>
      </c>
      <c r="F184" s="2433" t="s">
        <v>2779</v>
      </c>
      <c r="G184" s="141" t="s">
        <v>2780</v>
      </c>
      <c r="H184" s="198" t="s">
        <v>2781</v>
      </c>
      <c r="I184" s="141" t="s">
        <v>2782</v>
      </c>
      <c r="J184" s="198" t="s">
        <v>2783</v>
      </c>
      <c r="K184" s="141" t="s">
        <v>2784</v>
      </c>
      <c r="L184" s="198" t="s">
        <v>2785</v>
      </c>
      <c r="M184" s="141" t="s">
        <v>2786</v>
      </c>
      <c r="N184" s="198" t="s">
        <v>2787</v>
      </c>
      <c r="O184" s="141" t="s">
        <v>2788</v>
      </c>
      <c r="P184" s="198" t="s">
        <v>2789</v>
      </c>
      <c r="Q184" s="141" t="s">
        <v>2790</v>
      </c>
      <c r="R184" s="198" t="s">
        <v>2791</v>
      </c>
      <c r="S184" s="141" t="s">
        <v>2792</v>
      </c>
      <c r="T184" s="198" t="s">
        <v>2793</v>
      </c>
      <c r="U184" s="141" t="s">
        <v>2794</v>
      </c>
      <c r="V184" s="198" t="s">
        <v>2795</v>
      </c>
      <c r="W184" s="141" t="s">
        <v>2796</v>
      </c>
      <c r="X184" s="198" t="s">
        <v>2797</v>
      </c>
      <c r="Y184" s="141" t="s">
        <v>2798</v>
      </c>
      <c r="Z184" s="198" t="s">
        <v>2799</v>
      </c>
      <c r="AA184" s="141" t="s">
        <v>2800</v>
      </c>
      <c r="AB184" s="198" t="s">
        <v>2801</v>
      </c>
      <c r="AC184" s="141" t="s">
        <v>2817</v>
      </c>
      <c r="AD184" s="198" t="s">
        <v>2818</v>
      </c>
      <c r="AE184" s="141" t="s">
        <v>2819</v>
      </c>
      <c r="AF184" s="198" t="s">
        <v>2821</v>
      </c>
      <c r="AG184" s="141" t="s">
        <v>2822</v>
      </c>
      <c r="AH184" s="198" t="s">
        <v>2823</v>
      </c>
      <c r="AI184" s="141" t="s">
        <v>2824</v>
      </c>
      <c r="AJ184" s="198" t="s">
        <v>2825</v>
      </c>
      <c r="AK184" s="141" t="s">
        <v>2826</v>
      </c>
      <c r="AL184" s="198" t="s">
        <v>2827</v>
      </c>
      <c r="AM184" s="141" t="s">
        <v>2831</v>
      </c>
      <c r="AN184" s="143" t="s">
        <v>2832</v>
      </c>
      <c r="AO184" s="355" t="s">
        <v>2833</v>
      </c>
      <c r="AP184" s="164" t="s">
        <v>2834</v>
      </c>
      <c r="AQ184" s="141" t="s">
        <v>3011</v>
      </c>
      <c r="AR184" s="2347" t="s">
        <v>3012</v>
      </c>
      <c r="AS184" s="2347" t="s">
        <v>3013</v>
      </c>
      <c r="AT184" s="2347" t="s">
        <v>3014</v>
      </c>
      <c r="AU184" s="1162" t="str">
        <f t="shared" si="32"/>
        <v xml:space="preserve">* Las gestantes ingresadas al Programa NO debe ser mayor al Total de Mujeres ingresadas. * Las madres de hijos menor de 5 años NO DEBE ser mayor al Total de Mujeres ingresadas al Programa. * Los Niños, Niñas, Adolescentes y Jóvenes de Programas SENAME NO DEBE ser mayor al Total de ingresos del Programa. * Los Migrantes NO DEBEN ser mayor al Total de ingresos del Programa. </v>
      </c>
      <c r="AV184" s="1058"/>
      <c r="AW184" s="1058"/>
      <c r="AX184" s="1058"/>
      <c r="AY184" s="1058"/>
      <c r="AZ184" s="1058"/>
      <c r="BA184" s="1058"/>
      <c r="BB184" s="1058"/>
      <c r="BC184" s="1058"/>
      <c r="BD184" s="1058"/>
      <c r="BE184" s="1058"/>
      <c r="BF184" s="94"/>
      <c r="BG184" s="94"/>
      <c r="BH184" s="94"/>
      <c r="BI184" s="94"/>
      <c r="BJ184" s="94"/>
      <c r="BZ184" s="79"/>
      <c r="CA184" s="889" t="str">
        <f t="shared" si="36"/>
        <v xml:space="preserve">* Las gestantes ingresadas al Programa NO debe ser mayor al Total de Mujeres ingresadas. </v>
      </c>
      <c r="CB184" s="889" t="str">
        <f t="shared" si="37"/>
        <v xml:space="preserve">* Las madres de hijos menor de 5 años NO DEBE ser mayor al Total de Mujeres ingresadas al Programa. </v>
      </c>
      <c r="CC184" s="889" t="str">
        <f t="shared" si="22"/>
        <v/>
      </c>
      <c r="CD184" s="889" t="str">
        <f t="shared" si="23"/>
        <v xml:space="preserve">* Los Niños, Niñas, Adolescentes y Jóvenes de Programas SENAME NO DEBE ser mayor al Total de ingresos del Programa. </v>
      </c>
      <c r="CE184" s="889" t="str">
        <f t="shared" si="24"/>
        <v xml:space="preserve">* Los Migrantes NO DEBEN ser mayor al Total de ingresos del Programa. </v>
      </c>
      <c r="CF184" s="889" t="str">
        <f t="shared" si="25"/>
        <v/>
      </c>
      <c r="CG184" s="1020">
        <f t="shared" si="38"/>
        <v>1</v>
      </c>
      <c r="CH184" s="1020">
        <f t="shared" si="39"/>
        <v>1</v>
      </c>
      <c r="CI184" s="1020">
        <f t="shared" si="28"/>
        <v>0</v>
      </c>
      <c r="CJ184" s="1020">
        <f t="shared" si="29"/>
        <v>1</v>
      </c>
      <c r="CK184" s="1020">
        <f t="shared" si="30"/>
        <v>1</v>
      </c>
      <c r="CL184" s="1020">
        <f t="shared" si="40"/>
        <v>0</v>
      </c>
      <c r="CM184" s="1020"/>
      <c r="CN184" s="1020"/>
      <c r="DA184" s="80"/>
    </row>
    <row r="185" spans="1:105" ht="16.350000000000001" customHeight="1" x14ac:dyDescent="0.2">
      <c r="A185" s="2695" t="s">
        <v>3200</v>
      </c>
      <c r="B185" s="5313" t="s">
        <v>383</v>
      </c>
      <c r="C185" s="5303"/>
      <c r="D185" s="714" t="s">
        <v>2777</v>
      </c>
      <c r="E185" s="715" t="s">
        <v>2778</v>
      </c>
      <c r="F185" s="2433" t="s">
        <v>2779</v>
      </c>
      <c r="G185" s="141" t="s">
        <v>2780</v>
      </c>
      <c r="H185" s="198" t="s">
        <v>2781</v>
      </c>
      <c r="I185" s="141" t="s">
        <v>2782</v>
      </c>
      <c r="J185" s="198" t="s">
        <v>2783</v>
      </c>
      <c r="K185" s="141" t="s">
        <v>2784</v>
      </c>
      <c r="L185" s="198" t="s">
        <v>2785</v>
      </c>
      <c r="M185" s="141" t="s">
        <v>2786</v>
      </c>
      <c r="N185" s="198" t="s">
        <v>2787</v>
      </c>
      <c r="O185" s="141" t="s">
        <v>2788</v>
      </c>
      <c r="P185" s="198" t="s">
        <v>2789</v>
      </c>
      <c r="Q185" s="141" t="s">
        <v>2790</v>
      </c>
      <c r="R185" s="198" t="s">
        <v>2791</v>
      </c>
      <c r="S185" s="141" t="s">
        <v>2792</v>
      </c>
      <c r="T185" s="198" t="s">
        <v>2793</v>
      </c>
      <c r="U185" s="141" t="s">
        <v>2794</v>
      </c>
      <c r="V185" s="198" t="s">
        <v>2795</v>
      </c>
      <c r="W185" s="141" t="s">
        <v>2796</v>
      </c>
      <c r="X185" s="198" t="s">
        <v>2797</v>
      </c>
      <c r="Y185" s="141" t="s">
        <v>2798</v>
      </c>
      <c r="Z185" s="198" t="s">
        <v>2799</v>
      </c>
      <c r="AA185" s="141" t="s">
        <v>2800</v>
      </c>
      <c r="AB185" s="198" t="s">
        <v>2801</v>
      </c>
      <c r="AC185" s="141" t="s">
        <v>2817</v>
      </c>
      <c r="AD185" s="198" t="s">
        <v>2818</v>
      </c>
      <c r="AE185" s="141" t="s">
        <v>2819</v>
      </c>
      <c r="AF185" s="198" t="s">
        <v>2821</v>
      </c>
      <c r="AG185" s="141" t="s">
        <v>2822</v>
      </c>
      <c r="AH185" s="198" t="s">
        <v>2823</v>
      </c>
      <c r="AI185" s="141" t="s">
        <v>2824</v>
      </c>
      <c r="AJ185" s="198" t="s">
        <v>2825</v>
      </c>
      <c r="AK185" s="141" t="s">
        <v>2826</v>
      </c>
      <c r="AL185" s="198" t="s">
        <v>2827</v>
      </c>
      <c r="AM185" s="141" t="s">
        <v>2831</v>
      </c>
      <c r="AN185" s="143" t="s">
        <v>2832</v>
      </c>
      <c r="AO185" s="355" t="s">
        <v>2833</v>
      </c>
      <c r="AP185" s="164" t="s">
        <v>2834</v>
      </c>
      <c r="AQ185" s="141" t="s">
        <v>3011</v>
      </c>
      <c r="AR185" s="240" t="s">
        <v>3012</v>
      </c>
      <c r="AS185" s="240" t="s">
        <v>3013</v>
      </c>
      <c r="AT185" s="240" t="s">
        <v>3014</v>
      </c>
      <c r="AU185" s="1162" t="str">
        <f t="shared" si="32"/>
        <v xml:space="preserve">* Las gestantes ingresadas al Programa NO debe ser mayor al Total de Mujeres ingresadas. * Las madres de hijos menor de 5 años NO DEBE ser mayor al Total de Mujeres ingresadas al Programa. * Los Niños, Niñas, Adolescentes y Jóvenes de Programas SENAME NO DEBE ser mayor al Total de ingresos del Programa. * Los Migrantes NO DEBEN ser mayor al Total de ingresos del Programa. </v>
      </c>
      <c r="AV185" s="1058"/>
      <c r="AW185" s="1058"/>
      <c r="AX185" s="1058"/>
      <c r="AY185" s="1058"/>
      <c r="AZ185" s="1058"/>
      <c r="BA185" s="1058"/>
      <c r="BB185" s="1058"/>
      <c r="BC185" s="1058"/>
      <c r="BD185" s="1058"/>
      <c r="BE185" s="1058"/>
      <c r="BF185" s="94"/>
      <c r="BG185" s="94"/>
      <c r="BH185" s="94"/>
      <c r="BI185" s="94"/>
      <c r="BJ185" s="94"/>
      <c r="BZ185" s="79"/>
      <c r="CA185" s="889" t="str">
        <f t="shared" si="36"/>
        <v xml:space="preserve">* Las gestantes ingresadas al Programa NO debe ser mayor al Total de Mujeres ingresadas. </v>
      </c>
      <c r="CB185" s="889" t="str">
        <f t="shared" si="37"/>
        <v xml:space="preserve">* Las madres de hijos menor de 5 años NO DEBE ser mayor al Total de Mujeres ingresadas al Programa. </v>
      </c>
      <c r="CC185" s="889" t="str">
        <f t="shared" si="22"/>
        <v/>
      </c>
      <c r="CD185" s="889" t="str">
        <f t="shared" si="23"/>
        <v xml:space="preserve">* Los Niños, Niñas, Adolescentes y Jóvenes de Programas SENAME NO DEBE ser mayor al Total de ingresos del Programa. </v>
      </c>
      <c r="CE185" s="889" t="str">
        <f t="shared" si="24"/>
        <v xml:space="preserve">* Los Migrantes NO DEBEN ser mayor al Total de ingresos del Programa. </v>
      </c>
      <c r="CF185" s="889" t="str">
        <f t="shared" si="25"/>
        <v/>
      </c>
      <c r="CG185" s="1020">
        <f t="shared" si="38"/>
        <v>1</v>
      </c>
      <c r="CH185" s="1020">
        <f t="shared" si="39"/>
        <v>1</v>
      </c>
      <c r="CI185" s="1020">
        <f t="shared" si="28"/>
        <v>0</v>
      </c>
      <c r="CJ185" s="1020">
        <f t="shared" si="29"/>
        <v>1</v>
      </c>
      <c r="CK185" s="1020">
        <f t="shared" si="30"/>
        <v>1</v>
      </c>
      <c r="CL185" s="1020">
        <f t="shared" si="40"/>
        <v>0</v>
      </c>
      <c r="CM185" s="1020"/>
      <c r="CN185" s="1020"/>
      <c r="DA185" s="80"/>
    </row>
    <row r="186" spans="1:105" ht="16.350000000000001" customHeight="1" x14ac:dyDescent="0.2">
      <c r="A186" s="2695" t="s">
        <v>3201</v>
      </c>
      <c r="B186" s="5313" t="s">
        <v>384</v>
      </c>
      <c r="C186" s="5303"/>
      <c r="D186" s="714" t="s">
        <v>2777</v>
      </c>
      <c r="E186" s="715" t="s">
        <v>2778</v>
      </c>
      <c r="F186" s="2433" t="s">
        <v>2779</v>
      </c>
      <c r="G186" s="141" t="s">
        <v>2780</v>
      </c>
      <c r="H186" s="198" t="s">
        <v>2781</v>
      </c>
      <c r="I186" s="141" t="s">
        <v>2782</v>
      </c>
      <c r="J186" s="198" t="s">
        <v>2783</v>
      </c>
      <c r="K186" s="141" t="s">
        <v>2784</v>
      </c>
      <c r="L186" s="198" t="s">
        <v>2785</v>
      </c>
      <c r="M186" s="141" t="s">
        <v>2786</v>
      </c>
      <c r="N186" s="198" t="s">
        <v>2787</v>
      </c>
      <c r="O186" s="141" t="s">
        <v>2788</v>
      </c>
      <c r="P186" s="198" t="s">
        <v>2789</v>
      </c>
      <c r="Q186" s="141" t="s">
        <v>2790</v>
      </c>
      <c r="R186" s="198" t="s">
        <v>2791</v>
      </c>
      <c r="S186" s="141" t="s">
        <v>2792</v>
      </c>
      <c r="T186" s="198" t="s">
        <v>2793</v>
      </c>
      <c r="U186" s="141" t="s">
        <v>2794</v>
      </c>
      <c r="V186" s="198" t="s">
        <v>2795</v>
      </c>
      <c r="W186" s="141" t="s">
        <v>2796</v>
      </c>
      <c r="X186" s="198" t="s">
        <v>2797</v>
      </c>
      <c r="Y186" s="141" t="s">
        <v>2798</v>
      </c>
      <c r="Z186" s="198" t="s">
        <v>2799</v>
      </c>
      <c r="AA186" s="141" t="s">
        <v>2800</v>
      </c>
      <c r="AB186" s="198" t="s">
        <v>2801</v>
      </c>
      <c r="AC186" s="141" t="s">
        <v>2817</v>
      </c>
      <c r="AD186" s="198" t="s">
        <v>2818</v>
      </c>
      <c r="AE186" s="141" t="s">
        <v>2819</v>
      </c>
      <c r="AF186" s="198" t="s">
        <v>2821</v>
      </c>
      <c r="AG186" s="141" t="s">
        <v>2822</v>
      </c>
      <c r="AH186" s="198" t="s">
        <v>2823</v>
      </c>
      <c r="AI186" s="141" t="s">
        <v>2824</v>
      </c>
      <c r="AJ186" s="198" t="s">
        <v>2825</v>
      </c>
      <c r="AK186" s="141" t="s">
        <v>2826</v>
      </c>
      <c r="AL186" s="198" t="s">
        <v>2827</v>
      </c>
      <c r="AM186" s="141" t="s">
        <v>2831</v>
      </c>
      <c r="AN186" s="143" t="s">
        <v>2832</v>
      </c>
      <c r="AO186" s="355" t="s">
        <v>2833</v>
      </c>
      <c r="AP186" s="164" t="s">
        <v>2834</v>
      </c>
      <c r="AQ186" s="141" t="s">
        <v>3011</v>
      </c>
      <c r="AR186" s="240" t="s">
        <v>3012</v>
      </c>
      <c r="AS186" s="240" t="s">
        <v>3013</v>
      </c>
      <c r="AT186" s="240" t="s">
        <v>3014</v>
      </c>
      <c r="AU186" s="1162" t="str">
        <f t="shared" si="32"/>
        <v xml:space="preserve">* Las gestantes ingresadas al Programa NO debe ser mayor al Total de Mujeres ingresadas. * Las madres de hijos menor de 5 años NO DEBE ser mayor al Total de Mujeres ingresadas al Programa. * Los Niños, Niñas, Adolescentes y Jóvenes de Programas SENAME NO DEBE ser mayor al Total de ingresos del Programa. * Los Migrantes NO DEBEN ser mayor al Total de ingresos del Programa. </v>
      </c>
      <c r="AV186" s="1058"/>
      <c r="AW186" s="1058"/>
      <c r="AX186" s="1058"/>
      <c r="AY186" s="1058"/>
      <c r="AZ186" s="1058"/>
      <c r="BA186" s="1058"/>
      <c r="BB186" s="1058"/>
      <c r="BC186" s="1058"/>
      <c r="BD186" s="1058"/>
      <c r="BE186" s="1058"/>
      <c r="BF186" s="94"/>
      <c r="BG186" s="94"/>
      <c r="BH186" s="94"/>
      <c r="BI186" s="94"/>
      <c r="BJ186" s="94"/>
      <c r="BZ186" s="79"/>
      <c r="CA186" s="889" t="str">
        <f t="shared" si="36"/>
        <v xml:space="preserve">* Las gestantes ingresadas al Programa NO debe ser mayor al Total de Mujeres ingresadas. </v>
      </c>
      <c r="CB186" s="889" t="str">
        <f t="shared" si="37"/>
        <v xml:space="preserve">* Las madres de hijos menor de 5 años NO DEBE ser mayor al Total de Mujeres ingresadas al Programa. </v>
      </c>
      <c r="CC186" s="889" t="str">
        <f t="shared" si="22"/>
        <v/>
      </c>
      <c r="CD186" s="889" t="str">
        <f t="shared" si="23"/>
        <v xml:space="preserve">* Los Niños, Niñas, Adolescentes y Jóvenes de Programas SENAME NO DEBE ser mayor al Total de ingresos del Programa. </v>
      </c>
      <c r="CE186" s="889" t="str">
        <f t="shared" si="24"/>
        <v xml:space="preserve">* Los Migrantes NO DEBEN ser mayor al Total de ingresos del Programa. </v>
      </c>
      <c r="CF186" s="889" t="str">
        <f t="shared" si="25"/>
        <v/>
      </c>
      <c r="CG186" s="1020">
        <f t="shared" si="38"/>
        <v>1</v>
      </c>
      <c r="CH186" s="1020">
        <f t="shared" si="39"/>
        <v>1</v>
      </c>
      <c r="CI186" s="1020">
        <f t="shared" si="28"/>
        <v>0</v>
      </c>
      <c r="CJ186" s="1020">
        <f t="shared" si="29"/>
        <v>1</v>
      </c>
      <c r="CK186" s="1020">
        <f t="shared" si="30"/>
        <v>1</v>
      </c>
      <c r="CL186" s="1020">
        <f t="shared" si="40"/>
        <v>0</v>
      </c>
      <c r="CM186" s="1020"/>
      <c r="CN186" s="1020"/>
      <c r="DA186" s="80"/>
    </row>
    <row r="187" spans="1:105" ht="18" customHeight="1" x14ac:dyDescent="0.2">
      <c r="A187" s="2695" t="s">
        <v>3202</v>
      </c>
      <c r="B187" s="5313" t="s">
        <v>385</v>
      </c>
      <c r="C187" s="5303"/>
      <c r="D187" s="2369" t="s">
        <v>2777</v>
      </c>
      <c r="E187" s="713" t="s">
        <v>2778</v>
      </c>
      <c r="F187" s="2434" t="s">
        <v>2779</v>
      </c>
      <c r="G187" s="2245" t="s">
        <v>2780</v>
      </c>
      <c r="H187" s="240" t="s">
        <v>2781</v>
      </c>
      <c r="I187" s="2245" t="s">
        <v>2782</v>
      </c>
      <c r="J187" s="240" t="s">
        <v>2783</v>
      </c>
      <c r="K187" s="2245" t="s">
        <v>2784</v>
      </c>
      <c r="L187" s="240" t="s">
        <v>2785</v>
      </c>
      <c r="M187" s="2245" t="s">
        <v>2786</v>
      </c>
      <c r="N187" s="240" t="s">
        <v>2787</v>
      </c>
      <c r="O187" s="2245" t="s">
        <v>2788</v>
      </c>
      <c r="P187" s="240" t="s">
        <v>2789</v>
      </c>
      <c r="Q187" s="2245" t="s">
        <v>2790</v>
      </c>
      <c r="R187" s="240" t="s">
        <v>2791</v>
      </c>
      <c r="S187" s="2245" t="s">
        <v>2792</v>
      </c>
      <c r="T187" s="240" t="s">
        <v>2793</v>
      </c>
      <c r="U187" s="2245" t="s">
        <v>2794</v>
      </c>
      <c r="V187" s="240" t="s">
        <v>2795</v>
      </c>
      <c r="W187" s="2245" t="s">
        <v>2796</v>
      </c>
      <c r="X187" s="240" t="s">
        <v>2797</v>
      </c>
      <c r="Y187" s="2245" t="s">
        <v>2798</v>
      </c>
      <c r="Z187" s="240" t="s">
        <v>2799</v>
      </c>
      <c r="AA187" s="2245" t="s">
        <v>2800</v>
      </c>
      <c r="AB187" s="240" t="s">
        <v>2801</v>
      </c>
      <c r="AC187" s="2245" t="s">
        <v>2817</v>
      </c>
      <c r="AD187" s="240" t="s">
        <v>2818</v>
      </c>
      <c r="AE187" s="2245" t="s">
        <v>2819</v>
      </c>
      <c r="AF187" s="240" t="s">
        <v>2821</v>
      </c>
      <c r="AG187" s="2245" t="s">
        <v>2822</v>
      </c>
      <c r="AH187" s="240" t="s">
        <v>2823</v>
      </c>
      <c r="AI187" s="2245" t="s">
        <v>2824</v>
      </c>
      <c r="AJ187" s="240" t="s">
        <v>2825</v>
      </c>
      <c r="AK187" s="2245" t="s">
        <v>2826</v>
      </c>
      <c r="AL187" s="240" t="s">
        <v>2827</v>
      </c>
      <c r="AM187" s="2245" t="s">
        <v>2831</v>
      </c>
      <c r="AN187" s="148" t="s">
        <v>2832</v>
      </c>
      <c r="AO187" s="357" t="s">
        <v>2833</v>
      </c>
      <c r="AP187" s="2324" t="s">
        <v>2834</v>
      </c>
      <c r="AQ187" s="2245" t="s">
        <v>3011</v>
      </c>
      <c r="AR187" s="240" t="s">
        <v>3012</v>
      </c>
      <c r="AS187" s="240" t="s">
        <v>3013</v>
      </c>
      <c r="AT187" s="240" t="s">
        <v>3014</v>
      </c>
      <c r="AU187" s="1162" t="str">
        <f t="shared" si="32"/>
        <v xml:space="preserve">* Las gestantes ingresadas al Programa NO debe ser mayor al Total de Mujeres ingresadas. * Las madres de hijos menor de 5 años NO DEBE ser mayor al Total de Mujeres ingresadas al Programa. * Los Niños, Niñas, Adolescentes y Jóvenes de Programas SENAME NO DEBE ser mayor al Total de ingresos del Programa. * Los Migrantes NO DEBEN ser mayor al Total de ingresos del Programa. </v>
      </c>
      <c r="AV187" s="128"/>
      <c r="AW187" s="128"/>
      <c r="AX187" s="94"/>
      <c r="AY187" s="94"/>
      <c r="AZ187" s="94"/>
      <c r="BA187" s="94"/>
      <c r="BB187" s="94"/>
      <c r="BC187" s="94"/>
      <c r="BD187" s="94"/>
      <c r="BE187" s="94"/>
      <c r="BF187" s="94"/>
      <c r="BG187" s="94"/>
      <c r="BH187" s="94"/>
      <c r="BI187" s="94"/>
      <c r="BJ187" s="94"/>
      <c r="BK187" s="94"/>
      <c r="CA187" s="889" t="str">
        <f t="shared" si="36"/>
        <v xml:space="preserve">* Las gestantes ingresadas al Programa NO debe ser mayor al Total de Mujeres ingresadas. </v>
      </c>
      <c r="CB187" s="889" t="str">
        <f t="shared" si="37"/>
        <v xml:space="preserve">* Las madres de hijos menor de 5 años NO DEBE ser mayor al Total de Mujeres ingresadas al Programa. </v>
      </c>
      <c r="CC187" s="889" t="str">
        <f t="shared" si="22"/>
        <v/>
      </c>
      <c r="CD187" s="889" t="str">
        <f t="shared" si="23"/>
        <v xml:space="preserve">* Los Niños, Niñas, Adolescentes y Jóvenes de Programas SENAME NO DEBE ser mayor al Total de ingresos del Programa. </v>
      </c>
      <c r="CE187" s="889" t="str">
        <f t="shared" si="24"/>
        <v xml:space="preserve">* Los Migrantes NO DEBEN ser mayor al Total de ingresos del Programa. </v>
      </c>
      <c r="CF187" s="889" t="str">
        <f t="shared" si="25"/>
        <v/>
      </c>
      <c r="CG187" s="1020">
        <f t="shared" si="38"/>
        <v>1</v>
      </c>
      <c r="CH187" s="1020">
        <f t="shared" si="39"/>
        <v>1</v>
      </c>
      <c r="CI187" s="1020">
        <f t="shared" si="28"/>
        <v>0</v>
      </c>
      <c r="CJ187" s="1020">
        <f t="shared" si="29"/>
        <v>1</v>
      </c>
      <c r="CK187" s="1020">
        <f t="shared" si="30"/>
        <v>1</v>
      </c>
      <c r="CL187" s="1020">
        <f t="shared" si="40"/>
        <v>0</v>
      </c>
      <c r="CM187" s="1020"/>
      <c r="CN187" s="1020"/>
      <c r="CO187" s="1020"/>
    </row>
    <row r="188" spans="1:105" ht="18" customHeight="1" x14ac:dyDescent="0.2">
      <c r="A188" s="2695" t="s">
        <v>3203</v>
      </c>
      <c r="B188" s="5696" t="s">
        <v>1519</v>
      </c>
      <c r="C188" s="5697"/>
      <c r="D188" s="2369" t="s">
        <v>2777</v>
      </c>
      <c r="E188" s="713" t="s">
        <v>2778</v>
      </c>
      <c r="F188" s="2434" t="s">
        <v>2779</v>
      </c>
      <c r="G188" s="2245" t="s">
        <v>2780</v>
      </c>
      <c r="H188" s="240" t="s">
        <v>2781</v>
      </c>
      <c r="I188" s="2245" t="s">
        <v>2782</v>
      </c>
      <c r="J188" s="240" t="s">
        <v>2783</v>
      </c>
      <c r="K188" s="2245" t="s">
        <v>2784</v>
      </c>
      <c r="L188" s="240" t="s">
        <v>2785</v>
      </c>
      <c r="M188" s="2245" t="s">
        <v>2786</v>
      </c>
      <c r="N188" s="240" t="s">
        <v>2787</v>
      </c>
      <c r="O188" s="2245" t="s">
        <v>2788</v>
      </c>
      <c r="P188" s="240" t="s">
        <v>2789</v>
      </c>
      <c r="Q188" s="2245" t="s">
        <v>2790</v>
      </c>
      <c r="R188" s="240" t="s">
        <v>2791</v>
      </c>
      <c r="S188" s="2245" t="s">
        <v>2792</v>
      </c>
      <c r="T188" s="240" t="s">
        <v>2793</v>
      </c>
      <c r="U188" s="2245" t="s">
        <v>2794</v>
      </c>
      <c r="V188" s="240" t="s">
        <v>2795</v>
      </c>
      <c r="W188" s="2245" t="s">
        <v>2796</v>
      </c>
      <c r="X188" s="240" t="s">
        <v>2797</v>
      </c>
      <c r="Y188" s="2245" t="s">
        <v>2798</v>
      </c>
      <c r="Z188" s="240" t="s">
        <v>2799</v>
      </c>
      <c r="AA188" s="2245" t="s">
        <v>2800</v>
      </c>
      <c r="AB188" s="240" t="s">
        <v>2801</v>
      </c>
      <c r="AC188" s="2245" t="s">
        <v>2817</v>
      </c>
      <c r="AD188" s="240" t="s">
        <v>2818</v>
      </c>
      <c r="AE188" s="2245" t="s">
        <v>2819</v>
      </c>
      <c r="AF188" s="240" t="s">
        <v>2821</v>
      </c>
      <c r="AG188" s="2245" t="s">
        <v>2822</v>
      </c>
      <c r="AH188" s="240" t="s">
        <v>2823</v>
      </c>
      <c r="AI188" s="2245" t="s">
        <v>2824</v>
      </c>
      <c r="AJ188" s="240" t="s">
        <v>2825</v>
      </c>
      <c r="AK188" s="2245" t="s">
        <v>2826</v>
      </c>
      <c r="AL188" s="240" t="s">
        <v>2827</v>
      </c>
      <c r="AM188" s="2245" t="s">
        <v>2831</v>
      </c>
      <c r="AN188" s="148" t="s">
        <v>2832</v>
      </c>
      <c r="AO188" s="357" t="s">
        <v>2833</v>
      </c>
      <c r="AP188" s="2324" t="s">
        <v>2834</v>
      </c>
      <c r="AQ188" s="2245" t="s">
        <v>3011</v>
      </c>
      <c r="AR188" s="240" t="s">
        <v>3012</v>
      </c>
      <c r="AS188" s="240" t="s">
        <v>3013</v>
      </c>
      <c r="AT188" s="240" t="s">
        <v>3014</v>
      </c>
      <c r="AU188" s="1162" t="str">
        <f t="shared" si="32"/>
        <v xml:space="preserve">* Las gestantes ingresadas al Programa NO debe ser mayor al Total de Mujeres ingresadas. * Las madres de hijos menor de 5 años NO DEBE ser mayor al Total de Mujeres ingresadas al Programa. * Los Niños, Niñas, Adolescentes y Jóvenes de Programas SENAME NO DEBE ser mayor al Total de ingresos del Programa. * Los Migrantes NO DEBEN ser mayor al Total de ingresos del Programa. </v>
      </c>
      <c r="AY188" s="94"/>
      <c r="AZ188" s="94"/>
      <c r="BA188" s="94"/>
      <c r="BB188" s="94"/>
      <c r="BC188" s="94"/>
      <c r="BD188" s="94"/>
      <c r="BE188" s="94"/>
      <c r="BF188" s="94"/>
      <c r="BG188" s="94"/>
      <c r="BH188" s="94"/>
      <c r="BI188" s="94"/>
      <c r="BJ188" s="94"/>
      <c r="BK188" s="94"/>
      <c r="CA188" s="889" t="str">
        <f t="shared" si="36"/>
        <v xml:space="preserve">* Las gestantes ingresadas al Programa NO debe ser mayor al Total de Mujeres ingresadas. </v>
      </c>
      <c r="CB188" s="889" t="str">
        <f t="shared" si="37"/>
        <v xml:space="preserve">* Las madres de hijos menor de 5 años NO DEBE ser mayor al Total de Mujeres ingresadas al Programa. </v>
      </c>
      <c r="CC188" s="889" t="str">
        <f t="shared" si="22"/>
        <v/>
      </c>
      <c r="CD188" s="889" t="str">
        <f t="shared" si="23"/>
        <v xml:space="preserve">* Los Niños, Niñas, Adolescentes y Jóvenes de Programas SENAME NO DEBE ser mayor al Total de ingresos del Programa. </v>
      </c>
      <c r="CE188" s="889" t="str">
        <f t="shared" si="24"/>
        <v xml:space="preserve">* Los Migrantes NO DEBEN ser mayor al Total de ingresos del Programa. </v>
      </c>
      <c r="CF188" s="889" t="str">
        <f t="shared" si="25"/>
        <v/>
      </c>
      <c r="CG188" s="1020">
        <f t="shared" si="38"/>
        <v>1</v>
      </c>
      <c r="CH188" s="1020">
        <f t="shared" si="39"/>
        <v>1</v>
      </c>
      <c r="CI188" s="1020">
        <f t="shared" si="28"/>
        <v>0</v>
      </c>
      <c r="CJ188" s="1020">
        <f t="shared" si="29"/>
        <v>1</v>
      </c>
      <c r="CK188" s="1020">
        <f t="shared" si="30"/>
        <v>1</v>
      </c>
      <c r="CL188" s="1020">
        <f t="shared" si="40"/>
        <v>0</v>
      </c>
      <c r="CM188" s="1020"/>
      <c r="CN188" s="1020"/>
      <c r="CO188" s="1020"/>
    </row>
    <row r="189" spans="1:105" ht="18" customHeight="1" x14ac:dyDescent="0.2">
      <c r="A189" s="2695" t="s">
        <v>3204</v>
      </c>
      <c r="B189" s="5314" t="s">
        <v>109</v>
      </c>
      <c r="C189" s="5315"/>
      <c r="D189" s="716" t="s">
        <v>2777</v>
      </c>
      <c r="E189" s="717" t="s">
        <v>2778</v>
      </c>
      <c r="F189" s="384" t="s">
        <v>2779</v>
      </c>
      <c r="G189" s="166" t="s">
        <v>2780</v>
      </c>
      <c r="H189" s="168" t="s">
        <v>2781</v>
      </c>
      <c r="I189" s="166" t="s">
        <v>2782</v>
      </c>
      <c r="J189" s="168" t="s">
        <v>2783</v>
      </c>
      <c r="K189" s="166" t="s">
        <v>2784</v>
      </c>
      <c r="L189" s="168" t="s">
        <v>2785</v>
      </c>
      <c r="M189" s="166" t="s">
        <v>2786</v>
      </c>
      <c r="N189" s="168" t="s">
        <v>2787</v>
      </c>
      <c r="O189" s="166" t="s">
        <v>2788</v>
      </c>
      <c r="P189" s="168" t="s">
        <v>2789</v>
      </c>
      <c r="Q189" s="166" t="s">
        <v>2790</v>
      </c>
      <c r="R189" s="168" t="s">
        <v>2791</v>
      </c>
      <c r="S189" s="166" t="s">
        <v>2792</v>
      </c>
      <c r="T189" s="168" t="s">
        <v>2793</v>
      </c>
      <c r="U189" s="166" t="s">
        <v>2794</v>
      </c>
      <c r="V189" s="168" t="s">
        <v>2795</v>
      </c>
      <c r="W189" s="166" t="s">
        <v>2796</v>
      </c>
      <c r="X189" s="168" t="s">
        <v>2797</v>
      </c>
      <c r="Y189" s="166" t="s">
        <v>2798</v>
      </c>
      <c r="Z189" s="168" t="s">
        <v>2799</v>
      </c>
      <c r="AA189" s="166" t="s">
        <v>2800</v>
      </c>
      <c r="AB189" s="168" t="s">
        <v>2801</v>
      </c>
      <c r="AC189" s="166" t="s">
        <v>2817</v>
      </c>
      <c r="AD189" s="168" t="s">
        <v>2818</v>
      </c>
      <c r="AE189" s="166" t="s">
        <v>2819</v>
      </c>
      <c r="AF189" s="168" t="s">
        <v>2821</v>
      </c>
      <c r="AG189" s="166" t="s">
        <v>2822</v>
      </c>
      <c r="AH189" s="168" t="s">
        <v>2823</v>
      </c>
      <c r="AI189" s="166" t="s">
        <v>2824</v>
      </c>
      <c r="AJ189" s="168" t="s">
        <v>2825</v>
      </c>
      <c r="AK189" s="166" t="s">
        <v>2826</v>
      </c>
      <c r="AL189" s="168" t="s">
        <v>2827</v>
      </c>
      <c r="AM189" s="166" t="s">
        <v>2831</v>
      </c>
      <c r="AN189" s="265" t="s">
        <v>2832</v>
      </c>
      <c r="AO189" s="373" t="s">
        <v>2833</v>
      </c>
      <c r="AP189" s="374" t="s">
        <v>2834</v>
      </c>
      <c r="AQ189" s="166" t="s">
        <v>3011</v>
      </c>
      <c r="AR189" s="168" t="s">
        <v>3012</v>
      </c>
      <c r="AS189" s="168" t="s">
        <v>3013</v>
      </c>
      <c r="AT189" s="168" t="s">
        <v>3014</v>
      </c>
      <c r="AU189" s="1162" t="str">
        <f t="shared" si="32"/>
        <v xml:space="preserve">* Las gestantes ingresadas al Programa NO debe ser mayor al Total de Mujeres ingresadas. * Las madres de hijos menor de 5 años NO DEBE ser mayor al Total de Mujeres ingresadas al Programa. * Los Niños, Niñas, Adolescentes y Jóvenes de Programas SENAME NO DEBE ser mayor al Total de ingresos del Programa. * Los Migrantes NO DEBEN ser mayor al Total de ingresos del Programa. </v>
      </c>
      <c r="AY189" s="94"/>
      <c r="AZ189" s="94"/>
      <c r="BA189" s="94"/>
      <c r="BB189" s="94"/>
      <c r="BC189" s="94"/>
      <c r="BD189" s="94"/>
      <c r="BE189" s="94"/>
      <c r="BF189" s="94"/>
      <c r="BG189" s="94"/>
      <c r="BH189" s="94"/>
      <c r="BI189" s="94"/>
      <c r="BJ189" s="94"/>
      <c r="BK189" s="94"/>
      <c r="CA189" s="889" t="str">
        <f t="shared" si="36"/>
        <v xml:space="preserve">* Las gestantes ingresadas al Programa NO debe ser mayor al Total de Mujeres ingresadas. </v>
      </c>
      <c r="CB189" s="889" t="str">
        <f t="shared" si="37"/>
        <v xml:space="preserve">* Las madres de hijos menor de 5 años NO DEBE ser mayor al Total de Mujeres ingresadas al Programa. </v>
      </c>
      <c r="CC189" s="889" t="str">
        <f t="shared" si="22"/>
        <v/>
      </c>
      <c r="CD189" s="889" t="str">
        <f t="shared" si="23"/>
        <v xml:space="preserve">* Los Niños, Niñas, Adolescentes y Jóvenes de Programas SENAME NO DEBE ser mayor al Total de ingresos del Programa. </v>
      </c>
      <c r="CE189" s="889" t="str">
        <f t="shared" si="24"/>
        <v xml:space="preserve">* Los Migrantes NO DEBEN ser mayor al Total de ingresos del Programa. </v>
      </c>
      <c r="CF189" s="889" t="str">
        <f t="shared" si="25"/>
        <v/>
      </c>
      <c r="CG189" s="1020">
        <f t="shared" si="38"/>
        <v>1</v>
      </c>
      <c r="CH189" s="1020">
        <f t="shared" si="39"/>
        <v>1</v>
      </c>
      <c r="CI189" s="1020">
        <f t="shared" si="28"/>
        <v>0</v>
      </c>
      <c r="CJ189" s="1020">
        <f t="shared" si="29"/>
        <v>1</v>
      </c>
      <c r="CK189" s="1020">
        <f t="shared" si="30"/>
        <v>1</v>
      </c>
      <c r="CL189" s="1020">
        <f t="shared" si="40"/>
        <v>0</v>
      </c>
      <c r="CM189" s="1020"/>
      <c r="CN189" s="1020"/>
      <c r="CO189" s="1020"/>
    </row>
    <row r="190" spans="1:105" ht="27.75" customHeight="1" x14ac:dyDescent="0.2">
      <c r="B190" s="295" t="s">
        <v>868</v>
      </c>
      <c r="C190" s="295"/>
      <c r="AZ190" s="1058"/>
      <c r="BA190" s="1058"/>
      <c r="BB190" s="1058"/>
      <c r="BC190" s="1058"/>
      <c r="BD190" s="1058"/>
      <c r="BE190" s="1058"/>
      <c r="BF190" s="1058"/>
      <c r="BG190" s="1058"/>
      <c r="BH190" s="1058"/>
      <c r="BI190" s="1058"/>
      <c r="BJ190" s="94"/>
      <c r="BK190" s="94"/>
      <c r="CB190" s="889" t="str">
        <f>IF(CH190=0,"","* Las gestantes egresadas del Programa NO debe ser mayor al Total de Mujeres egresadas. ")</f>
        <v xml:space="preserve">* Las gestantes egresadas del Programa NO debe ser mayor al Total de Mujeres egresadas. </v>
      </c>
      <c r="CC190" s="889" t="str">
        <f>IF(CI190=0,"","* Las madres de hijos menor de 5 años NO DEBE ser mayor al Total de Mujeres Egresadas al Programa. ")</f>
        <v xml:space="preserve">* Las madres de hijos menor de 5 años NO DEBE ser mayor al Total de Mujeres Egresadas al Programa. </v>
      </c>
      <c r="CD190" s="889" t="str">
        <f>IF(CJ190=0,"","* Los egresos de Pueblos Originarios NO DEBE ser mayor al Total de egresos del Programa.")</f>
        <v/>
      </c>
      <c r="CE190" s="889" t="str">
        <f>IF(CK190=0,"","* Los Niños, Niñas, Adolescentes y Jóvenes de Programas SENAME NO DEBE ser mayor al Total de egresos del Programa. ")</f>
        <v xml:space="preserve">* Los Niños, Niñas, Adolescentes y Jóvenes de Programas SENAME NO DEBE ser mayor al Total de egresos del Programa. </v>
      </c>
      <c r="CF190" s="889" t="str">
        <f>IF(CL190=0,"","* Los Migrantes NO DEBEN ser mayor al Total de ingresos del Programa. ")</f>
        <v xml:space="preserve">* Los Migrantes NO DEBEN ser mayor al Total de ingresos del Programa. </v>
      </c>
      <c r="CG190" s="889" t="str">
        <f>IF(CM190=0,"","* No olvide escribir los campos Gestante y/o Madre de Hijo menor de 5 años y/o Pueblos Originarios y/o Niños, Niñas, Adolescentes y Jóvenes de Programas SENAME (Digite CERO si no tiene). ")</f>
        <v/>
      </c>
      <c r="CH190" s="1020">
        <f>IF(F193&lt;AR193,1,0)</f>
        <v>1</v>
      </c>
      <c r="CI190" s="1020">
        <f>IF(F193&lt;AS193,1,0)</f>
        <v>1</v>
      </c>
      <c r="CJ190" s="1020">
        <f>IF(D193&lt;SUM(AT193,AU193),1,0)</f>
        <v>0</v>
      </c>
      <c r="CK190" s="1020">
        <f>IF(D193&lt;AV193,1,0)</f>
        <v>1</v>
      </c>
      <c r="CL190" s="1020">
        <f>IF(D193&lt;AW193,1,0)</f>
        <v>1</v>
      </c>
      <c r="CM190" s="1020">
        <f>IF(AND(D193&lt;&gt;0,OR(AR193="",AS193="",AT193="",AU193="",AV193="",AW193="")),1,0)</f>
        <v>0</v>
      </c>
      <c r="CN190" s="1020">
        <f>IF(AND(D193=0,OR(D195&gt;0,D196&gt;0,D197&gt;0,D198&gt;0,D199&gt;0)),1,0)</f>
        <v>0</v>
      </c>
      <c r="CO190" s="1020"/>
      <c r="CP190" s="889" t="str">
        <f>IF(CN190=0,"","* No olvide registrar al menos un egreso y una persona con diagnóstico. ")</f>
        <v/>
      </c>
    </row>
    <row r="191" spans="1:105" ht="23.25" customHeight="1" x14ac:dyDescent="0.2">
      <c r="B191" s="5694" t="s">
        <v>386</v>
      </c>
      <c r="C191" s="5695"/>
      <c r="D191" s="5523" t="s">
        <v>42</v>
      </c>
      <c r="E191" s="5523"/>
      <c r="F191" s="5523"/>
      <c r="G191" s="5523" t="s">
        <v>350</v>
      </c>
      <c r="H191" s="5523"/>
      <c r="I191" s="5523" t="s">
        <v>351</v>
      </c>
      <c r="J191" s="5523"/>
      <c r="K191" s="5523" t="s">
        <v>352</v>
      </c>
      <c r="L191" s="5523"/>
      <c r="M191" s="5523" t="s">
        <v>319</v>
      </c>
      <c r="N191" s="5523"/>
      <c r="O191" s="5105" t="s">
        <v>10</v>
      </c>
      <c r="P191" s="5106"/>
      <c r="Q191" s="5522" t="s">
        <v>151</v>
      </c>
      <c r="R191" s="5522"/>
      <c r="S191" s="5522" t="s">
        <v>152</v>
      </c>
      <c r="T191" s="5522"/>
      <c r="U191" s="5522" t="s">
        <v>153</v>
      </c>
      <c r="V191" s="5522"/>
      <c r="W191" s="5522" t="s">
        <v>154</v>
      </c>
      <c r="X191" s="5522"/>
      <c r="Y191" s="5522" t="s">
        <v>155</v>
      </c>
      <c r="Z191" s="5522"/>
      <c r="AA191" s="5522" t="s">
        <v>156</v>
      </c>
      <c r="AB191" s="5522"/>
      <c r="AC191" s="5522" t="s">
        <v>157</v>
      </c>
      <c r="AD191" s="5522"/>
      <c r="AE191" s="5522" t="s">
        <v>158</v>
      </c>
      <c r="AF191" s="5522"/>
      <c r="AG191" s="5522" t="s">
        <v>159</v>
      </c>
      <c r="AH191" s="5522"/>
      <c r="AI191" s="5522" t="s">
        <v>160</v>
      </c>
      <c r="AJ191" s="5522"/>
      <c r="AK191" s="5522" t="s">
        <v>161</v>
      </c>
      <c r="AL191" s="5522"/>
      <c r="AM191" s="5522" t="s">
        <v>162</v>
      </c>
      <c r="AN191" s="5107"/>
      <c r="AO191" s="5641" t="s">
        <v>326</v>
      </c>
      <c r="AP191" s="5642"/>
      <c r="AQ191" s="5643"/>
      <c r="AR191" s="5644" t="s">
        <v>415</v>
      </c>
      <c r="AS191" s="5649" t="s">
        <v>980</v>
      </c>
      <c r="AT191" s="5522" t="s">
        <v>6</v>
      </c>
      <c r="AU191" s="5522"/>
      <c r="AV191" s="5529" t="s">
        <v>1484</v>
      </c>
      <c r="AW191" s="5529" t="s">
        <v>23</v>
      </c>
      <c r="AY191" s="94"/>
      <c r="AZ191" s="94"/>
      <c r="BA191" s="94"/>
      <c r="BB191" s="94"/>
      <c r="BC191" s="94"/>
      <c r="BD191" s="94"/>
      <c r="BE191" s="94"/>
      <c r="BF191" s="94"/>
      <c r="BG191" s="94"/>
      <c r="BH191" s="94"/>
      <c r="BI191" s="94"/>
      <c r="BJ191" s="94"/>
      <c r="BZ191" s="79"/>
      <c r="CA191" s="889"/>
      <c r="CG191" s="1020"/>
      <c r="CH191" s="1020"/>
      <c r="CI191" s="1020"/>
      <c r="CJ191" s="1020"/>
      <c r="CK191" s="1020"/>
      <c r="CL191" s="1020"/>
      <c r="CM191" s="1020"/>
      <c r="CN191" s="1020"/>
      <c r="DA191" s="80"/>
    </row>
    <row r="192" spans="1:105" ht="37.5" customHeight="1" x14ac:dyDescent="0.2">
      <c r="B192" s="5549"/>
      <c r="C192" s="5550"/>
      <c r="D192" s="1116" t="s">
        <v>184</v>
      </c>
      <c r="E192" s="1129" t="s">
        <v>24</v>
      </c>
      <c r="F192" s="1127" t="s">
        <v>25</v>
      </c>
      <c r="G192" s="91" t="s">
        <v>24</v>
      </c>
      <c r="H192" s="645" t="s">
        <v>25</v>
      </c>
      <c r="I192" s="91" t="s">
        <v>24</v>
      </c>
      <c r="J192" s="645" t="s">
        <v>25</v>
      </c>
      <c r="K192" s="91" t="s">
        <v>24</v>
      </c>
      <c r="L192" s="645" t="s">
        <v>25</v>
      </c>
      <c r="M192" s="91" t="s">
        <v>24</v>
      </c>
      <c r="N192" s="645" t="s">
        <v>25</v>
      </c>
      <c r="O192" s="91" t="s">
        <v>24</v>
      </c>
      <c r="P192" s="645" t="s">
        <v>25</v>
      </c>
      <c r="Q192" s="91" t="s">
        <v>24</v>
      </c>
      <c r="R192" s="645" t="s">
        <v>25</v>
      </c>
      <c r="S192" s="91" t="s">
        <v>24</v>
      </c>
      <c r="T192" s="645" t="s">
        <v>25</v>
      </c>
      <c r="U192" s="91" t="s">
        <v>24</v>
      </c>
      <c r="V192" s="645" t="s">
        <v>25</v>
      </c>
      <c r="W192" s="91" t="s">
        <v>24</v>
      </c>
      <c r="X192" s="645" t="s">
        <v>25</v>
      </c>
      <c r="Y192" s="91" t="s">
        <v>24</v>
      </c>
      <c r="Z192" s="645" t="s">
        <v>25</v>
      </c>
      <c r="AA192" s="91" t="s">
        <v>24</v>
      </c>
      <c r="AB192" s="645" t="s">
        <v>25</v>
      </c>
      <c r="AC192" s="91" t="s">
        <v>24</v>
      </c>
      <c r="AD192" s="645" t="s">
        <v>25</v>
      </c>
      <c r="AE192" s="91" t="s">
        <v>24</v>
      </c>
      <c r="AF192" s="645" t="s">
        <v>25</v>
      </c>
      <c r="AG192" s="91" t="s">
        <v>24</v>
      </c>
      <c r="AH192" s="645" t="s">
        <v>25</v>
      </c>
      <c r="AI192" s="91" t="s">
        <v>24</v>
      </c>
      <c r="AJ192" s="645" t="s">
        <v>25</v>
      </c>
      <c r="AK192" s="91" t="s">
        <v>24</v>
      </c>
      <c r="AL192" s="645" t="s">
        <v>25</v>
      </c>
      <c r="AM192" s="91" t="s">
        <v>24</v>
      </c>
      <c r="AN192" s="972" t="s">
        <v>25</v>
      </c>
      <c r="AO192" s="660" t="s">
        <v>671</v>
      </c>
      <c r="AP192" s="661" t="s">
        <v>672</v>
      </c>
      <c r="AQ192" s="560" t="s">
        <v>977</v>
      </c>
      <c r="AR192" s="5645"/>
      <c r="AS192" s="5253"/>
      <c r="AT192" s="91" t="s">
        <v>24</v>
      </c>
      <c r="AU192" s="645" t="s">
        <v>25</v>
      </c>
      <c r="AV192" s="5530"/>
      <c r="AW192" s="5530"/>
      <c r="AY192" s="1058"/>
      <c r="AZ192" s="1058"/>
      <c r="BA192" s="1058"/>
      <c r="BB192" s="1058"/>
      <c r="BC192" s="1058"/>
      <c r="BD192" s="1058"/>
      <c r="BE192" s="1058"/>
      <c r="BF192" s="1058"/>
      <c r="BG192" s="1058"/>
      <c r="BH192" s="1058"/>
      <c r="BI192" s="94"/>
      <c r="BJ192" s="94"/>
      <c r="BZ192" s="79"/>
      <c r="CB192" s="889" t="str">
        <f t="shared" ref="CB192:CB228" si="41">IF(CH192=0,"","* Las gestantes egresadas del Programa NO debe ser mayor al Total de Mujeres egresadas. ")</f>
        <v xml:space="preserve">* Las gestantes egresadas del Programa NO debe ser mayor al Total de Mujeres egresadas. </v>
      </c>
      <c r="CC192" s="889" t="str">
        <f t="shared" ref="CC192:CC228" si="42">IF(CI192=0,"","* Las madres de hijos menor de 5 años NO DEBE ser mayor al Total de Mujeres Egresadas al Programa. ")</f>
        <v xml:space="preserve">* Las madres de hijos menor de 5 años NO DEBE ser mayor al Total de Mujeres Egresadas al Programa. </v>
      </c>
      <c r="CD192" s="889" t="str">
        <f t="shared" ref="CD192:CD228" si="43">IF(CJ192=0,"","* Los egresos de Pueblos Originarios NO DEBE ser mayor al Total de egresos del Programa.")</f>
        <v/>
      </c>
      <c r="CE192" s="889" t="str">
        <f t="shared" ref="CE192:CE228" si="44">IF(CK192=0,"","* Los Niños, Niñas, Adolescentes y Jóvenes de Programas SENAME NO DEBE ser mayor al Total de egresos del Programa. ")</f>
        <v xml:space="preserve">* Los Niños, Niñas, Adolescentes y Jóvenes de Programas SENAME NO DEBE ser mayor al Total de egresos del Programa. </v>
      </c>
      <c r="CF192" s="889" t="str">
        <f t="shared" ref="CF192:CF228" si="45">IF(CL192=0,"","* Los Migrantes NO DEBEN ser mayor al Total de ingresos del Programa. ")</f>
        <v xml:space="preserve">* Los Migrantes NO DEBEN ser mayor al Total de ingresos del Programa. </v>
      </c>
      <c r="CG192" s="889" t="str">
        <f t="shared" ref="CG192:CG228" si="46">IF(CM192=0,"","* No olvide escribir los campos Gestante y/o Madre de Hijo menor de 5 años y/o Pueblos Originarios y/o Niños, Niñas, Adolescentes y Jóvenes de Programas SENAME (Digite CERO si no tiene). ")</f>
        <v/>
      </c>
      <c r="CH192" s="1020">
        <f t="shared" ref="CH192:CH228" si="47">IF(F195&lt;AR195,1,0)</f>
        <v>1</v>
      </c>
      <c r="CI192" s="1020">
        <f t="shared" ref="CI192:CI228" si="48">IF(F195&lt;AS195,1,0)</f>
        <v>1</v>
      </c>
      <c r="CJ192" s="1020">
        <f t="shared" ref="CJ192:CJ228" si="49">IF(D195&lt;SUM(AT195,AU195),1,0)</f>
        <v>0</v>
      </c>
      <c r="CK192" s="1020">
        <f t="shared" ref="CK192:CK228" si="50">IF(D195&lt;AV195,1,0)</f>
        <v>1</v>
      </c>
      <c r="CL192" s="1020">
        <f t="shared" ref="CL192:CL228" si="51">IF(D195&lt;AW195,1,0)</f>
        <v>1</v>
      </c>
      <c r="CM192" s="1020">
        <f t="shared" ref="CM192:CM228" si="52">IF(AND(D195&lt;&gt;0,OR(AR195="",AS195="",AT195="",AU195="",AV195="",AW195="")),1,0)</f>
        <v>0</v>
      </c>
      <c r="CN192" s="1020"/>
      <c r="DA192" s="80"/>
    </row>
    <row r="193" spans="1:105" ht="18.75" customHeight="1" x14ac:dyDescent="0.2">
      <c r="A193" s="2449" t="s">
        <v>3205</v>
      </c>
      <c r="B193" s="5701" t="s">
        <v>387</v>
      </c>
      <c r="C193" s="5702"/>
      <c r="D193" s="2758" t="s">
        <v>2777</v>
      </c>
      <c r="E193" s="2759" t="s">
        <v>2778</v>
      </c>
      <c r="F193" s="2760" t="s">
        <v>2779</v>
      </c>
      <c r="G193" s="2551" t="s">
        <v>2780</v>
      </c>
      <c r="H193" s="2721" t="s">
        <v>2781</v>
      </c>
      <c r="I193" s="2551" t="s">
        <v>2782</v>
      </c>
      <c r="J193" s="2721" t="s">
        <v>2783</v>
      </c>
      <c r="K193" s="2551" t="s">
        <v>2784</v>
      </c>
      <c r="L193" s="2721" t="s">
        <v>2785</v>
      </c>
      <c r="M193" s="2551" t="s">
        <v>2786</v>
      </c>
      <c r="N193" s="2721" t="s">
        <v>2787</v>
      </c>
      <c r="O193" s="2551" t="s">
        <v>2788</v>
      </c>
      <c r="P193" s="2721" t="s">
        <v>2789</v>
      </c>
      <c r="Q193" s="2551" t="s">
        <v>2790</v>
      </c>
      <c r="R193" s="2721" t="s">
        <v>2791</v>
      </c>
      <c r="S193" s="2551" t="s">
        <v>2792</v>
      </c>
      <c r="T193" s="2721" t="s">
        <v>2793</v>
      </c>
      <c r="U193" s="2551" t="s">
        <v>2794</v>
      </c>
      <c r="V193" s="2721" t="s">
        <v>2795</v>
      </c>
      <c r="W193" s="2551" t="s">
        <v>2796</v>
      </c>
      <c r="X193" s="2721" t="s">
        <v>2797</v>
      </c>
      <c r="Y193" s="2551" t="s">
        <v>2798</v>
      </c>
      <c r="Z193" s="2721" t="s">
        <v>2799</v>
      </c>
      <c r="AA193" s="2551" t="s">
        <v>2800</v>
      </c>
      <c r="AB193" s="2721" t="s">
        <v>2801</v>
      </c>
      <c r="AC193" s="2551" t="s">
        <v>2817</v>
      </c>
      <c r="AD193" s="2721" t="s">
        <v>2818</v>
      </c>
      <c r="AE193" s="2551" t="s">
        <v>2819</v>
      </c>
      <c r="AF193" s="2721" t="s">
        <v>2821</v>
      </c>
      <c r="AG193" s="2551" t="s">
        <v>2822</v>
      </c>
      <c r="AH193" s="2721" t="s">
        <v>2823</v>
      </c>
      <c r="AI193" s="2551" t="s">
        <v>2824</v>
      </c>
      <c r="AJ193" s="2721" t="s">
        <v>2825</v>
      </c>
      <c r="AK193" s="2551" t="s">
        <v>2826</v>
      </c>
      <c r="AL193" s="2721" t="s">
        <v>2827</v>
      </c>
      <c r="AM193" s="2551" t="s">
        <v>2831</v>
      </c>
      <c r="AN193" s="2776" t="s">
        <v>2832</v>
      </c>
      <c r="AO193" s="2796" t="s">
        <v>2833</v>
      </c>
      <c r="AP193" s="2797" t="s">
        <v>2834</v>
      </c>
      <c r="AQ193" s="168" t="s">
        <v>3011</v>
      </c>
      <c r="AR193" s="2721" t="s">
        <v>3012</v>
      </c>
      <c r="AS193" s="2581" t="s">
        <v>3013</v>
      </c>
      <c r="AT193" s="2551" t="s">
        <v>3014</v>
      </c>
      <c r="AU193" s="2721" t="s">
        <v>3015</v>
      </c>
      <c r="AV193" s="2721" t="s">
        <v>3206</v>
      </c>
      <c r="AW193" s="2581" t="s">
        <v>3207</v>
      </c>
      <c r="AX193" s="1162" t="str">
        <f>CB190&amp;CC190&amp;CD190&amp;CE190&amp;CF190&amp;CG190&amp;CP190</f>
        <v xml:space="preserve">* Las gestantes egresadas del Programa NO debe ser mayor al Total de Mujeres egresadas. * Las madres de hijos menor de 5 años NO DEBE ser mayor al Total de Mujeres Egresadas al Programa. * Los Niños, Niñas, Adolescentes y Jóvenes de Programas SENAME NO DEBE ser mayor al Total de egresos del Programa. * Los Migrantes NO DEBEN ser mayor al Total de ingresos del Programa. </v>
      </c>
      <c r="AY193" s="1058"/>
      <c r="AZ193" s="1058"/>
      <c r="BA193" s="1058"/>
      <c r="BB193" s="1058"/>
      <c r="BC193" s="1058"/>
      <c r="BD193" s="1058"/>
      <c r="BE193" s="1058"/>
      <c r="BF193" s="1058"/>
      <c r="BG193" s="1058"/>
      <c r="BH193" s="1058"/>
      <c r="BI193" s="94"/>
      <c r="BJ193" s="94"/>
      <c r="BZ193" s="79"/>
      <c r="CB193" s="889" t="str">
        <f t="shared" si="41"/>
        <v xml:space="preserve">* Las gestantes egresadas del Programa NO debe ser mayor al Total de Mujeres egresadas. </v>
      </c>
      <c r="CC193" s="889" t="str">
        <f t="shared" si="42"/>
        <v xml:space="preserve">* Las madres de hijos menor de 5 años NO DEBE ser mayor al Total de Mujeres Egresadas al Programa. </v>
      </c>
      <c r="CD193" s="889" t="str">
        <f t="shared" si="43"/>
        <v/>
      </c>
      <c r="CE193" s="889" t="str">
        <f t="shared" si="44"/>
        <v xml:space="preserve">* Los Niños, Niñas, Adolescentes y Jóvenes de Programas SENAME NO DEBE ser mayor al Total de egresos del Programa. </v>
      </c>
      <c r="CF193" s="889" t="str">
        <f t="shared" si="45"/>
        <v xml:space="preserve">* Los Migrantes NO DEBEN ser mayor al Total de ingresos del Programa. </v>
      </c>
      <c r="CG193" s="889" t="str">
        <f t="shared" si="46"/>
        <v/>
      </c>
      <c r="CH193" s="1020">
        <f t="shared" si="47"/>
        <v>1</v>
      </c>
      <c r="CI193" s="1020">
        <f t="shared" si="48"/>
        <v>1</v>
      </c>
      <c r="CJ193" s="1020">
        <f t="shared" si="49"/>
        <v>0</v>
      </c>
      <c r="CK193" s="1020">
        <f t="shared" si="50"/>
        <v>1</v>
      </c>
      <c r="CL193" s="1020">
        <f t="shared" si="51"/>
        <v>1</v>
      </c>
      <c r="CM193" s="1020">
        <f t="shared" si="52"/>
        <v>0</v>
      </c>
      <c r="CN193" s="1020"/>
      <c r="DA193" s="80"/>
    </row>
    <row r="194" spans="1:105" ht="29.25" customHeight="1" x14ac:dyDescent="0.2">
      <c r="A194" s="2449"/>
      <c r="B194" s="5699" t="s">
        <v>355</v>
      </c>
      <c r="C194" s="5700"/>
      <c r="D194" s="2798"/>
      <c r="E194" s="2799"/>
      <c r="F194" s="2799"/>
      <c r="G194" s="2799"/>
      <c r="H194" s="2799"/>
      <c r="I194" s="2799"/>
      <c r="J194" s="2799"/>
      <c r="K194" s="2799"/>
      <c r="L194" s="2799"/>
      <c r="M194" s="2799"/>
      <c r="N194" s="2799"/>
      <c r="O194" s="2799"/>
      <c r="P194" s="2799"/>
      <c r="Q194" s="2799"/>
      <c r="R194" s="2799"/>
      <c r="S194" s="2799"/>
      <c r="T194" s="2799"/>
      <c r="U194" s="2799"/>
      <c r="V194" s="2799"/>
      <c r="W194" s="2799"/>
      <c r="X194" s="2799"/>
      <c r="Y194" s="2799"/>
      <c r="Z194" s="2799"/>
      <c r="AA194" s="2799"/>
      <c r="AB194" s="2799"/>
      <c r="AC194" s="2799"/>
      <c r="AD194" s="2799"/>
      <c r="AE194" s="2799"/>
      <c r="AF194" s="2799"/>
      <c r="AG194" s="2799"/>
      <c r="AH194" s="2799"/>
      <c r="AI194" s="2799"/>
      <c r="AJ194" s="2799"/>
      <c r="AK194" s="2799"/>
      <c r="AL194" s="2799"/>
      <c r="AM194" s="2799"/>
      <c r="AN194" s="2799"/>
      <c r="AO194" s="2800"/>
      <c r="AP194" s="2801"/>
      <c r="AQ194" s="2802"/>
      <c r="AR194" s="2799"/>
      <c r="AS194" s="2799"/>
      <c r="AT194" s="2799"/>
      <c r="AU194" s="2802"/>
      <c r="AV194" s="2802"/>
      <c r="AW194" s="2802"/>
      <c r="AX194" s="1162"/>
      <c r="AY194" s="1058"/>
      <c r="AZ194" s="1058"/>
      <c r="BA194" s="1058"/>
      <c r="BB194" s="1058"/>
      <c r="BC194" s="1058"/>
      <c r="BD194" s="1058"/>
      <c r="BE194" s="1058"/>
      <c r="BF194" s="1058"/>
      <c r="BG194" s="1058"/>
      <c r="BH194" s="1058"/>
      <c r="BI194" s="94"/>
      <c r="BJ194" s="94"/>
      <c r="BZ194" s="79"/>
      <c r="CB194" s="889" t="str">
        <f t="shared" si="41"/>
        <v xml:space="preserve">* Las gestantes egresadas del Programa NO debe ser mayor al Total de Mujeres egresadas. </v>
      </c>
      <c r="CC194" s="889" t="str">
        <f t="shared" si="42"/>
        <v xml:space="preserve">* Las madres de hijos menor de 5 años NO DEBE ser mayor al Total de Mujeres Egresadas al Programa. </v>
      </c>
      <c r="CD194" s="889" t="str">
        <f t="shared" si="43"/>
        <v/>
      </c>
      <c r="CE194" s="889" t="str">
        <f t="shared" si="44"/>
        <v xml:space="preserve">* Los Niños, Niñas, Adolescentes y Jóvenes de Programas SENAME NO DEBE ser mayor al Total de egresos del Programa. </v>
      </c>
      <c r="CF194" s="889" t="str">
        <f t="shared" si="45"/>
        <v xml:space="preserve">* Los Migrantes NO DEBEN ser mayor al Total de ingresos del Programa. </v>
      </c>
      <c r="CG194" s="889" t="str">
        <f t="shared" si="46"/>
        <v/>
      </c>
      <c r="CH194" s="1020">
        <f t="shared" si="47"/>
        <v>1</v>
      </c>
      <c r="CI194" s="1020">
        <f t="shared" si="48"/>
        <v>1</v>
      </c>
      <c r="CJ194" s="1020">
        <f t="shared" si="49"/>
        <v>0</v>
      </c>
      <c r="CK194" s="1020">
        <f t="shared" si="50"/>
        <v>1</v>
      </c>
      <c r="CL194" s="1020">
        <f t="shared" si="51"/>
        <v>1</v>
      </c>
      <c r="CM194" s="1020">
        <f t="shared" si="52"/>
        <v>0</v>
      </c>
      <c r="CN194" s="1020"/>
      <c r="DA194" s="80"/>
    </row>
    <row r="195" spans="1:105" ht="21" customHeight="1" x14ac:dyDescent="0.2">
      <c r="A195" s="2449" t="s">
        <v>3208</v>
      </c>
      <c r="B195" s="5124" t="s">
        <v>388</v>
      </c>
      <c r="C195" s="2647" t="s">
        <v>970</v>
      </c>
      <c r="D195" s="2765" t="s">
        <v>2777</v>
      </c>
      <c r="E195" s="2766" t="s">
        <v>2778</v>
      </c>
      <c r="F195" s="2767" t="s">
        <v>2779</v>
      </c>
      <c r="G195" s="2483" t="s">
        <v>2780</v>
      </c>
      <c r="H195" s="2499" t="s">
        <v>2781</v>
      </c>
      <c r="I195" s="2483" t="s">
        <v>2782</v>
      </c>
      <c r="J195" s="2499" t="s">
        <v>2783</v>
      </c>
      <c r="K195" s="2483" t="s">
        <v>2784</v>
      </c>
      <c r="L195" s="2499" t="s">
        <v>2785</v>
      </c>
      <c r="M195" s="2483" t="s">
        <v>2786</v>
      </c>
      <c r="N195" s="2499" t="s">
        <v>2787</v>
      </c>
      <c r="O195" s="2483" t="s">
        <v>2788</v>
      </c>
      <c r="P195" s="2499" t="s">
        <v>2789</v>
      </c>
      <c r="Q195" s="2483" t="s">
        <v>2790</v>
      </c>
      <c r="R195" s="2499" t="s">
        <v>2791</v>
      </c>
      <c r="S195" s="2483" t="s">
        <v>2792</v>
      </c>
      <c r="T195" s="2499" t="s">
        <v>2793</v>
      </c>
      <c r="U195" s="2483" t="s">
        <v>2794</v>
      </c>
      <c r="V195" s="2499" t="s">
        <v>2795</v>
      </c>
      <c r="W195" s="2483" t="s">
        <v>2796</v>
      </c>
      <c r="X195" s="2499" t="s">
        <v>2797</v>
      </c>
      <c r="Y195" s="2483" t="s">
        <v>2798</v>
      </c>
      <c r="Z195" s="2499" t="s">
        <v>2799</v>
      </c>
      <c r="AA195" s="2483" t="s">
        <v>2800</v>
      </c>
      <c r="AB195" s="2499" t="s">
        <v>2801</v>
      </c>
      <c r="AC195" s="2483" t="s">
        <v>2817</v>
      </c>
      <c r="AD195" s="2499" t="s">
        <v>2818</v>
      </c>
      <c r="AE195" s="2483" t="s">
        <v>2819</v>
      </c>
      <c r="AF195" s="2499" t="s">
        <v>2821</v>
      </c>
      <c r="AG195" s="2483" t="s">
        <v>2822</v>
      </c>
      <c r="AH195" s="2499" t="s">
        <v>2823</v>
      </c>
      <c r="AI195" s="2483" t="s">
        <v>2824</v>
      </c>
      <c r="AJ195" s="2499" t="s">
        <v>2825</v>
      </c>
      <c r="AK195" s="2483" t="s">
        <v>2826</v>
      </c>
      <c r="AL195" s="2499" t="s">
        <v>2827</v>
      </c>
      <c r="AM195" s="2483" t="s">
        <v>2831</v>
      </c>
      <c r="AN195" s="2587" t="s">
        <v>2832</v>
      </c>
      <c r="AO195" s="2750" t="s">
        <v>2833</v>
      </c>
      <c r="AP195" s="2487" t="s">
        <v>2834</v>
      </c>
      <c r="AQ195" s="2499" t="s">
        <v>3011</v>
      </c>
      <c r="AR195" s="2499" t="s">
        <v>3012</v>
      </c>
      <c r="AS195" s="2455" t="s">
        <v>3013</v>
      </c>
      <c r="AT195" s="2483" t="s">
        <v>3014</v>
      </c>
      <c r="AU195" s="2499" t="s">
        <v>3015</v>
      </c>
      <c r="AV195" s="2499" t="s">
        <v>3206</v>
      </c>
      <c r="AW195" s="2499" t="s">
        <v>3207</v>
      </c>
      <c r="AX195" s="1162" t="str">
        <f>CB192&amp;CC192&amp;CD192&amp;CE192&amp;CF192&amp;CG192</f>
        <v xml:space="preserve">* Las gestantes egresadas del Programa NO debe ser mayor al Total de Mujeres egresadas. * Las madres de hijos menor de 5 años NO DEBE ser mayor al Total de Mujeres Egresadas al Programa. * Los Niños, Niñas, Adolescentes y Jóvenes de Programas SENAME NO DEBE ser mayor al Total de egresos del Programa. * Los Migrantes NO DEBEN ser mayor al Total de ingresos del Programa. </v>
      </c>
      <c r="AY195" s="1058"/>
      <c r="AZ195" s="1058"/>
      <c r="BA195" s="1058"/>
      <c r="BB195" s="1058"/>
      <c r="BC195" s="1058"/>
      <c r="BD195" s="1058"/>
      <c r="BE195" s="1058"/>
      <c r="BF195" s="1058"/>
      <c r="BG195" s="1058"/>
      <c r="BH195" s="1058"/>
      <c r="BI195" s="94"/>
      <c r="BJ195" s="94"/>
      <c r="BZ195" s="79"/>
      <c r="CB195" s="889" t="str">
        <f t="shared" si="41"/>
        <v xml:space="preserve">* Las gestantes egresadas del Programa NO debe ser mayor al Total de Mujeres egresadas. </v>
      </c>
      <c r="CC195" s="889" t="str">
        <f t="shared" si="42"/>
        <v xml:space="preserve">* Las madres de hijos menor de 5 años NO DEBE ser mayor al Total de Mujeres Egresadas al Programa. </v>
      </c>
      <c r="CD195" s="889" t="str">
        <f t="shared" si="43"/>
        <v/>
      </c>
      <c r="CE195" s="889" t="str">
        <f t="shared" si="44"/>
        <v xml:space="preserve">* Los Niños, Niñas, Adolescentes y Jóvenes de Programas SENAME NO DEBE ser mayor al Total de egresos del Programa. </v>
      </c>
      <c r="CF195" s="889" t="str">
        <f t="shared" si="45"/>
        <v xml:space="preserve">* Los Migrantes NO DEBEN ser mayor al Total de ingresos del Programa. </v>
      </c>
      <c r="CG195" s="889" t="str">
        <f t="shared" si="46"/>
        <v/>
      </c>
      <c r="CH195" s="1020">
        <f>IF(F198&lt;AR198,1,0)</f>
        <v>1</v>
      </c>
      <c r="CI195" s="1020">
        <f>IF(F198&lt;AS198,1,0)</f>
        <v>1</v>
      </c>
      <c r="CJ195" s="1020">
        <f>IF(D198&lt;SUM(AT198,AU198),1,0)</f>
        <v>0</v>
      </c>
      <c r="CK195" s="1020">
        <f>IF(D198&lt;AV198,1,0)</f>
        <v>1</v>
      </c>
      <c r="CL195" s="1020">
        <f>IF(D198&lt;AW198,1,0)</f>
        <v>1</v>
      </c>
      <c r="CM195" s="1020">
        <f>IF(AND(D198&lt;&gt;0,OR(AR198="",AS198="",AT198="",AU198="",AV198="",AW198="")),1,0)</f>
        <v>0</v>
      </c>
      <c r="CN195" s="1020"/>
      <c r="DA195" s="80"/>
    </row>
    <row r="196" spans="1:105" ht="21.75" customHeight="1" x14ac:dyDescent="0.2">
      <c r="A196" s="2449" t="s">
        <v>3209</v>
      </c>
      <c r="B196" s="5666"/>
      <c r="C196" s="1250" t="s">
        <v>833</v>
      </c>
      <c r="D196" s="716" t="s">
        <v>2777</v>
      </c>
      <c r="E196" s="717" t="s">
        <v>2778</v>
      </c>
      <c r="F196" s="384" t="s">
        <v>2779</v>
      </c>
      <c r="G196" s="166" t="s">
        <v>2780</v>
      </c>
      <c r="H196" s="168" t="s">
        <v>2781</v>
      </c>
      <c r="I196" s="166" t="s">
        <v>2782</v>
      </c>
      <c r="J196" s="168" t="s">
        <v>2783</v>
      </c>
      <c r="K196" s="166" t="s">
        <v>2784</v>
      </c>
      <c r="L196" s="168" t="s">
        <v>2785</v>
      </c>
      <c r="M196" s="166" t="s">
        <v>2786</v>
      </c>
      <c r="N196" s="168" t="s">
        <v>2787</v>
      </c>
      <c r="O196" s="166" t="s">
        <v>2788</v>
      </c>
      <c r="P196" s="168" t="s">
        <v>2789</v>
      </c>
      <c r="Q196" s="166" t="s">
        <v>2790</v>
      </c>
      <c r="R196" s="168" t="s">
        <v>2791</v>
      </c>
      <c r="S196" s="166" t="s">
        <v>2792</v>
      </c>
      <c r="T196" s="168" t="s">
        <v>2793</v>
      </c>
      <c r="U196" s="166" t="s">
        <v>2794</v>
      </c>
      <c r="V196" s="168" t="s">
        <v>2795</v>
      </c>
      <c r="W196" s="166" t="s">
        <v>2796</v>
      </c>
      <c r="X196" s="168" t="s">
        <v>2797</v>
      </c>
      <c r="Y196" s="166" t="s">
        <v>2798</v>
      </c>
      <c r="Z196" s="168" t="s">
        <v>2799</v>
      </c>
      <c r="AA196" s="166" t="s">
        <v>2800</v>
      </c>
      <c r="AB196" s="168" t="s">
        <v>2801</v>
      </c>
      <c r="AC196" s="166" t="s">
        <v>2817</v>
      </c>
      <c r="AD196" s="168" t="s">
        <v>2818</v>
      </c>
      <c r="AE196" s="166" t="s">
        <v>2819</v>
      </c>
      <c r="AF196" s="168" t="s">
        <v>2821</v>
      </c>
      <c r="AG196" s="166" t="s">
        <v>2822</v>
      </c>
      <c r="AH196" s="168" t="s">
        <v>2823</v>
      </c>
      <c r="AI196" s="166" t="s">
        <v>2824</v>
      </c>
      <c r="AJ196" s="168" t="s">
        <v>2825</v>
      </c>
      <c r="AK196" s="2245" t="s">
        <v>2826</v>
      </c>
      <c r="AL196" s="240" t="s">
        <v>2827</v>
      </c>
      <c r="AM196" s="166" t="s">
        <v>2831</v>
      </c>
      <c r="AN196" s="265" t="s">
        <v>2832</v>
      </c>
      <c r="AO196" s="635" t="s">
        <v>2833</v>
      </c>
      <c r="AP196" s="126" t="s">
        <v>2834</v>
      </c>
      <c r="AQ196" s="168" t="s">
        <v>3011</v>
      </c>
      <c r="AR196" s="168" t="s">
        <v>3012</v>
      </c>
      <c r="AS196" s="105" t="s">
        <v>3013</v>
      </c>
      <c r="AT196" s="166" t="s">
        <v>3014</v>
      </c>
      <c r="AU196" s="168" t="s">
        <v>3015</v>
      </c>
      <c r="AV196" s="168" t="s">
        <v>3206</v>
      </c>
      <c r="AW196" s="168" t="s">
        <v>3207</v>
      </c>
      <c r="AX196" s="1162" t="str">
        <f>CB193&amp;CC193&amp;CD193&amp;CE193&amp;CF193&amp;CG193</f>
        <v xml:space="preserve">* Las gestantes egresadas del Programa NO debe ser mayor al Total de Mujeres egresadas. * Las madres de hijos menor de 5 años NO DEBE ser mayor al Total de Mujeres Egresadas al Programa. * Los Niños, Niñas, Adolescentes y Jóvenes de Programas SENAME NO DEBE ser mayor al Total de egresos del Programa. * Los Migrantes NO DEBEN ser mayor al Total de ingresos del Programa. </v>
      </c>
      <c r="AY196" s="1058"/>
      <c r="AZ196" s="1058"/>
      <c r="BA196" s="1058"/>
      <c r="BB196" s="1058"/>
      <c r="BC196" s="1058"/>
      <c r="BD196" s="1058"/>
      <c r="BE196" s="1058"/>
      <c r="BF196" s="1058"/>
      <c r="BG196" s="1058"/>
      <c r="BH196" s="1058"/>
      <c r="BI196" s="94"/>
      <c r="BJ196" s="94"/>
      <c r="BZ196" s="79"/>
      <c r="CB196" s="889" t="str">
        <f t="shared" si="41"/>
        <v xml:space="preserve">* Las gestantes egresadas del Programa NO debe ser mayor al Total de Mujeres egresadas. </v>
      </c>
      <c r="CC196" s="889" t="str">
        <f t="shared" si="42"/>
        <v xml:space="preserve">* Las madres de hijos menor de 5 años NO DEBE ser mayor al Total de Mujeres Egresadas al Programa. </v>
      </c>
      <c r="CD196" s="889" t="str">
        <f t="shared" si="43"/>
        <v/>
      </c>
      <c r="CE196" s="889" t="str">
        <f t="shared" si="44"/>
        <v xml:space="preserve">* Los Niños, Niñas, Adolescentes y Jóvenes de Programas SENAME NO DEBE ser mayor al Total de egresos del Programa. </v>
      </c>
      <c r="CF196" s="889" t="str">
        <f t="shared" si="45"/>
        <v xml:space="preserve">* Los Migrantes NO DEBEN ser mayor al Total de ingresos del Programa. </v>
      </c>
      <c r="CG196" s="889" t="str">
        <f t="shared" si="46"/>
        <v/>
      </c>
      <c r="CH196" s="1020">
        <f>IF(F199&lt;AR199,1,0)</f>
        <v>1</v>
      </c>
      <c r="CI196" s="1020">
        <f>IF(F199&lt;AS199,1,0)</f>
        <v>1</v>
      </c>
      <c r="CJ196" s="1020">
        <f>IF(D199&lt;SUM(AT199,AU199),1,0)</f>
        <v>0</v>
      </c>
      <c r="CK196" s="1020">
        <f>IF(D199&lt;AV199,1,0)</f>
        <v>1</v>
      </c>
      <c r="CL196" s="1020">
        <f>IF(D199&lt;AW199,1,0)</f>
        <v>1</v>
      </c>
      <c r="CM196" s="1020">
        <f>IF(AND(D199&lt;&gt;0,OR(AR199="",AS199="",AT199="",AU199="",AV199="",AW199="")),1,0)</f>
        <v>0</v>
      </c>
      <c r="CN196" s="1020"/>
      <c r="DA196" s="80"/>
    </row>
    <row r="197" spans="1:105" ht="18.75" customHeight="1" x14ac:dyDescent="0.2">
      <c r="A197" s="2449" t="s">
        <v>3210</v>
      </c>
      <c r="B197" s="5703" t="s">
        <v>358</v>
      </c>
      <c r="C197" s="5704"/>
      <c r="D197" s="2803" t="s">
        <v>2777</v>
      </c>
      <c r="E197" s="2759" t="s">
        <v>2778</v>
      </c>
      <c r="F197" s="2775" t="s">
        <v>2779</v>
      </c>
      <c r="G197" s="2551" t="s">
        <v>2780</v>
      </c>
      <c r="H197" s="2721" t="s">
        <v>2781</v>
      </c>
      <c r="I197" s="2551" t="s">
        <v>2782</v>
      </c>
      <c r="J197" s="2721" t="s">
        <v>2783</v>
      </c>
      <c r="K197" s="2551" t="s">
        <v>2784</v>
      </c>
      <c r="L197" s="2721" t="s">
        <v>2785</v>
      </c>
      <c r="M197" s="2551" t="s">
        <v>2786</v>
      </c>
      <c r="N197" s="2721" t="s">
        <v>2787</v>
      </c>
      <c r="O197" s="2551" t="s">
        <v>2788</v>
      </c>
      <c r="P197" s="2721" t="s">
        <v>2789</v>
      </c>
      <c r="Q197" s="2551" t="s">
        <v>2790</v>
      </c>
      <c r="R197" s="2721" t="s">
        <v>2791</v>
      </c>
      <c r="S197" s="2551" t="s">
        <v>2792</v>
      </c>
      <c r="T197" s="2721" t="s">
        <v>2793</v>
      </c>
      <c r="U197" s="2551" t="s">
        <v>2794</v>
      </c>
      <c r="V197" s="2721" t="s">
        <v>2795</v>
      </c>
      <c r="W197" s="2551" t="s">
        <v>2796</v>
      </c>
      <c r="X197" s="2721" t="s">
        <v>2797</v>
      </c>
      <c r="Y197" s="2551" t="s">
        <v>2798</v>
      </c>
      <c r="Z197" s="2721" t="s">
        <v>2799</v>
      </c>
      <c r="AA197" s="2551" t="s">
        <v>2800</v>
      </c>
      <c r="AB197" s="2721" t="s">
        <v>2801</v>
      </c>
      <c r="AC197" s="2551" t="s">
        <v>2817</v>
      </c>
      <c r="AD197" s="2721" t="s">
        <v>2818</v>
      </c>
      <c r="AE197" s="2551" t="s">
        <v>2819</v>
      </c>
      <c r="AF197" s="2721" t="s">
        <v>2821</v>
      </c>
      <c r="AG197" s="2551" t="s">
        <v>2822</v>
      </c>
      <c r="AH197" s="2721" t="s">
        <v>2823</v>
      </c>
      <c r="AI197" s="2551" t="s">
        <v>2824</v>
      </c>
      <c r="AJ197" s="2721" t="s">
        <v>2825</v>
      </c>
      <c r="AK197" s="2551" t="s">
        <v>2826</v>
      </c>
      <c r="AL197" s="2721" t="s">
        <v>2827</v>
      </c>
      <c r="AM197" s="2551" t="s">
        <v>2831</v>
      </c>
      <c r="AN197" s="2776" t="s">
        <v>2832</v>
      </c>
      <c r="AO197" s="2804" t="s">
        <v>2833</v>
      </c>
      <c r="AP197" s="2547" t="s">
        <v>2834</v>
      </c>
      <c r="AQ197" s="2721" t="s">
        <v>3011</v>
      </c>
      <c r="AR197" s="2721" t="s">
        <v>3012</v>
      </c>
      <c r="AS197" s="2581" t="s">
        <v>3013</v>
      </c>
      <c r="AT197" s="2551" t="s">
        <v>3014</v>
      </c>
      <c r="AU197" s="2721" t="s">
        <v>3015</v>
      </c>
      <c r="AV197" s="2721" t="s">
        <v>3206</v>
      </c>
      <c r="AW197" s="2721" t="s">
        <v>3207</v>
      </c>
      <c r="AX197" s="1162" t="str">
        <f>CB194&amp;CC194&amp;CD194&amp;CE194&amp;CF194&amp;CG194</f>
        <v xml:space="preserve">* Las gestantes egresadas del Programa NO debe ser mayor al Total de Mujeres egresadas. * Las madres de hijos menor de 5 años NO DEBE ser mayor al Total de Mujeres Egresadas al Programa. * Los Niños, Niñas, Adolescentes y Jóvenes de Programas SENAME NO DEBE ser mayor al Total de egresos del Programa. * Los Migrantes NO DEBEN ser mayor al Total de ingresos del Programa. </v>
      </c>
      <c r="AY197" s="1058"/>
      <c r="AZ197" s="1058"/>
      <c r="BA197" s="1058"/>
      <c r="BB197" s="1058"/>
      <c r="BC197" s="1058"/>
      <c r="BD197" s="1058"/>
      <c r="BE197" s="1058"/>
      <c r="BF197" s="1058"/>
      <c r="BG197" s="1058"/>
      <c r="BH197" s="1058"/>
      <c r="BI197" s="94"/>
      <c r="BJ197" s="94"/>
      <c r="BZ197" s="79"/>
      <c r="CB197" s="889" t="str">
        <f t="shared" si="41"/>
        <v xml:space="preserve">* Las gestantes egresadas del Programa NO debe ser mayor al Total de Mujeres egresadas. </v>
      </c>
      <c r="CC197" s="889" t="str">
        <f t="shared" si="42"/>
        <v xml:space="preserve">* Las madres de hijos menor de 5 años NO DEBE ser mayor al Total de Mujeres Egresadas al Programa. </v>
      </c>
      <c r="CD197" s="889" t="str">
        <f t="shared" si="43"/>
        <v/>
      </c>
      <c r="CE197" s="889" t="str">
        <f t="shared" si="44"/>
        <v xml:space="preserve">* Los Niños, Niñas, Adolescentes y Jóvenes de Programas SENAME NO DEBE ser mayor al Total de egresos del Programa. </v>
      </c>
      <c r="CF197" s="889" t="str">
        <f t="shared" si="45"/>
        <v xml:space="preserve">* Los Migrantes NO DEBEN ser mayor al Total de ingresos del Programa. </v>
      </c>
      <c r="CG197" s="889" t="str">
        <f t="shared" si="46"/>
        <v/>
      </c>
      <c r="CH197" s="1020">
        <f>IF(F200&lt;AR200,1,0)</f>
        <v>1</v>
      </c>
      <c r="CI197" s="1020">
        <f>IF(F200&lt;AS200,1,0)</f>
        <v>1</v>
      </c>
      <c r="CJ197" s="1020">
        <f>IF(D200&lt;SUM(AT200,AU200),1,0)</f>
        <v>0</v>
      </c>
      <c r="CK197" s="1020">
        <f>IF(D200&lt;AV200,1,0)</f>
        <v>1</v>
      </c>
      <c r="CL197" s="1020">
        <f>IF(D200&lt;AW200,1,0)</f>
        <v>1</v>
      </c>
      <c r="CM197" s="1020">
        <f>IF(AND(D200&lt;&gt;0,OR(AR200="",AS200="",AT200="",AU200="",AV200="",AW200="")),1,0)</f>
        <v>0</v>
      </c>
      <c r="CN197" s="1020"/>
      <c r="DA197" s="80"/>
    </row>
    <row r="198" spans="1:105" ht="20.25" customHeight="1" x14ac:dyDescent="0.2">
      <c r="A198" s="2449" t="s">
        <v>3211</v>
      </c>
      <c r="B198" s="5639" t="s">
        <v>1504</v>
      </c>
      <c r="C198" s="2814" t="s">
        <v>1505</v>
      </c>
      <c r="D198" s="2765" t="s">
        <v>2777</v>
      </c>
      <c r="E198" s="2766" t="s">
        <v>2778</v>
      </c>
      <c r="F198" s="2767" t="s">
        <v>2779</v>
      </c>
      <c r="G198" s="2483" t="s">
        <v>2780</v>
      </c>
      <c r="H198" s="2499" t="s">
        <v>2781</v>
      </c>
      <c r="I198" s="2483" t="s">
        <v>2782</v>
      </c>
      <c r="J198" s="2499" t="s">
        <v>2783</v>
      </c>
      <c r="K198" s="2483" t="s">
        <v>2784</v>
      </c>
      <c r="L198" s="2499" t="s">
        <v>2785</v>
      </c>
      <c r="M198" s="2483" t="s">
        <v>2786</v>
      </c>
      <c r="N198" s="2499" t="s">
        <v>2787</v>
      </c>
      <c r="O198" s="2483" t="s">
        <v>2788</v>
      </c>
      <c r="P198" s="2499" t="s">
        <v>2789</v>
      </c>
      <c r="Q198" s="2483" t="s">
        <v>2790</v>
      </c>
      <c r="R198" s="2499" t="s">
        <v>2791</v>
      </c>
      <c r="S198" s="2483" t="s">
        <v>2792</v>
      </c>
      <c r="T198" s="2499" t="s">
        <v>2793</v>
      </c>
      <c r="U198" s="2483" t="s">
        <v>2794</v>
      </c>
      <c r="V198" s="2499" t="s">
        <v>2795</v>
      </c>
      <c r="W198" s="2483" t="s">
        <v>2796</v>
      </c>
      <c r="X198" s="2499" t="s">
        <v>2797</v>
      </c>
      <c r="Y198" s="2483" t="s">
        <v>2798</v>
      </c>
      <c r="Z198" s="2499" t="s">
        <v>2799</v>
      </c>
      <c r="AA198" s="2483" t="s">
        <v>2800</v>
      </c>
      <c r="AB198" s="2499" t="s">
        <v>2801</v>
      </c>
      <c r="AC198" s="2483" t="s">
        <v>2817</v>
      </c>
      <c r="AD198" s="2499" t="s">
        <v>2818</v>
      </c>
      <c r="AE198" s="2483" t="s">
        <v>2819</v>
      </c>
      <c r="AF198" s="2499" t="s">
        <v>2821</v>
      </c>
      <c r="AG198" s="2483" t="s">
        <v>2822</v>
      </c>
      <c r="AH198" s="2499" t="s">
        <v>2823</v>
      </c>
      <c r="AI198" s="2483" t="s">
        <v>2824</v>
      </c>
      <c r="AJ198" s="2499" t="s">
        <v>2825</v>
      </c>
      <c r="AK198" s="2483" t="s">
        <v>2826</v>
      </c>
      <c r="AL198" s="2499" t="s">
        <v>2827</v>
      </c>
      <c r="AM198" s="2483" t="s">
        <v>2831</v>
      </c>
      <c r="AN198" s="2587" t="s">
        <v>2832</v>
      </c>
      <c r="AO198" s="2750" t="s">
        <v>2833</v>
      </c>
      <c r="AP198" s="2487" t="s">
        <v>2834</v>
      </c>
      <c r="AQ198" s="2499" t="s">
        <v>3011</v>
      </c>
      <c r="AR198" s="2499" t="s">
        <v>3012</v>
      </c>
      <c r="AS198" s="2455" t="s">
        <v>3013</v>
      </c>
      <c r="AT198" s="2483" t="s">
        <v>3014</v>
      </c>
      <c r="AU198" s="2499" t="s">
        <v>3015</v>
      </c>
      <c r="AV198" s="2499" t="s">
        <v>3206</v>
      </c>
      <c r="AW198" s="2499" t="s">
        <v>3207</v>
      </c>
      <c r="AX198" s="1162" t="str">
        <f>CB195&amp;CC195&amp;CD195&amp;CE195&amp;CF195&amp;CG195</f>
        <v xml:space="preserve">* Las gestantes egresadas del Programa NO debe ser mayor al Total de Mujeres egresadas. * Las madres de hijos menor de 5 años NO DEBE ser mayor al Total de Mujeres Egresadas al Programa. * Los Niños, Niñas, Adolescentes y Jóvenes de Programas SENAME NO DEBE ser mayor al Total de egresos del Programa. * Los Migrantes NO DEBEN ser mayor al Total de ingresos del Programa. </v>
      </c>
      <c r="AY198" s="1058"/>
      <c r="AZ198" s="1058"/>
      <c r="BA198" s="1058"/>
      <c r="BB198" s="1058"/>
      <c r="BC198" s="1058"/>
      <c r="BD198" s="1058"/>
      <c r="BE198" s="1058"/>
      <c r="BF198" s="1058"/>
      <c r="BG198" s="1058"/>
      <c r="BH198" s="1058"/>
      <c r="BI198" s="94"/>
      <c r="BJ198" s="94"/>
      <c r="BZ198" s="79"/>
      <c r="CB198" s="889" t="str">
        <f t="shared" si="41"/>
        <v xml:space="preserve">* Las gestantes egresadas del Programa NO debe ser mayor al Total de Mujeres egresadas. </v>
      </c>
      <c r="CC198" s="889" t="str">
        <f t="shared" si="42"/>
        <v xml:space="preserve">* Las madres de hijos menor de 5 años NO DEBE ser mayor al Total de Mujeres Egresadas al Programa. </v>
      </c>
      <c r="CD198" s="889" t="str">
        <f t="shared" si="43"/>
        <v/>
      </c>
      <c r="CE198" s="889" t="str">
        <f t="shared" si="44"/>
        <v xml:space="preserve">* Los Niños, Niñas, Adolescentes y Jóvenes de Programas SENAME NO DEBE ser mayor al Total de egresos del Programa. </v>
      </c>
      <c r="CF198" s="889" t="str">
        <f t="shared" si="45"/>
        <v xml:space="preserve">* Los Migrantes NO DEBEN ser mayor al Total de ingresos del Programa. </v>
      </c>
      <c r="CG198" s="889" t="str">
        <f t="shared" si="46"/>
        <v/>
      </c>
      <c r="CH198" s="1020">
        <f t="shared" si="47"/>
        <v>1</v>
      </c>
      <c r="CI198" s="1020">
        <f t="shared" si="48"/>
        <v>1</v>
      </c>
      <c r="CJ198" s="1020">
        <f t="shared" si="49"/>
        <v>0</v>
      </c>
      <c r="CK198" s="1020">
        <f t="shared" si="50"/>
        <v>1</v>
      </c>
      <c r="CL198" s="1020">
        <f t="shared" si="51"/>
        <v>1</v>
      </c>
      <c r="CM198" s="1020">
        <f t="shared" si="52"/>
        <v>0</v>
      </c>
      <c r="CN198" s="1020"/>
      <c r="DA198" s="80"/>
    </row>
    <row r="199" spans="1:105" ht="15" customHeight="1" x14ac:dyDescent="0.2">
      <c r="A199" s="2449" t="s">
        <v>3212</v>
      </c>
      <c r="B199" s="5640"/>
      <c r="C199" s="2815" t="s">
        <v>1506</v>
      </c>
      <c r="D199" s="2778" t="s">
        <v>2777</v>
      </c>
      <c r="E199" s="2779" t="s">
        <v>2778</v>
      </c>
      <c r="F199" s="2760" t="s">
        <v>2779</v>
      </c>
      <c r="G199" s="2249" t="s">
        <v>2780</v>
      </c>
      <c r="H199" s="2347" t="s">
        <v>2781</v>
      </c>
      <c r="I199" s="2249" t="s">
        <v>2782</v>
      </c>
      <c r="J199" s="2347" t="s">
        <v>2783</v>
      </c>
      <c r="K199" s="2249" t="s">
        <v>2784</v>
      </c>
      <c r="L199" s="2347" t="s">
        <v>2785</v>
      </c>
      <c r="M199" s="2249" t="s">
        <v>2786</v>
      </c>
      <c r="N199" s="2347" t="s">
        <v>2787</v>
      </c>
      <c r="O199" s="2249" t="s">
        <v>2788</v>
      </c>
      <c r="P199" s="2347" t="s">
        <v>2789</v>
      </c>
      <c r="Q199" s="2249" t="s">
        <v>2790</v>
      </c>
      <c r="R199" s="2347" t="s">
        <v>2791</v>
      </c>
      <c r="S199" s="2249" t="s">
        <v>2792</v>
      </c>
      <c r="T199" s="2347" t="s">
        <v>2793</v>
      </c>
      <c r="U199" s="2249" t="s">
        <v>2794</v>
      </c>
      <c r="V199" s="2347" t="s">
        <v>2795</v>
      </c>
      <c r="W199" s="2249" t="s">
        <v>2796</v>
      </c>
      <c r="X199" s="2347" t="s">
        <v>2797</v>
      </c>
      <c r="Y199" s="2249" t="s">
        <v>2798</v>
      </c>
      <c r="Z199" s="2347" t="s">
        <v>2799</v>
      </c>
      <c r="AA199" s="2249" t="s">
        <v>2800</v>
      </c>
      <c r="AB199" s="2347" t="s">
        <v>2801</v>
      </c>
      <c r="AC199" s="2249" t="s">
        <v>2817</v>
      </c>
      <c r="AD199" s="2347" t="s">
        <v>2818</v>
      </c>
      <c r="AE199" s="2249" t="s">
        <v>2819</v>
      </c>
      <c r="AF199" s="2347" t="s">
        <v>2821</v>
      </c>
      <c r="AG199" s="2249" t="s">
        <v>2822</v>
      </c>
      <c r="AH199" s="2347" t="s">
        <v>2823</v>
      </c>
      <c r="AI199" s="2249" t="s">
        <v>2824</v>
      </c>
      <c r="AJ199" s="2347" t="s">
        <v>2825</v>
      </c>
      <c r="AK199" s="2717" t="s">
        <v>2826</v>
      </c>
      <c r="AL199" s="2719" t="s">
        <v>2827</v>
      </c>
      <c r="AM199" s="2249" t="s">
        <v>2831</v>
      </c>
      <c r="AN199" s="366" t="s">
        <v>2832</v>
      </c>
      <c r="AO199" s="640" t="s">
        <v>2833</v>
      </c>
      <c r="AP199" s="2346" t="s">
        <v>2834</v>
      </c>
      <c r="AQ199" s="2719" t="s">
        <v>3011</v>
      </c>
      <c r="AR199" s="2347" t="s">
        <v>3012</v>
      </c>
      <c r="AS199" s="2397" t="s">
        <v>3013</v>
      </c>
      <c r="AT199" s="2249" t="s">
        <v>3014</v>
      </c>
      <c r="AU199" s="2347" t="s">
        <v>3015</v>
      </c>
      <c r="AV199" s="2347" t="s">
        <v>3206</v>
      </c>
      <c r="AW199" s="2347" t="s">
        <v>3207</v>
      </c>
      <c r="AX199" s="1162" t="str">
        <f>CB196&amp;CC196&amp;CD196&amp;CE196&amp;CF196&amp;CG196</f>
        <v xml:space="preserve">* Las gestantes egresadas del Programa NO debe ser mayor al Total de Mujeres egresadas. * Las madres de hijos menor de 5 años NO DEBE ser mayor al Total de Mujeres Egresadas al Programa. * Los Niños, Niñas, Adolescentes y Jóvenes de Programas SENAME NO DEBE ser mayor al Total de egresos del Programa. * Los Migrantes NO DEBEN ser mayor al Total de ingresos del Programa. </v>
      </c>
      <c r="AY199" s="1058"/>
      <c r="AZ199" s="1058"/>
      <c r="BA199" s="1058"/>
      <c r="BB199" s="1058"/>
      <c r="BC199" s="1058"/>
      <c r="BD199" s="1058"/>
      <c r="BE199" s="1058"/>
      <c r="BF199" s="1058"/>
      <c r="BG199" s="1058"/>
      <c r="BH199" s="1058"/>
      <c r="BI199" s="94"/>
      <c r="BJ199" s="94"/>
      <c r="BZ199" s="79"/>
      <c r="CB199" s="889" t="str">
        <f t="shared" si="41"/>
        <v xml:space="preserve">* Las gestantes egresadas del Programa NO debe ser mayor al Total de Mujeres egresadas. </v>
      </c>
      <c r="CC199" s="889" t="str">
        <f t="shared" si="42"/>
        <v xml:space="preserve">* Las madres de hijos menor de 5 años NO DEBE ser mayor al Total de Mujeres Egresadas al Programa. </v>
      </c>
      <c r="CD199" s="889" t="str">
        <f t="shared" si="43"/>
        <v/>
      </c>
      <c r="CE199" s="889" t="str">
        <f t="shared" si="44"/>
        <v xml:space="preserve">* Los Niños, Niñas, Adolescentes y Jóvenes de Programas SENAME NO DEBE ser mayor al Total de egresos del Programa. </v>
      </c>
      <c r="CF199" s="889" t="str">
        <f t="shared" si="45"/>
        <v xml:space="preserve">* Los Migrantes NO DEBEN ser mayor al Total de ingresos del Programa. </v>
      </c>
      <c r="CG199" s="889" t="str">
        <f t="shared" si="46"/>
        <v/>
      </c>
      <c r="CH199" s="1020">
        <f t="shared" si="47"/>
        <v>1</v>
      </c>
      <c r="CI199" s="1020">
        <f t="shared" si="48"/>
        <v>1</v>
      </c>
      <c r="CJ199" s="1020">
        <f t="shared" si="49"/>
        <v>0</v>
      </c>
      <c r="CK199" s="1020">
        <f t="shared" si="50"/>
        <v>1</v>
      </c>
      <c r="CL199" s="1020">
        <f t="shared" si="51"/>
        <v>1</v>
      </c>
      <c r="CM199" s="1020">
        <f t="shared" si="52"/>
        <v>0</v>
      </c>
      <c r="CN199" s="1020"/>
      <c r="DA199" s="80"/>
    </row>
    <row r="200" spans="1:105" ht="20.25" customHeight="1" x14ac:dyDescent="0.2">
      <c r="A200" s="2449" t="s">
        <v>3213</v>
      </c>
      <c r="B200" s="2780" t="s">
        <v>359</v>
      </c>
      <c r="C200" s="2781"/>
      <c r="D200" s="2520" t="s">
        <v>2777</v>
      </c>
      <c r="E200" s="2612" t="s">
        <v>2778</v>
      </c>
      <c r="F200" s="2745" t="s">
        <v>2779</v>
      </c>
      <c r="G200" s="2551" t="s">
        <v>2780</v>
      </c>
      <c r="H200" s="2721" t="s">
        <v>2781</v>
      </c>
      <c r="I200" s="2551" t="s">
        <v>2782</v>
      </c>
      <c r="J200" s="2721" t="s">
        <v>2783</v>
      </c>
      <c r="K200" s="2551" t="s">
        <v>2784</v>
      </c>
      <c r="L200" s="2721" t="s">
        <v>2785</v>
      </c>
      <c r="M200" s="2551" t="s">
        <v>2786</v>
      </c>
      <c r="N200" s="2721" t="s">
        <v>2787</v>
      </c>
      <c r="O200" s="2551" t="s">
        <v>2788</v>
      </c>
      <c r="P200" s="2721" t="s">
        <v>2789</v>
      </c>
      <c r="Q200" s="2551" t="s">
        <v>2790</v>
      </c>
      <c r="R200" s="2721" t="s">
        <v>2791</v>
      </c>
      <c r="S200" s="2551" t="s">
        <v>2792</v>
      </c>
      <c r="T200" s="2721" t="s">
        <v>2793</v>
      </c>
      <c r="U200" s="2551" t="s">
        <v>2794</v>
      </c>
      <c r="V200" s="2721" t="s">
        <v>2795</v>
      </c>
      <c r="W200" s="2551" t="s">
        <v>2796</v>
      </c>
      <c r="X200" s="2721" t="s">
        <v>2797</v>
      </c>
      <c r="Y200" s="2551" t="s">
        <v>2798</v>
      </c>
      <c r="Z200" s="2721" t="s">
        <v>2799</v>
      </c>
      <c r="AA200" s="2551" t="s">
        <v>2800</v>
      </c>
      <c r="AB200" s="2721" t="s">
        <v>2801</v>
      </c>
      <c r="AC200" s="2551" t="s">
        <v>2817</v>
      </c>
      <c r="AD200" s="2721" t="s">
        <v>2818</v>
      </c>
      <c r="AE200" s="2551" t="s">
        <v>2819</v>
      </c>
      <c r="AF200" s="2721" t="s">
        <v>2821</v>
      </c>
      <c r="AG200" s="2551" t="s">
        <v>2822</v>
      </c>
      <c r="AH200" s="2721" t="s">
        <v>2823</v>
      </c>
      <c r="AI200" s="2551" t="s">
        <v>2824</v>
      </c>
      <c r="AJ200" s="2721" t="s">
        <v>2825</v>
      </c>
      <c r="AK200" s="2551" t="s">
        <v>2826</v>
      </c>
      <c r="AL200" s="2721" t="s">
        <v>2827</v>
      </c>
      <c r="AM200" s="2551" t="s">
        <v>2831</v>
      </c>
      <c r="AN200" s="2776" t="s">
        <v>2832</v>
      </c>
      <c r="AO200" s="2804" t="s">
        <v>2833</v>
      </c>
      <c r="AP200" s="2547" t="s">
        <v>2834</v>
      </c>
      <c r="AQ200" s="2721" t="s">
        <v>3011</v>
      </c>
      <c r="AR200" s="2721" t="s">
        <v>3012</v>
      </c>
      <c r="AS200" s="2581" t="s">
        <v>3013</v>
      </c>
      <c r="AT200" s="2551" t="s">
        <v>3014</v>
      </c>
      <c r="AU200" s="2721" t="s">
        <v>3015</v>
      </c>
      <c r="AV200" s="2721" t="s">
        <v>3206</v>
      </c>
      <c r="AW200" s="2721" t="s">
        <v>3207</v>
      </c>
      <c r="AX200" s="1162" t="str">
        <f>CB197&amp;CC197&amp;CD197&amp;CE197&amp;CF197&amp;CG197&amp;CO197</f>
        <v xml:space="preserve">* Las gestantes egresadas del Programa NO debe ser mayor al Total de Mujeres egresadas. * Las madres de hijos menor de 5 años NO DEBE ser mayor al Total de Mujeres Egresadas al Programa. * Los Niños, Niñas, Adolescentes y Jóvenes de Programas SENAME NO DEBE ser mayor al Total de egresos del Programa. * Los Migrantes NO DEBEN ser mayor al Total de ingresos del Programa. </v>
      </c>
      <c r="AY200" s="1058"/>
      <c r="AZ200" s="1058"/>
      <c r="BA200" s="1058"/>
      <c r="BB200" s="1058"/>
      <c r="BC200" s="1058"/>
      <c r="BD200" s="1058"/>
      <c r="BE200" s="1058"/>
      <c r="BF200" s="1058"/>
      <c r="BG200" s="1058"/>
      <c r="BH200" s="1058"/>
      <c r="BI200" s="94"/>
      <c r="BJ200" s="94"/>
      <c r="BZ200" s="79"/>
      <c r="CB200" s="889" t="str">
        <f t="shared" si="41"/>
        <v xml:space="preserve">* Las gestantes egresadas del Programa NO debe ser mayor al Total de Mujeres egresadas. </v>
      </c>
      <c r="CC200" s="889" t="str">
        <f t="shared" si="42"/>
        <v xml:space="preserve">* Las madres de hijos menor de 5 años NO DEBE ser mayor al Total de Mujeres Egresadas al Programa. </v>
      </c>
      <c r="CD200" s="889" t="str">
        <f t="shared" si="43"/>
        <v/>
      </c>
      <c r="CE200" s="889" t="str">
        <f t="shared" si="44"/>
        <v xml:space="preserve">* Los Niños, Niñas, Adolescentes y Jóvenes de Programas SENAME NO DEBE ser mayor al Total de egresos del Programa. </v>
      </c>
      <c r="CF200" s="889" t="str">
        <f t="shared" si="45"/>
        <v xml:space="preserve">* Los Migrantes NO DEBEN ser mayor al Total de ingresos del Programa. </v>
      </c>
      <c r="CG200" s="889" t="str">
        <f t="shared" si="46"/>
        <v/>
      </c>
      <c r="CH200" s="1020">
        <f t="shared" si="47"/>
        <v>1</v>
      </c>
      <c r="CI200" s="1020">
        <f t="shared" si="48"/>
        <v>1</v>
      </c>
      <c r="CJ200" s="1020">
        <f t="shared" si="49"/>
        <v>0</v>
      </c>
      <c r="CK200" s="1020">
        <f t="shared" si="50"/>
        <v>1</v>
      </c>
      <c r="CL200" s="1020">
        <f t="shared" si="51"/>
        <v>1</v>
      </c>
      <c r="CM200" s="1020">
        <f t="shared" si="52"/>
        <v>0</v>
      </c>
      <c r="CN200" s="1020">
        <v>0</v>
      </c>
      <c r="DA200" s="80"/>
    </row>
    <row r="201" spans="1:105" ht="16.350000000000001" customHeight="1" x14ac:dyDescent="0.2">
      <c r="A201" s="2449" t="s">
        <v>3214</v>
      </c>
      <c r="B201" s="5109" t="s">
        <v>360</v>
      </c>
      <c r="C201" s="2590" t="s">
        <v>361</v>
      </c>
      <c r="D201" s="2782" t="s">
        <v>2777</v>
      </c>
      <c r="E201" s="2783" t="s">
        <v>2778</v>
      </c>
      <c r="F201" s="383" t="s">
        <v>2779</v>
      </c>
      <c r="G201" s="2577" t="s">
        <v>2780</v>
      </c>
      <c r="H201" s="197" t="s">
        <v>2781</v>
      </c>
      <c r="I201" s="2577" t="s">
        <v>2782</v>
      </c>
      <c r="J201" s="197" t="s">
        <v>2783</v>
      </c>
      <c r="K201" s="2577" t="s">
        <v>2784</v>
      </c>
      <c r="L201" s="197" t="s">
        <v>2785</v>
      </c>
      <c r="M201" s="2577" t="s">
        <v>2786</v>
      </c>
      <c r="N201" s="197" t="s">
        <v>2787</v>
      </c>
      <c r="O201" s="2577" t="s">
        <v>2788</v>
      </c>
      <c r="P201" s="197" t="s">
        <v>2789</v>
      </c>
      <c r="Q201" s="2577" t="s">
        <v>2790</v>
      </c>
      <c r="R201" s="197" t="s">
        <v>2791</v>
      </c>
      <c r="S201" s="2577" t="s">
        <v>2792</v>
      </c>
      <c r="T201" s="197" t="s">
        <v>2793</v>
      </c>
      <c r="U201" s="2577" t="s">
        <v>2794</v>
      </c>
      <c r="V201" s="197" t="s">
        <v>2795</v>
      </c>
      <c r="W201" s="2577" t="s">
        <v>2796</v>
      </c>
      <c r="X201" s="197" t="s">
        <v>2797</v>
      </c>
      <c r="Y201" s="2577" t="s">
        <v>2798</v>
      </c>
      <c r="Z201" s="197" t="s">
        <v>2799</v>
      </c>
      <c r="AA201" s="2577" t="s">
        <v>2800</v>
      </c>
      <c r="AB201" s="197" t="s">
        <v>2801</v>
      </c>
      <c r="AC201" s="2577" t="s">
        <v>2817</v>
      </c>
      <c r="AD201" s="197" t="s">
        <v>2818</v>
      </c>
      <c r="AE201" s="2577" t="s">
        <v>2819</v>
      </c>
      <c r="AF201" s="197" t="s">
        <v>2821</v>
      </c>
      <c r="AG201" s="2577" t="s">
        <v>2822</v>
      </c>
      <c r="AH201" s="197" t="s">
        <v>2823</v>
      </c>
      <c r="AI201" s="2577" t="s">
        <v>2824</v>
      </c>
      <c r="AJ201" s="197" t="s">
        <v>2825</v>
      </c>
      <c r="AK201" s="2577" t="s">
        <v>2826</v>
      </c>
      <c r="AL201" s="197" t="s">
        <v>2827</v>
      </c>
      <c r="AM201" s="2577" t="s">
        <v>2831</v>
      </c>
      <c r="AN201" s="493" t="s">
        <v>2832</v>
      </c>
      <c r="AO201" s="2755" t="s">
        <v>2833</v>
      </c>
      <c r="AP201" s="2271" t="s">
        <v>2834</v>
      </c>
      <c r="AQ201" s="197" t="s">
        <v>3011</v>
      </c>
      <c r="AR201" s="197" t="s">
        <v>3012</v>
      </c>
      <c r="AS201" s="2580" t="s">
        <v>3013</v>
      </c>
      <c r="AT201" s="2577" t="s">
        <v>3014</v>
      </c>
      <c r="AU201" s="197" t="s">
        <v>3015</v>
      </c>
      <c r="AV201" s="197" t="s">
        <v>3206</v>
      </c>
      <c r="AW201" s="197" t="s">
        <v>3207</v>
      </c>
      <c r="AX201" s="1162" t="str">
        <f t="shared" ref="AX201:AX231" si="53">CB198&amp;CC198&amp;CD198&amp;CE198&amp;CF198&amp;CG198</f>
        <v xml:space="preserve">* Las gestantes egresadas del Programa NO debe ser mayor al Total de Mujeres egresadas. * Las madres de hijos menor de 5 años NO DEBE ser mayor al Total de Mujeres Egresadas al Programa. * Los Niños, Niñas, Adolescentes y Jóvenes de Programas SENAME NO DEBE ser mayor al Total de egresos del Programa. * Los Migrantes NO DEBEN ser mayor al Total de ingresos del Programa. </v>
      </c>
      <c r="AY201" s="1058"/>
      <c r="AZ201" s="1058"/>
      <c r="BA201" s="1058"/>
      <c r="BB201" s="1058"/>
      <c r="BC201" s="1058"/>
      <c r="BD201" s="1058"/>
      <c r="BE201" s="1058"/>
      <c r="BF201" s="1058"/>
      <c r="BG201" s="1058"/>
      <c r="BH201" s="1058"/>
      <c r="BI201" s="94"/>
      <c r="BJ201" s="94"/>
      <c r="BZ201" s="79"/>
      <c r="CB201" s="889" t="str">
        <f t="shared" si="41"/>
        <v xml:space="preserve">* Las gestantes egresadas del Programa NO debe ser mayor al Total de Mujeres egresadas. </v>
      </c>
      <c r="CC201" s="889" t="str">
        <f t="shared" si="42"/>
        <v xml:space="preserve">* Las madres de hijos menor de 5 años NO DEBE ser mayor al Total de Mujeres Egresadas al Programa. </v>
      </c>
      <c r="CD201" s="889" t="str">
        <f t="shared" si="43"/>
        <v/>
      </c>
      <c r="CE201" s="889" t="str">
        <f t="shared" si="44"/>
        <v xml:space="preserve">* Los Niños, Niñas, Adolescentes y Jóvenes de Programas SENAME NO DEBE ser mayor al Total de egresos del Programa. </v>
      </c>
      <c r="CF201" s="889" t="str">
        <f t="shared" si="45"/>
        <v xml:space="preserve">* Los Migrantes NO DEBEN ser mayor al Total de ingresos del Programa. </v>
      </c>
      <c r="CG201" s="889" t="str">
        <f t="shared" si="46"/>
        <v/>
      </c>
      <c r="CH201" s="1020">
        <f t="shared" si="47"/>
        <v>1</v>
      </c>
      <c r="CI201" s="1020">
        <f t="shared" si="48"/>
        <v>1</v>
      </c>
      <c r="CJ201" s="1020">
        <f t="shared" si="49"/>
        <v>0</v>
      </c>
      <c r="CK201" s="1020">
        <f t="shared" si="50"/>
        <v>1</v>
      </c>
      <c r="CL201" s="1020">
        <f t="shared" si="51"/>
        <v>1</v>
      </c>
      <c r="CM201" s="1020">
        <f t="shared" si="52"/>
        <v>0</v>
      </c>
      <c r="CN201" s="1020"/>
      <c r="DA201" s="80"/>
    </row>
    <row r="202" spans="1:105" ht="16.350000000000001" customHeight="1" x14ac:dyDescent="0.2">
      <c r="A202" s="2449" t="s">
        <v>3215</v>
      </c>
      <c r="B202" s="5103"/>
      <c r="C202" s="2418" t="s">
        <v>362</v>
      </c>
      <c r="D202" s="714" t="s">
        <v>2777</v>
      </c>
      <c r="E202" s="715" t="s">
        <v>2778</v>
      </c>
      <c r="F202" s="2433" t="s">
        <v>2779</v>
      </c>
      <c r="G202" s="141" t="s">
        <v>2780</v>
      </c>
      <c r="H202" s="198" t="s">
        <v>2781</v>
      </c>
      <c r="I202" s="141" t="s">
        <v>2782</v>
      </c>
      <c r="J202" s="198" t="s">
        <v>2783</v>
      </c>
      <c r="K202" s="141" t="s">
        <v>2784</v>
      </c>
      <c r="L202" s="198" t="s">
        <v>2785</v>
      </c>
      <c r="M202" s="141" t="s">
        <v>2786</v>
      </c>
      <c r="N202" s="198" t="s">
        <v>2787</v>
      </c>
      <c r="O202" s="141" t="s">
        <v>2788</v>
      </c>
      <c r="P202" s="198" t="s">
        <v>2789</v>
      </c>
      <c r="Q202" s="141" t="s">
        <v>2790</v>
      </c>
      <c r="R202" s="198" t="s">
        <v>2791</v>
      </c>
      <c r="S202" s="141" t="s">
        <v>2792</v>
      </c>
      <c r="T202" s="198" t="s">
        <v>2793</v>
      </c>
      <c r="U202" s="141" t="s">
        <v>2794</v>
      </c>
      <c r="V202" s="198" t="s">
        <v>2795</v>
      </c>
      <c r="W202" s="141" t="s">
        <v>2796</v>
      </c>
      <c r="X202" s="198" t="s">
        <v>2797</v>
      </c>
      <c r="Y202" s="141" t="s">
        <v>2798</v>
      </c>
      <c r="Z202" s="198" t="s">
        <v>2799</v>
      </c>
      <c r="AA202" s="141" t="s">
        <v>2800</v>
      </c>
      <c r="AB202" s="198" t="s">
        <v>2801</v>
      </c>
      <c r="AC202" s="141" t="s">
        <v>2817</v>
      </c>
      <c r="AD202" s="198" t="s">
        <v>2818</v>
      </c>
      <c r="AE202" s="141" t="s">
        <v>2819</v>
      </c>
      <c r="AF202" s="198" t="s">
        <v>2821</v>
      </c>
      <c r="AG202" s="141" t="s">
        <v>2822</v>
      </c>
      <c r="AH202" s="198" t="s">
        <v>2823</v>
      </c>
      <c r="AI202" s="141" t="s">
        <v>2824</v>
      </c>
      <c r="AJ202" s="198" t="s">
        <v>2825</v>
      </c>
      <c r="AK202" s="141" t="s">
        <v>2826</v>
      </c>
      <c r="AL202" s="198" t="s">
        <v>2827</v>
      </c>
      <c r="AM202" s="141" t="s">
        <v>2831</v>
      </c>
      <c r="AN202" s="143" t="s">
        <v>2832</v>
      </c>
      <c r="AO202" s="2755" t="s">
        <v>2833</v>
      </c>
      <c r="AP202" s="2271" t="s">
        <v>2834</v>
      </c>
      <c r="AQ202" s="197" t="s">
        <v>3011</v>
      </c>
      <c r="AR202" s="198" t="s">
        <v>3012</v>
      </c>
      <c r="AS202" s="164" t="s">
        <v>3013</v>
      </c>
      <c r="AT202" s="141" t="s">
        <v>3014</v>
      </c>
      <c r="AU202" s="198" t="s">
        <v>3015</v>
      </c>
      <c r="AV202" s="198" t="s">
        <v>3206</v>
      </c>
      <c r="AW202" s="198" t="s">
        <v>3207</v>
      </c>
      <c r="AX202" s="1162" t="str">
        <f t="shared" si="53"/>
        <v xml:space="preserve">* Las gestantes egresadas del Programa NO debe ser mayor al Total de Mujeres egresadas. * Las madres de hijos menor de 5 años NO DEBE ser mayor al Total de Mujeres Egresadas al Programa. * Los Niños, Niñas, Adolescentes y Jóvenes de Programas SENAME NO DEBE ser mayor al Total de egresos del Programa. * Los Migrantes NO DEBEN ser mayor al Total de ingresos del Programa. </v>
      </c>
      <c r="AY202" s="1058"/>
      <c r="AZ202" s="1058"/>
      <c r="BA202" s="1058"/>
      <c r="BB202" s="1058"/>
      <c r="BC202" s="1058"/>
      <c r="BD202" s="1058"/>
      <c r="BE202" s="1058"/>
      <c r="BF202" s="1058"/>
      <c r="BG202" s="1058"/>
      <c r="BH202" s="1058"/>
      <c r="BI202" s="94"/>
      <c r="BJ202" s="94"/>
      <c r="BZ202" s="79"/>
      <c r="CB202" s="889" t="str">
        <f t="shared" si="41"/>
        <v xml:space="preserve">* Las gestantes egresadas del Programa NO debe ser mayor al Total de Mujeres egresadas. </v>
      </c>
      <c r="CC202" s="889" t="str">
        <f t="shared" si="42"/>
        <v xml:space="preserve">* Las madres de hijos menor de 5 años NO DEBE ser mayor al Total de Mujeres Egresadas al Programa. </v>
      </c>
      <c r="CD202" s="889" t="str">
        <f t="shared" si="43"/>
        <v/>
      </c>
      <c r="CE202" s="889" t="str">
        <f t="shared" si="44"/>
        <v xml:space="preserve">* Los Niños, Niñas, Adolescentes y Jóvenes de Programas SENAME NO DEBE ser mayor al Total de egresos del Programa. </v>
      </c>
      <c r="CF202" s="889" t="str">
        <f t="shared" si="45"/>
        <v xml:space="preserve">* Los Migrantes NO DEBEN ser mayor al Total de ingresos del Programa. </v>
      </c>
      <c r="CG202" s="889" t="str">
        <f t="shared" si="46"/>
        <v/>
      </c>
      <c r="CH202" s="1020">
        <f t="shared" si="47"/>
        <v>1</v>
      </c>
      <c r="CI202" s="1020">
        <f t="shared" si="48"/>
        <v>1</v>
      </c>
      <c r="CJ202" s="1020">
        <f t="shared" si="49"/>
        <v>0</v>
      </c>
      <c r="CK202" s="1020">
        <f t="shared" si="50"/>
        <v>1</v>
      </c>
      <c r="CL202" s="1020">
        <f t="shared" si="51"/>
        <v>1</v>
      </c>
      <c r="CM202" s="1020">
        <f t="shared" si="52"/>
        <v>0</v>
      </c>
      <c r="CN202" s="1020"/>
      <c r="DA202" s="80"/>
    </row>
    <row r="203" spans="1:105" ht="16.350000000000001" customHeight="1" x14ac:dyDescent="0.2">
      <c r="A203" s="2449" t="s">
        <v>3216</v>
      </c>
      <c r="B203" s="5103"/>
      <c r="C203" s="2418" t="s">
        <v>363</v>
      </c>
      <c r="D203" s="714" t="s">
        <v>2777</v>
      </c>
      <c r="E203" s="715" t="s">
        <v>2778</v>
      </c>
      <c r="F203" s="2433" t="s">
        <v>2779</v>
      </c>
      <c r="G203" s="141" t="s">
        <v>2780</v>
      </c>
      <c r="H203" s="198" t="s">
        <v>2781</v>
      </c>
      <c r="I203" s="141" t="s">
        <v>2782</v>
      </c>
      <c r="J203" s="198" t="s">
        <v>2783</v>
      </c>
      <c r="K203" s="141" t="s">
        <v>2784</v>
      </c>
      <c r="L203" s="198" t="s">
        <v>2785</v>
      </c>
      <c r="M203" s="141" t="s">
        <v>2786</v>
      </c>
      <c r="N203" s="198" t="s">
        <v>2787</v>
      </c>
      <c r="O203" s="141" t="s">
        <v>2788</v>
      </c>
      <c r="P203" s="198" t="s">
        <v>2789</v>
      </c>
      <c r="Q203" s="141" t="s">
        <v>2790</v>
      </c>
      <c r="R203" s="198" t="s">
        <v>2791</v>
      </c>
      <c r="S203" s="141" t="s">
        <v>2792</v>
      </c>
      <c r="T203" s="198" t="s">
        <v>2793</v>
      </c>
      <c r="U203" s="141" t="s">
        <v>2794</v>
      </c>
      <c r="V203" s="198" t="s">
        <v>2795</v>
      </c>
      <c r="W203" s="141" t="s">
        <v>2796</v>
      </c>
      <c r="X203" s="198" t="s">
        <v>2797</v>
      </c>
      <c r="Y203" s="141" t="s">
        <v>2798</v>
      </c>
      <c r="Z203" s="198" t="s">
        <v>2799</v>
      </c>
      <c r="AA203" s="141" t="s">
        <v>2800</v>
      </c>
      <c r="AB203" s="198" t="s">
        <v>2801</v>
      </c>
      <c r="AC203" s="141" t="s">
        <v>2817</v>
      </c>
      <c r="AD203" s="198" t="s">
        <v>2818</v>
      </c>
      <c r="AE203" s="141" t="s">
        <v>2819</v>
      </c>
      <c r="AF203" s="198" t="s">
        <v>2821</v>
      </c>
      <c r="AG203" s="141" t="s">
        <v>2822</v>
      </c>
      <c r="AH203" s="198" t="s">
        <v>2823</v>
      </c>
      <c r="AI203" s="141" t="s">
        <v>2824</v>
      </c>
      <c r="AJ203" s="198" t="s">
        <v>2825</v>
      </c>
      <c r="AK203" s="141" t="s">
        <v>2826</v>
      </c>
      <c r="AL203" s="198" t="s">
        <v>2827</v>
      </c>
      <c r="AM203" s="141" t="s">
        <v>2831</v>
      </c>
      <c r="AN203" s="143" t="s">
        <v>2832</v>
      </c>
      <c r="AO203" s="2755" t="s">
        <v>2833</v>
      </c>
      <c r="AP203" s="2271" t="s">
        <v>2834</v>
      </c>
      <c r="AQ203" s="197" t="s">
        <v>3011</v>
      </c>
      <c r="AR203" s="198" t="s">
        <v>3012</v>
      </c>
      <c r="AS203" s="164" t="s">
        <v>3013</v>
      </c>
      <c r="AT203" s="141" t="s">
        <v>3014</v>
      </c>
      <c r="AU203" s="198" t="s">
        <v>3015</v>
      </c>
      <c r="AV203" s="198" t="s">
        <v>3206</v>
      </c>
      <c r="AW203" s="198" t="s">
        <v>3207</v>
      </c>
      <c r="AX203" s="1162" t="str">
        <f t="shared" si="53"/>
        <v xml:space="preserve">* Las gestantes egresadas del Programa NO debe ser mayor al Total de Mujeres egresadas. * Las madres de hijos menor de 5 años NO DEBE ser mayor al Total de Mujeres Egresadas al Programa. * Los Niños, Niñas, Adolescentes y Jóvenes de Programas SENAME NO DEBE ser mayor al Total de egresos del Programa. * Los Migrantes NO DEBEN ser mayor al Total de ingresos del Programa. </v>
      </c>
      <c r="AY203" s="1058"/>
      <c r="AZ203" s="1058"/>
      <c r="BA203" s="1058"/>
      <c r="BB203" s="1058"/>
      <c r="BC203" s="1058"/>
      <c r="BD203" s="1058"/>
      <c r="BE203" s="1058"/>
      <c r="BF203" s="1058"/>
      <c r="BG203" s="1058"/>
      <c r="BH203" s="1058"/>
      <c r="BI203" s="94"/>
      <c r="BJ203" s="94"/>
      <c r="BZ203" s="79"/>
      <c r="CB203" s="889" t="str">
        <f t="shared" si="41"/>
        <v xml:space="preserve">* Las gestantes egresadas del Programa NO debe ser mayor al Total de Mujeres egresadas. </v>
      </c>
      <c r="CC203" s="889" t="str">
        <f t="shared" si="42"/>
        <v xml:space="preserve">* Las madres de hijos menor de 5 años NO DEBE ser mayor al Total de Mujeres Egresadas al Programa. </v>
      </c>
      <c r="CD203" s="889" t="str">
        <f t="shared" si="43"/>
        <v/>
      </c>
      <c r="CE203" s="889" t="str">
        <f t="shared" si="44"/>
        <v xml:space="preserve">* Los Niños, Niñas, Adolescentes y Jóvenes de Programas SENAME NO DEBE ser mayor al Total de egresos del Programa. </v>
      </c>
      <c r="CF203" s="889" t="str">
        <f t="shared" si="45"/>
        <v xml:space="preserve">* Los Migrantes NO DEBEN ser mayor al Total de ingresos del Programa. </v>
      </c>
      <c r="CG203" s="889" t="str">
        <f t="shared" si="46"/>
        <v/>
      </c>
      <c r="CH203" s="1020">
        <f t="shared" si="47"/>
        <v>1</v>
      </c>
      <c r="CI203" s="1020">
        <f t="shared" si="48"/>
        <v>1</v>
      </c>
      <c r="CJ203" s="1020">
        <f t="shared" si="49"/>
        <v>0</v>
      </c>
      <c r="CK203" s="1020">
        <f t="shared" si="50"/>
        <v>1</v>
      </c>
      <c r="CL203" s="1020">
        <f t="shared" si="51"/>
        <v>1</v>
      </c>
      <c r="CM203" s="1020">
        <f t="shared" si="52"/>
        <v>0</v>
      </c>
      <c r="CN203" s="1020"/>
      <c r="DA203" s="80"/>
    </row>
    <row r="204" spans="1:105" ht="16.350000000000001" customHeight="1" x14ac:dyDescent="0.2">
      <c r="A204" s="2449" t="s">
        <v>3217</v>
      </c>
      <c r="B204" s="5103"/>
      <c r="C204" s="2438" t="s">
        <v>861</v>
      </c>
      <c r="D204" s="714" t="s">
        <v>2777</v>
      </c>
      <c r="E204" s="145" t="s">
        <v>2778</v>
      </c>
      <c r="F204" s="2433" t="s">
        <v>2779</v>
      </c>
      <c r="G204" s="173" t="s">
        <v>2780</v>
      </c>
      <c r="H204" s="174" t="s">
        <v>2781</v>
      </c>
      <c r="I204" s="173" t="s">
        <v>2782</v>
      </c>
      <c r="J204" s="174" t="s">
        <v>2783</v>
      </c>
      <c r="K204" s="173" t="s">
        <v>2784</v>
      </c>
      <c r="L204" s="198" t="s">
        <v>2785</v>
      </c>
      <c r="M204" s="173" t="s">
        <v>2786</v>
      </c>
      <c r="N204" s="198" t="s">
        <v>2787</v>
      </c>
      <c r="O204" s="173" t="s">
        <v>2788</v>
      </c>
      <c r="P204" s="198" t="s">
        <v>2789</v>
      </c>
      <c r="Q204" s="173" t="s">
        <v>2790</v>
      </c>
      <c r="R204" s="198" t="s">
        <v>2791</v>
      </c>
      <c r="S204" s="173" t="s">
        <v>2792</v>
      </c>
      <c r="T204" s="198" t="s">
        <v>2793</v>
      </c>
      <c r="U204" s="173" t="s">
        <v>2794</v>
      </c>
      <c r="V204" s="198" t="s">
        <v>2795</v>
      </c>
      <c r="W204" s="173" t="s">
        <v>2796</v>
      </c>
      <c r="X204" s="198" t="s">
        <v>2797</v>
      </c>
      <c r="Y204" s="173" t="s">
        <v>2798</v>
      </c>
      <c r="Z204" s="198" t="s">
        <v>2799</v>
      </c>
      <c r="AA204" s="173" t="s">
        <v>2800</v>
      </c>
      <c r="AB204" s="198" t="s">
        <v>2801</v>
      </c>
      <c r="AC204" s="173" t="s">
        <v>2817</v>
      </c>
      <c r="AD204" s="198" t="s">
        <v>2818</v>
      </c>
      <c r="AE204" s="173" t="s">
        <v>2819</v>
      </c>
      <c r="AF204" s="198" t="s">
        <v>2821</v>
      </c>
      <c r="AG204" s="173" t="s">
        <v>2822</v>
      </c>
      <c r="AH204" s="198" t="s">
        <v>2823</v>
      </c>
      <c r="AI204" s="173" t="s">
        <v>2824</v>
      </c>
      <c r="AJ204" s="198" t="s">
        <v>2825</v>
      </c>
      <c r="AK204" s="173" t="s">
        <v>2826</v>
      </c>
      <c r="AL204" s="198" t="s">
        <v>2827</v>
      </c>
      <c r="AM204" s="173" t="s">
        <v>2831</v>
      </c>
      <c r="AN204" s="143" t="s">
        <v>2832</v>
      </c>
      <c r="AO204" s="2755" t="s">
        <v>2833</v>
      </c>
      <c r="AP204" s="2271" t="s">
        <v>2834</v>
      </c>
      <c r="AQ204" s="197" t="s">
        <v>3011</v>
      </c>
      <c r="AR204" s="198" t="s">
        <v>3012</v>
      </c>
      <c r="AS204" s="164" t="s">
        <v>3013</v>
      </c>
      <c r="AT204" s="173" t="s">
        <v>3014</v>
      </c>
      <c r="AU204" s="198" t="s">
        <v>3015</v>
      </c>
      <c r="AV204" s="198" t="s">
        <v>3206</v>
      </c>
      <c r="AW204" s="198" t="s">
        <v>3207</v>
      </c>
      <c r="AX204" s="1162" t="str">
        <f t="shared" si="53"/>
        <v xml:space="preserve">* Las gestantes egresadas del Programa NO debe ser mayor al Total de Mujeres egresadas. * Las madres de hijos menor de 5 años NO DEBE ser mayor al Total de Mujeres Egresadas al Programa. * Los Niños, Niñas, Adolescentes y Jóvenes de Programas SENAME NO DEBE ser mayor al Total de egresos del Programa. * Los Migrantes NO DEBEN ser mayor al Total de ingresos del Programa. </v>
      </c>
      <c r="AY204" s="1058"/>
      <c r="AZ204" s="1058"/>
      <c r="BA204" s="1058"/>
      <c r="BB204" s="1058"/>
      <c r="BC204" s="1058"/>
      <c r="BD204" s="1058"/>
      <c r="BE204" s="1058"/>
      <c r="BF204" s="1058"/>
      <c r="BG204" s="1058"/>
      <c r="BH204" s="1058"/>
      <c r="BI204" s="94"/>
      <c r="BJ204" s="94"/>
      <c r="BZ204" s="79"/>
      <c r="CB204" s="889" t="str">
        <f t="shared" si="41"/>
        <v xml:space="preserve">* Las gestantes egresadas del Programa NO debe ser mayor al Total de Mujeres egresadas. </v>
      </c>
      <c r="CC204" s="889" t="str">
        <f t="shared" si="42"/>
        <v xml:space="preserve">* Las madres de hijos menor de 5 años NO DEBE ser mayor al Total de Mujeres Egresadas al Programa. </v>
      </c>
      <c r="CD204" s="889" t="str">
        <f t="shared" si="43"/>
        <v/>
      </c>
      <c r="CE204" s="889" t="str">
        <f t="shared" si="44"/>
        <v xml:space="preserve">* Los Niños, Niñas, Adolescentes y Jóvenes de Programas SENAME NO DEBE ser mayor al Total de egresos del Programa. </v>
      </c>
      <c r="CF204" s="889" t="str">
        <f t="shared" si="45"/>
        <v xml:space="preserve">* Los Migrantes NO DEBEN ser mayor al Total de ingresos del Programa. </v>
      </c>
      <c r="CG204" s="889" t="str">
        <f t="shared" si="46"/>
        <v/>
      </c>
      <c r="CH204" s="1020">
        <f t="shared" si="47"/>
        <v>1</v>
      </c>
      <c r="CI204" s="1020">
        <f t="shared" si="48"/>
        <v>1</v>
      </c>
      <c r="CJ204" s="1020">
        <f t="shared" si="49"/>
        <v>0</v>
      </c>
      <c r="CK204" s="1020">
        <f t="shared" si="50"/>
        <v>1</v>
      </c>
      <c r="CL204" s="1020">
        <f t="shared" si="51"/>
        <v>1</v>
      </c>
      <c r="CM204" s="1020">
        <f t="shared" si="52"/>
        <v>0</v>
      </c>
      <c r="CN204" s="1020"/>
      <c r="DA204" s="80"/>
    </row>
    <row r="205" spans="1:105" ht="16.350000000000001" customHeight="1" x14ac:dyDescent="0.2">
      <c r="A205" s="2449" t="s">
        <v>3218</v>
      </c>
      <c r="B205" s="5103"/>
      <c r="C205" s="2418" t="s">
        <v>364</v>
      </c>
      <c r="D205" s="714" t="s">
        <v>2777</v>
      </c>
      <c r="E205" s="715" t="s">
        <v>2778</v>
      </c>
      <c r="F205" s="2433" t="s">
        <v>2779</v>
      </c>
      <c r="G205" s="141" t="s">
        <v>2780</v>
      </c>
      <c r="H205" s="198" t="s">
        <v>2781</v>
      </c>
      <c r="I205" s="141" t="s">
        <v>2782</v>
      </c>
      <c r="J205" s="198" t="s">
        <v>2783</v>
      </c>
      <c r="K205" s="141" t="s">
        <v>2784</v>
      </c>
      <c r="L205" s="198" t="s">
        <v>2785</v>
      </c>
      <c r="M205" s="141" t="s">
        <v>2786</v>
      </c>
      <c r="N205" s="198" t="s">
        <v>2787</v>
      </c>
      <c r="O205" s="141" t="s">
        <v>2788</v>
      </c>
      <c r="P205" s="198" t="s">
        <v>2789</v>
      </c>
      <c r="Q205" s="141" t="s">
        <v>2790</v>
      </c>
      <c r="R205" s="198" t="s">
        <v>2791</v>
      </c>
      <c r="S205" s="141" t="s">
        <v>2792</v>
      </c>
      <c r="T205" s="198" t="s">
        <v>2793</v>
      </c>
      <c r="U205" s="141" t="s">
        <v>2794</v>
      </c>
      <c r="V205" s="198" t="s">
        <v>2795</v>
      </c>
      <c r="W205" s="141" t="s">
        <v>2796</v>
      </c>
      <c r="X205" s="198" t="s">
        <v>2797</v>
      </c>
      <c r="Y205" s="141" t="s">
        <v>2798</v>
      </c>
      <c r="Z205" s="198" t="s">
        <v>2799</v>
      </c>
      <c r="AA205" s="141" t="s">
        <v>2800</v>
      </c>
      <c r="AB205" s="198" t="s">
        <v>2801</v>
      </c>
      <c r="AC205" s="141" t="s">
        <v>2817</v>
      </c>
      <c r="AD205" s="198" t="s">
        <v>2818</v>
      </c>
      <c r="AE205" s="141" t="s">
        <v>2819</v>
      </c>
      <c r="AF205" s="198" t="s">
        <v>2821</v>
      </c>
      <c r="AG205" s="141" t="s">
        <v>2822</v>
      </c>
      <c r="AH205" s="198" t="s">
        <v>2823</v>
      </c>
      <c r="AI205" s="141" t="s">
        <v>2824</v>
      </c>
      <c r="AJ205" s="198" t="s">
        <v>2825</v>
      </c>
      <c r="AK205" s="141" t="s">
        <v>2826</v>
      </c>
      <c r="AL205" s="198" t="s">
        <v>2827</v>
      </c>
      <c r="AM205" s="141" t="s">
        <v>2831</v>
      </c>
      <c r="AN205" s="143" t="s">
        <v>2832</v>
      </c>
      <c r="AO205" s="2755" t="s">
        <v>2833</v>
      </c>
      <c r="AP205" s="2271" t="s">
        <v>2834</v>
      </c>
      <c r="AQ205" s="197" t="s">
        <v>3011</v>
      </c>
      <c r="AR205" s="198" t="s">
        <v>3012</v>
      </c>
      <c r="AS205" s="164" t="s">
        <v>3013</v>
      </c>
      <c r="AT205" s="141" t="s">
        <v>3014</v>
      </c>
      <c r="AU205" s="198" t="s">
        <v>3015</v>
      </c>
      <c r="AV205" s="198" t="s">
        <v>3206</v>
      </c>
      <c r="AW205" s="198" t="s">
        <v>3207</v>
      </c>
      <c r="AX205" s="1162" t="str">
        <f t="shared" si="53"/>
        <v xml:space="preserve">* Las gestantes egresadas del Programa NO debe ser mayor al Total de Mujeres egresadas. * Las madres de hijos menor de 5 años NO DEBE ser mayor al Total de Mujeres Egresadas al Programa. * Los Niños, Niñas, Adolescentes y Jóvenes de Programas SENAME NO DEBE ser mayor al Total de egresos del Programa. * Los Migrantes NO DEBEN ser mayor al Total de ingresos del Programa. </v>
      </c>
      <c r="AY205" s="1058"/>
      <c r="AZ205" s="1058"/>
      <c r="BA205" s="1058"/>
      <c r="BB205" s="1058"/>
      <c r="BC205" s="1058"/>
      <c r="BD205" s="1058"/>
      <c r="BE205" s="1058"/>
      <c r="BF205" s="1058"/>
      <c r="BG205" s="1058"/>
      <c r="BH205" s="1058"/>
      <c r="BI205" s="94"/>
      <c r="BJ205" s="94"/>
      <c r="BZ205" s="79"/>
      <c r="CB205" s="889" t="str">
        <f t="shared" si="41"/>
        <v xml:space="preserve">* Las gestantes egresadas del Programa NO debe ser mayor al Total de Mujeres egresadas. </v>
      </c>
      <c r="CC205" s="889" t="str">
        <f t="shared" si="42"/>
        <v xml:space="preserve">* Las madres de hijos menor de 5 años NO DEBE ser mayor al Total de Mujeres Egresadas al Programa. </v>
      </c>
      <c r="CD205" s="889" t="str">
        <f t="shared" si="43"/>
        <v/>
      </c>
      <c r="CE205" s="889" t="str">
        <f t="shared" si="44"/>
        <v xml:space="preserve">* Los Niños, Niñas, Adolescentes y Jóvenes de Programas SENAME NO DEBE ser mayor al Total de egresos del Programa. </v>
      </c>
      <c r="CF205" s="889" t="str">
        <f t="shared" si="45"/>
        <v xml:space="preserve">* Los Migrantes NO DEBEN ser mayor al Total de ingresos del Programa. </v>
      </c>
      <c r="CG205" s="889" t="str">
        <f t="shared" si="46"/>
        <v/>
      </c>
      <c r="CH205" s="1020">
        <f t="shared" si="47"/>
        <v>1</v>
      </c>
      <c r="CI205" s="1020">
        <f t="shared" si="48"/>
        <v>1</v>
      </c>
      <c r="CJ205" s="1020">
        <f t="shared" si="49"/>
        <v>0</v>
      </c>
      <c r="CK205" s="1020">
        <f t="shared" si="50"/>
        <v>1</v>
      </c>
      <c r="CL205" s="1020">
        <f t="shared" si="51"/>
        <v>1</v>
      </c>
      <c r="CM205" s="1020">
        <f t="shared" si="52"/>
        <v>0</v>
      </c>
      <c r="CN205" s="1020"/>
      <c r="DA205" s="80"/>
    </row>
    <row r="206" spans="1:105" ht="16.350000000000001" customHeight="1" x14ac:dyDescent="0.2">
      <c r="A206" s="2449" t="s">
        <v>3219</v>
      </c>
      <c r="B206" s="5103"/>
      <c r="C206" s="1252" t="s">
        <v>365</v>
      </c>
      <c r="D206" s="714" t="s">
        <v>2777</v>
      </c>
      <c r="E206" s="715" t="s">
        <v>2778</v>
      </c>
      <c r="F206" s="2433" t="s">
        <v>2779</v>
      </c>
      <c r="G206" s="141" t="s">
        <v>2780</v>
      </c>
      <c r="H206" s="198" t="s">
        <v>2781</v>
      </c>
      <c r="I206" s="141" t="s">
        <v>2782</v>
      </c>
      <c r="J206" s="198" t="s">
        <v>2783</v>
      </c>
      <c r="K206" s="141" t="s">
        <v>2784</v>
      </c>
      <c r="L206" s="198" t="s">
        <v>2785</v>
      </c>
      <c r="M206" s="141" t="s">
        <v>2786</v>
      </c>
      <c r="N206" s="198" t="s">
        <v>2787</v>
      </c>
      <c r="O206" s="141" t="s">
        <v>2788</v>
      </c>
      <c r="P206" s="198" t="s">
        <v>2789</v>
      </c>
      <c r="Q206" s="141" t="s">
        <v>2790</v>
      </c>
      <c r="R206" s="198" t="s">
        <v>2791</v>
      </c>
      <c r="S206" s="141" t="s">
        <v>2792</v>
      </c>
      <c r="T206" s="198" t="s">
        <v>2793</v>
      </c>
      <c r="U206" s="141" t="s">
        <v>2794</v>
      </c>
      <c r="V206" s="198" t="s">
        <v>2795</v>
      </c>
      <c r="W206" s="141" t="s">
        <v>2796</v>
      </c>
      <c r="X206" s="198" t="s">
        <v>2797</v>
      </c>
      <c r="Y206" s="141" t="s">
        <v>2798</v>
      </c>
      <c r="Z206" s="198" t="s">
        <v>2799</v>
      </c>
      <c r="AA206" s="141" t="s">
        <v>2800</v>
      </c>
      <c r="AB206" s="198" t="s">
        <v>2801</v>
      </c>
      <c r="AC206" s="141" t="s">
        <v>2817</v>
      </c>
      <c r="AD206" s="198" t="s">
        <v>2818</v>
      </c>
      <c r="AE206" s="141" t="s">
        <v>2819</v>
      </c>
      <c r="AF206" s="198" t="s">
        <v>2821</v>
      </c>
      <c r="AG206" s="141" t="s">
        <v>2822</v>
      </c>
      <c r="AH206" s="198" t="s">
        <v>2823</v>
      </c>
      <c r="AI206" s="141" t="s">
        <v>2824</v>
      </c>
      <c r="AJ206" s="198" t="s">
        <v>2825</v>
      </c>
      <c r="AK206" s="141" t="s">
        <v>2826</v>
      </c>
      <c r="AL206" s="198" t="s">
        <v>2827</v>
      </c>
      <c r="AM206" s="141" t="s">
        <v>2831</v>
      </c>
      <c r="AN206" s="143" t="s">
        <v>2832</v>
      </c>
      <c r="AO206" s="2755" t="s">
        <v>2833</v>
      </c>
      <c r="AP206" s="2271" t="s">
        <v>2834</v>
      </c>
      <c r="AQ206" s="197" t="s">
        <v>3011</v>
      </c>
      <c r="AR206" s="198" t="s">
        <v>3012</v>
      </c>
      <c r="AS206" s="164" t="s">
        <v>3013</v>
      </c>
      <c r="AT206" s="141" t="s">
        <v>3014</v>
      </c>
      <c r="AU206" s="198" t="s">
        <v>3015</v>
      </c>
      <c r="AV206" s="198" t="s">
        <v>3206</v>
      </c>
      <c r="AW206" s="198" t="s">
        <v>3207</v>
      </c>
      <c r="AX206" s="1162" t="str">
        <f t="shared" si="53"/>
        <v xml:space="preserve">* Las gestantes egresadas del Programa NO debe ser mayor al Total de Mujeres egresadas. * Las madres de hijos menor de 5 años NO DEBE ser mayor al Total de Mujeres Egresadas al Programa. * Los Niños, Niñas, Adolescentes y Jóvenes de Programas SENAME NO DEBE ser mayor al Total de egresos del Programa. * Los Migrantes NO DEBEN ser mayor al Total de ingresos del Programa. </v>
      </c>
      <c r="AY206" s="1058"/>
      <c r="AZ206" s="1058"/>
      <c r="BA206" s="1058"/>
      <c r="BB206" s="1058"/>
      <c r="BC206" s="1058"/>
      <c r="BD206" s="1058"/>
      <c r="BE206" s="1058"/>
      <c r="BF206" s="1058"/>
      <c r="BG206" s="1058"/>
      <c r="BH206" s="1058"/>
      <c r="BI206" s="94"/>
      <c r="BJ206" s="94"/>
      <c r="BZ206" s="79"/>
      <c r="CB206" s="889" t="str">
        <f t="shared" si="41"/>
        <v xml:space="preserve">* Las gestantes egresadas del Programa NO debe ser mayor al Total de Mujeres egresadas. </v>
      </c>
      <c r="CC206" s="889" t="str">
        <f t="shared" si="42"/>
        <v xml:space="preserve">* Las madres de hijos menor de 5 años NO DEBE ser mayor al Total de Mujeres Egresadas al Programa. </v>
      </c>
      <c r="CD206" s="889" t="str">
        <f t="shared" si="43"/>
        <v/>
      </c>
      <c r="CE206" s="889" t="str">
        <f t="shared" si="44"/>
        <v xml:space="preserve">* Los Niños, Niñas, Adolescentes y Jóvenes de Programas SENAME NO DEBE ser mayor al Total de egresos del Programa. </v>
      </c>
      <c r="CF206" s="889" t="str">
        <f t="shared" si="45"/>
        <v xml:space="preserve">* Los Migrantes NO DEBEN ser mayor al Total de ingresos del Programa. </v>
      </c>
      <c r="CG206" s="889" t="str">
        <f t="shared" si="46"/>
        <v/>
      </c>
      <c r="CH206" s="1020">
        <f t="shared" si="47"/>
        <v>1</v>
      </c>
      <c r="CI206" s="1020">
        <f t="shared" si="48"/>
        <v>1</v>
      </c>
      <c r="CJ206" s="1020">
        <f t="shared" si="49"/>
        <v>0</v>
      </c>
      <c r="CK206" s="1020">
        <f t="shared" si="50"/>
        <v>1</v>
      </c>
      <c r="CL206" s="1020">
        <f t="shared" si="51"/>
        <v>1</v>
      </c>
      <c r="CM206" s="1020">
        <f t="shared" si="52"/>
        <v>0</v>
      </c>
      <c r="CN206" s="1020"/>
      <c r="DA206" s="80"/>
    </row>
    <row r="207" spans="1:105" ht="25.35" customHeight="1" x14ac:dyDescent="0.2">
      <c r="A207" s="2449" t="s">
        <v>3220</v>
      </c>
      <c r="B207" s="5103"/>
      <c r="C207" s="1252" t="s">
        <v>366</v>
      </c>
      <c r="D207" s="714" t="s">
        <v>2777</v>
      </c>
      <c r="E207" s="715" t="s">
        <v>2778</v>
      </c>
      <c r="F207" s="2433" t="s">
        <v>2779</v>
      </c>
      <c r="G207" s="141" t="s">
        <v>2780</v>
      </c>
      <c r="H207" s="198" t="s">
        <v>2781</v>
      </c>
      <c r="I207" s="141" t="s">
        <v>2782</v>
      </c>
      <c r="J207" s="198" t="s">
        <v>2783</v>
      </c>
      <c r="K207" s="141" t="s">
        <v>2784</v>
      </c>
      <c r="L207" s="198" t="s">
        <v>2785</v>
      </c>
      <c r="M207" s="141" t="s">
        <v>2786</v>
      </c>
      <c r="N207" s="198" t="s">
        <v>2787</v>
      </c>
      <c r="O207" s="141" t="s">
        <v>2788</v>
      </c>
      <c r="P207" s="198" t="s">
        <v>2789</v>
      </c>
      <c r="Q207" s="141" t="s">
        <v>2790</v>
      </c>
      <c r="R207" s="198" t="s">
        <v>2791</v>
      </c>
      <c r="S207" s="141" t="s">
        <v>2792</v>
      </c>
      <c r="T207" s="198" t="s">
        <v>2793</v>
      </c>
      <c r="U207" s="141" t="s">
        <v>2794</v>
      </c>
      <c r="V207" s="198" t="s">
        <v>2795</v>
      </c>
      <c r="W207" s="141" t="s">
        <v>2796</v>
      </c>
      <c r="X207" s="198" t="s">
        <v>2797</v>
      </c>
      <c r="Y207" s="141" t="s">
        <v>2798</v>
      </c>
      <c r="Z207" s="198" t="s">
        <v>2799</v>
      </c>
      <c r="AA207" s="141" t="s">
        <v>2800</v>
      </c>
      <c r="AB207" s="198" t="s">
        <v>2801</v>
      </c>
      <c r="AC207" s="141" t="s">
        <v>2817</v>
      </c>
      <c r="AD207" s="198" t="s">
        <v>2818</v>
      </c>
      <c r="AE207" s="141" t="s">
        <v>2819</v>
      </c>
      <c r="AF207" s="198" t="s">
        <v>2821</v>
      </c>
      <c r="AG207" s="141" t="s">
        <v>2822</v>
      </c>
      <c r="AH207" s="198" t="s">
        <v>2823</v>
      </c>
      <c r="AI207" s="141" t="s">
        <v>2824</v>
      </c>
      <c r="AJ207" s="198" t="s">
        <v>2825</v>
      </c>
      <c r="AK207" s="141" t="s">
        <v>2826</v>
      </c>
      <c r="AL207" s="198" t="s">
        <v>2827</v>
      </c>
      <c r="AM207" s="141" t="s">
        <v>2831</v>
      </c>
      <c r="AN207" s="143" t="s">
        <v>2832</v>
      </c>
      <c r="AO207" s="2755" t="s">
        <v>2833</v>
      </c>
      <c r="AP207" s="2271" t="s">
        <v>2834</v>
      </c>
      <c r="AQ207" s="197" t="s">
        <v>3011</v>
      </c>
      <c r="AR207" s="198" t="s">
        <v>3012</v>
      </c>
      <c r="AS207" s="164" t="s">
        <v>3013</v>
      </c>
      <c r="AT207" s="141" t="s">
        <v>3014</v>
      </c>
      <c r="AU207" s="198" t="s">
        <v>3015</v>
      </c>
      <c r="AV207" s="198" t="s">
        <v>3206</v>
      </c>
      <c r="AW207" s="198" t="s">
        <v>3207</v>
      </c>
      <c r="AX207" s="1162" t="str">
        <f t="shared" si="53"/>
        <v xml:space="preserve">* Las gestantes egresadas del Programa NO debe ser mayor al Total de Mujeres egresadas. * Las madres de hijos menor de 5 años NO DEBE ser mayor al Total de Mujeres Egresadas al Programa. * Los Niños, Niñas, Adolescentes y Jóvenes de Programas SENAME NO DEBE ser mayor al Total de egresos del Programa. * Los Migrantes NO DEBEN ser mayor al Total de ingresos del Programa. </v>
      </c>
      <c r="AY207" s="1058"/>
      <c r="AZ207" s="1058"/>
      <c r="BA207" s="1058"/>
      <c r="BB207" s="1058"/>
      <c r="BC207" s="1058"/>
      <c r="BD207" s="1058"/>
      <c r="BE207" s="1058"/>
      <c r="BF207" s="1058"/>
      <c r="BG207" s="1058"/>
      <c r="BH207" s="1058"/>
      <c r="BI207" s="94"/>
      <c r="BJ207" s="94"/>
      <c r="BZ207" s="79"/>
      <c r="CB207" s="889" t="str">
        <f t="shared" si="41"/>
        <v xml:space="preserve">* Las gestantes egresadas del Programa NO debe ser mayor al Total de Mujeres egresadas. </v>
      </c>
      <c r="CC207" s="889" t="str">
        <f t="shared" si="42"/>
        <v xml:space="preserve">* Las madres de hijos menor de 5 años NO DEBE ser mayor al Total de Mujeres Egresadas al Programa. </v>
      </c>
      <c r="CD207" s="889" t="str">
        <f t="shared" si="43"/>
        <v/>
      </c>
      <c r="CE207" s="889" t="str">
        <f t="shared" si="44"/>
        <v xml:space="preserve">* Los Niños, Niñas, Adolescentes y Jóvenes de Programas SENAME NO DEBE ser mayor al Total de egresos del Programa. </v>
      </c>
      <c r="CF207" s="889" t="str">
        <f t="shared" si="45"/>
        <v xml:space="preserve">* Los Migrantes NO DEBEN ser mayor al Total de ingresos del Programa. </v>
      </c>
      <c r="CG207" s="889" t="str">
        <f t="shared" si="46"/>
        <v/>
      </c>
      <c r="CH207" s="1020">
        <f t="shared" si="47"/>
        <v>1</v>
      </c>
      <c r="CI207" s="1020">
        <f t="shared" si="48"/>
        <v>1</v>
      </c>
      <c r="CJ207" s="1020">
        <f t="shared" si="49"/>
        <v>0</v>
      </c>
      <c r="CK207" s="1020">
        <f t="shared" si="50"/>
        <v>1</v>
      </c>
      <c r="CL207" s="1020">
        <f t="shared" si="51"/>
        <v>1</v>
      </c>
      <c r="CM207" s="1020">
        <f t="shared" si="52"/>
        <v>0</v>
      </c>
      <c r="CN207" s="1020"/>
      <c r="DA207" s="80"/>
    </row>
    <row r="208" spans="1:105" ht="16.350000000000001" customHeight="1" x14ac:dyDescent="0.2">
      <c r="A208" s="2449" t="s">
        <v>3221</v>
      </c>
      <c r="B208" s="5343"/>
      <c r="C208" s="2805" t="s">
        <v>367</v>
      </c>
      <c r="D208" s="2369" t="s">
        <v>2777</v>
      </c>
      <c r="E208" s="713" t="s">
        <v>2778</v>
      </c>
      <c r="F208" s="2434" t="s">
        <v>2779</v>
      </c>
      <c r="G208" s="2245" t="s">
        <v>2780</v>
      </c>
      <c r="H208" s="240" t="s">
        <v>2781</v>
      </c>
      <c r="I208" s="2245" t="s">
        <v>2782</v>
      </c>
      <c r="J208" s="240" t="s">
        <v>2783</v>
      </c>
      <c r="K208" s="2245" t="s">
        <v>2784</v>
      </c>
      <c r="L208" s="240" t="s">
        <v>2785</v>
      </c>
      <c r="M208" s="2245" t="s">
        <v>2786</v>
      </c>
      <c r="N208" s="240" t="s">
        <v>2787</v>
      </c>
      <c r="O208" s="2245" t="s">
        <v>2788</v>
      </c>
      <c r="P208" s="240" t="s">
        <v>2789</v>
      </c>
      <c r="Q208" s="2245" t="s">
        <v>2790</v>
      </c>
      <c r="R208" s="240" t="s">
        <v>2791</v>
      </c>
      <c r="S208" s="2245" t="s">
        <v>2792</v>
      </c>
      <c r="T208" s="240" t="s">
        <v>2793</v>
      </c>
      <c r="U208" s="2245" t="s">
        <v>2794</v>
      </c>
      <c r="V208" s="240" t="s">
        <v>2795</v>
      </c>
      <c r="W208" s="2245" t="s">
        <v>2796</v>
      </c>
      <c r="X208" s="240" t="s">
        <v>2797</v>
      </c>
      <c r="Y208" s="2245" t="s">
        <v>2798</v>
      </c>
      <c r="Z208" s="240" t="s">
        <v>2799</v>
      </c>
      <c r="AA208" s="2245" t="s">
        <v>2800</v>
      </c>
      <c r="AB208" s="240" t="s">
        <v>2801</v>
      </c>
      <c r="AC208" s="2245" t="s">
        <v>2817</v>
      </c>
      <c r="AD208" s="240" t="s">
        <v>2818</v>
      </c>
      <c r="AE208" s="2245" t="s">
        <v>2819</v>
      </c>
      <c r="AF208" s="240" t="s">
        <v>2821</v>
      </c>
      <c r="AG208" s="2245" t="s">
        <v>2822</v>
      </c>
      <c r="AH208" s="240" t="s">
        <v>2823</v>
      </c>
      <c r="AI208" s="2245" t="s">
        <v>2824</v>
      </c>
      <c r="AJ208" s="240" t="s">
        <v>2825</v>
      </c>
      <c r="AK208" s="2245" t="s">
        <v>2826</v>
      </c>
      <c r="AL208" s="240" t="s">
        <v>2827</v>
      </c>
      <c r="AM208" s="2245" t="s">
        <v>2831</v>
      </c>
      <c r="AN208" s="148" t="s">
        <v>2832</v>
      </c>
      <c r="AO208" s="635" t="s">
        <v>2833</v>
      </c>
      <c r="AP208" s="126" t="s">
        <v>2834</v>
      </c>
      <c r="AQ208" s="168" t="s">
        <v>3011</v>
      </c>
      <c r="AR208" s="240" t="s">
        <v>3012</v>
      </c>
      <c r="AS208" s="2324" t="s">
        <v>3013</v>
      </c>
      <c r="AT208" s="2245" t="s">
        <v>3014</v>
      </c>
      <c r="AU208" s="240" t="s">
        <v>3015</v>
      </c>
      <c r="AV208" s="240" t="s">
        <v>3206</v>
      </c>
      <c r="AW208" s="240" t="s">
        <v>3207</v>
      </c>
      <c r="AX208" s="1162" t="str">
        <f t="shared" si="53"/>
        <v xml:space="preserve">* Las gestantes egresadas del Programa NO debe ser mayor al Total de Mujeres egresadas. * Las madres de hijos menor de 5 años NO DEBE ser mayor al Total de Mujeres Egresadas al Programa. * Los Niños, Niñas, Adolescentes y Jóvenes de Programas SENAME NO DEBE ser mayor al Total de egresos del Programa. * Los Migrantes NO DEBEN ser mayor al Total de ingresos del Programa. </v>
      </c>
      <c r="AY208" s="1058"/>
      <c r="AZ208" s="1058"/>
      <c r="BA208" s="1058"/>
      <c r="BB208" s="1058"/>
      <c r="BC208" s="1058"/>
      <c r="BD208" s="1058"/>
      <c r="BE208" s="1058"/>
      <c r="BF208" s="1058"/>
      <c r="BG208" s="1058"/>
      <c r="BH208" s="1058"/>
      <c r="BI208" s="94"/>
      <c r="BJ208" s="94"/>
      <c r="BZ208" s="79"/>
      <c r="CB208" s="889" t="str">
        <f t="shared" si="41"/>
        <v xml:space="preserve">* Las gestantes egresadas del Programa NO debe ser mayor al Total de Mujeres egresadas. </v>
      </c>
      <c r="CC208" s="889" t="str">
        <f t="shared" si="42"/>
        <v xml:space="preserve">* Las madres de hijos menor de 5 años NO DEBE ser mayor al Total de Mujeres Egresadas al Programa. </v>
      </c>
      <c r="CD208" s="889" t="str">
        <f t="shared" si="43"/>
        <v/>
      </c>
      <c r="CE208" s="889" t="str">
        <f t="shared" si="44"/>
        <v xml:space="preserve">* Los Niños, Niñas, Adolescentes y Jóvenes de Programas SENAME NO DEBE ser mayor al Total de egresos del Programa. </v>
      </c>
      <c r="CF208" s="889" t="str">
        <f t="shared" si="45"/>
        <v xml:space="preserve">* Los Migrantes NO DEBEN ser mayor al Total de ingresos del Programa. </v>
      </c>
      <c r="CG208" s="889" t="str">
        <f t="shared" si="46"/>
        <v/>
      </c>
      <c r="CH208" s="1020">
        <f t="shared" si="47"/>
        <v>1</v>
      </c>
      <c r="CI208" s="1020">
        <f t="shared" si="48"/>
        <v>1</v>
      </c>
      <c r="CJ208" s="1020">
        <f t="shared" si="49"/>
        <v>0</v>
      </c>
      <c r="CK208" s="1020">
        <f t="shared" si="50"/>
        <v>1</v>
      </c>
      <c r="CL208" s="1020">
        <f t="shared" si="51"/>
        <v>1</v>
      </c>
      <c r="CM208" s="1020">
        <f t="shared" si="52"/>
        <v>0</v>
      </c>
      <c r="CN208" s="1020"/>
      <c r="DA208" s="80"/>
    </row>
    <row r="209" spans="1:105" ht="28.5" customHeight="1" x14ac:dyDescent="0.2">
      <c r="A209" s="2449" t="s">
        <v>3222</v>
      </c>
      <c r="B209" s="5250" t="s">
        <v>368</v>
      </c>
      <c r="C209" s="2806" t="s">
        <v>369</v>
      </c>
      <c r="D209" s="2765" t="s">
        <v>2777</v>
      </c>
      <c r="E209" s="2766" t="s">
        <v>2778</v>
      </c>
      <c r="F209" s="2767" t="s">
        <v>2779</v>
      </c>
      <c r="G209" s="2483" t="s">
        <v>2780</v>
      </c>
      <c r="H209" s="2499" t="s">
        <v>2781</v>
      </c>
      <c r="I209" s="2483" t="s">
        <v>2782</v>
      </c>
      <c r="J209" s="2499" t="s">
        <v>2783</v>
      </c>
      <c r="K209" s="2483" t="s">
        <v>2784</v>
      </c>
      <c r="L209" s="2499" t="s">
        <v>2785</v>
      </c>
      <c r="M209" s="2483" t="s">
        <v>2786</v>
      </c>
      <c r="N209" s="2499" t="s">
        <v>2787</v>
      </c>
      <c r="O209" s="2483" t="s">
        <v>2788</v>
      </c>
      <c r="P209" s="2499" t="s">
        <v>2789</v>
      </c>
      <c r="Q209" s="2483" t="s">
        <v>2790</v>
      </c>
      <c r="R209" s="2499" t="s">
        <v>2791</v>
      </c>
      <c r="S209" s="2483" t="s">
        <v>2792</v>
      </c>
      <c r="T209" s="2499" t="s">
        <v>2793</v>
      </c>
      <c r="U209" s="2483" t="s">
        <v>2794</v>
      </c>
      <c r="V209" s="2499" t="s">
        <v>2795</v>
      </c>
      <c r="W209" s="2483" t="s">
        <v>2796</v>
      </c>
      <c r="X209" s="2499" t="s">
        <v>2797</v>
      </c>
      <c r="Y209" s="2483" t="s">
        <v>2798</v>
      </c>
      <c r="Z209" s="2499" t="s">
        <v>2799</v>
      </c>
      <c r="AA209" s="2483" t="s">
        <v>2800</v>
      </c>
      <c r="AB209" s="2499" t="s">
        <v>2801</v>
      </c>
      <c r="AC209" s="2483" t="s">
        <v>2817</v>
      </c>
      <c r="AD209" s="2499" t="s">
        <v>2818</v>
      </c>
      <c r="AE209" s="2483" t="s">
        <v>2819</v>
      </c>
      <c r="AF209" s="2499" t="s">
        <v>2821</v>
      </c>
      <c r="AG209" s="2483" t="s">
        <v>2822</v>
      </c>
      <c r="AH209" s="2499" t="s">
        <v>2823</v>
      </c>
      <c r="AI209" s="2483" t="s">
        <v>2824</v>
      </c>
      <c r="AJ209" s="2499" t="s">
        <v>2825</v>
      </c>
      <c r="AK209" s="2807" t="s">
        <v>2826</v>
      </c>
      <c r="AL209" s="2786" t="s">
        <v>2827</v>
      </c>
      <c r="AM209" s="2483" t="s">
        <v>2831</v>
      </c>
      <c r="AN209" s="2587" t="s">
        <v>2832</v>
      </c>
      <c r="AO209" s="2755" t="s">
        <v>2833</v>
      </c>
      <c r="AP209" s="2271" t="s">
        <v>2834</v>
      </c>
      <c r="AQ209" s="197" t="s">
        <v>3011</v>
      </c>
      <c r="AR209" s="2499" t="s">
        <v>3012</v>
      </c>
      <c r="AS209" s="2455" t="s">
        <v>3013</v>
      </c>
      <c r="AT209" s="2483" t="s">
        <v>3014</v>
      </c>
      <c r="AU209" s="2499" t="s">
        <v>3015</v>
      </c>
      <c r="AV209" s="2499" t="s">
        <v>3206</v>
      </c>
      <c r="AW209" s="2499" t="s">
        <v>3207</v>
      </c>
      <c r="AX209" s="1162" t="str">
        <f t="shared" si="53"/>
        <v xml:space="preserve">* Las gestantes egresadas del Programa NO debe ser mayor al Total de Mujeres egresadas. * Las madres de hijos menor de 5 años NO DEBE ser mayor al Total de Mujeres Egresadas al Programa. * Los Niños, Niñas, Adolescentes y Jóvenes de Programas SENAME NO DEBE ser mayor al Total de egresos del Programa. * Los Migrantes NO DEBEN ser mayor al Total de ingresos del Programa. </v>
      </c>
      <c r="AY209" s="1058"/>
      <c r="AZ209" s="1058"/>
      <c r="BA209" s="1058"/>
      <c r="BB209" s="1058"/>
      <c r="BC209" s="1058"/>
      <c r="BD209" s="1058"/>
      <c r="BE209" s="1058"/>
      <c r="BF209" s="1058"/>
      <c r="BG209" s="1058"/>
      <c r="BH209" s="1058"/>
      <c r="BI209" s="94"/>
      <c r="BJ209" s="94"/>
      <c r="BZ209" s="79"/>
      <c r="CB209" s="889" t="str">
        <f t="shared" si="41"/>
        <v xml:space="preserve">* Las gestantes egresadas del Programa NO debe ser mayor al Total de Mujeres egresadas. </v>
      </c>
      <c r="CC209" s="889" t="str">
        <f t="shared" si="42"/>
        <v xml:space="preserve">* Las madres de hijos menor de 5 años NO DEBE ser mayor al Total de Mujeres Egresadas al Programa. </v>
      </c>
      <c r="CD209" s="889" t="str">
        <f t="shared" si="43"/>
        <v/>
      </c>
      <c r="CE209" s="889" t="str">
        <f t="shared" si="44"/>
        <v xml:space="preserve">* Los Niños, Niñas, Adolescentes y Jóvenes de Programas SENAME NO DEBE ser mayor al Total de egresos del Programa. </v>
      </c>
      <c r="CF209" s="889" t="str">
        <f t="shared" si="45"/>
        <v xml:space="preserve">* Los Migrantes NO DEBEN ser mayor al Total de ingresos del Programa. </v>
      </c>
      <c r="CG209" s="889" t="str">
        <f t="shared" si="46"/>
        <v/>
      </c>
      <c r="CH209" s="1020">
        <f t="shared" si="47"/>
        <v>1</v>
      </c>
      <c r="CI209" s="1020">
        <f t="shared" si="48"/>
        <v>1</v>
      </c>
      <c r="CJ209" s="1020">
        <f t="shared" si="49"/>
        <v>0</v>
      </c>
      <c r="CK209" s="1020">
        <f t="shared" si="50"/>
        <v>1</v>
      </c>
      <c r="CL209" s="1020">
        <f t="shared" si="51"/>
        <v>1</v>
      </c>
      <c r="CM209" s="1020">
        <f t="shared" si="52"/>
        <v>0</v>
      </c>
      <c r="CN209" s="1020"/>
      <c r="DA209" s="80"/>
    </row>
    <row r="210" spans="1:105" ht="27.75" customHeight="1" x14ac:dyDescent="0.2">
      <c r="A210" s="2449" t="s">
        <v>3223</v>
      </c>
      <c r="B210" s="5252"/>
      <c r="C210" s="1253" t="s">
        <v>370</v>
      </c>
      <c r="D210" s="714" t="s">
        <v>2777</v>
      </c>
      <c r="E210" s="715" t="s">
        <v>2778</v>
      </c>
      <c r="F210" s="2433" t="s">
        <v>2779</v>
      </c>
      <c r="G210" s="141" t="s">
        <v>2780</v>
      </c>
      <c r="H210" s="198" t="s">
        <v>2781</v>
      </c>
      <c r="I210" s="141" t="s">
        <v>2782</v>
      </c>
      <c r="J210" s="198" t="s">
        <v>2783</v>
      </c>
      <c r="K210" s="141" t="s">
        <v>2784</v>
      </c>
      <c r="L210" s="198" t="s">
        <v>2785</v>
      </c>
      <c r="M210" s="141" t="s">
        <v>2786</v>
      </c>
      <c r="N210" s="198" t="s">
        <v>2787</v>
      </c>
      <c r="O210" s="141" t="s">
        <v>2788</v>
      </c>
      <c r="P210" s="198" t="s">
        <v>2789</v>
      </c>
      <c r="Q210" s="141" t="s">
        <v>2790</v>
      </c>
      <c r="R210" s="198" t="s">
        <v>2791</v>
      </c>
      <c r="S210" s="141" t="s">
        <v>2792</v>
      </c>
      <c r="T210" s="198" t="s">
        <v>2793</v>
      </c>
      <c r="U210" s="141" t="s">
        <v>2794</v>
      </c>
      <c r="V210" s="198" t="s">
        <v>2795</v>
      </c>
      <c r="W210" s="141" t="s">
        <v>2796</v>
      </c>
      <c r="X210" s="198" t="s">
        <v>2797</v>
      </c>
      <c r="Y210" s="141" t="s">
        <v>2798</v>
      </c>
      <c r="Z210" s="198" t="s">
        <v>2799</v>
      </c>
      <c r="AA210" s="141" t="s">
        <v>2800</v>
      </c>
      <c r="AB210" s="198" t="s">
        <v>2801</v>
      </c>
      <c r="AC210" s="141" t="s">
        <v>2817</v>
      </c>
      <c r="AD210" s="198" t="s">
        <v>2818</v>
      </c>
      <c r="AE210" s="141" t="s">
        <v>2819</v>
      </c>
      <c r="AF210" s="198" t="s">
        <v>2821</v>
      </c>
      <c r="AG210" s="141" t="s">
        <v>2822</v>
      </c>
      <c r="AH210" s="198" t="s">
        <v>2823</v>
      </c>
      <c r="AI210" s="141" t="s">
        <v>2824</v>
      </c>
      <c r="AJ210" s="198" t="s">
        <v>2825</v>
      </c>
      <c r="AK210" s="2245" t="s">
        <v>2826</v>
      </c>
      <c r="AL210" s="240" t="s">
        <v>2827</v>
      </c>
      <c r="AM210" s="141" t="s">
        <v>2831</v>
      </c>
      <c r="AN210" s="143" t="s">
        <v>2832</v>
      </c>
      <c r="AO210" s="2755" t="s">
        <v>2833</v>
      </c>
      <c r="AP210" s="2271" t="s">
        <v>2834</v>
      </c>
      <c r="AQ210" s="197" t="s">
        <v>3011</v>
      </c>
      <c r="AR210" s="198" t="s">
        <v>3012</v>
      </c>
      <c r="AS210" s="164" t="s">
        <v>3013</v>
      </c>
      <c r="AT210" s="141" t="s">
        <v>3014</v>
      </c>
      <c r="AU210" s="198" t="s">
        <v>3015</v>
      </c>
      <c r="AV210" s="198" t="s">
        <v>3206</v>
      </c>
      <c r="AW210" s="198" t="s">
        <v>3207</v>
      </c>
      <c r="AX210" s="1162" t="str">
        <f t="shared" si="53"/>
        <v xml:space="preserve">* Las gestantes egresadas del Programa NO debe ser mayor al Total de Mujeres egresadas. * Las madres de hijos menor de 5 años NO DEBE ser mayor al Total de Mujeres Egresadas al Programa. * Los Niños, Niñas, Adolescentes y Jóvenes de Programas SENAME NO DEBE ser mayor al Total de egresos del Programa. * Los Migrantes NO DEBEN ser mayor al Total de ingresos del Programa. </v>
      </c>
      <c r="AY210" s="1058"/>
      <c r="AZ210" s="1058"/>
      <c r="BA210" s="1058"/>
      <c r="BB210" s="1058"/>
      <c r="BC210" s="1058"/>
      <c r="BD210" s="1058"/>
      <c r="BE210" s="1058"/>
      <c r="BF210" s="1058"/>
      <c r="BG210" s="1058"/>
      <c r="BH210" s="1058"/>
      <c r="BI210" s="94"/>
      <c r="BJ210" s="94"/>
      <c r="BZ210" s="79"/>
      <c r="CB210" s="889" t="str">
        <f t="shared" si="41"/>
        <v xml:space="preserve">* Las gestantes egresadas del Programa NO debe ser mayor al Total de Mujeres egresadas. </v>
      </c>
      <c r="CC210" s="889" t="str">
        <f t="shared" si="42"/>
        <v xml:space="preserve">* Las madres de hijos menor de 5 años NO DEBE ser mayor al Total de Mujeres Egresadas al Programa. </v>
      </c>
      <c r="CD210" s="889" t="str">
        <f t="shared" si="43"/>
        <v/>
      </c>
      <c r="CE210" s="889" t="str">
        <f t="shared" si="44"/>
        <v xml:space="preserve">* Los Niños, Niñas, Adolescentes y Jóvenes de Programas SENAME NO DEBE ser mayor al Total de egresos del Programa. </v>
      </c>
      <c r="CF210" s="889" t="str">
        <f t="shared" si="45"/>
        <v xml:space="preserve">* Los Migrantes NO DEBEN ser mayor al Total de ingresos del Programa. </v>
      </c>
      <c r="CG210" s="889" t="str">
        <f t="shared" si="46"/>
        <v/>
      </c>
      <c r="CH210" s="1020">
        <f t="shared" si="47"/>
        <v>1</v>
      </c>
      <c r="CI210" s="1020">
        <f t="shared" si="48"/>
        <v>1</v>
      </c>
      <c r="CJ210" s="1020">
        <f t="shared" si="49"/>
        <v>0</v>
      </c>
      <c r="CK210" s="1020">
        <f t="shared" si="50"/>
        <v>1</v>
      </c>
      <c r="CL210" s="1020">
        <f t="shared" si="51"/>
        <v>1</v>
      </c>
      <c r="CM210" s="1020">
        <f t="shared" si="52"/>
        <v>0</v>
      </c>
      <c r="CN210" s="1020"/>
      <c r="DA210" s="80"/>
    </row>
    <row r="211" spans="1:105" ht="27" customHeight="1" x14ac:dyDescent="0.2">
      <c r="A211" s="2449" t="s">
        <v>3224</v>
      </c>
      <c r="B211" s="5253"/>
      <c r="C211" s="1250" t="s">
        <v>371</v>
      </c>
      <c r="D211" s="716" t="s">
        <v>2777</v>
      </c>
      <c r="E211" s="717" t="s">
        <v>2778</v>
      </c>
      <c r="F211" s="384" t="s">
        <v>2779</v>
      </c>
      <c r="G211" s="166" t="s">
        <v>2780</v>
      </c>
      <c r="H211" s="168" t="s">
        <v>2781</v>
      </c>
      <c r="I211" s="166" t="s">
        <v>2782</v>
      </c>
      <c r="J211" s="168" t="s">
        <v>2783</v>
      </c>
      <c r="K211" s="166" t="s">
        <v>2784</v>
      </c>
      <c r="L211" s="168" t="s">
        <v>2785</v>
      </c>
      <c r="M211" s="166" t="s">
        <v>2786</v>
      </c>
      <c r="N211" s="168" t="s">
        <v>2787</v>
      </c>
      <c r="O211" s="166" t="s">
        <v>2788</v>
      </c>
      <c r="P211" s="168" t="s">
        <v>2789</v>
      </c>
      <c r="Q211" s="166" t="s">
        <v>2790</v>
      </c>
      <c r="R211" s="168" t="s">
        <v>2791</v>
      </c>
      <c r="S211" s="166" t="s">
        <v>2792</v>
      </c>
      <c r="T211" s="168" t="s">
        <v>2793</v>
      </c>
      <c r="U211" s="166" t="s">
        <v>2794</v>
      </c>
      <c r="V211" s="168" t="s">
        <v>2795</v>
      </c>
      <c r="W211" s="166" t="s">
        <v>2796</v>
      </c>
      <c r="X211" s="168" t="s">
        <v>2797</v>
      </c>
      <c r="Y211" s="166" t="s">
        <v>2798</v>
      </c>
      <c r="Z211" s="168" t="s">
        <v>2799</v>
      </c>
      <c r="AA211" s="166" t="s">
        <v>2800</v>
      </c>
      <c r="AB211" s="168" t="s">
        <v>2801</v>
      </c>
      <c r="AC211" s="166" t="s">
        <v>2817</v>
      </c>
      <c r="AD211" s="168" t="s">
        <v>2818</v>
      </c>
      <c r="AE211" s="166" t="s">
        <v>2819</v>
      </c>
      <c r="AF211" s="168" t="s">
        <v>2821</v>
      </c>
      <c r="AG211" s="166" t="s">
        <v>2822</v>
      </c>
      <c r="AH211" s="168" t="s">
        <v>2823</v>
      </c>
      <c r="AI211" s="166" t="s">
        <v>2824</v>
      </c>
      <c r="AJ211" s="168" t="s">
        <v>2825</v>
      </c>
      <c r="AK211" s="166" t="s">
        <v>2826</v>
      </c>
      <c r="AL211" s="168" t="s">
        <v>2827</v>
      </c>
      <c r="AM211" s="166" t="s">
        <v>2831</v>
      </c>
      <c r="AN211" s="265" t="s">
        <v>2832</v>
      </c>
      <c r="AO211" s="635" t="s">
        <v>2833</v>
      </c>
      <c r="AP211" s="126" t="s">
        <v>2834</v>
      </c>
      <c r="AQ211" s="168" t="s">
        <v>3011</v>
      </c>
      <c r="AR211" s="168" t="s">
        <v>3012</v>
      </c>
      <c r="AS211" s="105" t="s">
        <v>3013</v>
      </c>
      <c r="AT211" s="166" t="s">
        <v>3014</v>
      </c>
      <c r="AU211" s="168" t="s">
        <v>3015</v>
      </c>
      <c r="AV211" s="168" t="s">
        <v>3206</v>
      </c>
      <c r="AW211" s="168" t="s">
        <v>3207</v>
      </c>
      <c r="AX211" s="1162" t="str">
        <f t="shared" si="53"/>
        <v xml:space="preserve">* Las gestantes egresadas del Programa NO debe ser mayor al Total de Mujeres egresadas. * Las madres de hijos menor de 5 años NO DEBE ser mayor al Total de Mujeres Egresadas al Programa. * Los Niños, Niñas, Adolescentes y Jóvenes de Programas SENAME NO DEBE ser mayor al Total de egresos del Programa. * Los Migrantes NO DEBEN ser mayor al Total de ingresos del Programa. </v>
      </c>
      <c r="AY211" s="1058"/>
      <c r="AZ211" s="1058"/>
      <c r="BA211" s="1058"/>
      <c r="BB211" s="1058"/>
      <c r="BC211" s="1058"/>
      <c r="BD211" s="1058"/>
      <c r="BE211" s="1058"/>
      <c r="BF211" s="1058"/>
      <c r="BG211" s="1058"/>
      <c r="BH211" s="1058"/>
      <c r="BI211" s="94"/>
      <c r="BJ211" s="94"/>
      <c r="BZ211" s="79"/>
      <c r="CB211" s="889" t="str">
        <f t="shared" si="41"/>
        <v xml:space="preserve">* Las gestantes egresadas del Programa NO debe ser mayor al Total de Mujeres egresadas. </v>
      </c>
      <c r="CC211" s="889" t="str">
        <f t="shared" si="42"/>
        <v xml:space="preserve">* Las madres de hijos menor de 5 años NO DEBE ser mayor al Total de Mujeres Egresadas al Programa. </v>
      </c>
      <c r="CD211" s="889" t="str">
        <f t="shared" si="43"/>
        <v/>
      </c>
      <c r="CE211" s="889" t="str">
        <f t="shared" si="44"/>
        <v xml:space="preserve">* Los Niños, Niñas, Adolescentes y Jóvenes de Programas SENAME NO DEBE ser mayor al Total de egresos del Programa. </v>
      </c>
      <c r="CF211" s="889" t="str">
        <f t="shared" si="45"/>
        <v xml:space="preserve">* Los Migrantes NO DEBEN ser mayor al Total de ingresos del Programa. </v>
      </c>
      <c r="CG211" s="889" t="str">
        <f t="shared" si="46"/>
        <v/>
      </c>
      <c r="CH211" s="1020">
        <f t="shared" si="47"/>
        <v>1</v>
      </c>
      <c r="CI211" s="1020">
        <f t="shared" si="48"/>
        <v>1</v>
      </c>
      <c r="CJ211" s="1020">
        <f t="shared" si="49"/>
        <v>0</v>
      </c>
      <c r="CK211" s="1020">
        <f t="shared" si="50"/>
        <v>1</v>
      </c>
      <c r="CL211" s="1020">
        <f t="shared" si="51"/>
        <v>1</v>
      </c>
      <c r="CM211" s="1020">
        <f t="shared" si="52"/>
        <v>0</v>
      </c>
      <c r="CN211" s="1020"/>
      <c r="DA211" s="80"/>
    </row>
    <row r="212" spans="1:105" ht="25.5" customHeight="1" x14ac:dyDescent="0.2">
      <c r="A212" s="2449" t="s">
        <v>3225</v>
      </c>
      <c r="B212" s="5250" t="s">
        <v>372</v>
      </c>
      <c r="C212" s="2647" t="s">
        <v>373</v>
      </c>
      <c r="D212" s="2765" t="s">
        <v>2777</v>
      </c>
      <c r="E212" s="2766" t="s">
        <v>2778</v>
      </c>
      <c r="F212" s="2767" t="s">
        <v>2779</v>
      </c>
      <c r="G212" s="2483" t="s">
        <v>2780</v>
      </c>
      <c r="H212" s="2499" t="s">
        <v>2781</v>
      </c>
      <c r="I212" s="2483" t="s">
        <v>2782</v>
      </c>
      <c r="J212" s="2499" t="s">
        <v>2783</v>
      </c>
      <c r="K212" s="2483" t="s">
        <v>2784</v>
      </c>
      <c r="L212" s="2499" t="s">
        <v>2785</v>
      </c>
      <c r="M212" s="2483" t="s">
        <v>2786</v>
      </c>
      <c r="N212" s="2499" t="s">
        <v>2787</v>
      </c>
      <c r="O212" s="2483" t="s">
        <v>2788</v>
      </c>
      <c r="P212" s="2499" t="s">
        <v>2789</v>
      </c>
      <c r="Q212" s="2452" t="s">
        <v>2790</v>
      </c>
      <c r="R212" s="2457" t="s">
        <v>2791</v>
      </c>
      <c r="S212" s="2452" t="s">
        <v>2792</v>
      </c>
      <c r="T212" s="2457" t="s">
        <v>2793</v>
      </c>
      <c r="U212" s="2452" t="s">
        <v>2794</v>
      </c>
      <c r="V212" s="2457" t="s">
        <v>2795</v>
      </c>
      <c r="W212" s="2452" t="s">
        <v>2796</v>
      </c>
      <c r="X212" s="2457" t="s">
        <v>2797</v>
      </c>
      <c r="Y212" s="2452" t="s">
        <v>2798</v>
      </c>
      <c r="Z212" s="2457" t="s">
        <v>2799</v>
      </c>
      <c r="AA212" s="2452" t="s">
        <v>2800</v>
      </c>
      <c r="AB212" s="2457" t="s">
        <v>2801</v>
      </c>
      <c r="AC212" s="2452" t="s">
        <v>2817</v>
      </c>
      <c r="AD212" s="2457" t="s">
        <v>2818</v>
      </c>
      <c r="AE212" s="2452" t="s">
        <v>2819</v>
      </c>
      <c r="AF212" s="2457" t="s">
        <v>2821</v>
      </c>
      <c r="AG212" s="2452" t="s">
        <v>2822</v>
      </c>
      <c r="AH212" s="2457" t="s">
        <v>2823</v>
      </c>
      <c r="AI212" s="2452" t="s">
        <v>2824</v>
      </c>
      <c r="AJ212" s="2457" t="s">
        <v>2825</v>
      </c>
      <c r="AK212" s="2452" t="s">
        <v>2826</v>
      </c>
      <c r="AL212" s="2457" t="s">
        <v>2827</v>
      </c>
      <c r="AM212" s="2452" t="s">
        <v>2831</v>
      </c>
      <c r="AN212" s="2808" t="s">
        <v>2832</v>
      </c>
      <c r="AO212" s="2750" t="s">
        <v>2833</v>
      </c>
      <c r="AP212" s="2487" t="s">
        <v>2834</v>
      </c>
      <c r="AQ212" s="2499" t="s">
        <v>3011</v>
      </c>
      <c r="AR212" s="2499" t="s">
        <v>3012</v>
      </c>
      <c r="AS212" s="2456" t="s">
        <v>3013</v>
      </c>
      <c r="AT212" s="2483" t="s">
        <v>3014</v>
      </c>
      <c r="AU212" s="2499" t="s">
        <v>3015</v>
      </c>
      <c r="AV212" s="2499" t="s">
        <v>3206</v>
      </c>
      <c r="AW212" s="2499" t="s">
        <v>3207</v>
      </c>
      <c r="AX212" s="1162" t="str">
        <f t="shared" si="53"/>
        <v xml:space="preserve">* Las gestantes egresadas del Programa NO debe ser mayor al Total de Mujeres egresadas. * Las madres de hijos menor de 5 años NO DEBE ser mayor al Total de Mujeres Egresadas al Programa. * Los Niños, Niñas, Adolescentes y Jóvenes de Programas SENAME NO DEBE ser mayor al Total de egresos del Programa. * Los Migrantes NO DEBEN ser mayor al Total de ingresos del Programa. </v>
      </c>
      <c r="AY212" s="1058"/>
      <c r="AZ212" s="1058"/>
      <c r="BA212" s="1058"/>
      <c r="BB212" s="1058"/>
      <c r="BC212" s="1058"/>
      <c r="BD212" s="1058"/>
      <c r="BE212" s="1058"/>
      <c r="BF212" s="1058"/>
      <c r="BG212" s="1058"/>
      <c r="BH212" s="1058"/>
      <c r="BI212" s="94"/>
      <c r="BJ212" s="94"/>
      <c r="BZ212" s="79"/>
      <c r="CB212" s="889" t="str">
        <f t="shared" si="41"/>
        <v xml:space="preserve">* Las gestantes egresadas del Programa NO debe ser mayor al Total de Mujeres egresadas. </v>
      </c>
      <c r="CC212" s="889" t="str">
        <f t="shared" si="42"/>
        <v xml:space="preserve">* Las madres de hijos menor de 5 años NO DEBE ser mayor al Total de Mujeres Egresadas al Programa. </v>
      </c>
      <c r="CD212" s="889" t="str">
        <f t="shared" si="43"/>
        <v/>
      </c>
      <c r="CE212" s="889" t="str">
        <f t="shared" si="44"/>
        <v xml:space="preserve">* Los Niños, Niñas, Adolescentes y Jóvenes de Programas SENAME NO DEBE ser mayor al Total de egresos del Programa. </v>
      </c>
      <c r="CF212" s="889" t="str">
        <f t="shared" si="45"/>
        <v xml:space="preserve">* Los Migrantes NO DEBEN ser mayor al Total de ingresos del Programa. </v>
      </c>
      <c r="CG212" s="889" t="str">
        <f t="shared" si="46"/>
        <v/>
      </c>
      <c r="CH212" s="1020">
        <f t="shared" si="47"/>
        <v>1</v>
      </c>
      <c r="CI212" s="1020">
        <f t="shared" si="48"/>
        <v>1</v>
      </c>
      <c r="CJ212" s="1020">
        <f t="shared" si="49"/>
        <v>0</v>
      </c>
      <c r="CK212" s="1020">
        <f t="shared" si="50"/>
        <v>1</v>
      </c>
      <c r="CL212" s="1020">
        <f t="shared" si="51"/>
        <v>1</v>
      </c>
      <c r="CM212" s="1020">
        <f t="shared" si="52"/>
        <v>0</v>
      </c>
      <c r="CN212" s="1020"/>
      <c r="DA212" s="80"/>
    </row>
    <row r="213" spans="1:105" ht="26.25" customHeight="1" x14ac:dyDescent="0.2">
      <c r="A213" s="2449" t="s">
        <v>3226</v>
      </c>
      <c r="B213" s="5252"/>
      <c r="C213" s="1249" t="s">
        <v>374</v>
      </c>
      <c r="D213" s="714" t="s">
        <v>2777</v>
      </c>
      <c r="E213" s="715" t="s">
        <v>2778</v>
      </c>
      <c r="F213" s="2433" t="s">
        <v>2779</v>
      </c>
      <c r="G213" s="141" t="s">
        <v>2780</v>
      </c>
      <c r="H213" s="198" t="s">
        <v>2781</v>
      </c>
      <c r="I213" s="141" t="s">
        <v>2782</v>
      </c>
      <c r="J213" s="198" t="s">
        <v>2783</v>
      </c>
      <c r="K213" s="141" t="s">
        <v>2784</v>
      </c>
      <c r="L213" s="198" t="s">
        <v>2785</v>
      </c>
      <c r="M213" s="141" t="s">
        <v>2786</v>
      </c>
      <c r="N213" s="198" t="s">
        <v>2787</v>
      </c>
      <c r="O213" s="141" t="s">
        <v>2788</v>
      </c>
      <c r="P213" s="198" t="s">
        <v>2789</v>
      </c>
      <c r="Q213" s="173" t="s">
        <v>2790</v>
      </c>
      <c r="R213" s="174" t="s">
        <v>2791</v>
      </c>
      <c r="S213" s="173" t="s">
        <v>2792</v>
      </c>
      <c r="T213" s="174" t="s">
        <v>2793</v>
      </c>
      <c r="U213" s="173" t="s">
        <v>2794</v>
      </c>
      <c r="V213" s="174" t="s">
        <v>2795</v>
      </c>
      <c r="W213" s="173" t="s">
        <v>2796</v>
      </c>
      <c r="X213" s="174" t="s">
        <v>2797</v>
      </c>
      <c r="Y213" s="173" t="s">
        <v>2798</v>
      </c>
      <c r="Z213" s="174" t="s">
        <v>2799</v>
      </c>
      <c r="AA213" s="173" t="s">
        <v>2800</v>
      </c>
      <c r="AB213" s="174" t="s">
        <v>2801</v>
      </c>
      <c r="AC213" s="173" t="s">
        <v>2817</v>
      </c>
      <c r="AD213" s="174" t="s">
        <v>2818</v>
      </c>
      <c r="AE213" s="173" t="s">
        <v>2819</v>
      </c>
      <c r="AF213" s="174" t="s">
        <v>2821</v>
      </c>
      <c r="AG213" s="173" t="s">
        <v>2822</v>
      </c>
      <c r="AH213" s="174" t="s">
        <v>2823</v>
      </c>
      <c r="AI213" s="173" t="s">
        <v>2824</v>
      </c>
      <c r="AJ213" s="174" t="s">
        <v>2825</v>
      </c>
      <c r="AK213" s="173" t="s">
        <v>2826</v>
      </c>
      <c r="AL213" s="174" t="s">
        <v>2827</v>
      </c>
      <c r="AM213" s="173" t="s">
        <v>2831</v>
      </c>
      <c r="AN213" s="506" t="s">
        <v>2832</v>
      </c>
      <c r="AO213" s="2755" t="s">
        <v>2833</v>
      </c>
      <c r="AP213" s="2271" t="s">
        <v>2834</v>
      </c>
      <c r="AQ213" s="197" t="s">
        <v>3011</v>
      </c>
      <c r="AR213" s="198" t="s">
        <v>3012</v>
      </c>
      <c r="AS213" s="149" t="s">
        <v>3013</v>
      </c>
      <c r="AT213" s="141" t="s">
        <v>3014</v>
      </c>
      <c r="AU213" s="198" t="s">
        <v>3015</v>
      </c>
      <c r="AV213" s="198" t="s">
        <v>3206</v>
      </c>
      <c r="AW213" s="198" t="s">
        <v>3207</v>
      </c>
      <c r="AX213" s="1162" t="str">
        <f t="shared" si="53"/>
        <v xml:space="preserve">* Las gestantes egresadas del Programa NO debe ser mayor al Total de Mujeres egresadas. * Las madres de hijos menor de 5 años NO DEBE ser mayor al Total de Mujeres Egresadas al Programa. * Los Niños, Niñas, Adolescentes y Jóvenes de Programas SENAME NO DEBE ser mayor al Total de egresos del Programa. * Los Migrantes NO DEBEN ser mayor al Total de ingresos del Programa. </v>
      </c>
      <c r="AY213" s="1058"/>
      <c r="AZ213" s="1058"/>
      <c r="BA213" s="1058"/>
      <c r="BB213" s="1058"/>
      <c r="BC213" s="1058"/>
      <c r="BD213" s="1058"/>
      <c r="BE213" s="1058"/>
      <c r="BF213" s="94"/>
      <c r="BG213" s="94"/>
      <c r="BZ213" s="79"/>
      <c r="CB213" s="889" t="str">
        <f t="shared" si="41"/>
        <v xml:space="preserve">* Las gestantes egresadas del Programa NO debe ser mayor al Total de Mujeres egresadas. </v>
      </c>
      <c r="CC213" s="889" t="str">
        <f t="shared" si="42"/>
        <v xml:space="preserve">* Las madres de hijos menor de 5 años NO DEBE ser mayor al Total de Mujeres Egresadas al Programa. </v>
      </c>
      <c r="CD213" s="889" t="str">
        <f t="shared" si="43"/>
        <v/>
      </c>
      <c r="CE213" s="889" t="str">
        <f t="shared" si="44"/>
        <v xml:space="preserve">* Los Niños, Niñas, Adolescentes y Jóvenes de Programas SENAME NO DEBE ser mayor al Total de egresos del Programa. </v>
      </c>
      <c r="CF213" s="889" t="str">
        <f t="shared" si="45"/>
        <v xml:space="preserve">* Los Migrantes NO DEBEN ser mayor al Total de ingresos del Programa. </v>
      </c>
      <c r="CG213" s="889" t="str">
        <f t="shared" si="46"/>
        <v/>
      </c>
      <c r="CH213" s="1020">
        <f t="shared" si="47"/>
        <v>1</v>
      </c>
      <c r="CI213" s="1020">
        <f t="shared" si="48"/>
        <v>1</v>
      </c>
      <c r="CJ213" s="1020">
        <f t="shared" si="49"/>
        <v>0</v>
      </c>
      <c r="CK213" s="1020">
        <f t="shared" si="50"/>
        <v>1</v>
      </c>
      <c r="CL213" s="1020">
        <f t="shared" si="51"/>
        <v>1</v>
      </c>
      <c r="CM213" s="1020">
        <f t="shared" si="52"/>
        <v>0</v>
      </c>
      <c r="CN213" s="1020"/>
      <c r="DA213" s="80"/>
    </row>
    <row r="214" spans="1:105" ht="28.5" customHeight="1" x14ac:dyDescent="0.2">
      <c r="A214" s="2449" t="s">
        <v>3227</v>
      </c>
      <c r="B214" s="5252"/>
      <c r="C214" s="1249" t="s">
        <v>375</v>
      </c>
      <c r="D214" s="714" t="s">
        <v>2777</v>
      </c>
      <c r="E214" s="715" t="s">
        <v>2778</v>
      </c>
      <c r="F214" s="2433" t="s">
        <v>2779</v>
      </c>
      <c r="G214" s="141" t="s">
        <v>2780</v>
      </c>
      <c r="H214" s="198" t="s">
        <v>2781</v>
      </c>
      <c r="I214" s="141" t="s">
        <v>2782</v>
      </c>
      <c r="J214" s="198" t="s">
        <v>2783</v>
      </c>
      <c r="K214" s="141" t="s">
        <v>2784</v>
      </c>
      <c r="L214" s="198" t="s">
        <v>2785</v>
      </c>
      <c r="M214" s="141" t="s">
        <v>2786</v>
      </c>
      <c r="N214" s="198" t="s">
        <v>2787</v>
      </c>
      <c r="O214" s="141" t="s">
        <v>2788</v>
      </c>
      <c r="P214" s="198" t="s">
        <v>2789</v>
      </c>
      <c r="Q214" s="173" t="s">
        <v>2790</v>
      </c>
      <c r="R214" s="174" t="s">
        <v>2791</v>
      </c>
      <c r="S214" s="173" t="s">
        <v>2792</v>
      </c>
      <c r="T214" s="174" t="s">
        <v>2793</v>
      </c>
      <c r="U214" s="173" t="s">
        <v>2794</v>
      </c>
      <c r="V214" s="174" t="s">
        <v>2795</v>
      </c>
      <c r="W214" s="173" t="s">
        <v>2796</v>
      </c>
      <c r="X214" s="174" t="s">
        <v>2797</v>
      </c>
      <c r="Y214" s="173" t="s">
        <v>2798</v>
      </c>
      <c r="Z214" s="174" t="s">
        <v>2799</v>
      </c>
      <c r="AA214" s="173" t="s">
        <v>2800</v>
      </c>
      <c r="AB214" s="174" t="s">
        <v>2801</v>
      </c>
      <c r="AC214" s="173" t="s">
        <v>2817</v>
      </c>
      <c r="AD214" s="174" t="s">
        <v>2818</v>
      </c>
      <c r="AE214" s="173" t="s">
        <v>2819</v>
      </c>
      <c r="AF214" s="174" t="s">
        <v>2821</v>
      </c>
      <c r="AG214" s="173" t="s">
        <v>2822</v>
      </c>
      <c r="AH214" s="174" t="s">
        <v>2823</v>
      </c>
      <c r="AI214" s="173" t="s">
        <v>2824</v>
      </c>
      <c r="AJ214" s="174" t="s">
        <v>2825</v>
      </c>
      <c r="AK214" s="173" t="s">
        <v>2826</v>
      </c>
      <c r="AL214" s="174" t="s">
        <v>2827</v>
      </c>
      <c r="AM214" s="173" t="s">
        <v>2831</v>
      </c>
      <c r="AN214" s="506" t="s">
        <v>2832</v>
      </c>
      <c r="AO214" s="2755" t="s">
        <v>2833</v>
      </c>
      <c r="AP214" s="2271" t="s">
        <v>2834</v>
      </c>
      <c r="AQ214" s="197" t="s">
        <v>3011</v>
      </c>
      <c r="AR214" s="198" t="s">
        <v>3012</v>
      </c>
      <c r="AS214" s="149" t="s">
        <v>3013</v>
      </c>
      <c r="AT214" s="141" t="s">
        <v>3014</v>
      </c>
      <c r="AU214" s="198" t="s">
        <v>3015</v>
      </c>
      <c r="AV214" s="198" t="s">
        <v>3206</v>
      </c>
      <c r="AW214" s="198" t="s">
        <v>3207</v>
      </c>
      <c r="AX214" s="1162" t="str">
        <f t="shared" si="53"/>
        <v xml:space="preserve">* Las gestantes egresadas del Programa NO debe ser mayor al Total de Mujeres egresadas. * Las madres de hijos menor de 5 años NO DEBE ser mayor al Total de Mujeres Egresadas al Programa. * Los Niños, Niñas, Adolescentes y Jóvenes de Programas SENAME NO DEBE ser mayor al Total de egresos del Programa. * Los Migrantes NO DEBEN ser mayor al Total de ingresos del Programa. </v>
      </c>
      <c r="AY214" s="1058"/>
      <c r="AZ214" s="1058"/>
      <c r="BA214" s="1058"/>
      <c r="BB214" s="1058"/>
      <c r="BC214" s="1058"/>
      <c r="BD214" s="1058"/>
      <c r="BE214" s="1058"/>
      <c r="BF214" s="94"/>
      <c r="BG214" s="94"/>
      <c r="BZ214" s="79"/>
      <c r="CB214" s="889" t="str">
        <f t="shared" si="41"/>
        <v xml:space="preserve">* Las gestantes egresadas del Programa NO debe ser mayor al Total de Mujeres egresadas. </v>
      </c>
      <c r="CC214" s="889" t="str">
        <f t="shared" si="42"/>
        <v xml:space="preserve">* Las madres de hijos menor de 5 años NO DEBE ser mayor al Total de Mujeres Egresadas al Programa. </v>
      </c>
      <c r="CD214" s="889" t="str">
        <f t="shared" si="43"/>
        <v/>
      </c>
      <c r="CE214" s="889" t="str">
        <f t="shared" si="44"/>
        <v xml:space="preserve">* Los Niños, Niñas, Adolescentes y Jóvenes de Programas SENAME NO DEBE ser mayor al Total de egresos del Programa. </v>
      </c>
      <c r="CF214" s="889" t="str">
        <f t="shared" si="45"/>
        <v xml:space="preserve">* Los Migrantes NO DEBEN ser mayor al Total de ingresos del Programa. </v>
      </c>
      <c r="CG214" s="889" t="str">
        <f t="shared" si="46"/>
        <v/>
      </c>
      <c r="CH214" s="1020">
        <f t="shared" si="47"/>
        <v>1</v>
      </c>
      <c r="CI214" s="1020">
        <f t="shared" si="48"/>
        <v>1</v>
      </c>
      <c r="CJ214" s="1020">
        <f t="shared" si="49"/>
        <v>0</v>
      </c>
      <c r="CK214" s="1020">
        <f t="shared" si="50"/>
        <v>1</v>
      </c>
      <c r="CL214" s="1020">
        <f t="shared" si="51"/>
        <v>1</v>
      </c>
      <c r="CM214" s="1020">
        <f t="shared" si="52"/>
        <v>0</v>
      </c>
      <c r="CN214" s="1020"/>
      <c r="DA214" s="80"/>
    </row>
    <row r="215" spans="1:105" ht="36" customHeight="1" x14ac:dyDescent="0.2">
      <c r="A215" s="2449" t="s">
        <v>3228</v>
      </c>
      <c r="B215" s="5253"/>
      <c r="C215" s="1250" t="s">
        <v>376</v>
      </c>
      <c r="D215" s="716" t="s">
        <v>2777</v>
      </c>
      <c r="E215" s="717" t="s">
        <v>2778</v>
      </c>
      <c r="F215" s="384" t="s">
        <v>2779</v>
      </c>
      <c r="G215" s="166" t="s">
        <v>2780</v>
      </c>
      <c r="H215" s="168" t="s">
        <v>2781</v>
      </c>
      <c r="I215" s="166" t="s">
        <v>2782</v>
      </c>
      <c r="J215" s="168" t="s">
        <v>2783</v>
      </c>
      <c r="K215" s="166" t="s">
        <v>2784</v>
      </c>
      <c r="L215" s="168" t="s">
        <v>2785</v>
      </c>
      <c r="M215" s="166" t="s">
        <v>2786</v>
      </c>
      <c r="N215" s="168" t="s">
        <v>2787</v>
      </c>
      <c r="O215" s="166" t="s">
        <v>2788</v>
      </c>
      <c r="P215" s="168" t="s">
        <v>2789</v>
      </c>
      <c r="Q215" s="101" t="s">
        <v>2790</v>
      </c>
      <c r="R215" s="169" t="s">
        <v>2791</v>
      </c>
      <c r="S215" s="101" t="s">
        <v>2792</v>
      </c>
      <c r="T215" s="169" t="s">
        <v>2793</v>
      </c>
      <c r="U215" s="101" t="s">
        <v>2794</v>
      </c>
      <c r="V215" s="169" t="s">
        <v>2795</v>
      </c>
      <c r="W215" s="101" t="s">
        <v>2796</v>
      </c>
      <c r="X215" s="169" t="s">
        <v>2797</v>
      </c>
      <c r="Y215" s="101" t="s">
        <v>2798</v>
      </c>
      <c r="Z215" s="169" t="s">
        <v>2799</v>
      </c>
      <c r="AA215" s="101" t="s">
        <v>2800</v>
      </c>
      <c r="AB215" s="169" t="s">
        <v>2801</v>
      </c>
      <c r="AC215" s="101" t="s">
        <v>2817</v>
      </c>
      <c r="AD215" s="169" t="s">
        <v>2818</v>
      </c>
      <c r="AE215" s="101" t="s">
        <v>2819</v>
      </c>
      <c r="AF215" s="169" t="s">
        <v>2821</v>
      </c>
      <c r="AG215" s="101" t="s">
        <v>2822</v>
      </c>
      <c r="AH215" s="169" t="s">
        <v>2823</v>
      </c>
      <c r="AI215" s="101" t="s">
        <v>2824</v>
      </c>
      <c r="AJ215" s="169" t="s">
        <v>2825</v>
      </c>
      <c r="AK215" s="101" t="s">
        <v>2826</v>
      </c>
      <c r="AL215" s="169" t="s">
        <v>2827</v>
      </c>
      <c r="AM215" s="101" t="s">
        <v>2831</v>
      </c>
      <c r="AN215" s="151" t="s">
        <v>2832</v>
      </c>
      <c r="AO215" s="2755" t="s">
        <v>2833</v>
      </c>
      <c r="AP215" s="2271" t="s">
        <v>2834</v>
      </c>
      <c r="AQ215" s="125" t="s">
        <v>3011</v>
      </c>
      <c r="AR215" s="166" t="s">
        <v>3012</v>
      </c>
      <c r="AS215" s="106" t="s">
        <v>3013</v>
      </c>
      <c r="AT215" s="166" t="s">
        <v>3014</v>
      </c>
      <c r="AU215" s="168" t="s">
        <v>3015</v>
      </c>
      <c r="AV215" s="168" t="s">
        <v>3206</v>
      </c>
      <c r="AW215" s="168" t="s">
        <v>3207</v>
      </c>
      <c r="AX215" s="1162" t="str">
        <f t="shared" si="53"/>
        <v xml:space="preserve">* Las gestantes egresadas del Programa NO debe ser mayor al Total de Mujeres egresadas. * Las madres de hijos menor de 5 años NO DEBE ser mayor al Total de Mujeres Egresadas al Programa. * Los Niños, Niñas, Adolescentes y Jóvenes de Programas SENAME NO DEBE ser mayor al Total de egresos del Programa. * Los Migrantes NO DEBEN ser mayor al Total de ingresos del Programa. </v>
      </c>
      <c r="AY215" s="1058"/>
      <c r="AZ215" s="1058"/>
      <c r="BA215" s="1058"/>
      <c r="BB215" s="1058"/>
      <c r="BC215" s="1058"/>
      <c r="BD215" s="1058"/>
      <c r="BE215" s="1058"/>
      <c r="BF215" s="94"/>
      <c r="BG215" s="94"/>
      <c r="BZ215" s="79"/>
      <c r="CB215" s="889" t="str">
        <f t="shared" si="41"/>
        <v xml:space="preserve">* Las gestantes egresadas del Programa NO debe ser mayor al Total de Mujeres egresadas. </v>
      </c>
      <c r="CC215" s="889" t="str">
        <f t="shared" si="42"/>
        <v xml:space="preserve">* Las madres de hijos menor de 5 años NO DEBE ser mayor al Total de Mujeres Egresadas al Programa. </v>
      </c>
      <c r="CD215" s="889" t="str">
        <f t="shared" si="43"/>
        <v/>
      </c>
      <c r="CE215" s="889" t="str">
        <f t="shared" si="44"/>
        <v xml:space="preserve">* Los Niños, Niñas, Adolescentes y Jóvenes de Programas SENAME NO DEBE ser mayor al Total de egresos del Programa. </v>
      </c>
      <c r="CF215" s="889" t="str">
        <f t="shared" si="45"/>
        <v xml:space="preserve">* Los Migrantes NO DEBEN ser mayor al Total de ingresos del Programa. </v>
      </c>
      <c r="CG215" s="889" t="str">
        <f t="shared" si="46"/>
        <v/>
      </c>
      <c r="CH215" s="1020">
        <f t="shared" si="47"/>
        <v>1</v>
      </c>
      <c r="CI215" s="1020">
        <f t="shared" si="48"/>
        <v>1</v>
      </c>
      <c r="CJ215" s="1020">
        <f t="shared" si="49"/>
        <v>0</v>
      </c>
      <c r="CK215" s="1020">
        <f t="shared" si="50"/>
        <v>1</v>
      </c>
      <c r="CL215" s="1020">
        <f t="shared" si="51"/>
        <v>1</v>
      </c>
      <c r="CM215" s="1020">
        <f t="shared" si="52"/>
        <v>0</v>
      </c>
      <c r="CN215" s="1020"/>
      <c r="DA215" s="80"/>
    </row>
    <row r="216" spans="1:105" ht="16.350000000000001" customHeight="1" x14ac:dyDescent="0.2">
      <c r="A216" s="2449" t="s">
        <v>3229</v>
      </c>
      <c r="B216" s="5664" t="s">
        <v>377</v>
      </c>
      <c r="C216" s="2809" t="s">
        <v>1507</v>
      </c>
      <c r="D216" s="2782" t="s">
        <v>2777</v>
      </c>
      <c r="E216" s="2783" t="s">
        <v>2778</v>
      </c>
      <c r="F216" s="383" t="s">
        <v>2779</v>
      </c>
      <c r="G216" s="2577" t="s">
        <v>2780</v>
      </c>
      <c r="H216" s="197" t="s">
        <v>2781</v>
      </c>
      <c r="I216" s="2577" t="s">
        <v>2782</v>
      </c>
      <c r="J216" s="197" t="s">
        <v>2783</v>
      </c>
      <c r="K216" s="2577" t="s">
        <v>2784</v>
      </c>
      <c r="L216" s="197" t="s">
        <v>2785</v>
      </c>
      <c r="M216" s="2577" t="s">
        <v>2786</v>
      </c>
      <c r="N216" s="197" t="s">
        <v>2787</v>
      </c>
      <c r="O216" s="2577" t="s">
        <v>2788</v>
      </c>
      <c r="P216" s="197" t="s">
        <v>2789</v>
      </c>
      <c r="Q216" s="2577" t="s">
        <v>2790</v>
      </c>
      <c r="R216" s="197" t="s">
        <v>2791</v>
      </c>
      <c r="S216" s="2577" t="s">
        <v>2792</v>
      </c>
      <c r="T216" s="197" t="s">
        <v>2793</v>
      </c>
      <c r="U216" s="2577" t="s">
        <v>2794</v>
      </c>
      <c r="V216" s="197" t="s">
        <v>2795</v>
      </c>
      <c r="W216" s="2577" t="s">
        <v>2796</v>
      </c>
      <c r="X216" s="197" t="s">
        <v>2797</v>
      </c>
      <c r="Y216" s="2577" t="s">
        <v>2798</v>
      </c>
      <c r="Z216" s="197" t="s">
        <v>2799</v>
      </c>
      <c r="AA216" s="2577" t="s">
        <v>2800</v>
      </c>
      <c r="AB216" s="197" t="s">
        <v>2801</v>
      </c>
      <c r="AC216" s="2577" t="s">
        <v>2817</v>
      </c>
      <c r="AD216" s="197" t="s">
        <v>2818</v>
      </c>
      <c r="AE216" s="2577" t="s">
        <v>2819</v>
      </c>
      <c r="AF216" s="197" t="s">
        <v>2821</v>
      </c>
      <c r="AG216" s="2577" t="s">
        <v>2822</v>
      </c>
      <c r="AH216" s="197" t="s">
        <v>2823</v>
      </c>
      <c r="AI216" s="2577" t="s">
        <v>2824</v>
      </c>
      <c r="AJ216" s="197" t="s">
        <v>2825</v>
      </c>
      <c r="AK216" s="2577" t="s">
        <v>2826</v>
      </c>
      <c r="AL216" s="197" t="s">
        <v>2827</v>
      </c>
      <c r="AM216" s="2577" t="s">
        <v>2831</v>
      </c>
      <c r="AN216" s="2561" t="s">
        <v>2832</v>
      </c>
      <c r="AO216" s="2487" t="s">
        <v>2833</v>
      </c>
      <c r="AP216" s="2462" t="s">
        <v>2834</v>
      </c>
      <c r="AQ216" s="2480" t="s">
        <v>3011</v>
      </c>
      <c r="AR216" s="197" t="s">
        <v>3012</v>
      </c>
      <c r="AS216" s="197" t="s">
        <v>3013</v>
      </c>
      <c r="AT216" s="2483" t="s">
        <v>3014</v>
      </c>
      <c r="AU216" s="198" t="s">
        <v>3015</v>
      </c>
      <c r="AV216" s="198" t="s">
        <v>3206</v>
      </c>
      <c r="AW216" s="198" t="s">
        <v>3207</v>
      </c>
      <c r="AX216" s="1162" t="str">
        <f t="shared" si="53"/>
        <v xml:space="preserve">* Las gestantes egresadas del Programa NO debe ser mayor al Total de Mujeres egresadas. * Las madres de hijos menor de 5 años NO DEBE ser mayor al Total de Mujeres Egresadas al Programa. * Los Niños, Niñas, Adolescentes y Jóvenes de Programas SENAME NO DEBE ser mayor al Total de egresos del Programa. * Los Migrantes NO DEBEN ser mayor al Total de ingresos del Programa. </v>
      </c>
      <c r="AY216" s="1058"/>
      <c r="AZ216" s="1058"/>
      <c r="BA216" s="1058"/>
      <c r="BB216" s="1058"/>
      <c r="BC216" s="1058"/>
      <c r="BD216" s="1058"/>
      <c r="BE216" s="1058"/>
      <c r="BF216" s="94"/>
      <c r="BG216" s="94"/>
      <c r="BZ216" s="79"/>
      <c r="CB216" s="889" t="str">
        <f t="shared" si="41"/>
        <v xml:space="preserve">* Las gestantes egresadas del Programa NO debe ser mayor al Total de Mujeres egresadas. </v>
      </c>
      <c r="CC216" s="889" t="str">
        <f t="shared" si="42"/>
        <v xml:space="preserve">* Las madres de hijos menor de 5 años NO DEBE ser mayor al Total de Mujeres Egresadas al Programa. </v>
      </c>
      <c r="CD216" s="889" t="str">
        <f t="shared" si="43"/>
        <v/>
      </c>
      <c r="CE216" s="889" t="str">
        <f t="shared" si="44"/>
        <v xml:space="preserve">* Los Niños, Niñas, Adolescentes y Jóvenes de Programas SENAME NO DEBE ser mayor al Total de egresos del Programa. </v>
      </c>
      <c r="CF216" s="889" t="str">
        <f t="shared" si="45"/>
        <v xml:space="preserve">* Los Migrantes NO DEBEN ser mayor al Total de ingresos del Programa. </v>
      </c>
      <c r="CG216" s="889" t="str">
        <f t="shared" si="46"/>
        <v/>
      </c>
      <c r="CH216" s="1020">
        <f t="shared" si="47"/>
        <v>1</v>
      </c>
      <c r="CI216" s="1020">
        <f t="shared" si="48"/>
        <v>1</v>
      </c>
      <c r="CJ216" s="1020">
        <f t="shared" si="49"/>
        <v>0</v>
      </c>
      <c r="CK216" s="1020">
        <f t="shared" si="50"/>
        <v>1</v>
      </c>
      <c r="CL216" s="1020">
        <f t="shared" si="51"/>
        <v>1</v>
      </c>
      <c r="CM216" s="1020">
        <f t="shared" si="52"/>
        <v>0</v>
      </c>
      <c r="CN216" s="1020"/>
      <c r="DA216" s="80"/>
    </row>
    <row r="217" spans="1:105" ht="16.350000000000001" customHeight="1" x14ac:dyDescent="0.2">
      <c r="A217" s="2449" t="s">
        <v>3230</v>
      </c>
      <c r="B217" s="5664"/>
      <c r="C217" s="2810" t="s">
        <v>3189</v>
      </c>
      <c r="D217" s="714" t="s">
        <v>2777</v>
      </c>
      <c r="E217" s="715" t="s">
        <v>2778</v>
      </c>
      <c r="F217" s="2433" t="s">
        <v>2779</v>
      </c>
      <c r="G217" s="141" t="s">
        <v>2780</v>
      </c>
      <c r="H217" s="198" t="s">
        <v>2781</v>
      </c>
      <c r="I217" s="141" t="s">
        <v>2782</v>
      </c>
      <c r="J217" s="198" t="s">
        <v>2783</v>
      </c>
      <c r="K217" s="141" t="s">
        <v>2784</v>
      </c>
      <c r="L217" s="198" t="s">
        <v>2785</v>
      </c>
      <c r="M217" s="141" t="s">
        <v>2786</v>
      </c>
      <c r="N217" s="198" t="s">
        <v>2787</v>
      </c>
      <c r="O217" s="141" t="s">
        <v>2788</v>
      </c>
      <c r="P217" s="198" t="s">
        <v>2789</v>
      </c>
      <c r="Q217" s="141" t="s">
        <v>2790</v>
      </c>
      <c r="R217" s="198" t="s">
        <v>2791</v>
      </c>
      <c r="S217" s="141" t="s">
        <v>2792</v>
      </c>
      <c r="T217" s="198" t="s">
        <v>2793</v>
      </c>
      <c r="U217" s="141" t="s">
        <v>2794</v>
      </c>
      <c r="V217" s="198" t="s">
        <v>2795</v>
      </c>
      <c r="W217" s="141" t="s">
        <v>2796</v>
      </c>
      <c r="X217" s="198" t="s">
        <v>2797</v>
      </c>
      <c r="Y217" s="141" t="s">
        <v>2798</v>
      </c>
      <c r="Z217" s="198" t="s">
        <v>2799</v>
      </c>
      <c r="AA217" s="141" t="s">
        <v>2800</v>
      </c>
      <c r="AB217" s="198" t="s">
        <v>2801</v>
      </c>
      <c r="AC217" s="141" t="s">
        <v>2817</v>
      </c>
      <c r="AD217" s="198" t="s">
        <v>2818</v>
      </c>
      <c r="AE217" s="141" t="s">
        <v>2819</v>
      </c>
      <c r="AF217" s="198" t="s">
        <v>2821</v>
      </c>
      <c r="AG217" s="141" t="s">
        <v>2822</v>
      </c>
      <c r="AH217" s="198" t="s">
        <v>2823</v>
      </c>
      <c r="AI217" s="141" t="s">
        <v>2824</v>
      </c>
      <c r="AJ217" s="198" t="s">
        <v>2825</v>
      </c>
      <c r="AK217" s="141" t="s">
        <v>2826</v>
      </c>
      <c r="AL217" s="198" t="s">
        <v>2827</v>
      </c>
      <c r="AM217" s="141" t="s">
        <v>2831</v>
      </c>
      <c r="AN217" s="318" t="s">
        <v>2832</v>
      </c>
      <c r="AO217" s="180" t="s">
        <v>2833</v>
      </c>
      <c r="AP217" s="142" t="s">
        <v>2834</v>
      </c>
      <c r="AQ217" s="163" t="s">
        <v>3011</v>
      </c>
      <c r="AR217" s="198" t="s">
        <v>3012</v>
      </c>
      <c r="AS217" s="198" t="s">
        <v>3013</v>
      </c>
      <c r="AT217" s="141" t="s">
        <v>3014</v>
      </c>
      <c r="AU217" s="198" t="s">
        <v>3015</v>
      </c>
      <c r="AV217" s="198" t="s">
        <v>3206</v>
      </c>
      <c r="AW217" s="198" t="s">
        <v>3207</v>
      </c>
      <c r="AX217" s="1162" t="str">
        <f t="shared" si="53"/>
        <v xml:space="preserve">* Las gestantes egresadas del Programa NO debe ser mayor al Total de Mujeres egresadas. * Las madres de hijos menor de 5 años NO DEBE ser mayor al Total de Mujeres Egresadas al Programa. * Los Niños, Niñas, Adolescentes y Jóvenes de Programas SENAME NO DEBE ser mayor al Total de egresos del Programa. * Los Migrantes NO DEBEN ser mayor al Total de ingresos del Programa. </v>
      </c>
      <c r="AY217" s="1058"/>
      <c r="AZ217" s="1058"/>
      <c r="BA217" s="1058"/>
      <c r="BB217" s="1058"/>
      <c r="BC217" s="1058"/>
      <c r="BD217" s="1058"/>
      <c r="BE217" s="1058"/>
      <c r="BF217" s="94"/>
      <c r="BG217" s="94"/>
      <c r="BZ217" s="79"/>
      <c r="CB217" s="889" t="str">
        <f t="shared" si="41"/>
        <v xml:space="preserve">* Las gestantes egresadas del Programa NO debe ser mayor al Total de Mujeres egresadas. </v>
      </c>
      <c r="CC217" s="889" t="str">
        <f t="shared" si="42"/>
        <v xml:space="preserve">* Las madres de hijos menor de 5 años NO DEBE ser mayor al Total de Mujeres Egresadas al Programa. </v>
      </c>
      <c r="CD217" s="889" t="str">
        <f t="shared" si="43"/>
        <v/>
      </c>
      <c r="CE217" s="889" t="str">
        <f t="shared" si="44"/>
        <v xml:space="preserve">* Los Niños, Niñas, Adolescentes y Jóvenes de Programas SENAME NO DEBE ser mayor al Total de egresos del Programa. </v>
      </c>
      <c r="CF217" s="889" t="str">
        <f t="shared" si="45"/>
        <v xml:space="preserve">* Los Migrantes NO DEBEN ser mayor al Total de ingresos del Programa. </v>
      </c>
      <c r="CG217" s="889" t="str">
        <f t="shared" si="46"/>
        <v/>
      </c>
      <c r="CH217" s="1020">
        <f t="shared" si="47"/>
        <v>1</v>
      </c>
      <c r="CI217" s="1020">
        <f t="shared" si="48"/>
        <v>1</v>
      </c>
      <c r="CJ217" s="1020">
        <f t="shared" si="49"/>
        <v>0</v>
      </c>
      <c r="CK217" s="1020">
        <f t="shared" si="50"/>
        <v>1</v>
      </c>
      <c r="CL217" s="1020">
        <f t="shared" si="51"/>
        <v>1</v>
      </c>
      <c r="CM217" s="1020">
        <f t="shared" si="52"/>
        <v>0</v>
      </c>
      <c r="CN217" s="1020"/>
      <c r="DA217" s="80"/>
    </row>
    <row r="218" spans="1:105" ht="16.350000000000001" customHeight="1" x14ac:dyDescent="0.2">
      <c r="A218" s="2449" t="s">
        <v>3231</v>
      </c>
      <c r="B218" s="5664"/>
      <c r="C218" s="2810" t="s">
        <v>3191</v>
      </c>
      <c r="D218" s="714" t="s">
        <v>2777</v>
      </c>
      <c r="E218" s="715" t="s">
        <v>2778</v>
      </c>
      <c r="F218" s="2433" t="s">
        <v>2779</v>
      </c>
      <c r="G218" s="141" t="s">
        <v>2780</v>
      </c>
      <c r="H218" s="198" t="s">
        <v>2781</v>
      </c>
      <c r="I218" s="141" t="s">
        <v>2782</v>
      </c>
      <c r="J218" s="198" t="s">
        <v>2783</v>
      </c>
      <c r="K218" s="141" t="s">
        <v>2784</v>
      </c>
      <c r="L218" s="198" t="s">
        <v>2785</v>
      </c>
      <c r="M218" s="141" t="s">
        <v>2786</v>
      </c>
      <c r="N218" s="198" t="s">
        <v>2787</v>
      </c>
      <c r="O218" s="141" t="s">
        <v>2788</v>
      </c>
      <c r="P218" s="198" t="s">
        <v>2789</v>
      </c>
      <c r="Q218" s="141" t="s">
        <v>2790</v>
      </c>
      <c r="R218" s="198" t="s">
        <v>2791</v>
      </c>
      <c r="S218" s="141" t="s">
        <v>2792</v>
      </c>
      <c r="T218" s="198" t="s">
        <v>2793</v>
      </c>
      <c r="U218" s="141" t="s">
        <v>2794</v>
      </c>
      <c r="V218" s="198" t="s">
        <v>2795</v>
      </c>
      <c r="W218" s="141" t="s">
        <v>2796</v>
      </c>
      <c r="X218" s="198" t="s">
        <v>2797</v>
      </c>
      <c r="Y218" s="141" t="s">
        <v>2798</v>
      </c>
      <c r="Z218" s="198" t="s">
        <v>2799</v>
      </c>
      <c r="AA218" s="141" t="s">
        <v>2800</v>
      </c>
      <c r="AB218" s="198" t="s">
        <v>2801</v>
      </c>
      <c r="AC218" s="141" t="s">
        <v>2817</v>
      </c>
      <c r="AD218" s="198" t="s">
        <v>2818</v>
      </c>
      <c r="AE218" s="141" t="s">
        <v>2819</v>
      </c>
      <c r="AF218" s="198" t="s">
        <v>2821</v>
      </c>
      <c r="AG218" s="141" t="s">
        <v>2822</v>
      </c>
      <c r="AH218" s="198" t="s">
        <v>2823</v>
      </c>
      <c r="AI218" s="141" t="s">
        <v>2824</v>
      </c>
      <c r="AJ218" s="198" t="s">
        <v>2825</v>
      </c>
      <c r="AK218" s="141" t="s">
        <v>2826</v>
      </c>
      <c r="AL218" s="198" t="s">
        <v>2827</v>
      </c>
      <c r="AM218" s="141" t="s">
        <v>2831</v>
      </c>
      <c r="AN218" s="318" t="s">
        <v>2832</v>
      </c>
      <c r="AO218" s="180" t="s">
        <v>2833</v>
      </c>
      <c r="AP218" s="142" t="s">
        <v>2834</v>
      </c>
      <c r="AQ218" s="163" t="s">
        <v>3011</v>
      </c>
      <c r="AR218" s="198" t="s">
        <v>3012</v>
      </c>
      <c r="AS218" s="198" t="s">
        <v>3013</v>
      </c>
      <c r="AT218" s="141" t="s">
        <v>3014</v>
      </c>
      <c r="AU218" s="198" t="s">
        <v>3015</v>
      </c>
      <c r="AV218" s="198" t="s">
        <v>3206</v>
      </c>
      <c r="AW218" s="198" t="s">
        <v>3207</v>
      </c>
      <c r="AX218" s="1162" t="str">
        <f t="shared" si="53"/>
        <v xml:space="preserve">* Las gestantes egresadas del Programa NO debe ser mayor al Total de Mujeres egresadas. * Las madres de hijos menor de 5 años NO DEBE ser mayor al Total de Mujeres Egresadas al Programa. * Los Niños, Niñas, Adolescentes y Jóvenes de Programas SENAME NO DEBE ser mayor al Total de egresos del Programa. * Los Migrantes NO DEBEN ser mayor al Total de ingresos del Programa. </v>
      </c>
      <c r="AY218" s="1058"/>
      <c r="AZ218" s="1058"/>
      <c r="BA218" s="1058"/>
      <c r="BB218" s="1058"/>
      <c r="BC218" s="1058"/>
      <c r="BD218" s="1058"/>
      <c r="BE218" s="1058"/>
      <c r="BF218" s="94"/>
      <c r="BG218" s="94"/>
      <c r="BZ218" s="79"/>
      <c r="CB218" s="889" t="str">
        <f t="shared" si="41"/>
        <v xml:space="preserve">* Las gestantes egresadas del Programa NO debe ser mayor al Total de Mujeres egresadas. </v>
      </c>
      <c r="CC218" s="889" t="str">
        <f t="shared" si="42"/>
        <v xml:space="preserve">* Las madres de hijos menor de 5 años NO DEBE ser mayor al Total de Mujeres Egresadas al Programa. </v>
      </c>
      <c r="CD218" s="889" t="str">
        <f t="shared" si="43"/>
        <v/>
      </c>
      <c r="CE218" s="889" t="str">
        <f t="shared" si="44"/>
        <v xml:space="preserve">* Los Niños, Niñas, Adolescentes y Jóvenes de Programas SENAME NO DEBE ser mayor al Total de egresos del Programa. </v>
      </c>
      <c r="CF218" s="889" t="str">
        <f t="shared" si="45"/>
        <v xml:space="preserve">* Los Migrantes NO DEBEN ser mayor al Total de ingresos del Programa. </v>
      </c>
      <c r="CG218" s="889" t="str">
        <f t="shared" si="46"/>
        <v/>
      </c>
      <c r="CH218" s="1020">
        <f t="shared" si="47"/>
        <v>1</v>
      </c>
      <c r="CI218" s="1020">
        <f t="shared" si="48"/>
        <v>1</v>
      </c>
      <c r="CJ218" s="1020">
        <f t="shared" si="49"/>
        <v>0</v>
      </c>
      <c r="CK218" s="1020">
        <f t="shared" si="50"/>
        <v>1</v>
      </c>
      <c r="CL218" s="1020">
        <f t="shared" si="51"/>
        <v>1</v>
      </c>
      <c r="CM218" s="1020">
        <f t="shared" si="52"/>
        <v>0</v>
      </c>
      <c r="CN218" s="1020"/>
      <c r="DA218" s="80"/>
    </row>
    <row r="219" spans="1:105" ht="16.350000000000001" customHeight="1" x14ac:dyDescent="0.2">
      <c r="A219" s="2449" t="s">
        <v>3232</v>
      </c>
      <c r="B219" s="5664"/>
      <c r="C219" s="2810" t="s">
        <v>1508</v>
      </c>
      <c r="D219" s="714" t="s">
        <v>2777</v>
      </c>
      <c r="E219" s="715" t="s">
        <v>2778</v>
      </c>
      <c r="F219" s="2433" t="s">
        <v>2779</v>
      </c>
      <c r="G219" s="141" t="s">
        <v>2780</v>
      </c>
      <c r="H219" s="198" t="s">
        <v>2781</v>
      </c>
      <c r="I219" s="141" t="s">
        <v>2782</v>
      </c>
      <c r="J219" s="198" t="s">
        <v>2783</v>
      </c>
      <c r="K219" s="141" t="s">
        <v>2784</v>
      </c>
      <c r="L219" s="198" t="s">
        <v>2785</v>
      </c>
      <c r="M219" s="141" t="s">
        <v>2786</v>
      </c>
      <c r="N219" s="198" t="s">
        <v>2787</v>
      </c>
      <c r="O219" s="141" t="s">
        <v>2788</v>
      </c>
      <c r="P219" s="198" t="s">
        <v>2789</v>
      </c>
      <c r="Q219" s="141" t="s">
        <v>2790</v>
      </c>
      <c r="R219" s="198" t="s">
        <v>2791</v>
      </c>
      <c r="S219" s="141" t="s">
        <v>2792</v>
      </c>
      <c r="T219" s="198" t="s">
        <v>2793</v>
      </c>
      <c r="U219" s="141" t="s">
        <v>2794</v>
      </c>
      <c r="V219" s="198" t="s">
        <v>2795</v>
      </c>
      <c r="W219" s="141" t="s">
        <v>2796</v>
      </c>
      <c r="X219" s="198" t="s">
        <v>2797</v>
      </c>
      <c r="Y219" s="141" t="s">
        <v>2798</v>
      </c>
      <c r="Z219" s="198" t="s">
        <v>2799</v>
      </c>
      <c r="AA219" s="141" t="s">
        <v>2800</v>
      </c>
      <c r="AB219" s="198" t="s">
        <v>2801</v>
      </c>
      <c r="AC219" s="141" t="s">
        <v>2817</v>
      </c>
      <c r="AD219" s="198" t="s">
        <v>2818</v>
      </c>
      <c r="AE219" s="141" t="s">
        <v>2819</v>
      </c>
      <c r="AF219" s="198" t="s">
        <v>2821</v>
      </c>
      <c r="AG219" s="141" t="s">
        <v>2822</v>
      </c>
      <c r="AH219" s="198" t="s">
        <v>2823</v>
      </c>
      <c r="AI219" s="141" t="s">
        <v>2824</v>
      </c>
      <c r="AJ219" s="198" t="s">
        <v>2825</v>
      </c>
      <c r="AK219" s="141" t="s">
        <v>2826</v>
      </c>
      <c r="AL219" s="198" t="s">
        <v>2827</v>
      </c>
      <c r="AM219" s="141" t="s">
        <v>2831</v>
      </c>
      <c r="AN219" s="318" t="s">
        <v>2832</v>
      </c>
      <c r="AO219" s="180" t="s">
        <v>2833</v>
      </c>
      <c r="AP219" s="142" t="s">
        <v>2834</v>
      </c>
      <c r="AQ219" s="163" t="s">
        <v>3011</v>
      </c>
      <c r="AR219" s="198" t="s">
        <v>3012</v>
      </c>
      <c r="AS219" s="198" t="s">
        <v>3013</v>
      </c>
      <c r="AT219" s="141" t="s">
        <v>3014</v>
      </c>
      <c r="AU219" s="198" t="s">
        <v>3015</v>
      </c>
      <c r="AV219" s="198" t="s">
        <v>3206</v>
      </c>
      <c r="AW219" s="198" t="s">
        <v>3207</v>
      </c>
      <c r="AX219" s="1162" t="str">
        <f t="shared" si="53"/>
        <v xml:space="preserve">* Las gestantes egresadas del Programa NO debe ser mayor al Total de Mujeres egresadas. * Las madres de hijos menor de 5 años NO DEBE ser mayor al Total de Mujeres Egresadas al Programa. * Los Niños, Niñas, Adolescentes y Jóvenes de Programas SENAME NO DEBE ser mayor al Total de egresos del Programa. * Los Migrantes NO DEBEN ser mayor al Total de ingresos del Programa. </v>
      </c>
      <c r="AY219" s="1058"/>
      <c r="AZ219" s="1058"/>
      <c r="BA219" s="1058"/>
      <c r="BB219" s="1058"/>
      <c r="BC219" s="1058"/>
      <c r="BD219" s="1058"/>
      <c r="BE219" s="1058"/>
      <c r="BF219" s="1058"/>
      <c r="BG219" s="1058"/>
      <c r="BH219" s="1058"/>
      <c r="BI219" s="94"/>
      <c r="BJ219" s="94"/>
      <c r="BZ219" s="79"/>
      <c r="CB219" s="889" t="str">
        <f t="shared" si="41"/>
        <v xml:space="preserve">* Las gestantes egresadas del Programa NO debe ser mayor al Total de Mujeres egresadas. </v>
      </c>
      <c r="CC219" s="889" t="str">
        <f t="shared" si="42"/>
        <v xml:space="preserve">* Las madres de hijos menor de 5 años NO DEBE ser mayor al Total de Mujeres Egresadas al Programa. </v>
      </c>
      <c r="CD219" s="889" t="str">
        <f t="shared" si="43"/>
        <v/>
      </c>
      <c r="CE219" s="889" t="str">
        <f t="shared" si="44"/>
        <v xml:space="preserve">* Los Niños, Niñas, Adolescentes y Jóvenes de Programas SENAME NO DEBE ser mayor al Total de egresos del Programa. </v>
      </c>
      <c r="CF219" s="889" t="str">
        <f t="shared" si="45"/>
        <v xml:space="preserve">* Los Migrantes NO DEBEN ser mayor al Total de ingresos del Programa. </v>
      </c>
      <c r="CG219" s="889" t="str">
        <f t="shared" si="46"/>
        <v/>
      </c>
      <c r="CH219" s="1020">
        <f t="shared" si="47"/>
        <v>1</v>
      </c>
      <c r="CI219" s="1020">
        <f t="shared" si="48"/>
        <v>1</v>
      </c>
      <c r="CJ219" s="1020">
        <f t="shared" si="49"/>
        <v>0</v>
      </c>
      <c r="CK219" s="1020">
        <f t="shared" si="50"/>
        <v>1</v>
      </c>
      <c r="CL219" s="1020">
        <f t="shared" si="51"/>
        <v>1</v>
      </c>
      <c r="CM219" s="1020">
        <f t="shared" si="52"/>
        <v>0</v>
      </c>
      <c r="CN219" s="1020"/>
      <c r="DA219" s="80"/>
    </row>
    <row r="220" spans="1:105" ht="16.350000000000001" customHeight="1" x14ac:dyDescent="0.2">
      <c r="A220" s="2449" t="s">
        <v>3233</v>
      </c>
      <c r="B220" s="5664"/>
      <c r="C220" s="2810" t="s">
        <v>1509</v>
      </c>
      <c r="D220" s="2782" t="s">
        <v>2777</v>
      </c>
      <c r="E220" s="2783" t="s">
        <v>2778</v>
      </c>
      <c r="F220" s="383" t="s">
        <v>2779</v>
      </c>
      <c r="G220" s="141" t="s">
        <v>2780</v>
      </c>
      <c r="H220" s="198" t="s">
        <v>2781</v>
      </c>
      <c r="I220" s="141" t="s">
        <v>2782</v>
      </c>
      <c r="J220" s="198" t="s">
        <v>2783</v>
      </c>
      <c r="K220" s="141" t="s">
        <v>2784</v>
      </c>
      <c r="L220" s="198" t="s">
        <v>2785</v>
      </c>
      <c r="M220" s="141" t="s">
        <v>2786</v>
      </c>
      <c r="N220" s="198" t="s">
        <v>2787</v>
      </c>
      <c r="O220" s="141" t="s">
        <v>2788</v>
      </c>
      <c r="P220" s="198" t="s">
        <v>2789</v>
      </c>
      <c r="Q220" s="141" t="s">
        <v>2790</v>
      </c>
      <c r="R220" s="198" t="s">
        <v>2791</v>
      </c>
      <c r="S220" s="141" t="s">
        <v>2792</v>
      </c>
      <c r="T220" s="198" t="s">
        <v>2793</v>
      </c>
      <c r="U220" s="141" t="s">
        <v>2794</v>
      </c>
      <c r="V220" s="198" t="s">
        <v>2795</v>
      </c>
      <c r="W220" s="141" t="s">
        <v>2796</v>
      </c>
      <c r="X220" s="198" t="s">
        <v>2797</v>
      </c>
      <c r="Y220" s="141" t="s">
        <v>2798</v>
      </c>
      <c r="Z220" s="198" t="s">
        <v>2799</v>
      </c>
      <c r="AA220" s="141" t="s">
        <v>2800</v>
      </c>
      <c r="AB220" s="198" t="s">
        <v>2801</v>
      </c>
      <c r="AC220" s="141" t="s">
        <v>2817</v>
      </c>
      <c r="AD220" s="198" t="s">
        <v>2818</v>
      </c>
      <c r="AE220" s="141" t="s">
        <v>2819</v>
      </c>
      <c r="AF220" s="198" t="s">
        <v>2821</v>
      </c>
      <c r="AG220" s="141" t="s">
        <v>2822</v>
      </c>
      <c r="AH220" s="198" t="s">
        <v>2823</v>
      </c>
      <c r="AI220" s="141" t="s">
        <v>2824</v>
      </c>
      <c r="AJ220" s="198" t="s">
        <v>2825</v>
      </c>
      <c r="AK220" s="141" t="s">
        <v>2826</v>
      </c>
      <c r="AL220" s="198" t="s">
        <v>2827</v>
      </c>
      <c r="AM220" s="141" t="s">
        <v>2831</v>
      </c>
      <c r="AN220" s="318" t="s">
        <v>2832</v>
      </c>
      <c r="AO220" s="180" t="s">
        <v>2833</v>
      </c>
      <c r="AP220" s="142" t="s">
        <v>2834</v>
      </c>
      <c r="AQ220" s="163" t="s">
        <v>3011</v>
      </c>
      <c r="AR220" s="198" t="s">
        <v>3012</v>
      </c>
      <c r="AS220" s="198" t="s">
        <v>3013</v>
      </c>
      <c r="AT220" s="141" t="s">
        <v>3014</v>
      </c>
      <c r="AU220" s="198" t="s">
        <v>3015</v>
      </c>
      <c r="AV220" s="198" t="s">
        <v>3206</v>
      </c>
      <c r="AW220" s="198" t="s">
        <v>3207</v>
      </c>
      <c r="AX220" s="1162" t="str">
        <f t="shared" si="53"/>
        <v xml:space="preserve">* Las gestantes egresadas del Programa NO debe ser mayor al Total de Mujeres egresadas. * Las madres de hijos menor de 5 años NO DEBE ser mayor al Total de Mujeres Egresadas al Programa. * Los Niños, Niñas, Adolescentes y Jóvenes de Programas SENAME NO DEBE ser mayor al Total de egresos del Programa. * Los Migrantes NO DEBEN ser mayor al Total de ingresos del Programa. </v>
      </c>
      <c r="AY220" s="1058"/>
      <c r="AZ220" s="1058"/>
      <c r="BA220" s="1058"/>
      <c r="BB220" s="1058"/>
      <c r="BC220" s="1058"/>
      <c r="BD220" s="1058"/>
      <c r="BE220" s="1058"/>
      <c r="BF220" s="1058"/>
      <c r="BG220" s="1058"/>
      <c r="BH220" s="1058"/>
      <c r="BI220" s="94"/>
      <c r="BJ220" s="94"/>
      <c r="BZ220" s="79"/>
      <c r="CB220" s="889" t="str">
        <f t="shared" si="41"/>
        <v xml:space="preserve">* Las gestantes egresadas del Programa NO debe ser mayor al Total de Mujeres egresadas. </v>
      </c>
      <c r="CC220" s="889" t="str">
        <f t="shared" si="42"/>
        <v xml:space="preserve">* Las madres de hijos menor de 5 años NO DEBE ser mayor al Total de Mujeres Egresadas al Programa. </v>
      </c>
      <c r="CD220" s="889" t="str">
        <f t="shared" si="43"/>
        <v/>
      </c>
      <c r="CE220" s="889" t="str">
        <f t="shared" si="44"/>
        <v xml:space="preserve">* Los Niños, Niñas, Adolescentes y Jóvenes de Programas SENAME NO DEBE ser mayor al Total de egresos del Programa. </v>
      </c>
      <c r="CF220" s="889" t="str">
        <f t="shared" si="45"/>
        <v xml:space="preserve">* Los Migrantes NO DEBEN ser mayor al Total de ingresos del Programa. </v>
      </c>
      <c r="CG220" s="889" t="str">
        <f t="shared" si="46"/>
        <v/>
      </c>
      <c r="CH220" s="1020">
        <f t="shared" si="47"/>
        <v>1</v>
      </c>
      <c r="CI220" s="1020">
        <f t="shared" si="48"/>
        <v>1</v>
      </c>
      <c r="CJ220" s="1020">
        <f t="shared" si="49"/>
        <v>0</v>
      </c>
      <c r="CK220" s="1020">
        <f t="shared" si="50"/>
        <v>1</v>
      </c>
      <c r="CL220" s="1020">
        <f t="shared" si="51"/>
        <v>1</v>
      </c>
      <c r="CM220" s="1020">
        <f t="shared" si="52"/>
        <v>0</v>
      </c>
      <c r="CN220" s="1020"/>
      <c r="DA220" s="80"/>
    </row>
    <row r="221" spans="1:105" ht="16.350000000000001" customHeight="1" x14ac:dyDescent="0.2">
      <c r="A221" s="2449" t="s">
        <v>3234</v>
      </c>
      <c r="B221" s="5665"/>
      <c r="C221" s="2811" t="s">
        <v>1510</v>
      </c>
      <c r="D221" s="2778" t="s">
        <v>2777</v>
      </c>
      <c r="E221" s="2779" t="s">
        <v>2778</v>
      </c>
      <c r="F221" s="2760" t="s">
        <v>2779</v>
      </c>
      <c r="G221" s="141" t="s">
        <v>2780</v>
      </c>
      <c r="H221" s="198" t="s">
        <v>2781</v>
      </c>
      <c r="I221" s="141" t="s">
        <v>2782</v>
      </c>
      <c r="J221" s="198" t="s">
        <v>2783</v>
      </c>
      <c r="K221" s="141" t="s">
        <v>2784</v>
      </c>
      <c r="L221" s="198" t="s">
        <v>2785</v>
      </c>
      <c r="M221" s="141" t="s">
        <v>2786</v>
      </c>
      <c r="N221" s="198" t="s">
        <v>2787</v>
      </c>
      <c r="O221" s="141" t="s">
        <v>2788</v>
      </c>
      <c r="P221" s="198" t="s">
        <v>2789</v>
      </c>
      <c r="Q221" s="141" t="s">
        <v>2790</v>
      </c>
      <c r="R221" s="198" t="s">
        <v>2791</v>
      </c>
      <c r="S221" s="141" t="s">
        <v>2792</v>
      </c>
      <c r="T221" s="198" t="s">
        <v>2793</v>
      </c>
      <c r="U221" s="141" t="s">
        <v>2794</v>
      </c>
      <c r="V221" s="198" t="s">
        <v>2795</v>
      </c>
      <c r="W221" s="141" t="s">
        <v>2796</v>
      </c>
      <c r="X221" s="198" t="s">
        <v>2797</v>
      </c>
      <c r="Y221" s="141" t="s">
        <v>2798</v>
      </c>
      <c r="Z221" s="198" t="s">
        <v>2799</v>
      </c>
      <c r="AA221" s="141" t="s">
        <v>2800</v>
      </c>
      <c r="AB221" s="198" t="s">
        <v>2801</v>
      </c>
      <c r="AC221" s="141" t="s">
        <v>2817</v>
      </c>
      <c r="AD221" s="198" t="s">
        <v>2818</v>
      </c>
      <c r="AE221" s="141" t="s">
        <v>2819</v>
      </c>
      <c r="AF221" s="198" t="s">
        <v>2821</v>
      </c>
      <c r="AG221" s="141" t="s">
        <v>2822</v>
      </c>
      <c r="AH221" s="198" t="s">
        <v>2823</v>
      </c>
      <c r="AI221" s="141" t="s">
        <v>2824</v>
      </c>
      <c r="AJ221" s="198" t="s">
        <v>2825</v>
      </c>
      <c r="AK221" s="141" t="s">
        <v>2826</v>
      </c>
      <c r="AL221" s="198" t="s">
        <v>2827</v>
      </c>
      <c r="AM221" s="166" t="s">
        <v>2831</v>
      </c>
      <c r="AN221" s="319" t="s">
        <v>2832</v>
      </c>
      <c r="AO221" s="126" t="s">
        <v>2833</v>
      </c>
      <c r="AP221" s="102" t="s">
        <v>2834</v>
      </c>
      <c r="AQ221" s="125" t="s">
        <v>3011</v>
      </c>
      <c r="AR221" s="168" t="s">
        <v>3012</v>
      </c>
      <c r="AS221" s="168" t="s">
        <v>3013</v>
      </c>
      <c r="AT221" s="141" t="s">
        <v>3014</v>
      </c>
      <c r="AU221" s="198" t="s">
        <v>3015</v>
      </c>
      <c r="AV221" s="198" t="s">
        <v>3206</v>
      </c>
      <c r="AW221" s="198" t="s">
        <v>3207</v>
      </c>
      <c r="AX221" s="1162" t="str">
        <f t="shared" si="53"/>
        <v xml:space="preserve">* Las gestantes egresadas del Programa NO debe ser mayor al Total de Mujeres egresadas. * Las madres de hijos menor de 5 años NO DEBE ser mayor al Total de Mujeres Egresadas al Programa. * Los Niños, Niñas, Adolescentes y Jóvenes de Programas SENAME NO DEBE ser mayor al Total de egresos del Programa. * Los Migrantes NO DEBEN ser mayor al Total de ingresos del Programa. </v>
      </c>
      <c r="AY221" s="1058"/>
      <c r="AZ221" s="1058"/>
      <c r="BA221" s="1058"/>
      <c r="BB221" s="1058"/>
      <c r="BC221" s="1058"/>
      <c r="BD221" s="1058"/>
      <c r="BE221" s="1058"/>
      <c r="BF221" s="1058"/>
      <c r="BG221" s="1058"/>
      <c r="BH221" s="1058"/>
      <c r="BI221" s="94"/>
      <c r="BJ221" s="94"/>
      <c r="BZ221" s="79"/>
      <c r="CB221" s="889" t="str">
        <f t="shared" si="41"/>
        <v xml:space="preserve">* Las gestantes egresadas del Programa NO debe ser mayor al Total de Mujeres egresadas. </v>
      </c>
      <c r="CC221" s="889" t="str">
        <f t="shared" si="42"/>
        <v xml:space="preserve">* Las madres de hijos menor de 5 años NO DEBE ser mayor al Total de Mujeres Egresadas al Programa. </v>
      </c>
      <c r="CD221" s="889" t="str">
        <f t="shared" si="43"/>
        <v/>
      </c>
      <c r="CE221" s="889" t="str">
        <f t="shared" si="44"/>
        <v xml:space="preserve">* Los Niños, Niñas, Adolescentes y Jóvenes de Programas SENAME NO DEBE ser mayor al Total de egresos del Programa. </v>
      </c>
      <c r="CF221" s="889" t="str">
        <f t="shared" si="45"/>
        <v xml:space="preserve">* Los Migrantes NO DEBEN ser mayor al Total de ingresos del Programa. </v>
      </c>
      <c r="CG221" s="889" t="str">
        <f t="shared" si="46"/>
        <v/>
      </c>
      <c r="CH221" s="1020">
        <f t="shared" si="47"/>
        <v>1</v>
      </c>
      <c r="CI221" s="1020">
        <f t="shared" si="48"/>
        <v>1</v>
      </c>
      <c r="CJ221" s="1020">
        <f t="shared" si="49"/>
        <v>0</v>
      </c>
      <c r="CK221" s="1020">
        <f t="shared" si="50"/>
        <v>1</v>
      </c>
      <c r="CL221" s="1020">
        <f t="shared" si="51"/>
        <v>1</v>
      </c>
      <c r="CM221" s="1020">
        <f t="shared" si="52"/>
        <v>0</v>
      </c>
      <c r="CN221" s="1020"/>
      <c r="DA221" s="80"/>
    </row>
    <row r="222" spans="1:105" ht="16.350000000000001" customHeight="1" x14ac:dyDescent="0.2">
      <c r="A222" s="2449" t="s">
        <v>3235</v>
      </c>
      <c r="B222" s="5646" t="s">
        <v>1496</v>
      </c>
      <c r="C222" s="2812" t="s">
        <v>378</v>
      </c>
      <c r="D222" s="2765" t="s">
        <v>2777</v>
      </c>
      <c r="E222" s="2766" t="s">
        <v>2778</v>
      </c>
      <c r="F222" s="2767" t="s">
        <v>2779</v>
      </c>
      <c r="G222" s="2483" t="s">
        <v>2780</v>
      </c>
      <c r="H222" s="2499" t="s">
        <v>2781</v>
      </c>
      <c r="I222" s="2483" t="s">
        <v>2782</v>
      </c>
      <c r="J222" s="2499" t="s">
        <v>2783</v>
      </c>
      <c r="K222" s="2483" t="s">
        <v>2784</v>
      </c>
      <c r="L222" s="2499" t="s">
        <v>2785</v>
      </c>
      <c r="M222" s="2483" t="s">
        <v>2786</v>
      </c>
      <c r="N222" s="2499" t="s">
        <v>2787</v>
      </c>
      <c r="O222" s="2483" t="s">
        <v>2788</v>
      </c>
      <c r="P222" s="2499" t="s">
        <v>2789</v>
      </c>
      <c r="Q222" s="2483" t="s">
        <v>2790</v>
      </c>
      <c r="R222" s="2499" t="s">
        <v>2791</v>
      </c>
      <c r="S222" s="2483" t="s">
        <v>2792</v>
      </c>
      <c r="T222" s="2499" t="s">
        <v>2793</v>
      </c>
      <c r="U222" s="2483" t="s">
        <v>2794</v>
      </c>
      <c r="V222" s="2499" t="s">
        <v>2795</v>
      </c>
      <c r="W222" s="2483" t="s">
        <v>2796</v>
      </c>
      <c r="X222" s="2499" t="s">
        <v>2797</v>
      </c>
      <c r="Y222" s="2483" t="s">
        <v>2798</v>
      </c>
      <c r="Z222" s="2499" t="s">
        <v>2799</v>
      </c>
      <c r="AA222" s="2483" t="s">
        <v>2800</v>
      </c>
      <c r="AB222" s="2499" t="s">
        <v>2801</v>
      </c>
      <c r="AC222" s="2483" t="s">
        <v>2817</v>
      </c>
      <c r="AD222" s="2499" t="s">
        <v>2818</v>
      </c>
      <c r="AE222" s="2483" t="s">
        <v>2819</v>
      </c>
      <c r="AF222" s="2499" t="s">
        <v>2821</v>
      </c>
      <c r="AG222" s="2483" t="s">
        <v>2822</v>
      </c>
      <c r="AH222" s="2499" t="s">
        <v>2823</v>
      </c>
      <c r="AI222" s="2483" t="s">
        <v>2824</v>
      </c>
      <c r="AJ222" s="2499" t="s">
        <v>2825</v>
      </c>
      <c r="AK222" s="2483" t="s">
        <v>2826</v>
      </c>
      <c r="AL222" s="2499" t="s">
        <v>2827</v>
      </c>
      <c r="AM222" s="2483" t="s">
        <v>2831</v>
      </c>
      <c r="AN222" s="2587" t="s">
        <v>2832</v>
      </c>
      <c r="AO222" s="2755" t="s">
        <v>2833</v>
      </c>
      <c r="AP222" s="2271" t="s">
        <v>2834</v>
      </c>
      <c r="AQ222" s="197" t="s">
        <v>3011</v>
      </c>
      <c r="AR222" s="172" t="s">
        <v>3012</v>
      </c>
      <c r="AS222" s="2813" t="s">
        <v>3013</v>
      </c>
      <c r="AT222" s="2483" t="s">
        <v>3014</v>
      </c>
      <c r="AU222" s="2499" t="s">
        <v>3015</v>
      </c>
      <c r="AV222" s="2499" t="s">
        <v>3206</v>
      </c>
      <c r="AW222" s="2499" t="s">
        <v>3207</v>
      </c>
      <c r="AX222" s="1162" t="str">
        <f t="shared" si="53"/>
        <v xml:space="preserve">* Las gestantes egresadas del Programa NO debe ser mayor al Total de Mujeres egresadas. * Las madres de hijos menor de 5 años NO DEBE ser mayor al Total de Mujeres Egresadas al Programa. * Los Niños, Niñas, Adolescentes y Jóvenes de Programas SENAME NO DEBE ser mayor al Total de egresos del Programa. * Los Migrantes NO DEBEN ser mayor al Total de ingresos del Programa. </v>
      </c>
      <c r="AY222" s="1058"/>
      <c r="AZ222" s="1058"/>
      <c r="BA222" s="1058"/>
      <c r="BB222" s="1058"/>
      <c r="BC222" s="1058"/>
      <c r="BD222" s="1058"/>
      <c r="BE222" s="1058"/>
      <c r="BF222" s="1058"/>
      <c r="BG222" s="1058"/>
      <c r="BH222" s="1058"/>
      <c r="BI222" s="94"/>
      <c r="BJ222" s="94"/>
      <c r="BZ222" s="79"/>
      <c r="CB222" s="889" t="str">
        <f t="shared" si="41"/>
        <v xml:space="preserve">* Las gestantes egresadas del Programa NO debe ser mayor al Total de Mujeres egresadas. </v>
      </c>
      <c r="CC222" s="889" t="str">
        <f t="shared" si="42"/>
        <v xml:space="preserve">* Las madres de hijos menor de 5 años NO DEBE ser mayor al Total de Mujeres Egresadas al Programa. </v>
      </c>
      <c r="CD222" s="889" t="str">
        <f t="shared" si="43"/>
        <v/>
      </c>
      <c r="CE222" s="889" t="str">
        <f t="shared" si="44"/>
        <v xml:space="preserve">* Los Niños, Niñas, Adolescentes y Jóvenes de Programas SENAME NO DEBE ser mayor al Total de egresos del Programa. </v>
      </c>
      <c r="CF222" s="889" t="str">
        <f t="shared" si="45"/>
        <v xml:space="preserve">* Los Migrantes NO DEBEN ser mayor al Total de ingresos del Programa. </v>
      </c>
      <c r="CG222" s="889" t="str">
        <f t="shared" si="46"/>
        <v/>
      </c>
      <c r="CH222" s="1020">
        <f t="shared" si="47"/>
        <v>1</v>
      </c>
      <c r="CI222" s="1020">
        <f t="shared" si="48"/>
        <v>1</v>
      </c>
      <c r="CJ222" s="1020">
        <f t="shared" si="49"/>
        <v>0</v>
      </c>
      <c r="CK222" s="1020">
        <f t="shared" si="50"/>
        <v>1</v>
      </c>
      <c r="CL222" s="1020">
        <f t="shared" si="51"/>
        <v>1</v>
      </c>
      <c r="CM222" s="1020">
        <f t="shared" si="52"/>
        <v>0</v>
      </c>
      <c r="CN222" s="1020"/>
      <c r="DA222" s="80"/>
    </row>
    <row r="223" spans="1:105" ht="16.350000000000001" customHeight="1" x14ac:dyDescent="0.2">
      <c r="A223" s="2449" t="s">
        <v>3236</v>
      </c>
      <c r="B223" s="5647"/>
      <c r="C223" s="2422" t="s">
        <v>379</v>
      </c>
      <c r="D223" s="2782" t="s">
        <v>2777</v>
      </c>
      <c r="E223" s="2783" t="s">
        <v>2778</v>
      </c>
      <c r="F223" s="383" t="s">
        <v>2779</v>
      </c>
      <c r="G223" s="2577" t="s">
        <v>2780</v>
      </c>
      <c r="H223" s="197" t="s">
        <v>2781</v>
      </c>
      <c r="I223" s="2577" t="s">
        <v>2782</v>
      </c>
      <c r="J223" s="197" t="s">
        <v>2783</v>
      </c>
      <c r="K223" s="2577" t="s">
        <v>2784</v>
      </c>
      <c r="L223" s="197" t="s">
        <v>2785</v>
      </c>
      <c r="M223" s="2577" t="s">
        <v>2786</v>
      </c>
      <c r="N223" s="197" t="s">
        <v>2787</v>
      </c>
      <c r="O223" s="2577" t="s">
        <v>2788</v>
      </c>
      <c r="P223" s="197" t="s">
        <v>2789</v>
      </c>
      <c r="Q223" s="2577" t="s">
        <v>2790</v>
      </c>
      <c r="R223" s="197" t="s">
        <v>2791</v>
      </c>
      <c r="S223" s="2577" t="s">
        <v>2792</v>
      </c>
      <c r="T223" s="197" t="s">
        <v>2793</v>
      </c>
      <c r="U223" s="2577" t="s">
        <v>2794</v>
      </c>
      <c r="V223" s="197" t="s">
        <v>2795</v>
      </c>
      <c r="W223" s="2577" t="s">
        <v>2796</v>
      </c>
      <c r="X223" s="197" t="s">
        <v>2797</v>
      </c>
      <c r="Y223" s="2577" t="s">
        <v>2798</v>
      </c>
      <c r="Z223" s="197" t="s">
        <v>2799</v>
      </c>
      <c r="AA223" s="2577" t="s">
        <v>2800</v>
      </c>
      <c r="AB223" s="197" t="s">
        <v>2801</v>
      </c>
      <c r="AC223" s="2577" t="s">
        <v>2817</v>
      </c>
      <c r="AD223" s="197" t="s">
        <v>2818</v>
      </c>
      <c r="AE223" s="2577" t="s">
        <v>2819</v>
      </c>
      <c r="AF223" s="197" t="s">
        <v>2821</v>
      </c>
      <c r="AG223" s="2577" t="s">
        <v>2822</v>
      </c>
      <c r="AH223" s="197" t="s">
        <v>2823</v>
      </c>
      <c r="AI223" s="2577" t="s">
        <v>2824</v>
      </c>
      <c r="AJ223" s="197" t="s">
        <v>2825</v>
      </c>
      <c r="AK223" s="2577" t="s">
        <v>2826</v>
      </c>
      <c r="AL223" s="197" t="s">
        <v>2827</v>
      </c>
      <c r="AM223" s="2577" t="s">
        <v>2831</v>
      </c>
      <c r="AN223" s="493" t="s">
        <v>2832</v>
      </c>
      <c r="AO223" s="2755" t="s">
        <v>2833</v>
      </c>
      <c r="AP223" s="2271" t="s">
        <v>2834</v>
      </c>
      <c r="AQ223" s="197" t="s">
        <v>3011</v>
      </c>
      <c r="AR223" s="174" t="s">
        <v>3012</v>
      </c>
      <c r="AS223" s="149" t="s">
        <v>3013</v>
      </c>
      <c r="AT223" s="2577" t="s">
        <v>3014</v>
      </c>
      <c r="AU223" s="197" t="s">
        <v>3015</v>
      </c>
      <c r="AV223" s="197" t="s">
        <v>3206</v>
      </c>
      <c r="AW223" s="197" t="s">
        <v>3207</v>
      </c>
      <c r="AX223" s="1162" t="str">
        <f t="shared" si="53"/>
        <v xml:space="preserve">* Las gestantes egresadas del Programa NO debe ser mayor al Total de Mujeres egresadas. * Las madres de hijos menor de 5 años NO DEBE ser mayor al Total de Mujeres Egresadas al Programa. * Los Niños, Niñas, Adolescentes y Jóvenes de Programas SENAME NO DEBE ser mayor al Total de egresos del Programa. * Los Migrantes NO DEBEN ser mayor al Total de ingresos del Programa. </v>
      </c>
      <c r="AY223" s="1058"/>
      <c r="AZ223" s="1058"/>
      <c r="BA223" s="1058"/>
      <c r="BB223" s="1058"/>
      <c r="BC223" s="1058"/>
      <c r="BD223" s="1058"/>
      <c r="BE223" s="1058"/>
      <c r="BF223" s="1058"/>
      <c r="BG223" s="1058"/>
      <c r="BH223" s="1058"/>
      <c r="BI223" s="94"/>
      <c r="BJ223" s="94"/>
      <c r="BZ223" s="79"/>
      <c r="CB223" s="889" t="str">
        <f t="shared" si="41"/>
        <v xml:space="preserve">* Las gestantes egresadas del Programa NO debe ser mayor al Total de Mujeres egresadas. </v>
      </c>
      <c r="CC223" s="889" t="str">
        <f t="shared" si="42"/>
        <v xml:space="preserve">* Las madres de hijos menor de 5 años NO DEBE ser mayor al Total de Mujeres Egresadas al Programa. </v>
      </c>
      <c r="CD223" s="889" t="str">
        <f t="shared" si="43"/>
        <v/>
      </c>
      <c r="CE223" s="889" t="str">
        <f t="shared" si="44"/>
        <v xml:space="preserve">* Los Niños, Niñas, Adolescentes y Jóvenes de Programas SENAME NO DEBE ser mayor al Total de egresos del Programa. </v>
      </c>
      <c r="CF223" s="889" t="str">
        <f t="shared" si="45"/>
        <v xml:space="preserve">* Los Migrantes NO DEBEN ser mayor al Total de ingresos del Programa. </v>
      </c>
      <c r="CG223" s="889" t="str">
        <f t="shared" si="46"/>
        <v/>
      </c>
      <c r="CH223" s="1020">
        <f t="shared" si="47"/>
        <v>1</v>
      </c>
      <c r="CI223" s="1020">
        <f t="shared" si="48"/>
        <v>1</v>
      </c>
      <c r="CJ223" s="1020">
        <f t="shared" si="49"/>
        <v>0</v>
      </c>
      <c r="CK223" s="1020">
        <f t="shared" si="50"/>
        <v>1</v>
      </c>
      <c r="CL223" s="1020">
        <f t="shared" si="51"/>
        <v>1</v>
      </c>
      <c r="CM223" s="1020">
        <f t="shared" si="52"/>
        <v>0</v>
      </c>
      <c r="CN223" s="1020"/>
      <c r="DA223" s="80"/>
    </row>
    <row r="224" spans="1:105" ht="16.350000000000001" customHeight="1" x14ac:dyDescent="0.2">
      <c r="A224" s="2449" t="s">
        <v>3237</v>
      </c>
      <c r="B224" s="5648"/>
      <c r="C224" s="2423" t="s">
        <v>380</v>
      </c>
      <c r="D224" s="2769" t="s">
        <v>2777</v>
      </c>
      <c r="E224" s="2770" t="s">
        <v>2778</v>
      </c>
      <c r="F224" s="2771" t="s">
        <v>2779</v>
      </c>
      <c r="G224" s="2717" t="s">
        <v>2780</v>
      </c>
      <c r="H224" s="2719" t="s">
        <v>2781</v>
      </c>
      <c r="I224" s="2717" t="s">
        <v>2782</v>
      </c>
      <c r="J224" s="2719" t="s">
        <v>2783</v>
      </c>
      <c r="K224" s="2717" t="s">
        <v>2784</v>
      </c>
      <c r="L224" s="2719" t="s">
        <v>2785</v>
      </c>
      <c r="M224" s="2717" t="s">
        <v>2786</v>
      </c>
      <c r="N224" s="2719" t="s">
        <v>2787</v>
      </c>
      <c r="O224" s="2717" t="s">
        <v>2788</v>
      </c>
      <c r="P224" s="2719" t="s">
        <v>2789</v>
      </c>
      <c r="Q224" s="2717" t="s">
        <v>2790</v>
      </c>
      <c r="R224" s="2719" t="s">
        <v>2791</v>
      </c>
      <c r="S224" s="2717" t="s">
        <v>2792</v>
      </c>
      <c r="T224" s="2719" t="s">
        <v>2793</v>
      </c>
      <c r="U224" s="2717" t="s">
        <v>2794</v>
      </c>
      <c r="V224" s="2719" t="s">
        <v>2795</v>
      </c>
      <c r="W224" s="2717" t="s">
        <v>2796</v>
      </c>
      <c r="X224" s="2719" t="s">
        <v>2797</v>
      </c>
      <c r="Y224" s="2717" t="s">
        <v>2798</v>
      </c>
      <c r="Z224" s="2719" t="s">
        <v>2799</v>
      </c>
      <c r="AA224" s="2717" t="s">
        <v>2800</v>
      </c>
      <c r="AB224" s="2719" t="s">
        <v>2801</v>
      </c>
      <c r="AC224" s="2717" t="s">
        <v>2817</v>
      </c>
      <c r="AD224" s="2719" t="s">
        <v>2818</v>
      </c>
      <c r="AE224" s="2717" t="s">
        <v>2819</v>
      </c>
      <c r="AF224" s="2719" t="s">
        <v>2821</v>
      </c>
      <c r="AG224" s="2717" t="s">
        <v>2822</v>
      </c>
      <c r="AH224" s="2719" t="s">
        <v>2823</v>
      </c>
      <c r="AI224" s="2717" t="s">
        <v>2824</v>
      </c>
      <c r="AJ224" s="2719" t="s">
        <v>2825</v>
      </c>
      <c r="AK224" s="2717" t="s">
        <v>2826</v>
      </c>
      <c r="AL224" s="2719" t="s">
        <v>2827</v>
      </c>
      <c r="AM224" s="2717" t="s">
        <v>2831</v>
      </c>
      <c r="AN224" s="2772" t="s">
        <v>2832</v>
      </c>
      <c r="AO224" s="2796" t="s">
        <v>2833</v>
      </c>
      <c r="AP224" s="2797" t="s">
        <v>2834</v>
      </c>
      <c r="AQ224" s="2719" t="s">
        <v>3011</v>
      </c>
      <c r="AR224" s="169" t="s">
        <v>3012</v>
      </c>
      <c r="AS224" s="106" t="s">
        <v>3013</v>
      </c>
      <c r="AT224" s="2717" t="s">
        <v>3014</v>
      </c>
      <c r="AU224" s="2719" t="s">
        <v>3015</v>
      </c>
      <c r="AV224" s="2719" t="s">
        <v>3206</v>
      </c>
      <c r="AW224" s="2719" t="s">
        <v>3207</v>
      </c>
      <c r="AX224" s="1162" t="str">
        <f t="shared" si="53"/>
        <v xml:space="preserve">* Las gestantes egresadas del Programa NO debe ser mayor al Total de Mujeres egresadas. * Las madres de hijos menor de 5 años NO DEBE ser mayor al Total de Mujeres Egresadas al Programa. * Los Niños, Niñas, Adolescentes y Jóvenes de Programas SENAME NO DEBE ser mayor al Total de egresos del Programa. * Los Migrantes NO DEBEN ser mayor al Total de ingresos del Programa. </v>
      </c>
      <c r="AY224" s="1058"/>
      <c r="AZ224" s="1058"/>
      <c r="BA224" s="1058"/>
      <c r="BB224" s="1058"/>
      <c r="BC224" s="1058"/>
      <c r="BD224" s="1058"/>
      <c r="BE224" s="1058"/>
      <c r="BF224" s="1058"/>
      <c r="BG224" s="1058"/>
      <c r="BH224" s="1058"/>
      <c r="BI224" s="94"/>
      <c r="BJ224" s="94"/>
      <c r="BZ224" s="79"/>
      <c r="CB224" s="889" t="str">
        <f t="shared" si="41"/>
        <v xml:space="preserve">* Las gestantes egresadas del Programa NO debe ser mayor al Total de Mujeres egresadas. </v>
      </c>
      <c r="CC224" s="889" t="str">
        <f t="shared" si="42"/>
        <v xml:space="preserve">* Las madres de hijos menor de 5 años NO DEBE ser mayor al Total de Mujeres Egresadas al Programa. </v>
      </c>
      <c r="CD224" s="889" t="str">
        <f t="shared" si="43"/>
        <v/>
      </c>
      <c r="CE224" s="889" t="str">
        <f t="shared" si="44"/>
        <v xml:space="preserve">* Los Niños, Niñas, Adolescentes y Jóvenes de Programas SENAME NO DEBE ser mayor al Total de egresos del Programa. </v>
      </c>
      <c r="CF224" s="889" t="str">
        <f t="shared" si="45"/>
        <v xml:space="preserve">* Los Migrantes NO DEBEN ser mayor al Total de ingresos del Programa. </v>
      </c>
      <c r="CG224" s="889" t="str">
        <f t="shared" si="46"/>
        <v/>
      </c>
      <c r="CH224" s="1020">
        <f t="shared" si="47"/>
        <v>1</v>
      </c>
      <c r="CI224" s="1020">
        <f t="shared" si="48"/>
        <v>1</v>
      </c>
      <c r="CJ224" s="1020">
        <f t="shared" si="49"/>
        <v>0</v>
      </c>
      <c r="CK224" s="1020">
        <f t="shared" si="50"/>
        <v>1</v>
      </c>
      <c r="CL224" s="1020">
        <f t="shared" si="51"/>
        <v>1</v>
      </c>
      <c r="CM224" s="1020">
        <f t="shared" si="52"/>
        <v>0</v>
      </c>
      <c r="CN224" s="1020"/>
      <c r="DA224" s="80"/>
    </row>
    <row r="225" spans="1:105" ht="16.350000000000001" customHeight="1" x14ac:dyDescent="0.2">
      <c r="A225" s="2449" t="s">
        <v>3238</v>
      </c>
      <c r="B225" s="5684" t="s">
        <v>381</v>
      </c>
      <c r="C225" s="5698"/>
      <c r="D225" s="2782" t="s">
        <v>2777</v>
      </c>
      <c r="E225" s="2783" t="s">
        <v>2778</v>
      </c>
      <c r="F225" s="383" t="s">
        <v>2779</v>
      </c>
      <c r="G225" s="2577" t="s">
        <v>2780</v>
      </c>
      <c r="H225" s="197" t="s">
        <v>2781</v>
      </c>
      <c r="I225" s="2577" t="s">
        <v>2782</v>
      </c>
      <c r="J225" s="197" t="s">
        <v>2783</v>
      </c>
      <c r="K225" s="2577" t="s">
        <v>2784</v>
      </c>
      <c r="L225" s="197" t="s">
        <v>2785</v>
      </c>
      <c r="M225" s="2577" t="s">
        <v>2786</v>
      </c>
      <c r="N225" s="197" t="s">
        <v>2787</v>
      </c>
      <c r="O225" s="2577" t="s">
        <v>2788</v>
      </c>
      <c r="P225" s="197" t="s">
        <v>2789</v>
      </c>
      <c r="Q225" s="2577" t="s">
        <v>2790</v>
      </c>
      <c r="R225" s="197" t="s">
        <v>2791</v>
      </c>
      <c r="S225" s="2577" t="s">
        <v>2792</v>
      </c>
      <c r="T225" s="197" t="s">
        <v>2793</v>
      </c>
      <c r="U225" s="2577" t="s">
        <v>2794</v>
      </c>
      <c r="V225" s="197" t="s">
        <v>2795</v>
      </c>
      <c r="W225" s="2577" t="s">
        <v>2796</v>
      </c>
      <c r="X225" s="197" t="s">
        <v>2797</v>
      </c>
      <c r="Y225" s="2577" t="s">
        <v>2798</v>
      </c>
      <c r="Z225" s="197" t="s">
        <v>2799</v>
      </c>
      <c r="AA225" s="2577" t="s">
        <v>2800</v>
      </c>
      <c r="AB225" s="197" t="s">
        <v>2801</v>
      </c>
      <c r="AC225" s="2577" t="s">
        <v>2817</v>
      </c>
      <c r="AD225" s="197" t="s">
        <v>2818</v>
      </c>
      <c r="AE225" s="2577" t="s">
        <v>2819</v>
      </c>
      <c r="AF225" s="197" t="s">
        <v>2821</v>
      </c>
      <c r="AG225" s="2577" t="s">
        <v>2822</v>
      </c>
      <c r="AH225" s="197" t="s">
        <v>2823</v>
      </c>
      <c r="AI225" s="2577" t="s">
        <v>2824</v>
      </c>
      <c r="AJ225" s="197" t="s">
        <v>2825</v>
      </c>
      <c r="AK225" s="2577" t="s">
        <v>2826</v>
      </c>
      <c r="AL225" s="197" t="s">
        <v>2827</v>
      </c>
      <c r="AM225" s="2577" t="s">
        <v>2831</v>
      </c>
      <c r="AN225" s="493" t="s">
        <v>2832</v>
      </c>
      <c r="AO225" s="2755" t="s">
        <v>2833</v>
      </c>
      <c r="AP225" s="2271" t="s">
        <v>2834</v>
      </c>
      <c r="AQ225" s="197" t="s">
        <v>3011</v>
      </c>
      <c r="AR225" s="197" t="s">
        <v>3012</v>
      </c>
      <c r="AS225" s="2580" t="s">
        <v>3013</v>
      </c>
      <c r="AT225" s="2577" t="s">
        <v>3014</v>
      </c>
      <c r="AU225" s="197" t="s">
        <v>3015</v>
      </c>
      <c r="AV225" s="197" t="s">
        <v>3206</v>
      </c>
      <c r="AW225" s="197" t="s">
        <v>3207</v>
      </c>
      <c r="AX225" s="1162" t="str">
        <f t="shared" si="53"/>
        <v xml:space="preserve">* Las gestantes egresadas del Programa NO debe ser mayor al Total de Mujeres egresadas. * Las madres de hijos menor de 5 años NO DEBE ser mayor al Total de Mujeres Egresadas al Programa. * Los Niños, Niñas, Adolescentes y Jóvenes de Programas SENAME NO DEBE ser mayor al Total de egresos del Programa. * Los Migrantes NO DEBEN ser mayor al Total de ingresos del Programa. </v>
      </c>
      <c r="AY225" s="1058"/>
      <c r="AZ225" s="1058"/>
      <c r="BA225" s="1058"/>
      <c r="BB225" s="1058"/>
      <c r="BC225" s="1058"/>
      <c r="BD225" s="1058"/>
      <c r="BE225" s="1058"/>
      <c r="BF225" s="1058"/>
      <c r="BG225" s="1058"/>
      <c r="BH225" s="1058"/>
      <c r="BI225" s="94"/>
      <c r="BJ225" s="94"/>
      <c r="BZ225" s="79"/>
      <c r="CB225" s="889" t="str">
        <f t="shared" si="41"/>
        <v xml:space="preserve">* Las gestantes egresadas del Programa NO debe ser mayor al Total de Mujeres egresadas. </v>
      </c>
      <c r="CC225" s="889" t="str">
        <f t="shared" si="42"/>
        <v xml:space="preserve">* Las madres de hijos menor de 5 años NO DEBE ser mayor al Total de Mujeres Egresadas al Programa. </v>
      </c>
      <c r="CD225" s="889" t="str">
        <f t="shared" si="43"/>
        <v/>
      </c>
      <c r="CE225" s="889" t="str">
        <f t="shared" si="44"/>
        <v xml:space="preserve">* Los Niños, Niñas, Adolescentes y Jóvenes de Programas SENAME NO DEBE ser mayor al Total de egresos del Programa. </v>
      </c>
      <c r="CF225" s="889" t="str">
        <f t="shared" si="45"/>
        <v xml:space="preserve">* Los Migrantes NO DEBEN ser mayor al Total de ingresos del Programa. </v>
      </c>
      <c r="CG225" s="889" t="str">
        <f t="shared" si="46"/>
        <v/>
      </c>
      <c r="CH225" s="1020">
        <f t="shared" si="47"/>
        <v>1</v>
      </c>
      <c r="CI225" s="1020">
        <f t="shared" si="48"/>
        <v>1</v>
      </c>
      <c r="CJ225" s="1020">
        <f t="shared" si="49"/>
        <v>0</v>
      </c>
      <c r="CK225" s="1020">
        <f t="shared" si="50"/>
        <v>1</v>
      </c>
      <c r="CL225" s="1020">
        <f t="shared" si="51"/>
        <v>1</v>
      </c>
      <c r="CM225" s="1020">
        <f t="shared" si="52"/>
        <v>0</v>
      </c>
      <c r="CN225" s="1020"/>
      <c r="DA225" s="80"/>
    </row>
    <row r="226" spans="1:105" ht="16.350000000000001" customHeight="1" x14ac:dyDescent="0.2">
      <c r="A226" s="2449" t="s">
        <v>3239</v>
      </c>
      <c r="B226" s="5313" t="s">
        <v>382</v>
      </c>
      <c r="C226" s="5303"/>
      <c r="D226" s="714" t="s">
        <v>2777</v>
      </c>
      <c r="E226" s="715" t="s">
        <v>2778</v>
      </c>
      <c r="F226" s="2433" t="s">
        <v>2779</v>
      </c>
      <c r="G226" s="141" t="s">
        <v>2780</v>
      </c>
      <c r="H226" s="198" t="s">
        <v>2781</v>
      </c>
      <c r="I226" s="141" t="s">
        <v>2782</v>
      </c>
      <c r="J226" s="198" t="s">
        <v>2783</v>
      </c>
      <c r="K226" s="141" t="s">
        <v>2784</v>
      </c>
      <c r="L226" s="198" t="s">
        <v>2785</v>
      </c>
      <c r="M226" s="141" t="s">
        <v>2786</v>
      </c>
      <c r="N226" s="198" t="s">
        <v>2787</v>
      </c>
      <c r="O226" s="141" t="s">
        <v>2788</v>
      </c>
      <c r="P226" s="198" t="s">
        <v>2789</v>
      </c>
      <c r="Q226" s="141" t="s">
        <v>2790</v>
      </c>
      <c r="R226" s="198" t="s">
        <v>2791</v>
      </c>
      <c r="S226" s="141" t="s">
        <v>2792</v>
      </c>
      <c r="T226" s="198" t="s">
        <v>2793</v>
      </c>
      <c r="U226" s="141" t="s">
        <v>2794</v>
      </c>
      <c r="V226" s="198" t="s">
        <v>2795</v>
      </c>
      <c r="W226" s="141" t="s">
        <v>2796</v>
      </c>
      <c r="X226" s="198" t="s">
        <v>2797</v>
      </c>
      <c r="Y226" s="141" t="s">
        <v>2798</v>
      </c>
      <c r="Z226" s="198" t="s">
        <v>2799</v>
      </c>
      <c r="AA226" s="141" t="s">
        <v>2800</v>
      </c>
      <c r="AB226" s="198" t="s">
        <v>2801</v>
      </c>
      <c r="AC226" s="141" t="s">
        <v>2817</v>
      </c>
      <c r="AD226" s="198" t="s">
        <v>2818</v>
      </c>
      <c r="AE226" s="141" t="s">
        <v>2819</v>
      </c>
      <c r="AF226" s="198" t="s">
        <v>2821</v>
      </c>
      <c r="AG226" s="141" t="s">
        <v>2822</v>
      </c>
      <c r="AH226" s="198" t="s">
        <v>2823</v>
      </c>
      <c r="AI226" s="141" t="s">
        <v>2824</v>
      </c>
      <c r="AJ226" s="198" t="s">
        <v>2825</v>
      </c>
      <c r="AK226" s="141" t="s">
        <v>2826</v>
      </c>
      <c r="AL226" s="198" t="s">
        <v>2827</v>
      </c>
      <c r="AM226" s="141" t="s">
        <v>2831</v>
      </c>
      <c r="AN226" s="143" t="s">
        <v>2832</v>
      </c>
      <c r="AO226" s="2755" t="s">
        <v>2833</v>
      </c>
      <c r="AP226" s="2271" t="s">
        <v>2834</v>
      </c>
      <c r="AQ226" s="197" t="s">
        <v>3011</v>
      </c>
      <c r="AR226" s="198" t="s">
        <v>3012</v>
      </c>
      <c r="AS226" s="164" t="s">
        <v>3013</v>
      </c>
      <c r="AT226" s="141" t="s">
        <v>3014</v>
      </c>
      <c r="AU226" s="198" t="s">
        <v>3015</v>
      </c>
      <c r="AV226" s="198" t="s">
        <v>3206</v>
      </c>
      <c r="AW226" s="198" t="s">
        <v>3207</v>
      </c>
      <c r="AX226" s="1162" t="str">
        <f t="shared" si="53"/>
        <v xml:space="preserve">* Las gestantes egresadas del Programa NO debe ser mayor al Total de Mujeres egresadas. * Las madres de hijos menor de 5 años NO DEBE ser mayor al Total de Mujeres Egresadas al Programa. * Los Niños, Niñas, Adolescentes y Jóvenes de Programas SENAME NO DEBE ser mayor al Total de egresos del Programa. * Los Migrantes NO DEBEN ser mayor al Total de ingresos del Programa. </v>
      </c>
      <c r="AY226" s="1058"/>
      <c r="AZ226" s="1058"/>
      <c r="BA226" s="1058"/>
      <c r="BB226" s="1058"/>
      <c r="BC226" s="1058"/>
      <c r="BD226" s="1058"/>
      <c r="BE226" s="1058"/>
      <c r="BF226" s="1058"/>
      <c r="BG226" s="1058"/>
      <c r="BH226" s="1058"/>
      <c r="BI226" s="94"/>
      <c r="BJ226" s="94"/>
      <c r="BZ226" s="79"/>
      <c r="CB226" s="889" t="str">
        <f t="shared" si="41"/>
        <v xml:space="preserve">* Las gestantes egresadas del Programa NO debe ser mayor al Total de Mujeres egresadas. </v>
      </c>
      <c r="CC226" s="889" t="str">
        <f t="shared" si="42"/>
        <v xml:space="preserve">* Las madres de hijos menor de 5 años NO DEBE ser mayor al Total de Mujeres Egresadas al Programa. </v>
      </c>
      <c r="CD226" s="889" t="str">
        <f t="shared" si="43"/>
        <v/>
      </c>
      <c r="CE226" s="889" t="str">
        <f t="shared" si="44"/>
        <v xml:space="preserve">* Los Niños, Niñas, Adolescentes y Jóvenes de Programas SENAME NO DEBE ser mayor al Total de egresos del Programa. </v>
      </c>
      <c r="CF226" s="889" t="str">
        <f t="shared" si="45"/>
        <v xml:space="preserve">* Los Migrantes NO DEBEN ser mayor al Total de ingresos del Programa. </v>
      </c>
      <c r="CG226" s="889" t="str">
        <f t="shared" si="46"/>
        <v/>
      </c>
      <c r="CH226" s="1020">
        <f t="shared" si="47"/>
        <v>1</v>
      </c>
      <c r="CI226" s="1020">
        <f t="shared" si="48"/>
        <v>1</v>
      </c>
      <c r="CJ226" s="1020">
        <f t="shared" si="49"/>
        <v>0</v>
      </c>
      <c r="CK226" s="1020">
        <f t="shared" si="50"/>
        <v>1</v>
      </c>
      <c r="CL226" s="1020">
        <f t="shared" si="51"/>
        <v>1</v>
      </c>
      <c r="CM226" s="1020">
        <f t="shared" si="52"/>
        <v>0</v>
      </c>
      <c r="CN226" s="1020"/>
      <c r="DA226" s="80"/>
    </row>
    <row r="227" spans="1:105" ht="16.350000000000001" customHeight="1" x14ac:dyDescent="0.2">
      <c r="A227" s="2449" t="s">
        <v>3240</v>
      </c>
      <c r="B227" s="5313" t="s">
        <v>383</v>
      </c>
      <c r="C227" s="5303"/>
      <c r="D227" s="714" t="s">
        <v>2777</v>
      </c>
      <c r="E227" s="715" t="s">
        <v>2778</v>
      </c>
      <c r="F227" s="2433" t="s">
        <v>2779</v>
      </c>
      <c r="G227" s="141" t="s">
        <v>2780</v>
      </c>
      <c r="H227" s="198" t="s">
        <v>2781</v>
      </c>
      <c r="I227" s="141" t="s">
        <v>2782</v>
      </c>
      <c r="J227" s="198" t="s">
        <v>2783</v>
      </c>
      <c r="K227" s="141" t="s">
        <v>2784</v>
      </c>
      <c r="L227" s="198" t="s">
        <v>2785</v>
      </c>
      <c r="M227" s="141" t="s">
        <v>2786</v>
      </c>
      <c r="N227" s="198" t="s">
        <v>2787</v>
      </c>
      <c r="O227" s="141" t="s">
        <v>2788</v>
      </c>
      <c r="P227" s="198" t="s">
        <v>2789</v>
      </c>
      <c r="Q227" s="141" t="s">
        <v>2790</v>
      </c>
      <c r="R227" s="198" t="s">
        <v>2791</v>
      </c>
      <c r="S227" s="141" t="s">
        <v>2792</v>
      </c>
      <c r="T227" s="198" t="s">
        <v>2793</v>
      </c>
      <c r="U227" s="141" t="s">
        <v>2794</v>
      </c>
      <c r="V227" s="198" t="s">
        <v>2795</v>
      </c>
      <c r="W227" s="141" t="s">
        <v>2796</v>
      </c>
      <c r="X227" s="198" t="s">
        <v>2797</v>
      </c>
      <c r="Y227" s="141" t="s">
        <v>2798</v>
      </c>
      <c r="Z227" s="198" t="s">
        <v>2799</v>
      </c>
      <c r="AA227" s="141" t="s">
        <v>2800</v>
      </c>
      <c r="AB227" s="198" t="s">
        <v>2801</v>
      </c>
      <c r="AC227" s="141" t="s">
        <v>2817</v>
      </c>
      <c r="AD227" s="198" t="s">
        <v>2818</v>
      </c>
      <c r="AE227" s="141" t="s">
        <v>2819</v>
      </c>
      <c r="AF227" s="198" t="s">
        <v>2821</v>
      </c>
      <c r="AG227" s="141" t="s">
        <v>2822</v>
      </c>
      <c r="AH227" s="198" t="s">
        <v>2823</v>
      </c>
      <c r="AI227" s="141" t="s">
        <v>2824</v>
      </c>
      <c r="AJ227" s="198" t="s">
        <v>2825</v>
      </c>
      <c r="AK227" s="141" t="s">
        <v>2826</v>
      </c>
      <c r="AL227" s="198" t="s">
        <v>2827</v>
      </c>
      <c r="AM227" s="141" t="s">
        <v>2831</v>
      </c>
      <c r="AN227" s="143" t="s">
        <v>2832</v>
      </c>
      <c r="AO227" s="2755" t="s">
        <v>2833</v>
      </c>
      <c r="AP227" s="2271" t="s">
        <v>2834</v>
      </c>
      <c r="AQ227" s="197" t="s">
        <v>3011</v>
      </c>
      <c r="AR227" s="198" t="s">
        <v>3012</v>
      </c>
      <c r="AS227" s="164" t="s">
        <v>3013</v>
      </c>
      <c r="AT227" s="141" t="s">
        <v>3014</v>
      </c>
      <c r="AU227" s="198" t="s">
        <v>3015</v>
      </c>
      <c r="AV227" s="198" t="s">
        <v>3206</v>
      </c>
      <c r="AW227" s="198" t="s">
        <v>3207</v>
      </c>
      <c r="AX227" s="1162" t="str">
        <f t="shared" si="53"/>
        <v xml:space="preserve">* Las gestantes egresadas del Programa NO debe ser mayor al Total de Mujeres egresadas. * Las madres de hijos menor de 5 años NO DEBE ser mayor al Total de Mujeres Egresadas al Programa. * Los Niños, Niñas, Adolescentes y Jóvenes de Programas SENAME NO DEBE ser mayor al Total de egresos del Programa. * Los Migrantes NO DEBEN ser mayor al Total de ingresos del Programa. </v>
      </c>
      <c r="AY227" s="1058"/>
      <c r="AZ227" s="1058"/>
      <c r="BA227" s="1058"/>
      <c r="BB227" s="1058"/>
      <c r="BC227" s="1058"/>
      <c r="BD227" s="1058"/>
      <c r="BE227" s="1058"/>
      <c r="BF227" s="1058"/>
      <c r="BG227" s="1058"/>
      <c r="BH227" s="1058"/>
      <c r="BI227" s="94"/>
      <c r="BJ227" s="94"/>
      <c r="BZ227" s="79"/>
      <c r="CB227" s="889" t="str">
        <f t="shared" si="41"/>
        <v xml:space="preserve">* Las gestantes egresadas del Programa NO debe ser mayor al Total de Mujeres egresadas. </v>
      </c>
      <c r="CC227" s="889" t="str">
        <f t="shared" si="42"/>
        <v xml:space="preserve">* Las madres de hijos menor de 5 años NO DEBE ser mayor al Total de Mujeres Egresadas al Programa. </v>
      </c>
      <c r="CD227" s="889" t="str">
        <f t="shared" si="43"/>
        <v/>
      </c>
      <c r="CE227" s="889" t="str">
        <f t="shared" si="44"/>
        <v xml:space="preserve">* Los Niños, Niñas, Adolescentes y Jóvenes de Programas SENAME NO DEBE ser mayor al Total de egresos del Programa. </v>
      </c>
      <c r="CF227" s="889" t="str">
        <f t="shared" si="45"/>
        <v xml:space="preserve">* Los Migrantes NO DEBEN ser mayor al Total de ingresos del Programa. </v>
      </c>
      <c r="CG227" s="889" t="str">
        <f t="shared" si="46"/>
        <v/>
      </c>
      <c r="CH227" s="1020">
        <f t="shared" si="47"/>
        <v>1</v>
      </c>
      <c r="CI227" s="1020">
        <f t="shared" si="48"/>
        <v>1</v>
      </c>
      <c r="CJ227" s="1020">
        <f t="shared" si="49"/>
        <v>0</v>
      </c>
      <c r="CK227" s="1020">
        <f t="shared" si="50"/>
        <v>1</v>
      </c>
      <c r="CL227" s="1020">
        <f t="shared" si="51"/>
        <v>1</v>
      </c>
      <c r="CM227" s="1020">
        <f t="shared" si="52"/>
        <v>0</v>
      </c>
      <c r="CN227" s="1020"/>
      <c r="DA227" s="80"/>
    </row>
    <row r="228" spans="1:105" ht="16.350000000000001" customHeight="1" x14ac:dyDescent="0.2">
      <c r="A228" s="2449" t="s">
        <v>3241</v>
      </c>
      <c r="B228" s="5313" t="s">
        <v>384</v>
      </c>
      <c r="C228" s="5303"/>
      <c r="D228" s="714" t="s">
        <v>2777</v>
      </c>
      <c r="E228" s="715" t="s">
        <v>2778</v>
      </c>
      <c r="F228" s="2433" t="s">
        <v>2779</v>
      </c>
      <c r="G228" s="141" t="s">
        <v>2780</v>
      </c>
      <c r="H228" s="198" t="s">
        <v>2781</v>
      </c>
      <c r="I228" s="141" t="s">
        <v>2782</v>
      </c>
      <c r="J228" s="198" t="s">
        <v>2783</v>
      </c>
      <c r="K228" s="141" t="s">
        <v>2784</v>
      </c>
      <c r="L228" s="198" t="s">
        <v>2785</v>
      </c>
      <c r="M228" s="141" t="s">
        <v>2786</v>
      </c>
      <c r="N228" s="198" t="s">
        <v>2787</v>
      </c>
      <c r="O228" s="141" t="s">
        <v>2788</v>
      </c>
      <c r="P228" s="198" t="s">
        <v>2789</v>
      </c>
      <c r="Q228" s="141" t="s">
        <v>2790</v>
      </c>
      <c r="R228" s="198" t="s">
        <v>2791</v>
      </c>
      <c r="S228" s="141" t="s">
        <v>2792</v>
      </c>
      <c r="T228" s="198" t="s">
        <v>2793</v>
      </c>
      <c r="U228" s="141" t="s">
        <v>2794</v>
      </c>
      <c r="V228" s="198" t="s">
        <v>2795</v>
      </c>
      <c r="W228" s="141" t="s">
        <v>2796</v>
      </c>
      <c r="X228" s="198" t="s">
        <v>2797</v>
      </c>
      <c r="Y228" s="141" t="s">
        <v>2798</v>
      </c>
      <c r="Z228" s="198" t="s">
        <v>2799</v>
      </c>
      <c r="AA228" s="141" t="s">
        <v>2800</v>
      </c>
      <c r="AB228" s="198" t="s">
        <v>2801</v>
      </c>
      <c r="AC228" s="141" t="s">
        <v>2817</v>
      </c>
      <c r="AD228" s="198" t="s">
        <v>2818</v>
      </c>
      <c r="AE228" s="141" t="s">
        <v>2819</v>
      </c>
      <c r="AF228" s="198" t="s">
        <v>2821</v>
      </c>
      <c r="AG228" s="141" t="s">
        <v>2822</v>
      </c>
      <c r="AH228" s="198" t="s">
        <v>2823</v>
      </c>
      <c r="AI228" s="141" t="s">
        <v>2824</v>
      </c>
      <c r="AJ228" s="198" t="s">
        <v>2825</v>
      </c>
      <c r="AK228" s="141" t="s">
        <v>2826</v>
      </c>
      <c r="AL228" s="198" t="s">
        <v>2827</v>
      </c>
      <c r="AM228" s="141" t="s">
        <v>2831</v>
      </c>
      <c r="AN228" s="143" t="s">
        <v>2832</v>
      </c>
      <c r="AO228" s="2755" t="s">
        <v>2833</v>
      </c>
      <c r="AP228" s="2271" t="s">
        <v>2834</v>
      </c>
      <c r="AQ228" s="197" t="s">
        <v>3011</v>
      </c>
      <c r="AR228" s="198" t="s">
        <v>3012</v>
      </c>
      <c r="AS228" s="164" t="s">
        <v>3013</v>
      </c>
      <c r="AT228" s="141" t="s">
        <v>3014</v>
      </c>
      <c r="AU228" s="198" t="s">
        <v>3015</v>
      </c>
      <c r="AV228" s="198" t="s">
        <v>3206</v>
      </c>
      <c r="AW228" s="198" t="s">
        <v>3207</v>
      </c>
      <c r="AX228" s="1162" t="str">
        <f t="shared" si="53"/>
        <v xml:space="preserve">* Las gestantes egresadas del Programa NO debe ser mayor al Total de Mujeres egresadas. * Las madres de hijos menor de 5 años NO DEBE ser mayor al Total de Mujeres Egresadas al Programa. * Los Niños, Niñas, Adolescentes y Jóvenes de Programas SENAME NO DEBE ser mayor al Total de egresos del Programa. * Los Migrantes NO DEBEN ser mayor al Total de ingresos del Programa. </v>
      </c>
      <c r="AY228" s="1058"/>
      <c r="AZ228" s="1058"/>
      <c r="BA228" s="1058"/>
      <c r="BB228" s="1058"/>
      <c r="BC228" s="1058"/>
      <c r="BD228" s="1058"/>
      <c r="BE228" s="1058"/>
      <c r="BF228" s="1058"/>
      <c r="BG228" s="1058"/>
      <c r="BH228" s="1058"/>
      <c r="BI228" s="94"/>
      <c r="BJ228" s="94"/>
      <c r="BZ228" s="79"/>
      <c r="CB228" s="889" t="str">
        <f t="shared" si="41"/>
        <v xml:space="preserve">* Las gestantes egresadas del Programa NO debe ser mayor al Total de Mujeres egresadas. </v>
      </c>
      <c r="CC228" s="889" t="str">
        <f t="shared" si="42"/>
        <v xml:space="preserve">* Las madres de hijos menor de 5 años NO DEBE ser mayor al Total de Mujeres Egresadas al Programa. </v>
      </c>
      <c r="CD228" s="889" t="str">
        <f t="shared" si="43"/>
        <v/>
      </c>
      <c r="CE228" s="889" t="str">
        <f t="shared" si="44"/>
        <v xml:space="preserve">* Los Niños, Niñas, Adolescentes y Jóvenes de Programas SENAME NO DEBE ser mayor al Total de egresos del Programa. </v>
      </c>
      <c r="CF228" s="889" t="str">
        <f t="shared" si="45"/>
        <v xml:space="preserve">* Los Migrantes NO DEBEN ser mayor al Total de ingresos del Programa. </v>
      </c>
      <c r="CG228" s="889" t="str">
        <f t="shared" si="46"/>
        <v/>
      </c>
      <c r="CH228" s="1020">
        <f t="shared" si="47"/>
        <v>1</v>
      </c>
      <c r="CI228" s="1020">
        <f t="shared" si="48"/>
        <v>1</v>
      </c>
      <c r="CJ228" s="1020">
        <f t="shared" si="49"/>
        <v>0</v>
      </c>
      <c r="CK228" s="1020">
        <f t="shared" si="50"/>
        <v>1</v>
      </c>
      <c r="CL228" s="1020">
        <f t="shared" si="51"/>
        <v>1</v>
      </c>
      <c r="CM228" s="1020">
        <f t="shared" si="52"/>
        <v>0</v>
      </c>
      <c r="CN228" s="1020"/>
      <c r="DA228" s="80"/>
    </row>
    <row r="229" spans="1:105" ht="19.5" customHeight="1" x14ac:dyDescent="0.2">
      <c r="A229" s="2449" t="s">
        <v>3242</v>
      </c>
      <c r="B229" s="5313" t="s">
        <v>385</v>
      </c>
      <c r="C229" s="5303"/>
      <c r="D229" s="714" t="s">
        <v>2777</v>
      </c>
      <c r="E229" s="715" t="s">
        <v>2778</v>
      </c>
      <c r="F229" s="2433" t="s">
        <v>2779</v>
      </c>
      <c r="G229" s="2245" t="s">
        <v>2780</v>
      </c>
      <c r="H229" s="240" t="s">
        <v>2781</v>
      </c>
      <c r="I229" s="2245" t="s">
        <v>2782</v>
      </c>
      <c r="J229" s="240" t="s">
        <v>2783</v>
      </c>
      <c r="K229" s="2245" t="s">
        <v>2784</v>
      </c>
      <c r="L229" s="240" t="s">
        <v>2785</v>
      </c>
      <c r="M229" s="2245" t="s">
        <v>2786</v>
      </c>
      <c r="N229" s="240" t="s">
        <v>2787</v>
      </c>
      <c r="O229" s="2245" t="s">
        <v>2788</v>
      </c>
      <c r="P229" s="240" t="s">
        <v>2789</v>
      </c>
      <c r="Q229" s="2245" t="s">
        <v>2790</v>
      </c>
      <c r="R229" s="240" t="s">
        <v>2791</v>
      </c>
      <c r="S229" s="2245" t="s">
        <v>2792</v>
      </c>
      <c r="T229" s="240" t="s">
        <v>2793</v>
      </c>
      <c r="U229" s="2245" t="s">
        <v>2794</v>
      </c>
      <c r="V229" s="240" t="s">
        <v>2795</v>
      </c>
      <c r="W229" s="2245" t="s">
        <v>2796</v>
      </c>
      <c r="X229" s="240" t="s">
        <v>2797</v>
      </c>
      <c r="Y229" s="2245" t="s">
        <v>2798</v>
      </c>
      <c r="Z229" s="240" t="s">
        <v>2799</v>
      </c>
      <c r="AA229" s="2245" t="s">
        <v>2800</v>
      </c>
      <c r="AB229" s="240" t="s">
        <v>2801</v>
      </c>
      <c r="AC229" s="2245" t="s">
        <v>2817</v>
      </c>
      <c r="AD229" s="240" t="s">
        <v>2818</v>
      </c>
      <c r="AE229" s="2245" t="s">
        <v>2819</v>
      </c>
      <c r="AF229" s="240" t="s">
        <v>2821</v>
      </c>
      <c r="AG229" s="2245" t="s">
        <v>2822</v>
      </c>
      <c r="AH229" s="240" t="s">
        <v>2823</v>
      </c>
      <c r="AI229" s="2245" t="s">
        <v>2824</v>
      </c>
      <c r="AJ229" s="240" t="s">
        <v>2825</v>
      </c>
      <c r="AK229" s="2245" t="s">
        <v>2826</v>
      </c>
      <c r="AL229" s="240" t="s">
        <v>2827</v>
      </c>
      <c r="AM229" s="2245" t="s">
        <v>2831</v>
      </c>
      <c r="AN229" s="148" t="s">
        <v>2832</v>
      </c>
      <c r="AO229" s="2755" t="s">
        <v>2833</v>
      </c>
      <c r="AP229" s="2271" t="s">
        <v>2834</v>
      </c>
      <c r="AQ229" s="197" t="s">
        <v>3011</v>
      </c>
      <c r="AR229" s="240" t="s">
        <v>3012</v>
      </c>
      <c r="AS229" s="2324" t="s">
        <v>3013</v>
      </c>
      <c r="AT229" s="2245" t="s">
        <v>3014</v>
      </c>
      <c r="AU229" s="240" t="s">
        <v>3015</v>
      </c>
      <c r="AV229" s="240" t="s">
        <v>3206</v>
      </c>
      <c r="AW229" s="240" t="s">
        <v>3207</v>
      </c>
      <c r="AX229" s="1162" t="str">
        <f t="shared" si="53"/>
        <v xml:space="preserve">* Las gestantes egresadas del Programa NO debe ser mayor al Total de Mujeres egresadas. * Las madres de hijos menor de 5 años NO DEBE ser mayor al Total de Mujeres Egresadas al Programa. * Los Niños, Niñas, Adolescentes y Jóvenes de Programas SENAME NO DEBE ser mayor al Total de egresos del Programa. * Los Migrantes NO DEBEN ser mayor al Total de ingresos del Programa. </v>
      </c>
      <c r="AY229" s="94"/>
      <c r="AZ229" s="94"/>
      <c r="BA229" s="94"/>
      <c r="BB229" s="94"/>
      <c r="BC229" s="94"/>
      <c r="BD229" s="94"/>
      <c r="BE229" s="94"/>
      <c r="BF229" s="94"/>
      <c r="BG229" s="94"/>
      <c r="BH229" s="94"/>
      <c r="BI229" s="94"/>
      <c r="BJ229" s="94"/>
      <c r="CA229" s="889"/>
      <c r="CG229" s="1020"/>
      <c r="CH229" s="1020"/>
      <c r="CI229" s="1020"/>
      <c r="CJ229" s="1020"/>
      <c r="CK229" s="1020"/>
      <c r="CL229" s="1020"/>
      <c r="CM229" s="1020"/>
      <c r="CN229" s="1020"/>
      <c r="DA229" s="80"/>
    </row>
    <row r="230" spans="1:105" ht="16.350000000000001" customHeight="1" x14ac:dyDescent="0.2">
      <c r="A230" s="2449" t="s">
        <v>3243</v>
      </c>
      <c r="B230" s="5696" t="s">
        <v>1519</v>
      </c>
      <c r="C230" s="5697"/>
      <c r="D230" s="2369" t="s">
        <v>2777</v>
      </c>
      <c r="E230" s="713" t="s">
        <v>2778</v>
      </c>
      <c r="F230" s="2434" t="s">
        <v>2779</v>
      </c>
      <c r="G230" s="2245" t="s">
        <v>2780</v>
      </c>
      <c r="H230" s="240" t="s">
        <v>2781</v>
      </c>
      <c r="I230" s="2245" t="s">
        <v>2782</v>
      </c>
      <c r="J230" s="240" t="s">
        <v>2783</v>
      </c>
      <c r="K230" s="2245" t="s">
        <v>2784</v>
      </c>
      <c r="L230" s="240" t="s">
        <v>2785</v>
      </c>
      <c r="M230" s="2245" t="s">
        <v>2786</v>
      </c>
      <c r="N230" s="240" t="s">
        <v>2787</v>
      </c>
      <c r="O230" s="2245" t="s">
        <v>2788</v>
      </c>
      <c r="P230" s="240" t="s">
        <v>2789</v>
      </c>
      <c r="Q230" s="2245" t="s">
        <v>2790</v>
      </c>
      <c r="R230" s="240" t="s">
        <v>2791</v>
      </c>
      <c r="S230" s="2245" t="s">
        <v>2792</v>
      </c>
      <c r="T230" s="240" t="s">
        <v>2793</v>
      </c>
      <c r="U230" s="2245" t="s">
        <v>2794</v>
      </c>
      <c r="V230" s="240" t="s">
        <v>2795</v>
      </c>
      <c r="W230" s="2245" t="s">
        <v>2796</v>
      </c>
      <c r="X230" s="240" t="s">
        <v>2797</v>
      </c>
      <c r="Y230" s="2245" t="s">
        <v>2798</v>
      </c>
      <c r="Z230" s="240" t="s">
        <v>2799</v>
      </c>
      <c r="AA230" s="2245" t="s">
        <v>2800</v>
      </c>
      <c r="AB230" s="240" t="s">
        <v>2801</v>
      </c>
      <c r="AC230" s="2245" t="s">
        <v>2817</v>
      </c>
      <c r="AD230" s="240" t="s">
        <v>2818</v>
      </c>
      <c r="AE230" s="2245" t="s">
        <v>2819</v>
      </c>
      <c r="AF230" s="240" t="s">
        <v>2821</v>
      </c>
      <c r="AG230" s="2245" t="s">
        <v>2822</v>
      </c>
      <c r="AH230" s="240" t="s">
        <v>2823</v>
      </c>
      <c r="AI230" s="2245" t="s">
        <v>2824</v>
      </c>
      <c r="AJ230" s="240" t="s">
        <v>2825</v>
      </c>
      <c r="AK230" s="2245" t="s">
        <v>2826</v>
      </c>
      <c r="AL230" s="240" t="s">
        <v>2827</v>
      </c>
      <c r="AM230" s="2245" t="s">
        <v>2831</v>
      </c>
      <c r="AN230" s="148" t="s">
        <v>2832</v>
      </c>
      <c r="AO230" s="592" t="s">
        <v>2833</v>
      </c>
      <c r="AP230" s="180" t="s">
        <v>2834</v>
      </c>
      <c r="AQ230" s="198" t="s">
        <v>3011</v>
      </c>
      <c r="AR230" s="240" t="s">
        <v>3012</v>
      </c>
      <c r="AS230" s="2324" t="s">
        <v>3013</v>
      </c>
      <c r="AT230" s="2245" t="s">
        <v>3014</v>
      </c>
      <c r="AU230" s="240" t="s">
        <v>3015</v>
      </c>
      <c r="AV230" s="240" t="s">
        <v>3206</v>
      </c>
      <c r="AW230" s="240" t="s">
        <v>3207</v>
      </c>
      <c r="AX230" s="1162" t="str">
        <f t="shared" si="53"/>
        <v xml:space="preserve">* Las gestantes egresadas del Programa NO debe ser mayor al Total de Mujeres egresadas. * Las madres de hijos menor de 5 años NO DEBE ser mayor al Total de Mujeres Egresadas al Programa. * Los Niños, Niñas, Adolescentes y Jóvenes de Programas SENAME NO DEBE ser mayor al Total de egresos del Programa. * Los Migrantes NO DEBEN ser mayor al Total de ingresos del Programa. </v>
      </c>
      <c r="AY230" s="94"/>
      <c r="AZ230" s="94"/>
      <c r="BA230" s="94"/>
      <c r="BB230" s="94"/>
      <c r="BC230" s="94"/>
      <c r="BD230" s="94"/>
      <c r="BE230" s="94"/>
      <c r="BF230" s="94"/>
      <c r="BG230" s="94"/>
      <c r="BH230" s="94"/>
      <c r="BI230" s="94"/>
      <c r="BJ230" s="94"/>
      <c r="BZ230" s="79"/>
      <c r="CA230" s="889"/>
      <c r="CG230" s="1020"/>
      <c r="CH230" s="1020"/>
      <c r="CI230" s="1020"/>
      <c r="CJ230" s="1020"/>
      <c r="CK230" s="1020"/>
      <c r="CL230" s="1020"/>
      <c r="CM230" s="1020"/>
      <c r="CN230" s="1020"/>
      <c r="DA230" s="80"/>
    </row>
    <row r="231" spans="1:105" ht="19.5" customHeight="1" x14ac:dyDescent="0.2">
      <c r="A231" s="2449" t="s">
        <v>3244</v>
      </c>
      <c r="B231" s="5314" t="s">
        <v>109</v>
      </c>
      <c r="C231" s="5315"/>
      <c r="D231" s="716" t="s">
        <v>2777</v>
      </c>
      <c r="E231" s="717" t="s">
        <v>2778</v>
      </c>
      <c r="F231" s="384" t="s">
        <v>2779</v>
      </c>
      <c r="G231" s="166" t="s">
        <v>2780</v>
      </c>
      <c r="H231" s="168" t="s">
        <v>2781</v>
      </c>
      <c r="I231" s="166" t="s">
        <v>2782</v>
      </c>
      <c r="J231" s="168" t="s">
        <v>2783</v>
      </c>
      <c r="K231" s="166" t="s">
        <v>2784</v>
      </c>
      <c r="L231" s="168" t="s">
        <v>2785</v>
      </c>
      <c r="M231" s="166" t="s">
        <v>2786</v>
      </c>
      <c r="N231" s="168" t="s">
        <v>2787</v>
      </c>
      <c r="O231" s="166" t="s">
        <v>2788</v>
      </c>
      <c r="P231" s="168" t="s">
        <v>2789</v>
      </c>
      <c r="Q231" s="166" t="s">
        <v>2790</v>
      </c>
      <c r="R231" s="168" t="s">
        <v>2791</v>
      </c>
      <c r="S231" s="166" t="s">
        <v>2792</v>
      </c>
      <c r="T231" s="168" t="s">
        <v>2793</v>
      </c>
      <c r="U231" s="166" t="s">
        <v>2794</v>
      </c>
      <c r="V231" s="168" t="s">
        <v>2795</v>
      </c>
      <c r="W231" s="166" t="s">
        <v>2796</v>
      </c>
      <c r="X231" s="168" t="s">
        <v>2797</v>
      </c>
      <c r="Y231" s="166" t="s">
        <v>2798</v>
      </c>
      <c r="Z231" s="168" t="s">
        <v>2799</v>
      </c>
      <c r="AA231" s="166" t="s">
        <v>2800</v>
      </c>
      <c r="AB231" s="168" t="s">
        <v>2801</v>
      </c>
      <c r="AC231" s="166" t="s">
        <v>2817</v>
      </c>
      <c r="AD231" s="168" t="s">
        <v>2818</v>
      </c>
      <c r="AE231" s="166" t="s">
        <v>2819</v>
      </c>
      <c r="AF231" s="168" t="s">
        <v>2821</v>
      </c>
      <c r="AG231" s="166" t="s">
        <v>2822</v>
      </c>
      <c r="AH231" s="168" t="s">
        <v>2823</v>
      </c>
      <c r="AI231" s="166" t="s">
        <v>2824</v>
      </c>
      <c r="AJ231" s="168" t="s">
        <v>2825</v>
      </c>
      <c r="AK231" s="166" t="s">
        <v>2826</v>
      </c>
      <c r="AL231" s="168" t="s">
        <v>2827</v>
      </c>
      <c r="AM231" s="166" t="s">
        <v>2831</v>
      </c>
      <c r="AN231" s="265" t="s">
        <v>2832</v>
      </c>
      <c r="AO231" s="2796" t="s">
        <v>2833</v>
      </c>
      <c r="AP231" s="2797" t="s">
        <v>2834</v>
      </c>
      <c r="AQ231" s="2719" t="s">
        <v>3011</v>
      </c>
      <c r="AR231" s="377" t="s">
        <v>3012</v>
      </c>
      <c r="AS231" s="374" t="s">
        <v>3013</v>
      </c>
      <c r="AT231" s="166" t="s">
        <v>3014</v>
      </c>
      <c r="AU231" s="168" t="s">
        <v>3015</v>
      </c>
      <c r="AV231" s="168" t="s">
        <v>3206</v>
      </c>
      <c r="AW231" s="168" t="s">
        <v>3207</v>
      </c>
      <c r="AX231" s="1162" t="str">
        <f t="shared" si="53"/>
        <v xml:space="preserve">* Las gestantes egresadas del Programa NO debe ser mayor al Total de Mujeres egresadas. * Las madres de hijos menor de 5 años NO DEBE ser mayor al Total de Mujeres Egresadas al Programa. * Los Niños, Niñas, Adolescentes y Jóvenes de Programas SENAME NO DEBE ser mayor al Total de egresos del Programa. * Los Migrantes NO DEBEN ser mayor al Total de ingresos del Programa. </v>
      </c>
      <c r="AY231" s="94"/>
      <c r="AZ231" s="94"/>
      <c r="BA231" s="94"/>
      <c r="BB231" s="94"/>
      <c r="BC231" s="94"/>
      <c r="BD231" s="94"/>
      <c r="BE231" s="94"/>
      <c r="BF231" s="94"/>
      <c r="BG231" s="94"/>
      <c r="BH231" s="94"/>
      <c r="BI231" s="94"/>
      <c r="BJ231" s="94"/>
      <c r="BZ231" s="79"/>
      <c r="CA231" s="889"/>
      <c r="CG231" s="1020"/>
      <c r="CH231" s="1020"/>
      <c r="CI231" s="1020"/>
      <c r="CJ231" s="1020"/>
      <c r="CK231" s="1020"/>
      <c r="CL231" s="1020"/>
      <c r="CM231" s="1020"/>
      <c r="CN231" s="1020"/>
      <c r="DA231" s="80"/>
    </row>
    <row r="232" spans="1:105" ht="23.25" customHeight="1" x14ac:dyDescent="0.2">
      <c r="B232" s="959" t="s">
        <v>1654</v>
      </c>
      <c r="C232" s="139"/>
      <c r="AM232" s="190"/>
      <c r="AN232" s="190"/>
      <c r="AO232" s="190"/>
      <c r="AP232" s="298"/>
      <c r="AQ232" s="190"/>
      <c r="AR232" s="190"/>
      <c r="AS232" s="190"/>
      <c r="AT232" s="190"/>
      <c r="AU232" s="190"/>
      <c r="AX232" s="94"/>
      <c r="AY232" s="94"/>
      <c r="AZ232" s="94"/>
      <c r="BA232" s="94"/>
      <c r="BB232" s="94"/>
      <c r="BC232" s="94"/>
      <c r="BD232" s="94"/>
      <c r="BE232" s="94"/>
      <c r="BF232" s="94"/>
      <c r="BG232" s="94"/>
      <c r="BH232" s="94"/>
      <c r="BI232" s="94"/>
      <c r="BJ232" s="94"/>
      <c r="BK232" s="94"/>
      <c r="CH232" s="1020"/>
      <c r="CI232" s="1020"/>
      <c r="CJ232" s="1020"/>
      <c r="CK232" s="1020"/>
      <c r="CL232" s="1020"/>
      <c r="CM232" s="1020"/>
      <c r="CN232" s="1020"/>
      <c r="CO232" s="1020"/>
    </row>
    <row r="233" spans="1:105" ht="16.350000000000001" customHeight="1" x14ac:dyDescent="0.2">
      <c r="B233" s="5118" t="s">
        <v>120</v>
      </c>
      <c r="C233" s="5120"/>
      <c r="D233" s="5522" t="s">
        <v>42</v>
      </c>
      <c r="E233" s="5522"/>
      <c r="F233" s="5522"/>
      <c r="G233" s="5105" t="s">
        <v>246</v>
      </c>
      <c r="H233" s="5106"/>
      <c r="I233" s="5105" t="s">
        <v>389</v>
      </c>
      <c r="J233" s="5106"/>
      <c r="K233" s="5105" t="s">
        <v>390</v>
      </c>
      <c r="L233" s="5106"/>
      <c r="M233" s="5105" t="s">
        <v>391</v>
      </c>
      <c r="N233" s="5106"/>
      <c r="O233" s="5105" t="s">
        <v>392</v>
      </c>
      <c r="P233" s="5106"/>
      <c r="Q233" s="5105" t="s">
        <v>393</v>
      </c>
      <c r="R233" s="5106"/>
      <c r="S233" s="5105" t="s">
        <v>394</v>
      </c>
      <c r="T233" s="5106"/>
      <c r="U233" s="5105" t="s">
        <v>395</v>
      </c>
      <c r="V233" s="5106"/>
      <c r="W233" s="5105" t="s">
        <v>396</v>
      </c>
      <c r="X233" s="5106"/>
      <c r="Y233" s="5105" t="s">
        <v>397</v>
      </c>
      <c r="Z233" s="5106"/>
      <c r="AA233" s="5105" t="s">
        <v>398</v>
      </c>
      <c r="AB233" s="5106"/>
      <c r="AC233" s="5105" t="s">
        <v>399</v>
      </c>
      <c r="AD233" s="5106"/>
      <c r="AE233" s="5105" t="s">
        <v>400</v>
      </c>
      <c r="AF233" s="5106"/>
      <c r="AG233" s="5105" t="s">
        <v>401</v>
      </c>
      <c r="AH233" s="5106"/>
      <c r="AI233" s="5105" t="s">
        <v>402</v>
      </c>
      <c r="AJ233" s="5106"/>
      <c r="AK233" s="5105" t="s">
        <v>403</v>
      </c>
      <c r="AL233" s="5106"/>
      <c r="AM233" s="190"/>
      <c r="AN233" s="190"/>
      <c r="AO233" s="190"/>
      <c r="AP233" s="298"/>
      <c r="AQ233" s="190"/>
      <c r="AR233" s="190"/>
      <c r="AS233" s="190"/>
      <c r="AT233" s="190"/>
      <c r="AU233" s="190"/>
      <c r="AX233" s="94"/>
      <c r="AY233" s="94"/>
      <c r="AZ233" s="94"/>
      <c r="BA233" s="94"/>
      <c r="BB233" s="94"/>
      <c r="BC233" s="94"/>
      <c r="BD233" s="94"/>
      <c r="BE233" s="94"/>
      <c r="BF233" s="94"/>
      <c r="BG233" s="94"/>
      <c r="BH233" s="94"/>
      <c r="BI233" s="94"/>
      <c r="BJ233" s="94"/>
      <c r="BK233" s="94"/>
      <c r="CH233" s="1020"/>
      <c r="CI233" s="1020"/>
      <c r="CJ233" s="1020"/>
      <c r="CK233" s="1020"/>
      <c r="CL233" s="1020"/>
      <c r="CM233" s="1020"/>
      <c r="CN233" s="1020"/>
      <c r="CO233" s="1020"/>
    </row>
    <row r="234" spans="1:105" ht="16.350000000000001" customHeight="1" x14ac:dyDescent="0.2">
      <c r="B234" s="5125"/>
      <c r="C234" s="5126"/>
      <c r="D234" s="253" t="s">
        <v>184</v>
      </c>
      <c r="E234" s="88" t="s">
        <v>24</v>
      </c>
      <c r="F234" s="131" t="s">
        <v>25</v>
      </c>
      <c r="G234" s="91" t="s">
        <v>24</v>
      </c>
      <c r="H234" s="196" t="s">
        <v>25</v>
      </c>
      <c r="I234" s="91" t="s">
        <v>24</v>
      </c>
      <c r="J234" s="196" t="s">
        <v>25</v>
      </c>
      <c r="K234" s="91" t="s">
        <v>24</v>
      </c>
      <c r="L234" s="196" t="s">
        <v>25</v>
      </c>
      <c r="M234" s="91" t="s">
        <v>24</v>
      </c>
      <c r="N234" s="196" t="s">
        <v>25</v>
      </c>
      <c r="O234" s="91" t="s">
        <v>24</v>
      </c>
      <c r="P234" s="196" t="s">
        <v>25</v>
      </c>
      <c r="Q234" s="91" t="s">
        <v>24</v>
      </c>
      <c r="R234" s="196" t="s">
        <v>25</v>
      </c>
      <c r="S234" s="91" t="s">
        <v>24</v>
      </c>
      <c r="T234" s="196" t="s">
        <v>25</v>
      </c>
      <c r="U234" s="91" t="s">
        <v>24</v>
      </c>
      <c r="V234" s="196" t="s">
        <v>25</v>
      </c>
      <c r="W234" s="91" t="s">
        <v>24</v>
      </c>
      <c r="X234" s="196" t="s">
        <v>25</v>
      </c>
      <c r="Y234" s="91" t="s">
        <v>24</v>
      </c>
      <c r="Z234" s="196" t="s">
        <v>25</v>
      </c>
      <c r="AA234" s="91" t="s">
        <v>24</v>
      </c>
      <c r="AB234" s="196" t="s">
        <v>25</v>
      </c>
      <c r="AC234" s="91" t="s">
        <v>24</v>
      </c>
      <c r="AD234" s="196" t="s">
        <v>25</v>
      </c>
      <c r="AE234" s="91" t="s">
        <v>24</v>
      </c>
      <c r="AF234" s="196" t="s">
        <v>25</v>
      </c>
      <c r="AG234" s="91" t="s">
        <v>24</v>
      </c>
      <c r="AH234" s="196" t="s">
        <v>25</v>
      </c>
      <c r="AI234" s="91" t="s">
        <v>24</v>
      </c>
      <c r="AJ234" s="196" t="s">
        <v>25</v>
      </c>
      <c r="AK234" s="91" t="s">
        <v>24</v>
      </c>
      <c r="AL234" s="196" t="s">
        <v>25</v>
      </c>
      <c r="AM234" s="190"/>
      <c r="AN234" s="190"/>
      <c r="AO234" s="190"/>
      <c r="AP234" s="298"/>
      <c r="AQ234" s="190"/>
      <c r="AR234" s="190"/>
      <c r="AS234" s="190"/>
      <c r="AT234" s="190"/>
      <c r="AU234" s="190"/>
      <c r="AX234" s="94"/>
      <c r="AY234" s="94"/>
      <c r="AZ234" s="94"/>
      <c r="BA234" s="94"/>
      <c r="BB234" s="94"/>
      <c r="BC234" s="94"/>
      <c r="BD234" s="94"/>
      <c r="BE234" s="94"/>
      <c r="BF234" s="94"/>
      <c r="BG234" s="94"/>
      <c r="BH234" s="94"/>
      <c r="BI234" s="94"/>
      <c r="BJ234" s="94"/>
      <c r="BK234" s="94"/>
      <c r="CH234" s="1020"/>
      <c r="CI234" s="1020"/>
      <c r="CJ234" s="1020"/>
      <c r="CK234" s="1020"/>
      <c r="CL234" s="1020"/>
      <c r="CM234" s="1020"/>
      <c r="CN234" s="1020"/>
      <c r="CO234" s="1020"/>
    </row>
    <row r="235" spans="1:105" ht="16.350000000000001" customHeight="1" x14ac:dyDescent="0.2">
      <c r="A235" s="2449" t="s">
        <v>3245</v>
      </c>
      <c r="B235" s="5615" t="s">
        <v>1520</v>
      </c>
      <c r="C235" s="2605" t="s">
        <v>345</v>
      </c>
      <c r="D235" s="2538" t="s">
        <v>2777</v>
      </c>
      <c r="E235" s="2589" t="s">
        <v>2778</v>
      </c>
      <c r="F235" s="2564" t="s">
        <v>2779</v>
      </c>
      <c r="G235" s="2483" t="s">
        <v>2780</v>
      </c>
      <c r="H235" s="2499" t="s">
        <v>2781</v>
      </c>
      <c r="I235" s="2483" t="s">
        <v>2782</v>
      </c>
      <c r="J235" s="2499" t="s">
        <v>2783</v>
      </c>
      <c r="K235" s="2483" t="s">
        <v>2784</v>
      </c>
      <c r="L235" s="2499" t="s">
        <v>2785</v>
      </c>
      <c r="M235" s="2483" t="s">
        <v>2786</v>
      </c>
      <c r="N235" s="2499" t="s">
        <v>2787</v>
      </c>
      <c r="O235" s="2483" t="s">
        <v>2788</v>
      </c>
      <c r="P235" s="2499" t="s">
        <v>2789</v>
      </c>
      <c r="Q235" s="2483" t="s">
        <v>2790</v>
      </c>
      <c r="R235" s="2499" t="s">
        <v>2791</v>
      </c>
      <c r="S235" s="2483" t="s">
        <v>2792</v>
      </c>
      <c r="T235" s="2499" t="s">
        <v>2793</v>
      </c>
      <c r="U235" s="2483" t="s">
        <v>2794</v>
      </c>
      <c r="V235" s="2499" t="s">
        <v>2795</v>
      </c>
      <c r="W235" s="2483" t="s">
        <v>2796</v>
      </c>
      <c r="X235" s="2499" t="s">
        <v>2797</v>
      </c>
      <c r="Y235" s="2483" t="s">
        <v>2798</v>
      </c>
      <c r="Z235" s="2499" t="s">
        <v>2799</v>
      </c>
      <c r="AA235" s="2483" t="s">
        <v>2800</v>
      </c>
      <c r="AB235" s="2499" t="s">
        <v>2801</v>
      </c>
      <c r="AC235" s="2483" t="s">
        <v>2817</v>
      </c>
      <c r="AD235" s="2499" t="s">
        <v>2818</v>
      </c>
      <c r="AE235" s="2483" t="s">
        <v>2819</v>
      </c>
      <c r="AF235" s="2499" t="s">
        <v>2821</v>
      </c>
      <c r="AG235" s="2483" t="s">
        <v>2822</v>
      </c>
      <c r="AH235" s="2499" t="s">
        <v>2823</v>
      </c>
      <c r="AI235" s="2483" t="s">
        <v>2824</v>
      </c>
      <c r="AJ235" s="2499" t="s">
        <v>2825</v>
      </c>
      <c r="AK235" s="2483" t="s">
        <v>2826</v>
      </c>
      <c r="AL235" s="2499" t="s">
        <v>2827</v>
      </c>
      <c r="AM235" s="136"/>
      <c r="AN235" s="190"/>
      <c r="AO235" s="190"/>
      <c r="AP235" s="298"/>
      <c r="AQ235" s="190"/>
      <c r="AR235" s="190"/>
      <c r="AS235" s="190"/>
      <c r="AT235" s="190"/>
      <c r="AU235" s="190"/>
      <c r="AX235" s="94"/>
      <c r="AY235" s="94"/>
      <c r="AZ235" s="94"/>
      <c r="BA235" s="94"/>
      <c r="BB235" s="94"/>
      <c r="BC235" s="94"/>
      <c r="BD235" s="94"/>
      <c r="BE235" s="94"/>
      <c r="BF235" s="94"/>
      <c r="BG235" s="94"/>
      <c r="BH235" s="94"/>
      <c r="BI235" s="94"/>
      <c r="BJ235" s="94"/>
      <c r="BK235" s="94"/>
      <c r="CH235" s="1020">
        <v>0</v>
      </c>
      <c r="CI235" s="1020">
        <v>0</v>
      </c>
      <c r="CJ235" s="1020"/>
      <c r="CK235" s="1020"/>
      <c r="CL235" s="1020"/>
      <c r="CM235" s="1020"/>
      <c r="CN235" s="1020"/>
      <c r="CO235" s="1020"/>
    </row>
    <row r="236" spans="1:105" ht="16.5" customHeight="1" x14ac:dyDescent="0.2">
      <c r="A236" s="2449" t="s">
        <v>3246</v>
      </c>
      <c r="B236" s="5616"/>
      <c r="C236" s="1005" t="s">
        <v>326</v>
      </c>
      <c r="D236" s="2444" t="s">
        <v>2777</v>
      </c>
      <c r="E236" s="2445" t="s">
        <v>2778</v>
      </c>
      <c r="F236" s="202" t="s">
        <v>2779</v>
      </c>
      <c r="G236" s="166" t="s">
        <v>2780</v>
      </c>
      <c r="H236" s="168" t="s">
        <v>2781</v>
      </c>
      <c r="I236" s="166" t="s">
        <v>2782</v>
      </c>
      <c r="J236" s="168" t="s">
        <v>2783</v>
      </c>
      <c r="K236" s="166" t="s">
        <v>2784</v>
      </c>
      <c r="L236" s="168" t="s">
        <v>2785</v>
      </c>
      <c r="M236" s="166" t="s">
        <v>2786</v>
      </c>
      <c r="N236" s="168" t="s">
        <v>2787</v>
      </c>
      <c r="O236" s="166" t="s">
        <v>2788</v>
      </c>
      <c r="P236" s="168" t="s">
        <v>2789</v>
      </c>
      <c r="Q236" s="166" t="s">
        <v>2790</v>
      </c>
      <c r="R236" s="168" t="s">
        <v>2791</v>
      </c>
      <c r="S236" s="166" t="s">
        <v>2792</v>
      </c>
      <c r="T236" s="168" t="s">
        <v>2793</v>
      </c>
      <c r="U236" s="166" t="s">
        <v>2794</v>
      </c>
      <c r="V236" s="168" t="s">
        <v>2795</v>
      </c>
      <c r="W236" s="166" t="s">
        <v>2796</v>
      </c>
      <c r="X236" s="168" t="s">
        <v>2797</v>
      </c>
      <c r="Y236" s="166" t="s">
        <v>2798</v>
      </c>
      <c r="Z236" s="168" t="s">
        <v>2799</v>
      </c>
      <c r="AA236" s="166" t="s">
        <v>2800</v>
      </c>
      <c r="AB236" s="168" t="s">
        <v>2801</v>
      </c>
      <c r="AC236" s="166" t="s">
        <v>2817</v>
      </c>
      <c r="AD236" s="168" t="s">
        <v>2818</v>
      </c>
      <c r="AE236" s="166" t="s">
        <v>2819</v>
      </c>
      <c r="AF236" s="168" t="s">
        <v>2821</v>
      </c>
      <c r="AG236" s="166" t="s">
        <v>2822</v>
      </c>
      <c r="AH236" s="168" t="s">
        <v>2823</v>
      </c>
      <c r="AI236" s="166" t="s">
        <v>2824</v>
      </c>
      <c r="AJ236" s="168" t="s">
        <v>2825</v>
      </c>
      <c r="AK236" s="166" t="s">
        <v>2826</v>
      </c>
      <c r="AL236" s="168" t="s">
        <v>2827</v>
      </c>
      <c r="AM236" s="403"/>
      <c r="AN236" s="128"/>
      <c r="AO236" s="128"/>
      <c r="AP236" s="128"/>
      <c r="AQ236" s="128"/>
      <c r="AR236" s="128"/>
      <c r="AS236" s="128"/>
      <c r="AT236" s="128"/>
      <c r="AU236" s="128"/>
      <c r="AV236" s="128"/>
      <c r="AW236" s="128"/>
      <c r="AX236" s="94"/>
      <c r="AY236" s="94"/>
      <c r="AZ236" s="94"/>
      <c r="BA236" s="94"/>
      <c r="BB236" s="94"/>
      <c r="BC236" s="94"/>
      <c r="BD236" s="94"/>
      <c r="BE236" s="94"/>
      <c r="BF236" s="94"/>
      <c r="BG236" s="94"/>
      <c r="BH236" s="94"/>
      <c r="BI236" s="94"/>
      <c r="BJ236" s="94"/>
      <c r="BK236" s="94"/>
      <c r="CA236" s="80"/>
      <c r="CH236" s="1020">
        <v>0</v>
      </c>
      <c r="CI236" s="1020">
        <v>0</v>
      </c>
      <c r="CJ236" s="1020"/>
      <c r="CK236" s="1020"/>
      <c r="CL236" s="1020"/>
      <c r="CM236" s="1020"/>
      <c r="CN236" s="1020"/>
      <c r="CO236" s="1020"/>
    </row>
    <row r="237" spans="1:105" ht="16.350000000000001" customHeight="1" x14ac:dyDescent="0.2">
      <c r="A237" s="2449" t="s">
        <v>3247</v>
      </c>
      <c r="B237" s="5615" t="s">
        <v>1521</v>
      </c>
      <c r="C237" s="2605" t="s">
        <v>345</v>
      </c>
      <c r="D237" s="2538" t="s">
        <v>2777</v>
      </c>
      <c r="E237" s="2589" t="s">
        <v>2778</v>
      </c>
      <c r="F237" s="2564" t="s">
        <v>2779</v>
      </c>
      <c r="G237" s="2483" t="s">
        <v>2780</v>
      </c>
      <c r="H237" s="2499" t="s">
        <v>2781</v>
      </c>
      <c r="I237" s="2483" t="s">
        <v>2782</v>
      </c>
      <c r="J237" s="2499" t="s">
        <v>2783</v>
      </c>
      <c r="K237" s="2483" t="s">
        <v>2784</v>
      </c>
      <c r="L237" s="2499" t="s">
        <v>2785</v>
      </c>
      <c r="M237" s="2483" t="s">
        <v>2786</v>
      </c>
      <c r="N237" s="2499" t="s">
        <v>2787</v>
      </c>
      <c r="O237" s="2483" t="s">
        <v>2788</v>
      </c>
      <c r="P237" s="2499" t="s">
        <v>2789</v>
      </c>
      <c r="Q237" s="2483" t="s">
        <v>2790</v>
      </c>
      <c r="R237" s="2499" t="s">
        <v>2791</v>
      </c>
      <c r="S237" s="2483" t="s">
        <v>2792</v>
      </c>
      <c r="T237" s="2499" t="s">
        <v>2793</v>
      </c>
      <c r="U237" s="2483" t="s">
        <v>2794</v>
      </c>
      <c r="V237" s="2499" t="s">
        <v>2795</v>
      </c>
      <c r="W237" s="2483" t="s">
        <v>2796</v>
      </c>
      <c r="X237" s="2499" t="s">
        <v>2797</v>
      </c>
      <c r="Y237" s="2483" t="s">
        <v>2798</v>
      </c>
      <c r="Z237" s="2499" t="s">
        <v>2799</v>
      </c>
      <c r="AA237" s="2483" t="s">
        <v>2800</v>
      </c>
      <c r="AB237" s="2499" t="s">
        <v>2801</v>
      </c>
      <c r="AC237" s="2483" t="s">
        <v>2817</v>
      </c>
      <c r="AD237" s="2499" t="s">
        <v>2818</v>
      </c>
      <c r="AE237" s="2483" t="s">
        <v>2819</v>
      </c>
      <c r="AF237" s="2499" t="s">
        <v>2821</v>
      </c>
      <c r="AG237" s="2483" t="s">
        <v>2822</v>
      </c>
      <c r="AH237" s="2499" t="s">
        <v>2823</v>
      </c>
      <c r="AI237" s="2483" t="s">
        <v>2824</v>
      </c>
      <c r="AJ237" s="2499" t="s">
        <v>2825</v>
      </c>
      <c r="AK237" s="2483" t="s">
        <v>2826</v>
      </c>
      <c r="AL237" s="2499" t="s">
        <v>2827</v>
      </c>
      <c r="AM237" s="79"/>
      <c r="AN237" s="881"/>
      <c r="AO237" s="881"/>
      <c r="AP237" s="881"/>
      <c r="AQ237" s="881"/>
      <c r="AR237" s="881"/>
      <c r="AS237" s="881"/>
      <c r="AT237" s="881"/>
      <c r="AU237" s="881"/>
      <c r="AV237" s="94"/>
      <c r="AW237" s="94"/>
      <c r="AX237" s="94"/>
      <c r="AY237" s="94"/>
      <c r="AZ237" s="94"/>
      <c r="BA237" s="94"/>
      <c r="BB237" s="94"/>
      <c r="CH237" s="1020">
        <v>0</v>
      </c>
      <c r="CI237" s="1020">
        <v>0</v>
      </c>
      <c r="CJ237" s="1020"/>
      <c r="CK237" s="1020"/>
      <c r="CL237" s="1020"/>
      <c r="CM237" s="1020"/>
      <c r="CN237" s="1020"/>
      <c r="CO237" s="1020"/>
    </row>
    <row r="238" spans="1:105" ht="16.350000000000001" customHeight="1" x14ac:dyDescent="0.2">
      <c r="A238" s="2449" t="s">
        <v>3248</v>
      </c>
      <c r="B238" s="5616"/>
      <c r="C238" s="1005" t="s">
        <v>326</v>
      </c>
      <c r="D238" s="2723" t="s">
        <v>2777</v>
      </c>
      <c r="E238" s="2350" t="s">
        <v>2778</v>
      </c>
      <c r="F238" s="2724" t="s">
        <v>2779</v>
      </c>
      <c r="G238" s="2717" t="s">
        <v>2780</v>
      </c>
      <c r="H238" s="2719" t="s">
        <v>2781</v>
      </c>
      <c r="I238" s="2717" t="s">
        <v>2782</v>
      </c>
      <c r="J238" s="2719" t="s">
        <v>2783</v>
      </c>
      <c r="K238" s="2717" t="s">
        <v>2784</v>
      </c>
      <c r="L238" s="2719" t="s">
        <v>2785</v>
      </c>
      <c r="M238" s="2717" t="s">
        <v>2786</v>
      </c>
      <c r="N238" s="2719" t="s">
        <v>2787</v>
      </c>
      <c r="O238" s="2717" t="s">
        <v>2788</v>
      </c>
      <c r="P238" s="2719" t="s">
        <v>2789</v>
      </c>
      <c r="Q238" s="2717" t="s">
        <v>2790</v>
      </c>
      <c r="R238" s="2719" t="s">
        <v>2791</v>
      </c>
      <c r="S238" s="2717" t="s">
        <v>2792</v>
      </c>
      <c r="T238" s="2719" t="s">
        <v>2793</v>
      </c>
      <c r="U238" s="2717" t="s">
        <v>2794</v>
      </c>
      <c r="V238" s="2719" t="s">
        <v>2795</v>
      </c>
      <c r="W238" s="2717" t="s">
        <v>2796</v>
      </c>
      <c r="X238" s="2719" t="s">
        <v>2797</v>
      </c>
      <c r="Y238" s="2717" t="s">
        <v>2798</v>
      </c>
      <c r="Z238" s="2719" t="s">
        <v>2799</v>
      </c>
      <c r="AA238" s="2717" t="s">
        <v>2800</v>
      </c>
      <c r="AB238" s="2719" t="s">
        <v>2801</v>
      </c>
      <c r="AC238" s="2717" t="s">
        <v>2817</v>
      </c>
      <c r="AD238" s="2719" t="s">
        <v>2818</v>
      </c>
      <c r="AE238" s="2717" t="s">
        <v>2819</v>
      </c>
      <c r="AF238" s="2719" t="s">
        <v>2821</v>
      </c>
      <c r="AG238" s="2717" t="s">
        <v>2822</v>
      </c>
      <c r="AH238" s="2719" t="s">
        <v>2823</v>
      </c>
      <c r="AI238" s="2717" t="s">
        <v>2824</v>
      </c>
      <c r="AJ238" s="2719" t="s">
        <v>2825</v>
      </c>
      <c r="AK238" s="2717" t="s">
        <v>2826</v>
      </c>
      <c r="AL238" s="2719" t="s">
        <v>2827</v>
      </c>
      <c r="AM238" s="79"/>
      <c r="AN238" s="881"/>
      <c r="AO238" s="881"/>
      <c r="AP238" s="881"/>
      <c r="AQ238" s="881"/>
      <c r="AR238" s="881"/>
      <c r="AS238" s="881"/>
      <c r="AT238" s="881"/>
      <c r="AU238" s="881"/>
      <c r="AV238" s="94"/>
      <c r="AW238" s="94"/>
      <c r="AX238" s="94"/>
      <c r="AY238" s="94"/>
      <c r="AZ238" s="94"/>
      <c r="BA238" s="94"/>
      <c r="BB238" s="94"/>
      <c r="CH238" s="1020"/>
      <c r="CI238" s="1020"/>
      <c r="CJ238" s="1020"/>
      <c r="CK238" s="1020"/>
      <c r="CL238" s="1020"/>
      <c r="CM238" s="1020"/>
      <c r="CN238" s="1020"/>
      <c r="CO238" s="1020"/>
    </row>
    <row r="239" spans="1:105" ht="22.5" customHeight="1" x14ac:dyDescent="0.2">
      <c r="B239" s="308" t="s">
        <v>869</v>
      </c>
      <c r="C239" s="81"/>
      <c r="AN239" s="881"/>
      <c r="AO239" s="881"/>
      <c r="AP239" s="881"/>
      <c r="AQ239" s="881"/>
      <c r="AR239" s="881"/>
      <c r="AS239" s="881"/>
      <c r="AT239" s="881"/>
      <c r="AU239" s="881"/>
      <c r="AV239" s="94"/>
      <c r="AW239" s="94"/>
      <c r="AX239" s="94"/>
      <c r="AY239" s="94"/>
      <c r="AZ239" s="94"/>
      <c r="BA239" s="94"/>
      <c r="BB239" s="94"/>
      <c r="CH239" s="1020"/>
      <c r="CI239" s="1020"/>
      <c r="CJ239" s="1020"/>
      <c r="CK239" s="1020"/>
      <c r="CL239" s="1020"/>
      <c r="CM239" s="1020"/>
      <c r="CN239" s="1020"/>
      <c r="CO239" s="1020"/>
    </row>
    <row r="240" spans="1:105" ht="16.350000000000001" customHeight="1" x14ac:dyDescent="0.2">
      <c r="B240" s="5619" t="s">
        <v>404</v>
      </c>
      <c r="C240" s="5706" t="s">
        <v>405</v>
      </c>
      <c r="D240" s="5118" t="s">
        <v>4</v>
      </c>
      <c r="E240" s="5119"/>
      <c r="F240" s="5120"/>
      <c r="G240" s="5524" t="s">
        <v>406</v>
      </c>
      <c r="H240" s="5606"/>
      <c r="I240" s="5606"/>
      <c r="J240" s="5606"/>
      <c r="K240" s="5606"/>
      <c r="L240" s="5606"/>
      <c r="M240" s="5606"/>
      <c r="N240" s="5606"/>
      <c r="O240" s="5606"/>
      <c r="P240" s="5606"/>
      <c r="Q240" s="5606"/>
      <c r="R240" s="5606"/>
      <c r="S240" s="5606"/>
      <c r="T240" s="5606"/>
      <c r="U240" s="5606"/>
      <c r="V240" s="5606"/>
      <c r="W240" s="5606"/>
      <c r="X240" s="5606"/>
      <c r="Y240" s="5606"/>
      <c r="Z240" s="5606"/>
      <c r="AA240" s="5606"/>
      <c r="AB240" s="5606"/>
      <c r="AC240" s="5606"/>
      <c r="AD240" s="5606"/>
      <c r="AE240" s="5606"/>
      <c r="AF240" s="5606"/>
      <c r="AG240" s="5606"/>
      <c r="AH240" s="5606"/>
      <c r="AI240" s="5606"/>
      <c r="AJ240" s="5606"/>
      <c r="AK240" s="5606"/>
      <c r="AL240" s="5525"/>
      <c r="AM240" s="5112" t="s">
        <v>1357</v>
      </c>
      <c r="AN240" s="1057"/>
      <c r="AO240" s="1058"/>
      <c r="AP240" s="1058"/>
      <c r="AQ240" s="1058"/>
      <c r="AR240" s="1058"/>
      <c r="AS240" s="1058"/>
      <c r="AT240" s="1058"/>
      <c r="AU240" s="1058"/>
      <c r="AV240" s="1058"/>
      <c r="AW240" s="1058"/>
      <c r="AX240" s="1058"/>
      <c r="AY240" s="1058"/>
      <c r="AZ240" s="94"/>
      <c r="BA240" s="94"/>
      <c r="BB240" s="94"/>
      <c r="CH240" s="1020">
        <v>0</v>
      </c>
      <c r="CI240" s="1020">
        <v>0</v>
      </c>
      <c r="CJ240" s="1020"/>
      <c r="CK240" s="1020"/>
      <c r="CL240" s="1020"/>
      <c r="CM240" s="1020"/>
      <c r="CN240" s="1020"/>
      <c r="CO240" s="1020"/>
    </row>
    <row r="241" spans="1:93" ht="16.350000000000001" customHeight="1" x14ac:dyDescent="0.2">
      <c r="B241" s="5620"/>
      <c r="C241" s="5707"/>
      <c r="D241" s="5125"/>
      <c r="E241" s="5598"/>
      <c r="F241" s="5126"/>
      <c r="G241" s="5524" t="s">
        <v>351</v>
      </c>
      <c r="H241" s="5525"/>
      <c r="I241" s="5524" t="s">
        <v>352</v>
      </c>
      <c r="J241" s="5525"/>
      <c r="K241" s="5524" t="s">
        <v>319</v>
      </c>
      <c r="L241" s="5525"/>
      <c r="M241" s="5524" t="s">
        <v>10</v>
      </c>
      <c r="N241" s="5525"/>
      <c r="O241" s="5105" t="s">
        <v>11</v>
      </c>
      <c r="P241" s="5106"/>
      <c r="Q241" s="5105" t="s">
        <v>12</v>
      </c>
      <c r="R241" s="5106"/>
      <c r="S241" s="5105" t="s">
        <v>13</v>
      </c>
      <c r="T241" s="5106"/>
      <c r="U241" s="5105" t="s">
        <v>14</v>
      </c>
      <c r="V241" s="5106"/>
      <c r="W241" s="5105" t="s">
        <v>15</v>
      </c>
      <c r="X241" s="5106"/>
      <c r="Y241" s="5105" t="s">
        <v>16</v>
      </c>
      <c r="Z241" s="5106"/>
      <c r="AA241" s="5105" t="s">
        <v>17</v>
      </c>
      <c r="AB241" s="5106"/>
      <c r="AC241" s="5105" t="s">
        <v>18</v>
      </c>
      <c r="AD241" s="5106"/>
      <c r="AE241" s="5105" t="s">
        <v>19</v>
      </c>
      <c r="AF241" s="5106"/>
      <c r="AG241" s="5105" t="s">
        <v>20</v>
      </c>
      <c r="AH241" s="5106"/>
      <c r="AI241" s="5105" t="s">
        <v>21</v>
      </c>
      <c r="AJ241" s="5106"/>
      <c r="AK241" s="5107" t="s">
        <v>22</v>
      </c>
      <c r="AL241" s="5108"/>
      <c r="AM241" s="5113"/>
      <c r="AN241" s="1057"/>
      <c r="AO241" s="1058"/>
      <c r="AP241" s="1058"/>
      <c r="AQ241" s="1058"/>
      <c r="AR241" s="1058"/>
      <c r="AS241" s="1058"/>
      <c r="AT241" s="1058"/>
      <c r="AU241" s="1058"/>
      <c r="AV241" s="1058"/>
      <c r="AW241" s="1058"/>
      <c r="AX241" s="1058"/>
      <c r="AY241" s="1058"/>
      <c r="AZ241" s="94"/>
      <c r="BA241" s="94"/>
      <c r="BB241" s="94"/>
      <c r="CH241" s="1020">
        <v>0</v>
      </c>
      <c r="CI241" s="1020">
        <v>0</v>
      </c>
      <c r="CJ241" s="1020"/>
      <c r="CK241" s="1020"/>
      <c r="CL241" s="1020"/>
      <c r="CM241" s="1020"/>
      <c r="CN241" s="1020"/>
      <c r="CO241" s="1020"/>
    </row>
    <row r="242" spans="1:93" ht="16.350000000000001" customHeight="1" x14ac:dyDescent="0.2">
      <c r="B242" s="5621"/>
      <c r="C242" s="5708"/>
      <c r="D242" s="981" t="s">
        <v>184</v>
      </c>
      <c r="E242" s="718" t="s">
        <v>24</v>
      </c>
      <c r="F242" s="395" t="s">
        <v>25</v>
      </c>
      <c r="G242" s="662" t="s">
        <v>24</v>
      </c>
      <c r="H242" s="978" t="s">
        <v>25</v>
      </c>
      <c r="I242" s="662" t="s">
        <v>24</v>
      </c>
      <c r="J242" s="978" t="s">
        <v>25</v>
      </c>
      <c r="K242" s="662" t="s">
        <v>24</v>
      </c>
      <c r="L242" s="978" t="s">
        <v>25</v>
      </c>
      <c r="M242" s="662" t="s">
        <v>24</v>
      </c>
      <c r="N242" s="978" t="s">
        <v>25</v>
      </c>
      <c r="O242" s="662" t="s">
        <v>24</v>
      </c>
      <c r="P242" s="978" t="s">
        <v>25</v>
      </c>
      <c r="Q242" s="662" t="s">
        <v>24</v>
      </c>
      <c r="R242" s="978" t="s">
        <v>25</v>
      </c>
      <c r="S242" s="662" t="s">
        <v>24</v>
      </c>
      <c r="T242" s="978" t="s">
        <v>25</v>
      </c>
      <c r="U242" s="977" t="s">
        <v>24</v>
      </c>
      <c r="V242" s="977" t="s">
        <v>25</v>
      </c>
      <c r="W242" s="663" t="s">
        <v>24</v>
      </c>
      <c r="X242" s="978" t="s">
        <v>25</v>
      </c>
      <c r="Y242" s="662" t="s">
        <v>24</v>
      </c>
      <c r="Z242" s="978" t="s">
        <v>25</v>
      </c>
      <c r="AA242" s="662" t="s">
        <v>24</v>
      </c>
      <c r="AB242" s="978" t="s">
        <v>25</v>
      </c>
      <c r="AC242" s="662" t="s">
        <v>24</v>
      </c>
      <c r="AD242" s="978" t="s">
        <v>25</v>
      </c>
      <c r="AE242" s="662" t="s">
        <v>24</v>
      </c>
      <c r="AF242" s="978" t="s">
        <v>25</v>
      </c>
      <c r="AG242" s="662" t="s">
        <v>24</v>
      </c>
      <c r="AH242" s="978" t="s">
        <v>25</v>
      </c>
      <c r="AI242" s="662" t="s">
        <v>24</v>
      </c>
      <c r="AJ242" s="978" t="s">
        <v>25</v>
      </c>
      <c r="AK242" s="662" t="s">
        <v>24</v>
      </c>
      <c r="AL242" s="978" t="s">
        <v>25</v>
      </c>
      <c r="AM242" s="5114"/>
      <c r="AN242" s="1057"/>
      <c r="AO242" s="1058"/>
      <c r="AP242" s="1058"/>
      <c r="AQ242" s="1058"/>
      <c r="AR242" s="1058"/>
      <c r="AS242" s="1058"/>
      <c r="AT242" s="1058"/>
      <c r="AU242" s="1058"/>
      <c r="AV242" s="1058"/>
      <c r="AW242" s="1058"/>
      <c r="AX242" s="1058"/>
      <c r="AY242" s="1058"/>
      <c r="AZ242" s="94"/>
      <c r="BA242" s="94"/>
      <c r="BB242" s="94"/>
      <c r="CH242" s="1020">
        <v>0</v>
      </c>
      <c r="CI242" s="1020">
        <v>0</v>
      </c>
      <c r="CJ242" s="1020"/>
      <c r="CK242" s="1020"/>
      <c r="CL242" s="1020"/>
      <c r="CM242" s="1020"/>
      <c r="CN242" s="1020"/>
      <c r="CO242" s="1020"/>
    </row>
    <row r="243" spans="1:93" ht="16.350000000000001" customHeight="1" x14ac:dyDescent="0.2">
      <c r="A243" s="2449" t="s">
        <v>3249</v>
      </c>
      <c r="B243" s="5667" t="s">
        <v>407</v>
      </c>
      <c r="C243" s="2816" t="s">
        <v>111</v>
      </c>
      <c r="D243" s="2817" t="s">
        <v>2777</v>
      </c>
      <c r="E243" s="2818" t="s">
        <v>2778</v>
      </c>
      <c r="F243" s="2558" t="s">
        <v>2779</v>
      </c>
      <c r="G243" s="2483" t="s">
        <v>2780</v>
      </c>
      <c r="H243" s="2499" t="s">
        <v>2781</v>
      </c>
      <c r="I243" s="2483" t="s">
        <v>2782</v>
      </c>
      <c r="J243" s="2499" t="s">
        <v>2783</v>
      </c>
      <c r="K243" s="2483" t="s">
        <v>2784</v>
      </c>
      <c r="L243" s="2499" t="s">
        <v>2785</v>
      </c>
      <c r="M243" s="2483" t="s">
        <v>2786</v>
      </c>
      <c r="N243" s="2499" t="s">
        <v>2787</v>
      </c>
      <c r="O243" s="2483" t="s">
        <v>2788</v>
      </c>
      <c r="P243" s="2499" t="s">
        <v>2789</v>
      </c>
      <c r="Q243" s="2483" t="s">
        <v>2790</v>
      </c>
      <c r="R243" s="2499" t="s">
        <v>2791</v>
      </c>
      <c r="S243" s="2483" t="s">
        <v>2792</v>
      </c>
      <c r="T243" s="2499" t="s">
        <v>2793</v>
      </c>
      <c r="U243" s="2483" t="s">
        <v>2794</v>
      </c>
      <c r="V243" s="2499" t="s">
        <v>2795</v>
      </c>
      <c r="W243" s="2483" t="s">
        <v>2796</v>
      </c>
      <c r="X243" s="2499" t="s">
        <v>2797</v>
      </c>
      <c r="Y243" s="2483" t="s">
        <v>2798</v>
      </c>
      <c r="Z243" s="2499" t="s">
        <v>2799</v>
      </c>
      <c r="AA243" s="2483" t="s">
        <v>2800</v>
      </c>
      <c r="AB243" s="2499" t="s">
        <v>2801</v>
      </c>
      <c r="AC243" s="2483" t="s">
        <v>2817</v>
      </c>
      <c r="AD243" s="2499" t="s">
        <v>2818</v>
      </c>
      <c r="AE243" s="2483" t="s">
        <v>2819</v>
      </c>
      <c r="AF243" s="2499" t="s">
        <v>2821</v>
      </c>
      <c r="AG243" s="2483" t="s">
        <v>2822</v>
      </c>
      <c r="AH243" s="2499" t="s">
        <v>2823</v>
      </c>
      <c r="AI243" s="2483" t="s">
        <v>2824</v>
      </c>
      <c r="AJ243" s="2499" t="s">
        <v>2825</v>
      </c>
      <c r="AK243" s="2483" t="s">
        <v>2826</v>
      </c>
      <c r="AL243" s="2499" t="s">
        <v>2827</v>
      </c>
      <c r="AM243" s="2455" t="s">
        <v>2831</v>
      </c>
      <c r="AN243" s="1057"/>
      <c r="AO243" s="1058"/>
      <c r="AP243" s="1058"/>
      <c r="AQ243" s="1058"/>
      <c r="AR243" s="1058"/>
      <c r="AS243" s="1058"/>
      <c r="AT243" s="1058"/>
      <c r="AU243" s="1058"/>
      <c r="AV243" s="1058"/>
      <c r="AW243" s="1058"/>
      <c r="AX243" s="1058"/>
      <c r="AY243" s="1058"/>
      <c r="AZ243" s="94"/>
      <c r="BA243" s="94"/>
      <c r="BB243" s="94"/>
      <c r="CH243" s="1020">
        <v>0</v>
      </c>
      <c r="CI243" s="1020">
        <v>0</v>
      </c>
      <c r="CJ243" s="1020"/>
      <c r="CK243" s="1020"/>
      <c r="CL243" s="1020"/>
      <c r="CM243" s="1020"/>
      <c r="CN243" s="1020"/>
      <c r="CO243" s="1020"/>
    </row>
    <row r="244" spans="1:93" ht="16.5" customHeight="1" x14ac:dyDescent="0.2">
      <c r="A244" s="2449" t="s">
        <v>3250</v>
      </c>
      <c r="B244" s="5623"/>
      <c r="C244" s="2436" t="s">
        <v>326</v>
      </c>
      <c r="D244" s="529" t="s">
        <v>2777</v>
      </c>
      <c r="E244" s="696" t="s">
        <v>2778</v>
      </c>
      <c r="F244" s="217" t="s">
        <v>2779</v>
      </c>
      <c r="G244" s="166" t="s">
        <v>2780</v>
      </c>
      <c r="H244" s="168" t="s">
        <v>2781</v>
      </c>
      <c r="I244" s="166" t="s">
        <v>2782</v>
      </c>
      <c r="J244" s="168" t="s">
        <v>2783</v>
      </c>
      <c r="K244" s="166" t="s">
        <v>2784</v>
      </c>
      <c r="L244" s="168" t="s">
        <v>2785</v>
      </c>
      <c r="M244" s="166" t="s">
        <v>2786</v>
      </c>
      <c r="N244" s="168" t="s">
        <v>2787</v>
      </c>
      <c r="O244" s="166" t="s">
        <v>2788</v>
      </c>
      <c r="P244" s="168" t="s">
        <v>2789</v>
      </c>
      <c r="Q244" s="166" t="s">
        <v>2790</v>
      </c>
      <c r="R244" s="168" t="s">
        <v>2791</v>
      </c>
      <c r="S244" s="166" t="s">
        <v>2792</v>
      </c>
      <c r="T244" s="168" t="s">
        <v>2793</v>
      </c>
      <c r="U244" s="166" t="s">
        <v>2794</v>
      </c>
      <c r="V244" s="168" t="s">
        <v>2795</v>
      </c>
      <c r="W244" s="166" t="s">
        <v>2796</v>
      </c>
      <c r="X244" s="168" t="s">
        <v>2797</v>
      </c>
      <c r="Y244" s="166" t="s">
        <v>2798</v>
      </c>
      <c r="Z244" s="168" t="s">
        <v>2799</v>
      </c>
      <c r="AA244" s="166" t="s">
        <v>2800</v>
      </c>
      <c r="AB244" s="168" t="s">
        <v>2801</v>
      </c>
      <c r="AC244" s="166" t="s">
        <v>2817</v>
      </c>
      <c r="AD244" s="168" t="s">
        <v>2818</v>
      </c>
      <c r="AE244" s="166" t="s">
        <v>2819</v>
      </c>
      <c r="AF244" s="168" t="s">
        <v>2821</v>
      </c>
      <c r="AG244" s="166" t="s">
        <v>2822</v>
      </c>
      <c r="AH244" s="168" t="s">
        <v>2823</v>
      </c>
      <c r="AI244" s="166" t="s">
        <v>2824</v>
      </c>
      <c r="AJ244" s="168" t="s">
        <v>2825</v>
      </c>
      <c r="AK244" s="166" t="s">
        <v>2826</v>
      </c>
      <c r="AL244" s="168" t="s">
        <v>2827</v>
      </c>
      <c r="AM244" s="105" t="s">
        <v>2831</v>
      </c>
      <c r="AN244" s="1285"/>
      <c r="AO244" s="128"/>
      <c r="AP244" s="128"/>
      <c r="AQ244" s="128"/>
      <c r="AR244" s="128"/>
      <c r="AS244" s="128"/>
      <c r="AT244" s="128"/>
      <c r="AU244" s="128"/>
      <c r="AV244" s="128"/>
      <c r="AW244" s="128"/>
      <c r="AX244" s="94"/>
      <c r="AY244" s="94"/>
      <c r="AZ244" s="94"/>
      <c r="BA244" s="94"/>
      <c r="BB244" s="94"/>
      <c r="CA244" s="80"/>
      <c r="CH244" s="1020">
        <v>0</v>
      </c>
      <c r="CI244" s="1020">
        <v>0</v>
      </c>
      <c r="CJ244" s="1020"/>
      <c r="CK244" s="1020"/>
      <c r="CL244" s="1020"/>
      <c r="CM244" s="1020"/>
      <c r="CN244" s="1020"/>
      <c r="CO244" s="1020"/>
    </row>
    <row r="245" spans="1:93" ht="22.5" customHeight="1" x14ac:dyDescent="0.2">
      <c r="A245" s="2449" t="s">
        <v>3251</v>
      </c>
      <c r="B245" s="5622" t="s">
        <v>408</v>
      </c>
      <c r="C245" s="2819" t="s">
        <v>111</v>
      </c>
      <c r="D245" s="2309" t="s">
        <v>2777</v>
      </c>
      <c r="E245" s="2306" t="s">
        <v>2778</v>
      </c>
      <c r="F245" s="216" t="s">
        <v>2779</v>
      </c>
      <c r="G245" s="2577" t="s">
        <v>2780</v>
      </c>
      <c r="H245" s="197" t="s">
        <v>2781</v>
      </c>
      <c r="I245" s="2577" t="s">
        <v>2782</v>
      </c>
      <c r="J245" s="197" t="s">
        <v>2783</v>
      </c>
      <c r="K245" s="2577" t="s">
        <v>2784</v>
      </c>
      <c r="L245" s="197" t="s">
        <v>2785</v>
      </c>
      <c r="M245" s="2577" t="s">
        <v>2786</v>
      </c>
      <c r="N245" s="197" t="s">
        <v>2787</v>
      </c>
      <c r="O245" s="2577" t="s">
        <v>2788</v>
      </c>
      <c r="P245" s="197" t="s">
        <v>2789</v>
      </c>
      <c r="Q245" s="2577" t="s">
        <v>2790</v>
      </c>
      <c r="R245" s="197" t="s">
        <v>2791</v>
      </c>
      <c r="S245" s="2577" t="s">
        <v>2792</v>
      </c>
      <c r="T245" s="197" t="s">
        <v>2793</v>
      </c>
      <c r="U245" s="2577" t="s">
        <v>2794</v>
      </c>
      <c r="V245" s="197" t="s">
        <v>2795</v>
      </c>
      <c r="W245" s="2577" t="s">
        <v>2796</v>
      </c>
      <c r="X245" s="197" t="s">
        <v>2797</v>
      </c>
      <c r="Y245" s="2577" t="s">
        <v>2798</v>
      </c>
      <c r="Z245" s="197" t="s">
        <v>2799</v>
      </c>
      <c r="AA245" s="2577" t="s">
        <v>2800</v>
      </c>
      <c r="AB245" s="197" t="s">
        <v>2801</v>
      </c>
      <c r="AC245" s="2577" t="s">
        <v>2817</v>
      </c>
      <c r="AD245" s="197" t="s">
        <v>2818</v>
      </c>
      <c r="AE245" s="2577" t="s">
        <v>2819</v>
      </c>
      <c r="AF245" s="197" t="s">
        <v>2821</v>
      </c>
      <c r="AG245" s="2577" t="s">
        <v>2822</v>
      </c>
      <c r="AH245" s="197" t="s">
        <v>2823</v>
      </c>
      <c r="AI245" s="2577" t="s">
        <v>2824</v>
      </c>
      <c r="AJ245" s="197" t="s">
        <v>2825</v>
      </c>
      <c r="AK245" s="2577" t="s">
        <v>2826</v>
      </c>
      <c r="AL245" s="197" t="s">
        <v>2827</v>
      </c>
      <c r="AM245" s="2580" t="s">
        <v>2831</v>
      </c>
      <c r="AN245" s="79"/>
      <c r="AW245" s="292"/>
      <c r="AX245" s="290"/>
      <c r="CH245" s="1020">
        <v>0</v>
      </c>
      <c r="CI245" s="1020">
        <v>0</v>
      </c>
      <c r="CJ245" s="1020"/>
      <c r="CK245" s="1020"/>
      <c r="CL245" s="1020"/>
      <c r="CM245" s="1020"/>
      <c r="CN245" s="1020"/>
      <c r="CO245" s="1020"/>
    </row>
    <row r="246" spans="1:93" ht="22.5" customHeight="1" x14ac:dyDescent="0.2">
      <c r="A246" s="2449" t="s">
        <v>3252</v>
      </c>
      <c r="B246" s="5623"/>
      <c r="C246" s="2436" t="s">
        <v>326</v>
      </c>
      <c r="D246" s="529" t="s">
        <v>2777</v>
      </c>
      <c r="E246" s="696" t="s">
        <v>2778</v>
      </c>
      <c r="F246" s="217" t="s">
        <v>2779</v>
      </c>
      <c r="G246" s="166" t="s">
        <v>2780</v>
      </c>
      <c r="H246" s="168" t="s">
        <v>2781</v>
      </c>
      <c r="I246" s="166" t="s">
        <v>2782</v>
      </c>
      <c r="J246" s="168" t="s">
        <v>2783</v>
      </c>
      <c r="K246" s="166" t="s">
        <v>2784</v>
      </c>
      <c r="L246" s="168" t="s">
        <v>2785</v>
      </c>
      <c r="M246" s="166" t="s">
        <v>2786</v>
      </c>
      <c r="N246" s="168" t="s">
        <v>2787</v>
      </c>
      <c r="O246" s="166" t="s">
        <v>2788</v>
      </c>
      <c r="P246" s="168" t="s">
        <v>2789</v>
      </c>
      <c r="Q246" s="166" t="s">
        <v>2790</v>
      </c>
      <c r="R246" s="168" t="s">
        <v>2791</v>
      </c>
      <c r="S246" s="166" t="s">
        <v>2792</v>
      </c>
      <c r="T246" s="168" t="s">
        <v>2793</v>
      </c>
      <c r="U246" s="166" t="s">
        <v>2794</v>
      </c>
      <c r="V246" s="168" t="s">
        <v>2795</v>
      </c>
      <c r="W246" s="166" t="s">
        <v>2796</v>
      </c>
      <c r="X246" s="168" t="s">
        <v>2797</v>
      </c>
      <c r="Y246" s="166" t="s">
        <v>2798</v>
      </c>
      <c r="Z246" s="168" t="s">
        <v>2799</v>
      </c>
      <c r="AA246" s="166" t="s">
        <v>2800</v>
      </c>
      <c r="AB246" s="168" t="s">
        <v>2801</v>
      </c>
      <c r="AC246" s="166" t="s">
        <v>2817</v>
      </c>
      <c r="AD246" s="168" t="s">
        <v>2818</v>
      </c>
      <c r="AE246" s="166" t="s">
        <v>2819</v>
      </c>
      <c r="AF246" s="168" t="s">
        <v>2821</v>
      </c>
      <c r="AG246" s="166" t="s">
        <v>2822</v>
      </c>
      <c r="AH246" s="168" t="s">
        <v>2823</v>
      </c>
      <c r="AI246" s="166" t="s">
        <v>2824</v>
      </c>
      <c r="AJ246" s="168" t="s">
        <v>2825</v>
      </c>
      <c r="AK246" s="166" t="s">
        <v>2826</v>
      </c>
      <c r="AL246" s="168" t="s">
        <v>2827</v>
      </c>
      <c r="AM246" s="105" t="s">
        <v>2831</v>
      </c>
      <c r="AN246" s="79"/>
      <c r="AW246" s="911"/>
      <c r="AX246" s="898"/>
      <c r="AY246" s="94"/>
      <c r="AZ246" s="94"/>
      <c r="BA246" s="94"/>
      <c r="BB246" s="94"/>
      <c r="BC246" s="94"/>
      <c r="BD246" s="94"/>
      <c r="BE246" s="94"/>
      <c r="BF246" s="94"/>
      <c r="BG246" s="94"/>
      <c r="BH246" s="94"/>
      <c r="BI246" s="94"/>
      <c r="BJ246" s="94"/>
      <c r="CH246" s="1020">
        <v>0</v>
      </c>
      <c r="CI246" s="1020">
        <v>0</v>
      </c>
      <c r="CJ246" s="1020"/>
      <c r="CK246" s="1020"/>
      <c r="CL246" s="1020"/>
      <c r="CM246" s="1020"/>
      <c r="CN246" s="1020"/>
      <c r="CO246" s="1020"/>
    </row>
    <row r="247" spans="1:93" ht="21.75" customHeight="1" x14ac:dyDescent="0.2">
      <c r="B247" s="308" t="s">
        <v>870</v>
      </c>
      <c r="C247" s="353"/>
      <c r="AW247" s="911"/>
      <c r="AX247" s="898"/>
      <c r="AY247" s="94"/>
      <c r="AZ247" s="94"/>
      <c r="BA247" s="94"/>
      <c r="BB247" s="94"/>
      <c r="BC247" s="94"/>
      <c r="BD247" s="94"/>
      <c r="BE247" s="94"/>
      <c r="BF247" s="94"/>
      <c r="BG247" s="94"/>
      <c r="BH247" s="94"/>
      <c r="BI247" s="94"/>
      <c r="BJ247" s="94"/>
      <c r="CH247" s="1020"/>
      <c r="CI247" s="1020"/>
      <c r="CJ247" s="1020"/>
      <c r="CK247" s="1020"/>
      <c r="CL247" s="1020"/>
      <c r="CM247" s="1020"/>
      <c r="CN247" s="1020"/>
      <c r="CO247" s="1020"/>
    </row>
    <row r="248" spans="1:93" ht="16.350000000000001" customHeight="1" x14ac:dyDescent="0.2">
      <c r="B248" s="5118" t="s">
        <v>409</v>
      </c>
      <c r="C248" s="5120"/>
      <c r="D248" s="5523" t="s">
        <v>149</v>
      </c>
      <c r="E248" s="5523"/>
      <c r="F248" s="5523"/>
      <c r="G248" s="5105" t="s">
        <v>410</v>
      </c>
      <c r="H248" s="5137"/>
      <c r="I248" s="5137"/>
      <c r="J248" s="5137"/>
      <c r="K248" s="5137"/>
      <c r="L248" s="5137"/>
      <c r="M248" s="5137"/>
      <c r="N248" s="5137"/>
      <c r="O248" s="5137"/>
      <c r="P248" s="5137"/>
      <c r="Q248" s="5137"/>
      <c r="R248" s="5137"/>
      <c r="S248" s="5137"/>
      <c r="T248" s="5137"/>
      <c r="U248" s="5137"/>
      <c r="V248" s="5137"/>
      <c r="W248" s="5137"/>
      <c r="X248" s="5137"/>
      <c r="Y248" s="5137"/>
      <c r="Z248" s="5137"/>
      <c r="AA248" s="5137"/>
      <c r="AB248" s="5137"/>
      <c r="AC248" s="5137"/>
      <c r="AD248" s="5137"/>
      <c r="AE248" s="5137"/>
      <c r="AF248" s="5137"/>
      <c r="AG248" s="5137"/>
      <c r="AH248" s="5137"/>
      <c r="AI248" s="5137"/>
      <c r="AJ248" s="5137"/>
      <c r="AK248" s="5137"/>
      <c r="AL248" s="5137"/>
      <c r="AM248" s="5137"/>
      <c r="AN248" s="5593"/>
      <c r="AO248" s="5117" t="s">
        <v>326</v>
      </c>
      <c r="AP248" s="5117"/>
      <c r="AQ248" s="5108"/>
      <c r="AR248" s="5668" t="s">
        <v>411</v>
      </c>
      <c r="AS248" s="5608"/>
      <c r="AT248" s="5112" t="s">
        <v>1359</v>
      </c>
      <c r="AU248" s="5112" t="s">
        <v>1358</v>
      </c>
      <c r="AV248" s="5652" t="s">
        <v>1484</v>
      </c>
      <c r="AW248" s="911"/>
      <c r="AX248" s="898"/>
      <c r="AY248" s="94"/>
      <c r="AZ248" s="94"/>
      <c r="BA248" s="94"/>
      <c r="BB248" s="94"/>
      <c r="BC248" s="94"/>
      <c r="BD248" s="94"/>
      <c r="BE248" s="94"/>
      <c r="BF248" s="94"/>
      <c r="BG248" s="94"/>
      <c r="BH248" s="94"/>
      <c r="BI248" s="94"/>
      <c r="BJ248" s="94"/>
      <c r="CH248" s="1020"/>
      <c r="CI248" s="1020"/>
      <c r="CJ248" s="1020"/>
      <c r="CK248" s="1020"/>
      <c r="CL248" s="1020"/>
      <c r="CM248" s="1020"/>
      <c r="CN248" s="1020"/>
      <c r="CO248" s="1020"/>
    </row>
    <row r="249" spans="1:93" ht="16.350000000000001" customHeight="1" x14ac:dyDescent="0.2">
      <c r="B249" s="5121"/>
      <c r="C249" s="5123"/>
      <c r="D249" s="5523"/>
      <c r="E249" s="5523"/>
      <c r="F249" s="5523"/>
      <c r="G249" s="5107" t="s">
        <v>412</v>
      </c>
      <c r="H249" s="5117"/>
      <c r="I249" s="5107" t="s">
        <v>351</v>
      </c>
      <c r="J249" s="5117"/>
      <c r="K249" s="5107" t="s">
        <v>352</v>
      </c>
      <c r="L249" s="5117"/>
      <c r="M249" s="5107" t="s">
        <v>319</v>
      </c>
      <c r="N249" s="5117"/>
      <c r="O249" s="5107" t="s">
        <v>10</v>
      </c>
      <c r="P249" s="5117"/>
      <c r="Q249" s="5107" t="s">
        <v>151</v>
      </c>
      <c r="R249" s="5108"/>
      <c r="S249" s="5107" t="s">
        <v>152</v>
      </c>
      <c r="T249" s="5108"/>
      <c r="U249" s="5107" t="s">
        <v>153</v>
      </c>
      <c r="V249" s="5108"/>
      <c r="W249" s="5107" t="s">
        <v>154</v>
      </c>
      <c r="X249" s="5108"/>
      <c r="Y249" s="5107" t="s">
        <v>155</v>
      </c>
      <c r="Z249" s="5108"/>
      <c r="AA249" s="5107" t="s">
        <v>156</v>
      </c>
      <c r="AB249" s="5108"/>
      <c r="AC249" s="5107" t="s">
        <v>157</v>
      </c>
      <c r="AD249" s="5108"/>
      <c r="AE249" s="5107" t="s">
        <v>158</v>
      </c>
      <c r="AF249" s="5108"/>
      <c r="AG249" s="5107" t="s">
        <v>159</v>
      </c>
      <c r="AH249" s="5108"/>
      <c r="AI249" s="5107" t="s">
        <v>160</v>
      </c>
      <c r="AJ249" s="5108"/>
      <c r="AK249" s="5107" t="s">
        <v>161</v>
      </c>
      <c r="AL249" s="5108"/>
      <c r="AM249" s="5107" t="s">
        <v>162</v>
      </c>
      <c r="AN249" s="5535"/>
      <c r="AO249" s="5604" t="s">
        <v>210</v>
      </c>
      <c r="AP249" s="5604" t="s">
        <v>981</v>
      </c>
      <c r="AQ249" s="5120" t="s">
        <v>982</v>
      </c>
      <c r="AR249" s="5669"/>
      <c r="AS249" s="5610"/>
      <c r="AT249" s="5113"/>
      <c r="AU249" s="5113"/>
      <c r="AV249" s="5416"/>
      <c r="AX249" s="1058"/>
      <c r="AY249" s="1058"/>
      <c r="AZ249" s="1058"/>
      <c r="BA249" s="1058"/>
      <c r="BB249" s="1058"/>
      <c r="BC249" s="1058"/>
      <c r="BD249" s="1058"/>
      <c r="BE249" s="1058"/>
      <c r="BF249" s="1058"/>
      <c r="BG249" s="1058"/>
      <c r="BH249" s="94"/>
      <c r="BI249" s="94"/>
      <c r="BJ249" s="94"/>
      <c r="CK249" s="1020"/>
      <c r="CL249" s="1020"/>
      <c r="CM249" s="1020"/>
      <c r="CN249" s="1020"/>
      <c r="CO249" s="1020"/>
    </row>
    <row r="250" spans="1:93" ht="30" customHeight="1" x14ac:dyDescent="0.2">
      <c r="B250" s="5125"/>
      <c r="C250" s="5126"/>
      <c r="D250" s="253" t="s">
        <v>184</v>
      </c>
      <c r="E250" s="88" t="s">
        <v>24</v>
      </c>
      <c r="F250" s="196" t="s">
        <v>25</v>
      </c>
      <c r="G250" s="253" t="s">
        <v>413</v>
      </c>
      <c r="H250" s="191" t="s">
        <v>25</v>
      </c>
      <c r="I250" s="253" t="s">
        <v>413</v>
      </c>
      <c r="J250" s="191" t="s">
        <v>25</v>
      </c>
      <c r="K250" s="253" t="s">
        <v>413</v>
      </c>
      <c r="L250" s="191" t="s">
        <v>25</v>
      </c>
      <c r="M250" s="253" t="s">
        <v>413</v>
      </c>
      <c r="N250" s="191" t="s">
        <v>25</v>
      </c>
      <c r="O250" s="253" t="s">
        <v>413</v>
      </c>
      <c r="P250" s="191" t="s">
        <v>25</v>
      </c>
      <c r="Q250" s="253" t="s">
        <v>413</v>
      </c>
      <c r="R250" s="191" t="s">
        <v>25</v>
      </c>
      <c r="S250" s="253" t="s">
        <v>413</v>
      </c>
      <c r="T250" s="191" t="s">
        <v>25</v>
      </c>
      <c r="U250" s="253" t="s">
        <v>413</v>
      </c>
      <c r="V250" s="191" t="s">
        <v>25</v>
      </c>
      <c r="W250" s="253" t="s">
        <v>413</v>
      </c>
      <c r="X250" s="191" t="s">
        <v>25</v>
      </c>
      <c r="Y250" s="253" t="s">
        <v>413</v>
      </c>
      <c r="Z250" s="191" t="s">
        <v>25</v>
      </c>
      <c r="AA250" s="253" t="s">
        <v>413</v>
      </c>
      <c r="AB250" s="191" t="s">
        <v>25</v>
      </c>
      <c r="AC250" s="253" t="s">
        <v>413</v>
      </c>
      <c r="AD250" s="191" t="s">
        <v>25</v>
      </c>
      <c r="AE250" s="253" t="s">
        <v>413</v>
      </c>
      <c r="AF250" s="191" t="s">
        <v>25</v>
      </c>
      <c r="AG250" s="253" t="s">
        <v>413</v>
      </c>
      <c r="AH250" s="191" t="s">
        <v>25</v>
      </c>
      <c r="AI250" s="253" t="s">
        <v>413</v>
      </c>
      <c r="AJ250" s="191" t="s">
        <v>25</v>
      </c>
      <c r="AK250" s="253" t="s">
        <v>413</v>
      </c>
      <c r="AL250" s="191" t="s">
        <v>25</v>
      </c>
      <c r="AM250" s="253" t="s">
        <v>413</v>
      </c>
      <c r="AN250" s="508" t="s">
        <v>25</v>
      </c>
      <c r="AO250" s="5605"/>
      <c r="AP250" s="5605"/>
      <c r="AQ250" s="5126"/>
      <c r="AR250" s="768" t="s">
        <v>1350</v>
      </c>
      <c r="AS250" s="784" t="s">
        <v>1351</v>
      </c>
      <c r="AT250" s="5114"/>
      <c r="AU250" s="5521"/>
      <c r="AV250" s="5653"/>
      <c r="AX250" s="1058"/>
      <c r="AY250" s="1058"/>
      <c r="AZ250" s="1058"/>
      <c r="BA250" s="1058"/>
      <c r="BB250" s="1058"/>
      <c r="BC250" s="1058"/>
      <c r="BD250" s="1058"/>
      <c r="BE250" s="1058"/>
      <c r="BF250" s="1058"/>
      <c r="BG250" s="1058"/>
      <c r="BH250" s="94"/>
      <c r="BI250" s="94"/>
      <c r="BJ250" s="94"/>
      <c r="CK250" s="1020"/>
      <c r="CL250" s="1020"/>
      <c r="CM250" s="1020"/>
      <c r="CN250" s="1020"/>
      <c r="CO250" s="1020"/>
    </row>
    <row r="251" spans="1:93" ht="23.25" customHeight="1" x14ac:dyDescent="0.2">
      <c r="A251" s="2820"/>
      <c r="B251" s="5617" t="s">
        <v>414</v>
      </c>
      <c r="C251" s="5618"/>
      <c r="D251" s="2758">
        <f>SUM(E251+F251)</f>
        <v>0</v>
      </c>
      <c r="E251" s="2759">
        <f>SUM(G251+I251+K251+M251+O251+Q251+S251+U251+W251+Y251+AA251+AC251+AE251+AG251+AI251+AK251+AM251)</f>
        <v>0</v>
      </c>
      <c r="F251" s="2775">
        <f>SUM(H251+J251+L251+N251+P251+R251+T251+V251+X251+Z251+AB251+AD251+AF251+AH251+AJ251+AL251+AN251)</f>
        <v>0</v>
      </c>
      <c r="G251" s="2758">
        <f>SUM(G261:G269)</f>
        <v>0</v>
      </c>
      <c r="H251" s="2821">
        <f>SUM(H253:H269)</f>
        <v>0</v>
      </c>
      <c r="I251" s="2758">
        <f>SUM(I261:I269)</f>
        <v>0</v>
      </c>
      <c r="J251" s="2821">
        <f>SUM(J253:J269)</f>
        <v>0</v>
      </c>
      <c r="K251" s="2758">
        <f>SUM(K261:K269)</f>
        <v>0</v>
      </c>
      <c r="L251" s="2821">
        <f>SUM(L252:L269)</f>
        <v>0</v>
      </c>
      <c r="M251" s="2758">
        <f>SUM(M261:M269)</f>
        <v>0</v>
      </c>
      <c r="N251" s="2821">
        <f>SUM(N252:N269)</f>
        <v>0</v>
      </c>
      <c r="O251" s="2758">
        <f>SUM(O261:O269)</f>
        <v>0</v>
      </c>
      <c r="P251" s="2821">
        <f>SUM(P252:P269)</f>
        <v>0</v>
      </c>
      <c r="Q251" s="2758">
        <f>SUM(Q261:Q269)</f>
        <v>0</v>
      </c>
      <c r="R251" s="2821">
        <f>SUM(R252:R269)</f>
        <v>0</v>
      </c>
      <c r="S251" s="2758">
        <f>SUM(S261:S269)</f>
        <v>0</v>
      </c>
      <c r="T251" s="2821">
        <f>SUM(T252:T269)</f>
        <v>0</v>
      </c>
      <c r="U251" s="2758">
        <f>SUM(U261:U269)</f>
        <v>0</v>
      </c>
      <c r="V251" s="2821">
        <f>SUM(V252:V269)</f>
        <v>0</v>
      </c>
      <c r="W251" s="2758">
        <f>SUM(W261:W269)</f>
        <v>0</v>
      </c>
      <c r="X251" s="2821">
        <f>SUM(X252:X269)</f>
        <v>0</v>
      </c>
      <c r="Y251" s="2758">
        <f>SUM(Y261:Y269)</f>
        <v>0</v>
      </c>
      <c r="Z251" s="2821">
        <f>SUM(Z252:Z269)</f>
        <v>0</v>
      </c>
      <c r="AA251" s="2758">
        <f>SUM(AA261:AA269)</f>
        <v>0</v>
      </c>
      <c r="AB251" s="2821">
        <f>SUM(AB252:AB269)</f>
        <v>0</v>
      </c>
      <c r="AC251" s="2758">
        <f t="shared" ref="AC251:AN251" si="54">SUM(AC261:AC269)</f>
        <v>0</v>
      </c>
      <c r="AD251" s="2821">
        <f t="shared" si="54"/>
        <v>0</v>
      </c>
      <c r="AE251" s="2758">
        <f t="shared" si="54"/>
        <v>0</v>
      </c>
      <c r="AF251" s="2821">
        <f t="shared" si="54"/>
        <v>0</v>
      </c>
      <c r="AG251" s="2758">
        <f t="shared" si="54"/>
        <v>0</v>
      </c>
      <c r="AH251" s="2821">
        <f t="shared" si="54"/>
        <v>0</v>
      </c>
      <c r="AI251" s="2758">
        <f t="shared" si="54"/>
        <v>0</v>
      </c>
      <c r="AJ251" s="2821">
        <f t="shared" si="54"/>
        <v>0</v>
      </c>
      <c r="AK251" s="2758">
        <f t="shared" si="54"/>
        <v>0</v>
      </c>
      <c r="AL251" s="2821">
        <f t="shared" si="54"/>
        <v>0</v>
      </c>
      <c r="AM251" s="2758">
        <f t="shared" si="54"/>
        <v>0</v>
      </c>
      <c r="AN251" s="2822">
        <f t="shared" si="54"/>
        <v>0</v>
      </c>
      <c r="AO251" s="2803">
        <f t="shared" ref="AO251:AU251" si="55">SUM(AO252:AO269)</f>
        <v>0</v>
      </c>
      <c r="AP251" s="2803">
        <f t="shared" si="55"/>
        <v>0</v>
      </c>
      <c r="AQ251" s="2823">
        <f t="shared" si="55"/>
        <v>0</v>
      </c>
      <c r="AR251" s="2758">
        <f t="shared" si="55"/>
        <v>0</v>
      </c>
      <c r="AS251" s="2823">
        <f t="shared" si="55"/>
        <v>0</v>
      </c>
      <c r="AT251" s="2824">
        <f t="shared" si="55"/>
        <v>0</v>
      </c>
      <c r="AU251" s="2824">
        <f t="shared" si="55"/>
        <v>0</v>
      </c>
      <c r="AV251" s="2775">
        <f>SUM(AV252:AV269)</f>
        <v>0</v>
      </c>
      <c r="AX251" s="1058"/>
      <c r="AY251" s="1058"/>
      <c r="AZ251" s="1058"/>
      <c r="BA251" s="1058"/>
      <c r="BB251" s="1058"/>
      <c r="BC251" s="1058"/>
      <c r="BD251" s="1058"/>
      <c r="BE251" s="1058"/>
      <c r="BF251" s="1058"/>
      <c r="BG251" s="1058"/>
      <c r="BH251" s="94"/>
      <c r="BI251" s="94"/>
      <c r="BJ251" s="94"/>
      <c r="CK251" s="1020"/>
      <c r="CL251" s="1020"/>
      <c r="CM251" s="1020"/>
      <c r="CN251" s="1020"/>
      <c r="CO251" s="1020"/>
    </row>
    <row r="252" spans="1:93" ht="16.350000000000001" customHeight="1" x14ac:dyDescent="0.2">
      <c r="A252" s="2695" t="s">
        <v>3253</v>
      </c>
      <c r="B252" s="5506" t="s">
        <v>415</v>
      </c>
      <c r="C252" s="2825" t="s">
        <v>302</v>
      </c>
      <c r="D252" s="2442" t="s">
        <v>2777</v>
      </c>
      <c r="E252" s="2826" t="s">
        <v>2778</v>
      </c>
      <c r="F252" s="2767" t="s">
        <v>2779</v>
      </c>
      <c r="G252" s="2452" t="s">
        <v>2780</v>
      </c>
      <c r="H252" s="172" t="s">
        <v>2781</v>
      </c>
      <c r="I252" s="2452" t="s">
        <v>2782</v>
      </c>
      <c r="J252" s="172" t="s">
        <v>2783</v>
      </c>
      <c r="K252" s="2452" t="s">
        <v>2784</v>
      </c>
      <c r="L252" s="197" t="s">
        <v>2785</v>
      </c>
      <c r="M252" s="2452" t="s">
        <v>2786</v>
      </c>
      <c r="N252" s="197" t="s">
        <v>2787</v>
      </c>
      <c r="O252" s="2452" t="s">
        <v>2788</v>
      </c>
      <c r="P252" s="197" t="s">
        <v>2789</v>
      </c>
      <c r="Q252" s="2452" t="s">
        <v>2790</v>
      </c>
      <c r="R252" s="197" t="s">
        <v>2791</v>
      </c>
      <c r="S252" s="2452" t="s">
        <v>2792</v>
      </c>
      <c r="T252" s="197" t="s">
        <v>2793</v>
      </c>
      <c r="U252" s="2452" t="s">
        <v>2794</v>
      </c>
      <c r="V252" s="197" t="s">
        <v>2795</v>
      </c>
      <c r="W252" s="2452" t="s">
        <v>2796</v>
      </c>
      <c r="X252" s="197" t="s">
        <v>2797</v>
      </c>
      <c r="Y252" s="2452" t="s">
        <v>2798</v>
      </c>
      <c r="Z252" s="197" t="s">
        <v>2799</v>
      </c>
      <c r="AA252" s="2452" t="s">
        <v>2800</v>
      </c>
      <c r="AB252" s="197" t="s">
        <v>2801</v>
      </c>
      <c r="AC252" s="2452" t="s">
        <v>2817</v>
      </c>
      <c r="AD252" s="197" t="s">
        <v>2818</v>
      </c>
      <c r="AE252" s="2452" t="s">
        <v>2819</v>
      </c>
      <c r="AF252" s="172" t="s">
        <v>2821</v>
      </c>
      <c r="AG252" s="2452" t="s">
        <v>2822</v>
      </c>
      <c r="AH252" s="172" t="s">
        <v>2823</v>
      </c>
      <c r="AI252" s="2452" t="s">
        <v>2824</v>
      </c>
      <c r="AJ252" s="172" t="s">
        <v>2825</v>
      </c>
      <c r="AK252" s="2452" t="s">
        <v>2826</v>
      </c>
      <c r="AL252" s="172" t="s">
        <v>2827</v>
      </c>
      <c r="AM252" s="2452" t="s">
        <v>2831</v>
      </c>
      <c r="AN252" s="2827" t="s">
        <v>2832</v>
      </c>
      <c r="AO252" s="2487" t="s">
        <v>2833</v>
      </c>
      <c r="AP252" s="2271" t="s">
        <v>2834</v>
      </c>
      <c r="AQ252" s="2295" t="s">
        <v>3011</v>
      </c>
      <c r="AR252" s="2577" t="s">
        <v>3012</v>
      </c>
      <c r="AS252" s="2295" t="s">
        <v>3013</v>
      </c>
      <c r="AT252" s="2580" t="s">
        <v>3014</v>
      </c>
      <c r="AU252" s="2580" t="s">
        <v>3015</v>
      </c>
      <c r="AV252" s="2295" t="s">
        <v>3206</v>
      </c>
      <c r="AW252" s="2384" t="e">
        <f>CB252&amp;CC252&amp;CD252</f>
        <v>#VALUE!</v>
      </c>
      <c r="AX252" s="1058"/>
      <c r="AY252" s="1058"/>
      <c r="AZ252" s="1058"/>
      <c r="BA252" s="1058"/>
      <c r="BB252" s="1058"/>
      <c r="BC252" s="1058"/>
      <c r="BD252" s="1058"/>
      <c r="BE252" s="1058"/>
      <c r="BF252" s="1058"/>
      <c r="BG252" s="1058"/>
      <c r="BH252" s="94"/>
      <c r="BI252" s="94"/>
      <c r="BJ252" s="94"/>
      <c r="CB252" s="889" t="e">
        <f t="shared" ref="CB252:CB269" si="56">IF(CH252=0,"","* Egresos por Alta + Abandono NO DEBE ser mayor que Total Egresos. ")</f>
        <v>#VALUE!</v>
      </c>
      <c r="CC252" s="889" t="str">
        <f t="shared" ref="CC252:CC269" si="57">IF(CI252=0,"","* No olvide digitar los campos Trans y/o Pueblo Originario y/o Migrantes y/o Niños, Niñas, Adolescentes y Jóvenes Población SENAME (Digite CERO si no tiene).")</f>
        <v/>
      </c>
      <c r="CD252" s="890" t="str">
        <f t="shared" ref="CD252:CD269" si="58">IF(CJ252=0,"","* Trans y/o Pueblo Originario y/o Migrantes y/o Niños, Niñas, Adolescentesy Jóvenes Población SENAME NO DEBEN ser Mayor al Total. ")</f>
        <v xml:space="preserve">* Trans y/o Pueblo Originario y/o Migrantes y/o Niños, Niñas, Adolescentesy Jóvenes Población SENAME NO DEBEN ser Mayor al Total. </v>
      </c>
      <c r="CH252" s="1020" t="e">
        <f t="shared" ref="CH252:CH269" si="59">IF(AO252&lt;SUM(AP252+AQ252),1,0)</f>
        <v>#VALUE!</v>
      </c>
      <c r="CI252" s="1020">
        <f t="shared" ref="CI252:CI269" si="60">IF(AND(D252&lt;&gt;0,OR(AR252="",AS252="",AT252="",AU252="",AV252="")),1,0)</f>
        <v>0</v>
      </c>
      <c r="CJ252" s="1020">
        <f t="shared" ref="CJ252:CJ269" si="61">IF(OR(D252&lt;SUM(AR252,AS252),D252&lt;AT252,D252&lt;AU252,D252&lt;AV252),1,0)</f>
        <v>1</v>
      </c>
      <c r="CK252" s="1020"/>
      <c r="CL252" s="1020"/>
      <c r="CM252" s="1020"/>
      <c r="CN252" s="1020"/>
      <c r="CO252" s="1020"/>
    </row>
    <row r="253" spans="1:93" ht="16.350000000000001" customHeight="1" x14ac:dyDescent="0.2">
      <c r="A253" s="2695" t="s">
        <v>3254</v>
      </c>
      <c r="B253" s="5506"/>
      <c r="C253" s="2624" t="s">
        <v>416</v>
      </c>
      <c r="D253" s="2442" t="s">
        <v>2777</v>
      </c>
      <c r="E253" s="2828" t="s">
        <v>2778</v>
      </c>
      <c r="F253" s="2829" t="s">
        <v>2779</v>
      </c>
      <c r="G253" s="2578" t="s">
        <v>2780</v>
      </c>
      <c r="H253" s="2503" t="s">
        <v>2781</v>
      </c>
      <c r="I253" s="2578" t="s">
        <v>2782</v>
      </c>
      <c r="J253" s="2503" t="s">
        <v>2783</v>
      </c>
      <c r="K253" s="2578" t="s">
        <v>2784</v>
      </c>
      <c r="L253" s="2295" t="s">
        <v>2785</v>
      </c>
      <c r="M253" s="2578" t="s">
        <v>2786</v>
      </c>
      <c r="N253" s="2295" t="s">
        <v>2787</v>
      </c>
      <c r="O253" s="2578" t="s">
        <v>2788</v>
      </c>
      <c r="P253" s="2295" t="s">
        <v>2789</v>
      </c>
      <c r="Q253" s="2578" t="s">
        <v>2790</v>
      </c>
      <c r="R253" s="2295" t="s">
        <v>2791</v>
      </c>
      <c r="S253" s="2578" t="s">
        <v>2792</v>
      </c>
      <c r="T253" s="2295" t="s">
        <v>2793</v>
      </c>
      <c r="U253" s="2578" t="s">
        <v>2794</v>
      </c>
      <c r="V253" s="2295" t="s">
        <v>2795</v>
      </c>
      <c r="W253" s="2578" t="s">
        <v>2796</v>
      </c>
      <c r="X253" s="2295" t="s">
        <v>2797</v>
      </c>
      <c r="Y253" s="2578" t="s">
        <v>2798</v>
      </c>
      <c r="Z253" s="2295" t="s">
        <v>2799</v>
      </c>
      <c r="AA253" s="2578" t="s">
        <v>2800</v>
      </c>
      <c r="AB253" s="2295" t="s">
        <v>2801</v>
      </c>
      <c r="AC253" s="2578" t="s">
        <v>2817</v>
      </c>
      <c r="AD253" s="2295" t="s">
        <v>2818</v>
      </c>
      <c r="AE253" s="2578" t="s">
        <v>2819</v>
      </c>
      <c r="AF253" s="2405" t="s">
        <v>2821</v>
      </c>
      <c r="AG253" s="2578" t="s">
        <v>2822</v>
      </c>
      <c r="AH253" s="2405" t="s">
        <v>2823</v>
      </c>
      <c r="AI253" s="2578" t="s">
        <v>2824</v>
      </c>
      <c r="AJ253" s="2405" t="s">
        <v>2825</v>
      </c>
      <c r="AK253" s="2578" t="s">
        <v>2826</v>
      </c>
      <c r="AL253" s="2405" t="s">
        <v>2827</v>
      </c>
      <c r="AM253" s="2578" t="s">
        <v>2831</v>
      </c>
      <c r="AN253" s="2827" t="s">
        <v>2832</v>
      </c>
      <c r="AO253" s="2271" t="s">
        <v>2833</v>
      </c>
      <c r="AP253" s="2271" t="s">
        <v>2834</v>
      </c>
      <c r="AQ253" s="2295" t="s">
        <v>3011</v>
      </c>
      <c r="AR253" s="2577" t="s">
        <v>3012</v>
      </c>
      <c r="AS253" s="2295" t="s">
        <v>3013</v>
      </c>
      <c r="AT253" s="2580" t="s">
        <v>3014</v>
      </c>
      <c r="AU253" s="2580" t="s">
        <v>3015</v>
      </c>
      <c r="AV253" s="2295" t="s">
        <v>3206</v>
      </c>
      <c r="AW253" s="2384" t="e">
        <f t="shared" ref="AW253:AW269" si="62">CB253&amp;CC253&amp;CD253</f>
        <v>#VALUE!</v>
      </c>
      <c r="AX253" s="1058"/>
      <c r="AY253" s="1058"/>
      <c r="AZ253" s="1058"/>
      <c r="BA253" s="1058"/>
      <c r="BB253" s="1058"/>
      <c r="BC253" s="1058"/>
      <c r="BD253" s="1058"/>
      <c r="BE253" s="1058"/>
      <c r="BF253" s="1058"/>
      <c r="BG253" s="1058"/>
      <c r="BH253" s="94"/>
      <c r="BI253" s="94"/>
      <c r="BJ253" s="94"/>
      <c r="CB253" s="889" t="e">
        <f t="shared" si="56"/>
        <v>#VALUE!</v>
      </c>
      <c r="CC253" s="889" t="str">
        <f t="shared" si="57"/>
        <v/>
      </c>
      <c r="CD253" s="890" t="str">
        <f t="shared" si="58"/>
        <v xml:space="preserve">* Trans y/o Pueblo Originario y/o Migrantes y/o Niños, Niñas, Adolescentesy Jóvenes Población SENAME NO DEBEN ser Mayor al Total. </v>
      </c>
      <c r="CH253" s="1020" t="e">
        <f t="shared" si="59"/>
        <v>#VALUE!</v>
      </c>
      <c r="CI253" s="1020">
        <f t="shared" si="60"/>
        <v>0</v>
      </c>
      <c r="CJ253" s="1020">
        <f t="shared" si="61"/>
        <v>1</v>
      </c>
      <c r="CK253" s="1020"/>
      <c r="CL253" s="1020"/>
      <c r="CM253" s="1020"/>
      <c r="CN253" s="1020"/>
      <c r="CO253" s="1020"/>
    </row>
    <row r="254" spans="1:93" ht="16.350000000000001" customHeight="1" x14ac:dyDescent="0.2">
      <c r="A254" s="2695" t="s">
        <v>3255</v>
      </c>
      <c r="B254" s="5506"/>
      <c r="C254" s="179" t="s">
        <v>417</v>
      </c>
      <c r="D254" s="2442" t="s">
        <v>2777</v>
      </c>
      <c r="E254" s="2828" t="s">
        <v>2778</v>
      </c>
      <c r="F254" s="2433" t="s">
        <v>2779</v>
      </c>
      <c r="G254" s="2578" t="s">
        <v>2780</v>
      </c>
      <c r="H254" s="2503" t="s">
        <v>2781</v>
      </c>
      <c r="I254" s="2578" t="s">
        <v>2782</v>
      </c>
      <c r="J254" s="2503" t="s">
        <v>2783</v>
      </c>
      <c r="K254" s="2578" t="s">
        <v>2784</v>
      </c>
      <c r="L254" s="198" t="s">
        <v>2785</v>
      </c>
      <c r="M254" s="2578" t="s">
        <v>2786</v>
      </c>
      <c r="N254" s="198" t="s">
        <v>2787</v>
      </c>
      <c r="O254" s="2578" t="s">
        <v>2788</v>
      </c>
      <c r="P254" s="198" t="s">
        <v>2789</v>
      </c>
      <c r="Q254" s="2578" t="s">
        <v>2790</v>
      </c>
      <c r="R254" s="198" t="s">
        <v>2791</v>
      </c>
      <c r="S254" s="2578" t="s">
        <v>2792</v>
      </c>
      <c r="T254" s="198" t="s">
        <v>2793</v>
      </c>
      <c r="U254" s="2578" t="s">
        <v>2794</v>
      </c>
      <c r="V254" s="198" t="s">
        <v>2795</v>
      </c>
      <c r="W254" s="2578" t="s">
        <v>2796</v>
      </c>
      <c r="X254" s="198" t="s">
        <v>2797</v>
      </c>
      <c r="Y254" s="2578" t="s">
        <v>2798</v>
      </c>
      <c r="Z254" s="198" t="s">
        <v>2799</v>
      </c>
      <c r="AA254" s="2578" t="s">
        <v>2800</v>
      </c>
      <c r="AB254" s="198" t="s">
        <v>2801</v>
      </c>
      <c r="AC254" s="2578" t="s">
        <v>2817</v>
      </c>
      <c r="AD254" s="198" t="s">
        <v>2818</v>
      </c>
      <c r="AE254" s="2578" t="s">
        <v>2819</v>
      </c>
      <c r="AF254" s="2405" t="s">
        <v>2821</v>
      </c>
      <c r="AG254" s="2578" t="s">
        <v>2822</v>
      </c>
      <c r="AH254" s="2405" t="s">
        <v>2823</v>
      </c>
      <c r="AI254" s="2578" t="s">
        <v>2824</v>
      </c>
      <c r="AJ254" s="2405" t="s">
        <v>2825</v>
      </c>
      <c r="AK254" s="2578" t="s">
        <v>2826</v>
      </c>
      <c r="AL254" s="2405" t="s">
        <v>2827</v>
      </c>
      <c r="AM254" s="2578" t="s">
        <v>2831</v>
      </c>
      <c r="AN254" s="2827" t="s">
        <v>2832</v>
      </c>
      <c r="AO254" s="180" t="s">
        <v>2833</v>
      </c>
      <c r="AP254" s="180" t="s">
        <v>2834</v>
      </c>
      <c r="AQ254" s="198" t="s">
        <v>3011</v>
      </c>
      <c r="AR254" s="141" t="s">
        <v>3012</v>
      </c>
      <c r="AS254" s="198" t="s">
        <v>3013</v>
      </c>
      <c r="AT254" s="164" t="s">
        <v>3014</v>
      </c>
      <c r="AU254" s="164" t="s">
        <v>3015</v>
      </c>
      <c r="AV254" s="198" t="s">
        <v>3206</v>
      </c>
      <c r="AW254" s="2384" t="e">
        <f t="shared" si="62"/>
        <v>#VALUE!</v>
      </c>
      <c r="AX254" s="1058"/>
      <c r="AY254" s="1058"/>
      <c r="AZ254" s="1058"/>
      <c r="BA254" s="1058"/>
      <c r="BB254" s="1058"/>
      <c r="BC254" s="1058"/>
      <c r="BD254" s="1058"/>
      <c r="BE254" s="1058"/>
      <c r="BF254" s="1058"/>
      <c r="BG254" s="1058"/>
      <c r="BH254" s="94"/>
      <c r="BI254" s="94"/>
      <c r="BJ254" s="94"/>
      <c r="CB254" s="889" t="e">
        <f t="shared" si="56"/>
        <v>#VALUE!</v>
      </c>
      <c r="CC254" s="889" t="str">
        <f t="shared" si="57"/>
        <v/>
      </c>
      <c r="CD254" s="890" t="str">
        <f t="shared" si="58"/>
        <v xml:space="preserve">* Trans y/o Pueblo Originario y/o Migrantes y/o Niños, Niñas, Adolescentesy Jóvenes Población SENAME NO DEBEN ser Mayor al Total. </v>
      </c>
      <c r="CH254" s="1020" t="e">
        <f t="shared" si="59"/>
        <v>#VALUE!</v>
      </c>
      <c r="CI254" s="1020">
        <f t="shared" si="60"/>
        <v>0</v>
      </c>
      <c r="CJ254" s="1020">
        <f t="shared" si="61"/>
        <v>1</v>
      </c>
      <c r="CK254" s="1020"/>
      <c r="CL254" s="1020"/>
      <c r="CM254" s="1020"/>
      <c r="CN254" s="1020"/>
      <c r="CO254" s="1020"/>
    </row>
    <row r="255" spans="1:93" ht="16.350000000000001" customHeight="1" x14ac:dyDescent="0.2">
      <c r="A255" s="2695" t="s">
        <v>3256</v>
      </c>
      <c r="B255" s="5506"/>
      <c r="C255" s="179" t="s">
        <v>418</v>
      </c>
      <c r="D255" s="2442" t="s">
        <v>2777</v>
      </c>
      <c r="E255" s="2828" t="s">
        <v>2778</v>
      </c>
      <c r="F255" s="2433" t="s">
        <v>2779</v>
      </c>
      <c r="G255" s="2578" t="s">
        <v>2780</v>
      </c>
      <c r="H255" s="2503" t="s">
        <v>2781</v>
      </c>
      <c r="I255" s="2578" t="s">
        <v>2782</v>
      </c>
      <c r="J255" s="2503" t="s">
        <v>2783</v>
      </c>
      <c r="K255" s="2578" t="s">
        <v>2784</v>
      </c>
      <c r="L255" s="198" t="s">
        <v>2785</v>
      </c>
      <c r="M255" s="2578" t="s">
        <v>2786</v>
      </c>
      <c r="N255" s="198" t="s">
        <v>2787</v>
      </c>
      <c r="O255" s="2578" t="s">
        <v>2788</v>
      </c>
      <c r="P255" s="198" t="s">
        <v>2789</v>
      </c>
      <c r="Q255" s="2578" t="s">
        <v>2790</v>
      </c>
      <c r="R255" s="198" t="s">
        <v>2791</v>
      </c>
      <c r="S255" s="2578" t="s">
        <v>2792</v>
      </c>
      <c r="T255" s="198" t="s">
        <v>2793</v>
      </c>
      <c r="U255" s="2578" t="s">
        <v>2794</v>
      </c>
      <c r="V255" s="198" t="s">
        <v>2795</v>
      </c>
      <c r="W255" s="2578" t="s">
        <v>2796</v>
      </c>
      <c r="X255" s="198" t="s">
        <v>2797</v>
      </c>
      <c r="Y255" s="2578" t="s">
        <v>2798</v>
      </c>
      <c r="Z255" s="198" t="s">
        <v>2799</v>
      </c>
      <c r="AA255" s="2578" t="s">
        <v>2800</v>
      </c>
      <c r="AB255" s="198" t="s">
        <v>2801</v>
      </c>
      <c r="AC255" s="2578" t="s">
        <v>2817</v>
      </c>
      <c r="AD255" s="198" t="s">
        <v>2818</v>
      </c>
      <c r="AE255" s="2578" t="s">
        <v>2819</v>
      </c>
      <c r="AF255" s="2405" t="s">
        <v>2821</v>
      </c>
      <c r="AG255" s="2578" t="s">
        <v>2822</v>
      </c>
      <c r="AH255" s="2405" t="s">
        <v>2823</v>
      </c>
      <c r="AI255" s="2578" t="s">
        <v>2824</v>
      </c>
      <c r="AJ255" s="2405" t="s">
        <v>2825</v>
      </c>
      <c r="AK255" s="2578" t="s">
        <v>2826</v>
      </c>
      <c r="AL255" s="2405" t="s">
        <v>2827</v>
      </c>
      <c r="AM255" s="2578" t="s">
        <v>2831</v>
      </c>
      <c r="AN255" s="2827" t="s">
        <v>2832</v>
      </c>
      <c r="AO255" s="180" t="s">
        <v>2833</v>
      </c>
      <c r="AP255" s="180" t="s">
        <v>2834</v>
      </c>
      <c r="AQ255" s="198" t="s">
        <v>3011</v>
      </c>
      <c r="AR255" s="141" t="s">
        <v>3012</v>
      </c>
      <c r="AS255" s="198" t="s">
        <v>3013</v>
      </c>
      <c r="AT255" s="164" t="s">
        <v>3014</v>
      </c>
      <c r="AU255" s="164" t="s">
        <v>3015</v>
      </c>
      <c r="AV255" s="198" t="s">
        <v>3206</v>
      </c>
      <c r="AW255" s="2384" t="e">
        <f t="shared" si="62"/>
        <v>#VALUE!</v>
      </c>
      <c r="AX255" s="1058"/>
      <c r="AY255" s="1058"/>
      <c r="AZ255" s="1058"/>
      <c r="BA255" s="1058"/>
      <c r="BB255" s="1058"/>
      <c r="BC255" s="1058"/>
      <c r="BD255" s="1058"/>
      <c r="BE255" s="1058"/>
      <c r="BF255" s="1058"/>
      <c r="BG255" s="1058"/>
      <c r="BH255" s="94"/>
      <c r="BI255" s="94"/>
      <c r="BJ255" s="94"/>
      <c r="CB255" s="889" t="e">
        <f t="shared" si="56"/>
        <v>#VALUE!</v>
      </c>
      <c r="CC255" s="889" t="str">
        <f t="shared" si="57"/>
        <v/>
      </c>
      <c r="CD255" s="890" t="str">
        <f t="shared" si="58"/>
        <v xml:space="preserve">* Trans y/o Pueblo Originario y/o Migrantes y/o Niños, Niñas, Adolescentesy Jóvenes Población SENAME NO DEBEN ser Mayor al Total. </v>
      </c>
      <c r="CH255" s="1020" t="e">
        <f t="shared" si="59"/>
        <v>#VALUE!</v>
      </c>
      <c r="CI255" s="1020">
        <f t="shared" si="60"/>
        <v>0</v>
      </c>
      <c r="CJ255" s="1020">
        <f t="shared" si="61"/>
        <v>1</v>
      </c>
      <c r="CK255" s="1020"/>
      <c r="CL255" s="1020"/>
      <c r="CM255" s="1020"/>
      <c r="CN255" s="1020"/>
      <c r="CO255" s="1020"/>
    </row>
    <row r="256" spans="1:93" ht="16.350000000000001" customHeight="1" x14ac:dyDescent="0.2">
      <c r="A256" s="2695" t="s">
        <v>3257</v>
      </c>
      <c r="B256" s="5506"/>
      <c r="C256" s="179" t="s">
        <v>419</v>
      </c>
      <c r="D256" s="2442" t="s">
        <v>2777</v>
      </c>
      <c r="E256" s="2828" t="s">
        <v>2778</v>
      </c>
      <c r="F256" s="2433" t="s">
        <v>2779</v>
      </c>
      <c r="G256" s="2578" t="s">
        <v>2780</v>
      </c>
      <c r="H256" s="2503" t="s">
        <v>2781</v>
      </c>
      <c r="I256" s="2578" t="s">
        <v>2782</v>
      </c>
      <c r="J256" s="2503" t="s">
        <v>2783</v>
      </c>
      <c r="K256" s="2578" t="s">
        <v>2784</v>
      </c>
      <c r="L256" s="198" t="s">
        <v>2785</v>
      </c>
      <c r="M256" s="2578" t="s">
        <v>2786</v>
      </c>
      <c r="N256" s="198" t="s">
        <v>2787</v>
      </c>
      <c r="O256" s="2578" t="s">
        <v>2788</v>
      </c>
      <c r="P256" s="198" t="s">
        <v>2789</v>
      </c>
      <c r="Q256" s="2578" t="s">
        <v>2790</v>
      </c>
      <c r="R256" s="198" t="s">
        <v>2791</v>
      </c>
      <c r="S256" s="2578" t="s">
        <v>2792</v>
      </c>
      <c r="T256" s="198" t="s">
        <v>2793</v>
      </c>
      <c r="U256" s="2578" t="s">
        <v>2794</v>
      </c>
      <c r="V256" s="198" t="s">
        <v>2795</v>
      </c>
      <c r="W256" s="2578" t="s">
        <v>2796</v>
      </c>
      <c r="X256" s="198" t="s">
        <v>2797</v>
      </c>
      <c r="Y256" s="2578" t="s">
        <v>2798</v>
      </c>
      <c r="Z256" s="198" t="s">
        <v>2799</v>
      </c>
      <c r="AA256" s="2578" t="s">
        <v>2800</v>
      </c>
      <c r="AB256" s="198" t="s">
        <v>2801</v>
      </c>
      <c r="AC256" s="2578" t="s">
        <v>2817</v>
      </c>
      <c r="AD256" s="198" t="s">
        <v>2818</v>
      </c>
      <c r="AE256" s="2578" t="s">
        <v>2819</v>
      </c>
      <c r="AF256" s="2405" t="s">
        <v>2821</v>
      </c>
      <c r="AG256" s="2578" t="s">
        <v>2822</v>
      </c>
      <c r="AH256" s="2405" t="s">
        <v>2823</v>
      </c>
      <c r="AI256" s="2578" t="s">
        <v>2824</v>
      </c>
      <c r="AJ256" s="2405" t="s">
        <v>2825</v>
      </c>
      <c r="AK256" s="2578" t="s">
        <v>2826</v>
      </c>
      <c r="AL256" s="2405" t="s">
        <v>2827</v>
      </c>
      <c r="AM256" s="2578" t="s">
        <v>2831</v>
      </c>
      <c r="AN256" s="2827" t="s">
        <v>2832</v>
      </c>
      <c r="AO256" s="180" t="s">
        <v>2833</v>
      </c>
      <c r="AP256" s="180" t="s">
        <v>2834</v>
      </c>
      <c r="AQ256" s="198" t="s">
        <v>3011</v>
      </c>
      <c r="AR256" s="141" t="s">
        <v>3012</v>
      </c>
      <c r="AS256" s="198" t="s">
        <v>3013</v>
      </c>
      <c r="AT256" s="164" t="s">
        <v>3014</v>
      </c>
      <c r="AU256" s="164" t="s">
        <v>3015</v>
      </c>
      <c r="AV256" s="198" t="s">
        <v>3206</v>
      </c>
      <c r="AW256" s="2384" t="e">
        <f t="shared" si="62"/>
        <v>#VALUE!</v>
      </c>
      <c r="AX256" s="1058"/>
      <c r="AY256" s="1058"/>
      <c r="AZ256" s="1058"/>
      <c r="BA256" s="1058"/>
      <c r="BB256" s="1058"/>
      <c r="BC256" s="1058"/>
      <c r="BD256" s="1058"/>
      <c r="BE256" s="1058"/>
      <c r="BF256" s="1058"/>
      <c r="BG256" s="1058"/>
      <c r="BH256" s="94"/>
      <c r="BI256" s="94"/>
      <c r="BJ256" s="94"/>
      <c r="CB256" s="889" t="e">
        <f t="shared" si="56"/>
        <v>#VALUE!</v>
      </c>
      <c r="CC256" s="889" t="str">
        <f t="shared" si="57"/>
        <v/>
      </c>
      <c r="CD256" s="890" t="str">
        <f t="shared" si="58"/>
        <v xml:space="preserve">* Trans y/o Pueblo Originario y/o Migrantes y/o Niños, Niñas, Adolescentesy Jóvenes Población SENAME NO DEBEN ser Mayor al Total. </v>
      </c>
      <c r="CH256" s="1020" t="e">
        <f t="shared" si="59"/>
        <v>#VALUE!</v>
      </c>
      <c r="CI256" s="1020">
        <f t="shared" si="60"/>
        <v>0</v>
      </c>
      <c r="CJ256" s="1020">
        <f t="shared" si="61"/>
        <v>1</v>
      </c>
      <c r="CK256" s="1020"/>
      <c r="CL256" s="1020"/>
      <c r="CM256" s="1020"/>
      <c r="CN256" s="1020"/>
      <c r="CO256" s="1020"/>
    </row>
    <row r="257" spans="1:105" ht="16.350000000000001" customHeight="1" x14ac:dyDescent="0.2">
      <c r="A257" s="2695" t="s">
        <v>3258</v>
      </c>
      <c r="B257" s="5506"/>
      <c r="C257" s="179" t="s">
        <v>420</v>
      </c>
      <c r="D257" s="2442" t="s">
        <v>2777</v>
      </c>
      <c r="E257" s="2828" t="s">
        <v>2778</v>
      </c>
      <c r="F257" s="2433" t="s">
        <v>2779</v>
      </c>
      <c r="G257" s="2578" t="s">
        <v>2780</v>
      </c>
      <c r="H257" s="2503" t="s">
        <v>2781</v>
      </c>
      <c r="I257" s="2578" t="s">
        <v>2782</v>
      </c>
      <c r="J257" s="2503" t="s">
        <v>2783</v>
      </c>
      <c r="K257" s="2578" t="s">
        <v>2784</v>
      </c>
      <c r="L257" s="198" t="s">
        <v>2785</v>
      </c>
      <c r="M257" s="2578" t="s">
        <v>2786</v>
      </c>
      <c r="N257" s="198" t="s">
        <v>2787</v>
      </c>
      <c r="O257" s="2578" t="s">
        <v>2788</v>
      </c>
      <c r="P257" s="198" t="s">
        <v>2789</v>
      </c>
      <c r="Q257" s="2578" t="s">
        <v>2790</v>
      </c>
      <c r="R257" s="198" t="s">
        <v>2791</v>
      </c>
      <c r="S257" s="2578" t="s">
        <v>2792</v>
      </c>
      <c r="T257" s="198" t="s">
        <v>2793</v>
      </c>
      <c r="U257" s="2578" t="s">
        <v>2794</v>
      </c>
      <c r="V257" s="198" t="s">
        <v>2795</v>
      </c>
      <c r="W257" s="2578" t="s">
        <v>2796</v>
      </c>
      <c r="X257" s="198" t="s">
        <v>2797</v>
      </c>
      <c r="Y257" s="2578" t="s">
        <v>2798</v>
      </c>
      <c r="Z257" s="198" t="s">
        <v>2799</v>
      </c>
      <c r="AA257" s="2578" t="s">
        <v>2800</v>
      </c>
      <c r="AB257" s="198" t="s">
        <v>2801</v>
      </c>
      <c r="AC257" s="2578" t="s">
        <v>2817</v>
      </c>
      <c r="AD257" s="198" t="s">
        <v>2818</v>
      </c>
      <c r="AE257" s="2578" t="s">
        <v>2819</v>
      </c>
      <c r="AF257" s="2405" t="s">
        <v>2821</v>
      </c>
      <c r="AG257" s="2578" t="s">
        <v>2822</v>
      </c>
      <c r="AH257" s="2405" t="s">
        <v>2823</v>
      </c>
      <c r="AI257" s="2578" t="s">
        <v>2824</v>
      </c>
      <c r="AJ257" s="2405" t="s">
        <v>2825</v>
      </c>
      <c r="AK257" s="2578" t="s">
        <v>2826</v>
      </c>
      <c r="AL257" s="2405" t="s">
        <v>2827</v>
      </c>
      <c r="AM257" s="2578" t="s">
        <v>2831</v>
      </c>
      <c r="AN257" s="2827" t="s">
        <v>2832</v>
      </c>
      <c r="AO257" s="180" t="s">
        <v>2833</v>
      </c>
      <c r="AP257" s="180" t="s">
        <v>2834</v>
      </c>
      <c r="AQ257" s="198" t="s">
        <v>3011</v>
      </c>
      <c r="AR257" s="141" t="s">
        <v>3012</v>
      </c>
      <c r="AS257" s="198" t="s">
        <v>3013</v>
      </c>
      <c r="AT257" s="164" t="s">
        <v>3014</v>
      </c>
      <c r="AU257" s="164" t="s">
        <v>3015</v>
      </c>
      <c r="AV257" s="198" t="s">
        <v>3206</v>
      </c>
      <c r="AW257" s="2384" t="e">
        <f t="shared" si="62"/>
        <v>#VALUE!</v>
      </c>
      <c r="AX257" s="1058"/>
      <c r="AY257" s="1058"/>
      <c r="AZ257" s="1058"/>
      <c r="BA257" s="1058"/>
      <c r="BB257" s="1058"/>
      <c r="BC257" s="1058"/>
      <c r="BD257" s="1058"/>
      <c r="BE257" s="1058"/>
      <c r="BF257" s="1058"/>
      <c r="BG257" s="1058"/>
      <c r="BH257" s="94"/>
      <c r="BI257" s="94"/>
      <c r="BJ257" s="94"/>
      <c r="CB257" s="889" t="e">
        <f t="shared" si="56"/>
        <v>#VALUE!</v>
      </c>
      <c r="CC257" s="889" t="str">
        <f t="shared" si="57"/>
        <v/>
      </c>
      <c r="CD257" s="890" t="str">
        <f t="shared" si="58"/>
        <v xml:space="preserve">* Trans y/o Pueblo Originario y/o Migrantes y/o Niños, Niñas, Adolescentesy Jóvenes Población SENAME NO DEBEN ser Mayor al Total. </v>
      </c>
      <c r="CH257" s="1020" t="e">
        <f t="shared" si="59"/>
        <v>#VALUE!</v>
      </c>
      <c r="CI257" s="1020">
        <f t="shared" si="60"/>
        <v>0</v>
      </c>
      <c r="CJ257" s="1020">
        <f t="shared" si="61"/>
        <v>1</v>
      </c>
      <c r="CK257" s="1020"/>
      <c r="CL257" s="1020"/>
      <c r="CM257" s="1020"/>
      <c r="CN257" s="1020"/>
      <c r="CO257" s="1020"/>
    </row>
    <row r="258" spans="1:105" ht="16.350000000000001" customHeight="1" x14ac:dyDescent="0.2">
      <c r="A258" s="2695" t="s">
        <v>3259</v>
      </c>
      <c r="B258" s="5506"/>
      <c r="C258" s="179" t="s">
        <v>421</v>
      </c>
      <c r="D258" s="2442" t="s">
        <v>2777</v>
      </c>
      <c r="E258" s="2828" t="s">
        <v>2778</v>
      </c>
      <c r="F258" s="2433" t="s">
        <v>2779</v>
      </c>
      <c r="G258" s="2578" t="s">
        <v>2780</v>
      </c>
      <c r="H258" s="2503" t="s">
        <v>2781</v>
      </c>
      <c r="I258" s="2578" t="s">
        <v>2782</v>
      </c>
      <c r="J258" s="2503" t="s">
        <v>2783</v>
      </c>
      <c r="K258" s="2578" t="s">
        <v>2784</v>
      </c>
      <c r="L258" s="198" t="s">
        <v>2785</v>
      </c>
      <c r="M258" s="2578" t="s">
        <v>2786</v>
      </c>
      <c r="N258" s="198" t="s">
        <v>2787</v>
      </c>
      <c r="O258" s="2578" t="s">
        <v>2788</v>
      </c>
      <c r="P258" s="198" t="s">
        <v>2789</v>
      </c>
      <c r="Q258" s="2578" t="s">
        <v>2790</v>
      </c>
      <c r="R258" s="198" t="s">
        <v>2791</v>
      </c>
      <c r="S258" s="2578" t="s">
        <v>2792</v>
      </c>
      <c r="T258" s="198" t="s">
        <v>2793</v>
      </c>
      <c r="U258" s="2578" t="s">
        <v>2794</v>
      </c>
      <c r="V258" s="198" t="s">
        <v>2795</v>
      </c>
      <c r="W258" s="2578" t="s">
        <v>2796</v>
      </c>
      <c r="X258" s="198" t="s">
        <v>2797</v>
      </c>
      <c r="Y258" s="2578" t="s">
        <v>2798</v>
      </c>
      <c r="Z258" s="198" t="s">
        <v>2799</v>
      </c>
      <c r="AA258" s="2578" t="s">
        <v>2800</v>
      </c>
      <c r="AB258" s="198" t="s">
        <v>2801</v>
      </c>
      <c r="AC258" s="2578" t="s">
        <v>2817</v>
      </c>
      <c r="AD258" s="198" t="s">
        <v>2818</v>
      </c>
      <c r="AE258" s="2578" t="s">
        <v>2819</v>
      </c>
      <c r="AF258" s="2405" t="s">
        <v>2821</v>
      </c>
      <c r="AG258" s="2578" t="s">
        <v>2822</v>
      </c>
      <c r="AH258" s="2405" t="s">
        <v>2823</v>
      </c>
      <c r="AI258" s="2578" t="s">
        <v>2824</v>
      </c>
      <c r="AJ258" s="2405" t="s">
        <v>2825</v>
      </c>
      <c r="AK258" s="2578" t="s">
        <v>2826</v>
      </c>
      <c r="AL258" s="2405" t="s">
        <v>2827</v>
      </c>
      <c r="AM258" s="2578" t="s">
        <v>2831</v>
      </c>
      <c r="AN258" s="2827" t="s">
        <v>2832</v>
      </c>
      <c r="AO258" s="180" t="s">
        <v>2833</v>
      </c>
      <c r="AP258" s="180" t="s">
        <v>2834</v>
      </c>
      <c r="AQ258" s="198" t="s">
        <v>3011</v>
      </c>
      <c r="AR258" s="141" t="s">
        <v>3012</v>
      </c>
      <c r="AS258" s="198" t="s">
        <v>3013</v>
      </c>
      <c r="AT258" s="164" t="s">
        <v>3014</v>
      </c>
      <c r="AU258" s="164" t="s">
        <v>3015</v>
      </c>
      <c r="AV258" s="198" t="s">
        <v>3206</v>
      </c>
      <c r="AW258" s="2384" t="e">
        <f t="shared" si="62"/>
        <v>#VALUE!</v>
      </c>
      <c r="AX258" s="1058"/>
      <c r="AY258" s="1058"/>
      <c r="AZ258" s="1058"/>
      <c r="BA258" s="1058"/>
      <c r="BB258" s="1058"/>
      <c r="BC258" s="1058"/>
      <c r="BD258" s="1058"/>
      <c r="BE258" s="1058"/>
      <c r="BF258" s="1058"/>
      <c r="BG258" s="1058"/>
      <c r="BH258" s="94"/>
      <c r="BI258" s="94"/>
      <c r="BJ258" s="94"/>
      <c r="CB258" s="889" t="e">
        <f t="shared" si="56"/>
        <v>#VALUE!</v>
      </c>
      <c r="CC258" s="889" t="str">
        <f t="shared" si="57"/>
        <v/>
      </c>
      <c r="CD258" s="890" t="str">
        <f t="shared" si="58"/>
        <v xml:space="preserve">* Trans y/o Pueblo Originario y/o Migrantes y/o Niños, Niñas, Adolescentesy Jóvenes Población SENAME NO DEBEN ser Mayor al Total. </v>
      </c>
      <c r="CH258" s="1020" t="e">
        <f t="shared" si="59"/>
        <v>#VALUE!</v>
      </c>
      <c r="CI258" s="1020">
        <f t="shared" si="60"/>
        <v>0</v>
      </c>
      <c r="CJ258" s="1020">
        <f t="shared" si="61"/>
        <v>1</v>
      </c>
      <c r="CK258" s="1020"/>
      <c r="CL258" s="1020"/>
      <c r="CM258" s="1020"/>
      <c r="CN258" s="1020"/>
      <c r="CO258" s="1020"/>
    </row>
    <row r="259" spans="1:105" ht="16.350000000000001" customHeight="1" x14ac:dyDescent="0.2">
      <c r="A259" s="2695" t="s">
        <v>3260</v>
      </c>
      <c r="B259" s="5506"/>
      <c r="C259" s="179" t="s">
        <v>422</v>
      </c>
      <c r="D259" s="2442" t="s">
        <v>2777</v>
      </c>
      <c r="E259" s="2828" t="s">
        <v>2778</v>
      </c>
      <c r="F259" s="2433" t="s">
        <v>2779</v>
      </c>
      <c r="G259" s="2578" t="s">
        <v>2780</v>
      </c>
      <c r="H259" s="2503" t="s">
        <v>2781</v>
      </c>
      <c r="I259" s="2578" t="s">
        <v>2782</v>
      </c>
      <c r="J259" s="2503" t="s">
        <v>2783</v>
      </c>
      <c r="K259" s="2578" t="s">
        <v>2784</v>
      </c>
      <c r="L259" s="198" t="s">
        <v>2785</v>
      </c>
      <c r="M259" s="2578" t="s">
        <v>2786</v>
      </c>
      <c r="N259" s="198" t="s">
        <v>2787</v>
      </c>
      <c r="O259" s="2578" t="s">
        <v>2788</v>
      </c>
      <c r="P259" s="198" t="s">
        <v>2789</v>
      </c>
      <c r="Q259" s="2578" t="s">
        <v>2790</v>
      </c>
      <c r="R259" s="198" t="s">
        <v>2791</v>
      </c>
      <c r="S259" s="2578" t="s">
        <v>2792</v>
      </c>
      <c r="T259" s="198" t="s">
        <v>2793</v>
      </c>
      <c r="U259" s="2578" t="s">
        <v>2794</v>
      </c>
      <c r="V259" s="198" t="s">
        <v>2795</v>
      </c>
      <c r="W259" s="2578" t="s">
        <v>2796</v>
      </c>
      <c r="X259" s="198" t="s">
        <v>2797</v>
      </c>
      <c r="Y259" s="2578" t="s">
        <v>2798</v>
      </c>
      <c r="Z259" s="198" t="s">
        <v>2799</v>
      </c>
      <c r="AA259" s="2578" t="s">
        <v>2800</v>
      </c>
      <c r="AB259" s="198" t="s">
        <v>2801</v>
      </c>
      <c r="AC259" s="2578" t="s">
        <v>2817</v>
      </c>
      <c r="AD259" s="198" t="s">
        <v>2818</v>
      </c>
      <c r="AE259" s="2578" t="s">
        <v>2819</v>
      </c>
      <c r="AF259" s="2405" t="s">
        <v>2821</v>
      </c>
      <c r="AG259" s="2578" t="s">
        <v>2822</v>
      </c>
      <c r="AH259" s="2405" t="s">
        <v>2823</v>
      </c>
      <c r="AI259" s="2578" t="s">
        <v>2824</v>
      </c>
      <c r="AJ259" s="2405" t="s">
        <v>2825</v>
      </c>
      <c r="AK259" s="2578" t="s">
        <v>2826</v>
      </c>
      <c r="AL259" s="2405" t="s">
        <v>2827</v>
      </c>
      <c r="AM259" s="2578" t="s">
        <v>2831</v>
      </c>
      <c r="AN259" s="2827" t="s">
        <v>2832</v>
      </c>
      <c r="AO259" s="180" t="s">
        <v>2833</v>
      </c>
      <c r="AP259" s="180" t="s">
        <v>2834</v>
      </c>
      <c r="AQ259" s="198" t="s">
        <v>3011</v>
      </c>
      <c r="AR259" s="141" t="s">
        <v>3012</v>
      </c>
      <c r="AS259" s="198" t="s">
        <v>3013</v>
      </c>
      <c r="AT259" s="164" t="s">
        <v>3014</v>
      </c>
      <c r="AU259" s="164" t="s">
        <v>3015</v>
      </c>
      <c r="AV259" s="198" t="s">
        <v>3206</v>
      </c>
      <c r="AW259" s="2384" t="e">
        <f t="shared" si="62"/>
        <v>#VALUE!</v>
      </c>
      <c r="AX259" s="1058"/>
      <c r="AY259" s="1058"/>
      <c r="AZ259" s="1058"/>
      <c r="BA259" s="1058"/>
      <c r="BB259" s="1058"/>
      <c r="BC259" s="1058"/>
      <c r="BD259" s="1058"/>
      <c r="BE259" s="1058"/>
      <c r="BF259" s="1058"/>
      <c r="BG259" s="1058"/>
      <c r="BH259" s="94"/>
      <c r="BI259" s="94"/>
      <c r="BJ259" s="94"/>
      <c r="CB259" s="889" t="e">
        <f t="shared" si="56"/>
        <v>#VALUE!</v>
      </c>
      <c r="CC259" s="889" t="str">
        <f t="shared" si="57"/>
        <v/>
      </c>
      <c r="CD259" s="890" t="str">
        <f t="shared" si="58"/>
        <v xml:space="preserve">* Trans y/o Pueblo Originario y/o Migrantes y/o Niños, Niñas, Adolescentesy Jóvenes Población SENAME NO DEBEN ser Mayor al Total. </v>
      </c>
      <c r="CH259" s="1020" t="e">
        <f t="shared" si="59"/>
        <v>#VALUE!</v>
      </c>
      <c r="CI259" s="1020">
        <f t="shared" si="60"/>
        <v>0</v>
      </c>
      <c r="CJ259" s="1020">
        <f t="shared" si="61"/>
        <v>1</v>
      </c>
      <c r="CK259" s="1020"/>
      <c r="CL259" s="1020"/>
      <c r="CM259" s="1020"/>
      <c r="CN259" s="1020"/>
      <c r="CO259" s="1020"/>
    </row>
    <row r="260" spans="1:105" ht="16.350000000000001" customHeight="1" x14ac:dyDescent="0.2">
      <c r="A260" s="2695" t="s">
        <v>3261</v>
      </c>
      <c r="B260" s="5506"/>
      <c r="C260" s="283" t="s">
        <v>423</v>
      </c>
      <c r="D260" s="2444" t="s">
        <v>2777</v>
      </c>
      <c r="E260" s="680" t="s">
        <v>2778</v>
      </c>
      <c r="F260" s="384" t="s">
        <v>2779</v>
      </c>
      <c r="G260" s="101" t="s">
        <v>2780</v>
      </c>
      <c r="H260" s="599" t="s">
        <v>2781</v>
      </c>
      <c r="I260" s="101" t="s">
        <v>2782</v>
      </c>
      <c r="J260" s="599" t="s">
        <v>2783</v>
      </c>
      <c r="K260" s="101" t="s">
        <v>2784</v>
      </c>
      <c r="L260" s="168" t="s">
        <v>2785</v>
      </c>
      <c r="M260" s="101" t="s">
        <v>2786</v>
      </c>
      <c r="N260" s="168" t="s">
        <v>2787</v>
      </c>
      <c r="O260" s="101" t="s">
        <v>2788</v>
      </c>
      <c r="P260" s="168" t="s">
        <v>2789</v>
      </c>
      <c r="Q260" s="101" t="s">
        <v>2790</v>
      </c>
      <c r="R260" s="168" t="s">
        <v>2791</v>
      </c>
      <c r="S260" s="101" t="s">
        <v>2792</v>
      </c>
      <c r="T260" s="168" t="s">
        <v>2793</v>
      </c>
      <c r="U260" s="101" t="s">
        <v>2794</v>
      </c>
      <c r="V260" s="168" t="s">
        <v>2795</v>
      </c>
      <c r="W260" s="101" t="s">
        <v>2796</v>
      </c>
      <c r="X260" s="168" t="s">
        <v>2797</v>
      </c>
      <c r="Y260" s="101" t="s">
        <v>2798</v>
      </c>
      <c r="Z260" s="168" t="s">
        <v>2799</v>
      </c>
      <c r="AA260" s="101" t="s">
        <v>2800</v>
      </c>
      <c r="AB260" s="168" t="s">
        <v>2801</v>
      </c>
      <c r="AC260" s="101" t="s">
        <v>2817</v>
      </c>
      <c r="AD260" s="168" t="s">
        <v>2818</v>
      </c>
      <c r="AE260" s="101" t="s">
        <v>2819</v>
      </c>
      <c r="AF260" s="169" t="s">
        <v>2821</v>
      </c>
      <c r="AG260" s="101" t="s">
        <v>2822</v>
      </c>
      <c r="AH260" s="169" t="s">
        <v>2823</v>
      </c>
      <c r="AI260" s="101" t="s">
        <v>2824</v>
      </c>
      <c r="AJ260" s="169" t="s">
        <v>2825</v>
      </c>
      <c r="AK260" s="101" t="s">
        <v>2826</v>
      </c>
      <c r="AL260" s="169" t="s">
        <v>2827</v>
      </c>
      <c r="AM260" s="101" t="s">
        <v>2831</v>
      </c>
      <c r="AN260" s="642" t="s">
        <v>2832</v>
      </c>
      <c r="AO260" s="126" t="s">
        <v>2833</v>
      </c>
      <c r="AP260" s="126" t="s">
        <v>2834</v>
      </c>
      <c r="AQ260" s="168" t="s">
        <v>3011</v>
      </c>
      <c r="AR260" s="166" t="s">
        <v>3012</v>
      </c>
      <c r="AS260" s="168" t="s">
        <v>3013</v>
      </c>
      <c r="AT260" s="105" t="s">
        <v>3014</v>
      </c>
      <c r="AU260" s="105" t="s">
        <v>3015</v>
      </c>
      <c r="AV260" s="168" t="s">
        <v>3206</v>
      </c>
      <c r="AW260" s="2384" t="e">
        <f t="shared" si="62"/>
        <v>#VALUE!</v>
      </c>
      <c r="AX260" s="1058"/>
      <c r="AY260" s="1058"/>
      <c r="AZ260" s="1058"/>
      <c r="BA260" s="1058"/>
      <c r="BB260" s="1058"/>
      <c r="BC260" s="1058"/>
      <c r="BD260" s="1058"/>
      <c r="BE260" s="1058"/>
      <c r="BF260" s="1058"/>
      <c r="BG260" s="1058"/>
      <c r="BH260" s="94"/>
      <c r="BI260" s="94"/>
      <c r="BJ260" s="94"/>
      <c r="CB260" s="889" t="e">
        <f t="shared" si="56"/>
        <v>#VALUE!</v>
      </c>
      <c r="CC260" s="889" t="str">
        <f t="shared" si="57"/>
        <v/>
      </c>
      <c r="CD260" s="890" t="str">
        <f t="shared" si="58"/>
        <v xml:space="preserve">* Trans y/o Pueblo Originario y/o Migrantes y/o Niños, Niñas, Adolescentesy Jóvenes Población SENAME NO DEBEN ser Mayor al Total. </v>
      </c>
      <c r="CH260" s="1020" t="e">
        <f t="shared" si="59"/>
        <v>#VALUE!</v>
      </c>
      <c r="CI260" s="1020">
        <f t="shared" si="60"/>
        <v>0</v>
      </c>
      <c r="CJ260" s="1020">
        <f t="shared" si="61"/>
        <v>1</v>
      </c>
      <c r="CK260" s="1020"/>
      <c r="CL260" s="1020"/>
      <c r="CM260" s="1020"/>
      <c r="CN260" s="1020"/>
      <c r="CO260" s="1020"/>
    </row>
    <row r="261" spans="1:105" ht="16.350000000000001" customHeight="1" x14ac:dyDescent="0.2">
      <c r="A261" s="2695" t="s">
        <v>3262</v>
      </c>
      <c r="B261" s="5627" t="s">
        <v>424</v>
      </c>
      <c r="C261" s="2825" t="s">
        <v>302</v>
      </c>
      <c r="D261" s="2782" t="s">
        <v>2777</v>
      </c>
      <c r="E261" s="2783" t="s">
        <v>2778</v>
      </c>
      <c r="F261" s="383" t="s">
        <v>2779</v>
      </c>
      <c r="G261" s="2830" t="s">
        <v>2780</v>
      </c>
      <c r="H261" s="2831" t="s">
        <v>2781</v>
      </c>
      <c r="I261" s="2832" t="s">
        <v>2782</v>
      </c>
      <c r="J261" s="2831" t="s">
        <v>2783</v>
      </c>
      <c r="K261" s="2832" t="s">
        <v>2784</v>
      </c>
      <c r="L261" s="2270" t="s">
        <v>2785</v>
      </c>
      <c r="M261" s="2833" t="s">
        <v>2786</v>
      </c>
      <c r="N261" s="2831" t="s">
        <v>2787</v>
      </c>
      <c r="O261" s="2832" t="s">
        <v>2788</v>
      </c>
      <c r="P261" s="2834" t="s">
        <v>2789</v>
      </c>
      <c r="Q261" s="2830" t="s">
        <v>2790</v>
      </c>
      <c r="R261" s="2831" t="s">
        <v>2791</v>
      </c>
      <c r="S261" s="2832" t="s">
        <v>2792</v>
      </c>
      <c r="T261" s="2834" t="s">
        <v>2793</v>
      </c>
      <c r="U261" s="2830" t="s">
        <v>2794</v>
      </c>
      <c r="V261" s="2831" t="s">
        <v>2795</v>
      </c>
      <c r="W261" s="2832" t="s">
        <v>2796</v>
      </c>
      <c r="X261" s="2834" t="s">
        <v>2797</v>
      </c>
      <c r="Y261" s="2830" t="s">
        <v>2798</v>
      </c>
      <c r="Z261" s="2831" t="s">
        <v>2799</v>
      </c>
      <c r="AA261" s="2832" t="s">
        <v>2800</v>
      </c>
      <c r="AB261" s="2834" t="s">
        <v>2801</v>
      </c>
      <c r="AC261" s="2830" t="s">
        <v>2817</v>
      </c>
      <c r="AD261" s="2831" t="s">
        <v>2818</v>
      </c>
      <c r="AE261" s="2832" t="s">
        <v>2819</v>
      </c>
      <c r="AF261" s="2834" t="s">
        <v>2821</v>
      </c>
      <c r="AG261" s="2830" t="s">
        <v>2822</v>
      </c>
      <c r="AH261" s="2831" t="s">
        <v>2823</v>
      </c>
      <c r="AI261" s="2832" t="s">
        <v>2824</v>
      </c>
      <c r="AJ261" s="2834" t="s">
        <v>2825</v>
      </c>
      <c r="AK261" s="2830" t="s">
        <v>2826</v>
      </c>
      <c r="AL261" s="2831" t="s">
        <v>2827</v>
      </c>
      <c r="AM261" s="2832" t="s">
        <v>2831</v>
      </c>
      <c r="AN261" s="2835" t="s">
        <v>2832</v>
      </c>
      <c r="AO261" s="2487" t="s">
        <v>2833</v>
      </c>
      <c r="AP261" s="2271" t="s">
        <v>2834</v>
      </c>
      <c r="AQ261" s="197" t="s">
        <v>3011</v>
      </c>
      <c r="AR261" s="2577" t="s">
        <v>3012</v>
      </c>
      <c r="AS261" s="197" t="s">
        <v>3013</v>
      </c>
      <c r="AT261" s="2580" t="s">
        <v>3014</v>
      </c>
      <c r="AU261" s="2580" t="s">
        <v>3015</v>
      </c>
      <c r="AV261" s="197" t="s">
        <v>3206</v>
      </c>
      <c r="AW261" s="2384" t="e">
        <f t="shared" si="62"/>
        <v>#VALUE!</v>
      </c>
      <c r="AX261" s="1058"/>
      <c r="AY261" s="1058"/>
      <c r="AZ261" s="1058"/>
      <c r="BA261" s="1058"/>
      <c r="BB261" s="1058"/>
      <c r="BC261" s="1058"/>
      <c r="BD261" s="1058"/>
      <c r="BE261" s="1058"/>
      <c r="BF261" s="1058"/>
      <c r="BG261" s="1058"/>
      <c r="BH261" s="94"/>
      <c r="BI261" s="94"/>
      <c r="BJ261" s="94"/>
      <c r="CB261" s="889" t="e">
        <f t="shared" si="56"/>
        <v>#VALUE!</v>
      </c>
      <c r="CC261" s="889" t="str">
        <f t="shared" si="57"/>
        <v/>
      </c>
      <c r="CD261" s="890" t="str">
        <f t="shared" si="58"/>
        <v xml:space="preserve">* Trans y/o Pueblo Originario y/o Migrantes y/o Niños, Niñas, Adolescentesy Jóvenes Población SENAME NO DEBEN ser Mayor al Total. </v>
      </c>
      <c r="CH261" s="1020" t="e">
        <f t="shared" si="59"/>
        <v>#VALUE!</v>
      </c>
      <c r="CI261" s="1020">
        <f t="shared" si="60"/>
        <v>0</v>
      </c>
      <c r="CJ261" s="1020">
        <f t="shared" si="61"/>
        <v>1</v>
      </c>
      <c r="CK261" s="1020"/>
      <c r="CL261" s="1020"/>
      <c r="CM261" s="1020"/>
      <c r="CN261" s="1020"/>
      <c r="CO261" s="1020"/>
    </row>
    <row r="262" spans="1:105" ht="16.350000000000001" customHeight="1" x14ac:dyDescent="0.2">
      <c r="A262" s="2695" t="s">
        <v>3263</v>
      </c>
      <c r="B262" s="5628"/>
      <c r="C262" s="2624" t="s">
        <v>416</v>
      </c>
      <c r="D262" s="2584" t="s">
        <v>2777</v>
      </c>
      <c r="E262" s="2343" t="s">
        <v>2778</v>
      </c>
      <c r="F262" s="383" t="s">
        <v>2779</v>
      </c>
      <c r="G262" s="2577" t="s">
        <v>2780</v>
      </c>
      <c r="H262" s="2270" t="s">
        <v>2781</v>
      </c>
      <c r="I262" s="2577" t="s">
        <v>2782</v>
      </c>
      <c r="J262" s="2270" t="s">
        <v>2783</v>
      </c>
      <c r="K262" s="2577" t="s">
        <v>2784</v>
      </c>
      <c r="L262" s="2270" t="s">
        <v>2785</v>
      </c>
      <c r="M262" s="2577" t="s">
        <v>2786</v>
      </c>
      <c r="N262" s="2270" t="s">
        <v>2787</v>
      </c>
      <c r="O262" s="2271" t="s">
        <v>2788</v>
      </c>
      <c r="P262" s="2307" t="s">
        <v>2789</v>
      </c>
      <c r="Q262" s="2577" t="s">
        <v>2790</v>
      </c>
      <c r="R262" s="2270" t="s">
        <v>2791</v>
      </c>
      <c r="S262" s="2271" t="s">
        <v>2792</v>
      </c>
      <c r="T262" s="2307" t="s">
        <v>2793</v>
      </c>
      <c r="U262" s="2577" t="s">
        <v>2794</v>
      </c>
      <c r="V262" s="2270" t="s">
        <v>2795</v>
      </c>
      <c r="W262" s="2271" t="s">
        <v>2796</v>
      </c>
      <c r="X262" s="2307" t="s">
        <v>2797</v>
      </c>
      <c r="Y262" s="2577" t="s">
        <v>2798</v>
      </c>
      <c r="Z262" s="2270" t="s">
        <v>2799</v>
      </c>
      <c r="AA262" s="2271" t="s">
        <v>2800</v>
      </c>
      <c r="AB262" s="2307" t="s">
        <v>2801</v>
      </c>
      <c r="AC262" s="2577" t="s">
        <v>2817</v>
      </c>
      <c r="AD262" s="2270" t="s">
        <v>2818</v>
      </c>
      <c r="AE262" s="2271" t="s">
        <v>2819</v>
      </c>
      <c r="AF262" s="2307" t="s">
        <v>2821</v>
      </c>
      <c r="AG262" s="2577" t="s">
        <v>2822</v>
      </c>
      <c r="AH262" s="2270" t="s">
        <v>2823</v>
      </c>
      <c r="AI262" s="2271" t="s">
        <v>2824</v>
      </c>
      <c r="AJ262" s="2307" t="s">
        <v>2825</v>
      </c>
      <c r="AK262" s="2577" t="s">
        <v>2826</v>
      </c>
      <c r="AL262" s="2270" t="s">
        <v>2827</v>
      </c>
      <c r="AM262" s="2271" t="s">
        <v>2831</v>
      </c>
      <c r="AN262" s="2294" t="s">
        <v>2832</v>
      </c>
      <c r="AO262" s="2271" t="s">
        <v>2833</v>
      </c>
      <c r="AP262" s="2271" t="s">
        <v>2834</v>
      </c>
      <c r="AQ262" s="197" t="s">
        <v>3011</v>
      </c>
      <c r="AR262" s="2577" t="s">
        <v>3012</v>
      </c>
      <c r="AS262" s="197" t="s">
        <v>3013</v>
      </c>
      <c r="AT262" s="2580" t="s">
        <v>3014</v>
      </c>
      <c r="AU262" s="2580" t="s">
        <v>3015</v>
      </c>
      <c r="AV262" s="197" t="s">
        <v>3206</v>
      </c>
      <c r="AW262" s="2384" t="e">
        <f t="shared" si="62"/>
        <v>#VALUE!</v>
      </c>
      <c r="AX262" s="1058"/>
      <c r="AY262" s="1058"/>
      <c r="AZ262" s="1058"/>
      <c r="BA262" s="1058"/>
      <c r="BB262" s="1058"/>
      <c r="BC262" s="1058"/>
      <c r="BD262" s="1058"/>
      <c r="BE262" s="1058"/>
      <c r="BF262" s="1058"/>
      <c r="BG262" s="1058"/>
      <c r="BH262" s="94"/>
      <c r="BI262" s="94"/>
      <c r="BJ262" s="94"/>
      <c r="CB262" s="889" t="e">
        <f t="shared" si="56"/>
        <v>#VALUE!</v>
      </c>
      <c r="CC262" s="889" t="str">
        <f t="shared" si="57"/>
        <v/>
      </c>
      <c r="CD262" s="890" t="str">
        <f t="shared" si="58"/>
        <v xml:space="preserve">* Trans y/o Pueblo Originario y/o Migrantes y/o Niños, Niñas, Adolescentesy Jóvenes Población SENAME NO DEBEN ser Mayor al Total. </v>
      </c>
      <c r="CH262" s="1020" t="e">
        <f t="shared" si="59"/>
        <v>#VALUE!</v>
      </c>
      <c r="CI262" s="1020">
        <f t="shared" si="60"/>
        <v>0</v>
      </c>
      <c r="CJ262" s="1020">
        <f t="shared" si="61"/>
        <v>1</v>
      </c>
      <c r="CK262" s="1020"/>
      <c r="CL262" s="1020"/>
      <c r="CM262" s="1020"/>
      <c r="CN262" s="1020"/>
      <c r="CO262" s="1020"/>
    </row>
    <row r="263" spans="1:105" ht="16.350000000000001" customHeight="1" x14ac:dyDescent="0.2">
      <c r="A263" s="2695" t="s">
        <v>3264</v>
      </c>
      <c r="B263" s="5628"/>
      <c r="C263" s="179" t="s">
        <v>417</v>
      </c>
      <c r="D263" s="2442" t="s">
        <v>2777</v>
      </c>
      <c r="E263" s="2443" t="s">
        <v>2778</v>
      </c>
      <c r="F263" s="2433" t="s">
        <v>2779</v>
      </c>
      <c r="G263" s="141" t="s">
        <v>2780</v>
      </c>
      <c r="H263" s="163" t="s">
        <v>2781</v>
      </c>
      <c r="I263" s="141" t="s">
        <v>2782</v>
      </c>
      <c r="J263" s="163" t="s">
        <v>2783</v>
      </c>
      <c r="K263" s="141" t="s">
        <v>2784</v>
      </c>
      <c r="L263" s="163" t="s">
        <v>2785</v>
      </c>
      <c r="M263" s="141" t="s">
        <v>2786</v>
      </c>
      <c r="N263" s="163" t="s">
        <v>2787</v>
      </c>
      <c r="O263" s="141" t="s">
        <v>2788</v>
      </c>
      <c r="P263" s="247" t="s">
        <v>2789</v>
      </c>
      <c r="Q263" s="141" t="s">
        <v>2790</v>
      </c>
      <c r="R263" s="163" t="s">
        <v>2791</v>
      </c>
      <c r="S263" s="180" t="s">
        <v>2792</v>
      </c>
      <c r="T263" s="247" t="s">
        <v>2793</v>
      </c>
      <c r="U263" s="141" t="s">
        <v>2794</v>
      </c>
      <c r="V263" s="163" t="s">
        <v>2795</v>
      </c>
      <c r="W263" s="180" t="s">
        <v>2796</v>
      </c>
      <c r="X263" s="247" t="s">
        <v>2797</v>
      </c>
      <c r="Y263" s="141" t="s">
        <v>2798</v>
      </c>
      <c r="Z263" s="163" t="s">
        <v>2799</v>
      </c>
      <c r="AA263" s="180" t="s">
        <v>2800</v>
      </c>
      <c r="AB263" s="247" t="s">
        <v>2801</v>
      </c>
      <c r="AC263" s="141" t="s">
        <v>2817</v>
      </c>
      <c r="AD263" s="163" t="s">
        <v>2818</v>
      </c>
      <c r="AE263" s="180" t="s">
        <v>2819</v>
      </c>
      <c r="AF263" s="247" t="s">
        <v>2821</v>
      </c>
      <c r="AG263" s="141" t="s">
        <v>2822</v>
      </c>
      <c r="AH263" s="163" t="s">
        <v>2823</v>
      </c>
      <c r="AI263" s="180" t="s">
        <v>2824</v>
      </c>
      <c r="AJ263" s="247" t="s">
        <v>2825</v>
      </c>
      <c r="AK263" s="141" t="s">
        <v>2826</v>
      </c>
      <c r="AL263" s="163" t="s">
        <v>2827</v>
      </c>
      <c r="AM263" s="180" t="s">
        <v>2831</v>
      </c>
      <c r="AN263" s="318" t="s">
        <v>2832</v>
      </c>
      <c r="AO263" s="180" t="s">
        <v>2833</v>
      </c>
      <c r="AP263" s="180" t="s">
        <v>2834</v>
      </c>
      <c r="AQ263" s="198" t="s">
        <v>3011</v>
      </c>
      <c r="AR263" s="141" t="s">
        <v>3012</v>
      </c>
      <c r="AS263" s="198" t="s">
        <v>3013</v>
      </c>
      <c r="AT263" s="164" t="s">
        <v>3014</v>
      </c>
      <c r="AU263" s="164" t="s">
        <v>3015</v>
      </c>
      <c r="AV263" s="198" t="s">
        <v>3206</v>
      </c>
      <c r="AW263" s="2384" t="e">
        <f t="shared" si="62"/>
        <v>#VALUE!</v>
      </c>
      <c r="AX263" s="1058"/>
      <c r="AY263" s="1058"/>
      <c r="AZ263" s="1058"/>
      <c r="BA263" s="1058"/>
      <c r="BB263" s="1058"/>
      <c r="BC263" s="1058"/>
      <c r="BD263" s="1058"/>
      <c r="BE263" s="1058"/>
      <c r="BF263" s="1058"/>
      <c r="BG263" s="1058"/>
      <c r="BH263" s="94"/>
      <c r="BI263" s="94"/>
      <c r="BJ263" s="94"/>
      <c r="CB263" s="889" t="e">
        <f t="shared" si="56"/>
        <v>#VALUE!</v>
      </c>
      <c r="CC263" s="889" t="str">
        <f t="shared" si="57"/>
        <v/>
      </c>
      <c r="CD263" s="890" t="str">
        <f t="shared" si="58"/>
        <v xml:space="preserve">* Trans y/o Pueblo Originario y/o Migrantes y/o Niños, Niñas, Adolescentesy Jóvenes Población SENAME NO DEBEN ser Mayor al Total. </v>
      </c>
      <c r="CH263" s="1020" t="e">
        <f t="shared" si="59"/>
        <v>#VALUE!</v>
      </c>
      <c r="CI263" s="1020">
        <f t="shared" si="60"/>
        <v>0</v>
      </c>
      <c r="CJ263" s="1020">
        <f t="shared" si="61"/>
        <v>1</v>
      </c>
      <c r="CK263" s="1020"/>
      <c r="CL263" s="1020"/>
      <c r="CM263" s="1020"/>
      <c r="CN263" s="1020"/>
      <c r="CO263" s="1020"/>
    </row>
    <row r="264" spans="1:105" ht="16.350000000000001" customHeight="1" x14ac:dyDescent="0.2">
      <c r="A264" s="2695" t="s">
        <v>3265</v>
      </c>
      <c r="B264" s="5628"/>
      <c r="C264" s="179" t="s">
        <v>418</v>
      </c>
      <c r="D264" s="2442" t="s">
        <v>2777</v>
      </c>
      <c r="E264" s="2443" t="s">
        <v>2778</v>
      </c>
      <c r="F264" s="2433" t="s">
        <v>2779</v>
      </c>
      <c r="G264" s="141" t="s">
        <v>2780</v>
      </c>
      <c r="H264" s="163" t="s">
        <v>2781</v>
      </c>
      <c r="I264" s="141" t="s">
        <v>2782</v>
      </c>
      <c r="J264" s="163" t="s">
        <v>2783</v>
      </c>
      <c r="K264" s="141" t="s">
        <v>2784</v>
      </c>
      <c r="L264" s="163" t="s">
        <v>2785</v>
      </c>
      <c r="M264" s="141" t="s">
        <v>2786</v>
      </c>
      <c r="N264" s="163" t="s">
        <v>2787</v>
      </c>
      <c r="O264" s="141" t="s">
        <v>2788</v>
      </c>
      <c r="P264" s="247" t="s">
        <v>2789</v>
      </c>
      <c r="Q264" s="141" t="s">
        <v>2790</v>
      </c>
      <c r="R264" s="163" t="s">
        <v>2791</v>
      </c>
      <c r="S264" s="180" t="s">
        <v>2792</v>
      </c>
      <c r="T264" s="247" t="s">
        <v>2793</v>
      </c>
      <c r="U264" s="141" t="s">
        <v>2794</v>
      </c>
      <c r="V264" s="163" t="s">
        <v>2795</v>
      </c>
      <c r="W264" s="180" t="s">
        <v>2796</v>
      </c>
      <c r="X264" s="247" t="s">
        <v>2797</v>
      </c>
      <c r="Y264" s="141" t="s">
        <v>2798</v>
      </c>
      <c r="Z264" s="163" t="s">
        <v>2799</v>
      </c>
      <c r="AA264" s="180" t="s">
        <v>2800</v>
      </c>
      <c r="AB264" s="247" t="s">
        <v>2801</v>
      </c>
      <c r="AC264" s="141" t="s">
        <v>2817</v>
      </c>
      <c r="AD264" s="163" t="s">
        <v>2818</v>
      </c>
      <c r="AE264" s="180" t="s">
        <v>2819</v>
      </c>
      <c r="AF264" s="247" t="s">
        <v>2821</v>
      </c>
      <c r="AG264" s="141" t="s">
        <v>2822</v>
      </c>
      <c r="AH264" s="163" t="s">
        <v>2823</v>
      </c>
      <c r="AI264" s="180" t="s">
        <v>2824</v>
      </c>
      <c r="AJ264" s="247" t="s">
        <v>2825</v>
      </c>
      <c r="AK264" s="141" t="s">
        <v>2826</v>
      </c>
      <c r="AL264" s="163" t="s">
        <v>2827</v>
      </c>
      <c r="AM264" s="180" t="s">
        <v>2831</v>
      </c>
      <c r="AN264" s="318" t="s">
        <v>2832</v>
      </c>
      <c r="AO264" s="180" t="s">
        <v>2833</v>
      </c>
      <c r="AP264" s="180" t="s">
        <v>2834</v>
      </c>
      <c r="AQ264" s="198" t="s">
        <v>3011</v>
      </c>
      <c r="AR264" s="141" t="s">
        <v>3012</v>
      </c>
      <c r="AS264" s="198" t="s">
        <v>3013</v>
      </c>
      <c r="AT264" s="164" t="s">
        <v>3014</v>
      </c>
      <c r="AU264" s="164" t="s">
        <v>3015</v>
      </c>
      <c r="AV264" s="198" t="s">
        <v>3206</v>
      </c>
      <c r="AW264" s="2384" t="e">
        <f t="shared" si="62"/>
        <v>#VALUE!</v>
      </c>
      <c r="AX264" s="1058"/>
      <c r="AY264" s="1058"/>
      <c r="AZ264" s="1058"/>
      <c r="BA264" s="1058"/>
      <c r="BB264" s="1058"/>
      <c r="BC264" s="1058"/>
      <c r="BD264" s="1058"/>
      <c r="BE264" s="1058"/>
      <c r="BF264" s="1058"/>
      <c r="BG264" s="1058"/>
      <c r="BH264" s="94"/>
      <c r="BI264" s="94"/>
      <c r="BJ264" s="94"/>
      <c r="CB264" s="889" t="e">
        <f t="shared" si="56"/>
        <v>#VALUE!</v>
      </c>
      <c r="CC264" s="889" t="str">
        <f t="shared" si="57"/>
        <v/>
      </c>
      <c r="CD264" s="890" t="str">
        <f t="shared" si="58"/>
        <v xml:space="preserve">* Trans y/o Pueblo Originario y/o Migrantes y/o Niños, Niñas, Adolescentesy Jóvenes Población SENAME NO DEBEN ser Mayor al Total. </v>
      </c>
      <c r="CH264" s="1020" t="e">
        <f t="shared" si="59"/>
        <v>#VALUE!</v>
      </c>
      <c r="CI264" s="1020">
        <f t="shared" si="60"/>
        <v>0</v>
      </c>
      <c r="CJ264" s="1020">
        <f t="shared" si="61"/>
        <v>1</v>
      </c>
      <c r="CK264" s="1020"/>
      <c r="CL264" s="1020"/>
      <c r="CM264" s="1020"/>
      <c r="CN264" s="1020"/>
      <c r="CO264" s="1020"/>
    </row>
    <row r="265" spans="1:105" ht="16.350000000000001" customHeight="1" x14ac:dyDescent="0.2">
      <c r="A265" s="2695" t="s">
        <v>3266</v>
      </c>
      <c r="B265" s="5628"/>
      <c r="C265" s="179" t="s">
        <v>419</v>
      </c>
      <c r="D265" s="2442" t="s">
        <v>2777</v>
      </c>
      <c r="E265" s="2443" t="s">
        <v>2778</v>
      </c>
      <c r="F265" s="2433" t="s">
        <v>2779</v>
      </c>
      <c r="G265" s="141" t="s">
        <v>2780</v>
      </c>
      <c r="H265" s="163" t="s">
        <v>2781</v>
      </c>
      <c r="I265" s="141" t="s">
        <v>2782</v>
      </c>
      <c r="J265" s="163" t="s">
        <v>2783</v>
      </c>
      <c r="K265" s="141" t="s">
        <v>2784</v>
      </c>
      <c r="L265" s="163" t="s">
        <v>2785</v>
      </c>
      <c r="M265" s="141" t="s">
        <v>2786</v>
      </c>
      <c r="N265" s="163" t="s">
        <v>2787</v>
      </c>
      <c r="O265" s="141" t="s">
        <v>2788</v>
      </c>
      <c r="P265" s="247" t="s">
        <v>2789</v>
      </c>
      <c r="Q265" s="141" t="s">
        <v>2790</v>
      </c>
      <c r="R265" s="163" t="s">
        <v>2791</v>
      </c>
      <c r="S265" s="180" t="s">
        <v>2792</v>
      </c>
      <c r="T265" s="247" t="s">
        <v>2793</v>
      </c>
      <c r="U265" s="141" t="s">
        <v>2794</v>
      </c>
      <c r="V265" s="163" t="s">
        <v>2795</v>
      </c>
      <c r="W265" s="180" t="s">
        <v>2796</v>
      </c>
      <c r="X265" s="247" t="s">
        <v>2797</v>
      </c>
      <c r="Y265" s="141" t="s">
        <v>2798</v>
      </c>
      <c r="Z265" s="163" t="s">
        <v>2799</v>
      </c>
      <c r="AA265" s="180" t="s">
        <v>2800</v>
      </c>
      <c r="AB265" s="247" t="s">
        <v>2801</v>
      </c>
      <c r="AC265" s="141" t="s">
        <v>2817</v>
      </c>
      <c r="AD265" s="163" t="s">
        <v>2818</v>
      </c>
      <c r="AE265" s="180" t="s">
        <v>2819</v>
      </c>
      <c r="AF265" s="247" t="s">
        <v>2821</v>
      </c>
      <c r="AG265" s="141" t="s">
        <v>2822</v>
      </c>
      <c r="AH265" s="163" t="s">
        <v>2823</v>
      </c>
      <c r="AI265" s="180" t="s">
        <v>2824</v>
      </c>
      <c r="AJ265" s="247" t="s">
        <v>2825</v>
      </c>
      <c r="AK265" s="141" t="s">
        <v>2826</v>
      </c>
      <c r="AL265" s="163" t="s">
        <v>2827</v>
      </c>
      <c r="AM265" s="180" t="s">
        <v>2831</v>
      </c>
      <c r="AN265" s="318" t="s">
        <v>2832</v>
      </c>
      <c r="AO265" s="180" t="s">
        <v>2833</v>
      </c>
      <c r="AP265" s="180" t="s">
        <v>2834</v>
      </c>
      <c r="AQ265" s="198" t="s">
        <v>3011</v>
      </c>
      <c r="AR265" s="141" t="s">
        <v>3012</v>
      </c>
      <c r="AS265" s="198" t="s">
        <v>3013</v>
      </c>
      <c r="AT265" s="164" t="s">
        <v>3014</v>
      </c>
      <c r="AU265" s="164" t="s">
        <v>3015</v>
      </c>
      <c r="AV265" s="198" t="s">
        <v>3206</v>
      </c>
      <c r="AW265" s="2384" t="e">
        <f t="shared" si="62"/>
        <v>#VALUE!</v>
      </c>
      <c r="AX265" s="1058"/>
      <c r="AY265" s="1058"/>
      <c r="AZ265" s="1058"/>
      <c r="BA265" s="1058"/>
      <c r="BB265" s="1058"/>
      <c r="BC265" s="1058"/>
      <c r="BD265" s="1058"/>
      <c r="BE265" s="1058"/>
      <c r="BF265" s="1058"/>
      <c r="BG265" s="1058"/>
      <c r="BH265" s="94"/>
      <c r="BI265" s="94"/>
      <c r="BJ265" s="94"/>
      <c r="CB265" s="889" t="e">
        <f t="shared" si="56"/>
        <v>#VALUE!</v>
      </c>
      <c r="CC265" s="889" t="str">
        <f t="shared" si="57"/>
        <v/>
      </c>
      <c r="CD265" s="890" t="str">
        <f t="shared" si="58"/>
        <v xml:space="preserve">* Trans y/o Pueblo Originario y/o Migrantes y/o Niños, Niñas, Adolescentesy Jóvenes Población SENAME NO DEBEN ser Mayor al Total. </v>
      </c>
      <c r="CH265" s="1020" t="e">
        <f t="shared" si="59"/>
        <v>#VALUE!</v>
      </c>
      <c r="CI265" s="1020">
        <f t="shared" si="60"/>
        <v>0</v>
      </c>
      <c r="CJ265" s="1020">
        <f t="shared" si="61"/>
        <v>1</v>
      </c>
      <c r="CK265" s="1020"/>
      <c r="CL265" s="1020"/>
      <c r="CM265" s="1020"/>
      <c r="CN265" s="1020"/>
      <c r="CO265" s="1020"/>
    </row>
    <row r="266" spans="1:105" ht="16.350000000000001" customHeight="1" x14ac:dyDescent="0.2">
      <c r="A266" s="2695" t="s">
        <v>3267</v>
      </c>
      <c r="B266" s="5628"/>
      <c r="C266" s="179" t="s">
        <v>420</v>
      </c>
      <c r="D266" s="2442" t="s">
        <v>2777</v>
      </c>
      <c r="E266" s="2443" t="s">
        <v>2778</v>
      </c>
      <c r="F266" s="2433" t="s">
        <v>2779</v>
      </c>
      <c r="G266" s="141" t="s">
        <v>2780</v>
      </c>
      <c r="H266" s="163" t="s">
        <v>2781</v>
      </c>
      <c r="I266" s="141" t="s">
        <v>2782</v>
      </c>
      <c r="J266" s="163" t="s">
        <v>2783</v>
      </c>
      <c r="K266" s="141" t="s">
        <v>2784</v>
      </c>
      <c r="L266" s="163" t="s">
        <v>2785</v>
      </c>
      <c r="M266" s="141" t="s">
        <v>2786</v>
      </c>
      <c r="N266" s="163" t="s">
        <v>2787</v>
      </c>
      <c r="O266" s="141" t="s">
        <v>2788</v>
      </c>
      <c r="P266" s="247" t="s">
        <v>2789</v>
      </c>
      <c r="Q266" s="141" t="s">
        <v>2790</v>
      </c>
      <c r="R266" s="163" t="s">
        <v>2791</v>
      </c>
      <c r="S266" s="180" t="s">
        <v>2792</v>
      </c>
      <c r="T266" s="247" t="s">
        <v>2793</v>
      </c>
      <c r="U266" s="141" t="s">
        <v>2794</v>
      </c>
      <c r="V266" s="163" t="s">
        <v>2795</v>
      </c>
      <c r="W266" s="180" t="s">
        <v>2796</v>
      </c>
      <c r="X266" s="247" t="s">
        <v>2797</v>
      </c>
      <c r="Y266" s="141" t="s">
        <v>2798</v>
      </c>
      <c r="Z266" s="163" t="s">
        <v>2799</v>
      </c>
      <c r="AA266" s="180" t="s">
        <v>2800</v>
      </c>
      <c r="AB266" s="247" t="s">
        <v>2801</v>
      </c>
      <c r="AC266" s="141" t="s">
        <v>2817</v>
      </c>
      <c r="AD266" s="163" t="s">
        <v>2818</v>
      </c>
      <c r="AE266" s="180" t="s">
        <v>2819</v>
      </c>
      <c r="AF266" s="247" t="s">
        <v>2821</v>
      </c>
      <c r="AG266" s="141" t="s">
        <v>2822</v>
      </c>
      <c r="AH266" s="163" t="s">
        <v>2823</v>
      </c>
      <c r="AI266" s="180" t="s">
        <v>2824</v>
      </c>
      <c r="AJ266" s="247" t="s">
        <v>2825</v>
      </c>
      <c r="AK266" s="141" t="s">
        <v>2826</v>
      </c>
      <c r="AL266" s="163" t="s">
        <v>2827</v>
      </c>
      <c r="AM266" s="180" t="s">
        <v>2831</v>
      </c>
      <c r="AN266" s="318" t="s">
        <v>2832</v>
      </c>
      <c r="AO266" s="180" t="s">
        <v>2833</v>
      </c>
      <c r="AP266" s="180" t="s">
        <v>2834</v>
      </c>
      <c r="AQ266" s="198" t="s">
        <v>3011</v>
      </c>
      <c r="AR266" s="141" t="s">
        <v>3012</v>
      </c>
      <c r="AS266" s="198" t="s">
        <v>3013</v>
      </c>
      <c r="AT266" s="164" t="s">
        <v>3014</v>
      </c>
      <c r="AU266" s="164" t="s">
        <v>3015</v>
      </c>
      <c r="AV266" s="198" t="s">
        <v>3206</v>
      </c>
      <c r="AW266" s="2384" t="e">
        <f t="shared" si="62"/>
        <v>#VALUE!</v>
      </c>
      <c r="AX266" s="1058"/>
      <c r="AY266" s="1058"/>
      <c r="AZ266" s="1058"/>
      <c r="BA266" s="1058"/>
      <c r="BB266" s="1058"/>
      <c r="BC266" s="1058"/>
      <c r="BD266" s="1058"/>
      <c r="BE266" s="1058"/>
      <c r="BF266" s="1058"/>
      <c r="BG266" s="1058"/>
      <c r="BH266" s="94"/>
      <c r="BI266" s="94"/>
      <c r="BJ266" s="94"/>
      <c r="CB266" s="889" t="e">
        <f t="shared" si="56"/>
        <v>#VALUE!</v>
      </c>
      <c r="CC266" s="889" t="str">
        <f t="shared" si="57"/>
        <v/>
      </c>
      <c r="CD266" s="890" t="str">
        <f t="shared" si="58"/>
        <v xml:space="preserve">* Trans y/o Pueblo Originario y/o Migrantes y/o Niños, Niñas, Adolescentesy Jóvenes Población SENAME NO DEBEN ser Mayor al Total. </v>
      </c>
      <c r="CH266" s="1020" t="e">
        <f t="shared" si="59"/>
        <v>#VALUE!</v>
      </c>
      <c r="CI266" s="1020">
        <f t="shared" si="60"/>
        <v>0</v>
      </c>
      <c r="CJ266" s="1020">
        <f t="shared" si="61"/>
        <v>1</v>
      </c>
      <c r="CK266" s="1020"/>
      <c r="CL266" s="1020"/>
      <c r="CM266" s="1020"/>
      <c r="CN266" s="1020"/>
      <c r="CO266" s="1020"/>
    </row>
    <row r="267" spans="1:105" ht="15.75" customHeight="1" x14ac:dyDescent="0.2">
      <c r="A267" s="2695" t="s">
        <v>3268</v>
      </c>
      <c r="B267" s="5628"/>
      <c r="C267" s="179" t="s">
        <v>421</v>
      </c>
      <c r="D267" s="2442" t="s">
        <v>2777</v>
      </c>
      <c r="E267" s="2443" t="s">
        <v>2778</v>
      </c>
      <c r="F267" s="2433" t="s">
        <v>2779</v>
      </c>
      <c r="G267" s="141" t="s">
        <v>2780</v>
      </c>
      <c r="H267" s="163" t="s">
        <v>2781</v>
      </c>
      <c r="I267" s="141" t="s">
        <v>2782</v>
      </c>
      <c r="J267" s="163" t="s">
        <v>2783</v>
      </c>
      <c r="K267" s="141" t="s">
        <v>2784</v>
      </c>
      <c r="L267" s="163" t="s">
        <v>2785</v>
      </c>
      <c r="M267" s="141" t="s">
        <v>2786</v>
      </c>
      <c r="N267" s="163" t="s">
        <v>2787</v>
      </c>
      <c r="O267" s="141" t="s">
        <v>2788</v>
      </c>
      <c r="P267" s="247" t="s">
        <v>2789</v>
      </c>
      <c r="Q267" s="141" t="s">
        <v>2790</v>
      </c>
      <c r="R267" s="163" t="s">
        <v>2791</v>
      </c>
      <c r="S267" s="180" t="s">
        <v>2792</v>
      </c>
      <c r="T267" s="247" t="s">
        <v>2793</v>
      </c>
      <c r="U267" s="141" t="s">
        <v>2794</v>
      </c>
      <c r="V267" s="163" t="s">
        <v>2795</v>
      </c>
      <c r="W267" s="180" t="s">
        <v>2796</v>
      </c>
      <c r="X267" s="247" t="s">
        <v>2797</v>
      </c>
      <c r="Y267" s="141" t="s">
        <v>2798</v>
      </c>
      <c r="Z267" s="163" t="s">
        <v>2799</v>
      </c>
      <c r="AA267" s="180" t="s">
        <v>2800</v>
      </c>
      <c r="AB267" s="247" t="s">
        <v>2801</v>
      </c>
      <c r="AC267" s="141" t="s">
        <v>2817</v>
      </c>
      <c r="AD267" s="163" t="s">
        <v>2818</v>
      </c>
      <c r="AE267" s="180" t="s">
        <v>2819</v>
      </c>
      <c r="AF267" s="247" t="s">
        <v>2821</v>
      </c>
      <c r="AG267" s="141" t="s">
        <v>2822</v>
      </c>
      <c r="AH267" s="163" t="s">
        <v>2823</v>
      </c>
      <c r="AI267" s="180" t="s">
        <v>2824</v>
      </c>
      <c r="AJ267" s="247" t="s">
        <v>2825</v>
      </c>
      <c r="AK267" s="141" t="s">
        <v>2826</v>
      </c>
      <c r="AL267" s="163" t="s">
        <v>2827</v>
      </c>
      <c r="AM267" s="180" t="s">
        <v>2831</v>
      </c>
      <c r="AN267" s="318" t="s">
        <v>2832</v>
      </c>
      <c r="AO267" s="180" t="s">
        <v>2833</v>
      </c>
      <c r="AP267" s="180" t="s">
        <v>2834</v>
      </c>
      <c r="AQ267" s="198" t="s">
        <v>3011</v>
      </c>
      <c r="AR267" s="141" t="s">
        <v>3012</v>
      </c>
      <c r="AS267" s="198" t="s">
        <v>3013</v>
      </c>
      <c r="AT267" s="164" t="s">
        <v>3014</v>
      </c>
      <c r="AU267" s="164" t="s">
        <v>3015</v>
      </c>
      <c r="AV267" s="198" t="s">
        <v>3206</v>
      </c>
      <c r="AW267" s="2384" t="e">
        <f t="shared" si="62"/>
        <v>#VALUE!</v>
      </c>
      <c r="AX267" s="128"/>
      <c r="AY267" s="94"/>
      <c r="AZ267" s="94"/>
      <c r="BA267" s="94"/>
      <c r="BB267" s="94"/>
      <c r="BC267" s="94"/>
      <c r="BD267" s="94"/>
      <c r="BE267" s="94"/>
      <c r="BF267" s="94"/>
      <c r="BG267" s="94"/>
      <c r="BH267" s="94"/>
      <c r="BI267" s="94"/>
      <c r="BJ267" s="94"/>
      <c r="BK267" s="94"/>
      <c r="BL267" s="94"/>
      <c r="BM267" s="94"/>
      <c r="BN267" s="94"/>
      <c r="CA267" s="80"/>
      <c r="CB267" s="889" t="e">
        <f t="shared" si="56"/>
        <v>#VALUE!</v>
      </c>
      <c r="CC267" s="889" t="str">
        <f t="shared" si="57"/>
        <v/>
      </c>
      <c r="CD267" s="890" t="str">
        <f t="shared" si="58"/>
        <v xml:space="preserve">* Trans y/o Pueblo Originario y/o Migrantes y/o Niños, Niñas, Adolescentesy Jóvenes Población SENAME NO DEBEN ser Mayor al Total. </v>
      </c>
      <c r="CH267" s="1020" t="e">
        <f t="shared" si="59"/>
        <v>#VALUE!</v>
      </c>
      <c r="CI267" s="1020">
        <f t="shared" si="60"/>
        <v>0</v>
      </c>
      <c r="CJ267" s="1020">
        <f t="shared" si="61"/>
        <v>1</v>
      </c>
      <c r="CK267" s="1020"/>
      <c r="CL267" s="1020"/>
      <c r="CM267" s="1020"/>
      <c r="CN267" s="1020"/>
      <c r="CO267" s="1020"/>
    </row>
    <row r="268" spans="1:105" ht="16.350000000000001" customHeight="1" x14ac:dyDescent="0.2">
      <c r="A268" s="2695" t="s">
        <v>3269</v>
      </c>
      <c r="B268" s="5628"/>
      <c r="C268" s="179" t="s">
        <v>422</v>
      </c>
      <c r="D268" s="2442" t="s">
        <v>2777</v>
      </c>
      <c r="E268" s="2443" t="s">
        <v>2778</v>
      </c>
      <c r="F268" s="2433" t="s">
        <v>2779</v>
      </c>
      <c r="G268" s="141" t="s">
        <v>2780</v>
      </c>
      <c r="H268" s="163" t="s">
        <v>2781</v>
      </c>
      <c r="I268" s="141" t="s">
        <v>2782</v>
      </c>
      <c r="J268" s="163" t="s">
        <v>2783</v>
      </c>
      <c r="K268" s="141" t="s">
        <v>2784</v>
      </c>
      <c r="L268" s="163" t="s">
        <v>2785</v>
      </c>
      <c r="M268" s="141" t="s">
        <v>2786</v>
      </c>
      <c r="N268" s="163" t="s">
        <v>2787</v>
      </c>
      <c r="O268" s="141" t="s">
        <v>2788</v>
      </c>
      <c r="P268" s="247" t="s">
        <v>2789</v>
      </c>
      <c r="Q268" s="141" t="s">
        <v>2790</v>
      </c>
      <c r="R268" s="163" t="s">
        <v>2791</v>
      </c>
      <c r="S268" s="180" t="s">
        <v>2792</v>
      </c>
      <c r="T268" s="247" t="s">
        <v>2793</v>
      </c>
      <c r="U268" s="141" t="s">
        <v>2794</v>
      </c>
      <c r="V268" s="163" t="s">
        <v>2795</v>
      </c>
      <c r="W268" s="180" t="s">
        <v>2796</v>
      </c>
      <c r="X268" s="247" t="s">
        <v>2797</v>
      </c>
      <c r="Y268" s="141" t="s">
        <v>2798</v>
      </c>
      <c r="Z268" s="163" t="s">
        <v>2799</v>
      </c>
      <c r="AA268" s="180" t="s">
        <v>2800</v>
      </c>
      <c r="AB268" s="247" t="s">
        <v>2801</v>
      </c>
      <c r="AC268" s="141" t="s">
        <v>2817</v>
      </c>
      <c r="AD268" s="163" t="s">
        <v>2818</v>
      </c>
      <c r="AE268" s="180" t="s">
        <v>2819</v>
      </c>
      <c r="AF268" s="247" t="s">
        <v>2821</v>
      </c>
      <c r="AG268" s="141" t="s">
        <v>2822</v>
      </c>
      <c r="AH268" s="163" t="s">
        <v>2823</v>
      </c>
      <c r="AI268" s="180" t="s">
        <v>2824</v>
      </c>
      <c r="AJ268" s="247" t="s">
        <v>2825</v>
      </c>
      <c r="AK268" s="141" t="s">
        <v>2826</v>
      </c>
      <c r="AL268" s="163" t="s">
        <v>2827</v>
      </c>
      <c r="AM268" s="180" t="s">
        <v>2831</v>
      </c>
      <c r="AN268" s="318" t="s">
        <v>2832</v>
      </c>
      <c r="AO268" s="180" t="s">
        <v>2833</v>
      </c>
      <c r="AP268" s="180" t="s">
        <v>2834</v>
      </c>
      <c r="AQ268" s="198" t="s">
        <v>3011</v>
      </c>
      <c r="AR268" s="141" t="s">
        <v>3012</v>
      </c>
      <c r="AS268" s="198" t="s">
        <v>3013</v>
      </c>
      <c r="AT268" s="164" t="s">
        <v>3014</v>
      </c>
      <c r="AU268" s="164" t="s">
        <v>3015</v>
      </c>
      <c r="AV268" s="198" t="s">
        <v>3206</v>
      </c>
      <c r="AW268" s="2384" t="e">
        <f t="shared" si="62"/>
        <v>#VALUE!</v>
      </c>
      <c r="AY268" s="94"/>
      <c r="AZ268" s="94"/>
      <c r="BA268" s="94"/>
      <c r="BB268" s="94"/>
      <c r="BC268" s="94"/>
      <c r="BD268" s="94"/>
      <c r="BE268" s="94"/>
      <c r="BF268" s="94"/>
      <c r="BG268" s="94"/>
      <c r="BH268" s="94"/>
      <c r="BI268" s="94"/>
      <c r="BJ268" s="94"/>
      <c r="BK268" s="94"/>
      <c r="BL268" s="94"/>
      <c r="BM268" s="94"/>
      <c r="BZ268" s="79"/>
      <c r="CA268" s="889"/>
      <c r="CB268" s="889" t="e">
        <f t="shared" si="56"/>
        <v>#VALUE!</v>
      </c>
      <c r="CC268" s="889" t="str">
        <f t="shared" si="57"/>
        <v/>
      </c>
      <c r="CD268" s="890" t="str">
        <f t="shared" si="58"/>
        <v xml:space="preserve">* Trans y/o Pueblo Originario y/o Migrantes y/o Niños, Niñas, Adolescentesy Jóvenes Población SENAME NO DEBEN ser Mayor al Total. </v>
      </c>
      <c r="CG268" s="1020"/>
      <c r="CH268" s="1020" t="e">
        <f t="shared" si="59"/>
        <v>#VALUE!</v>
      </c>
      <c r="CI268" s="1020">
        <f t="shared" si="60"/>
        <v>0</v>
      </c>
      <c r="CJ268" s="1020">
        <f t="shared" si="61"/>
        <v>1</v>
      </c>
      <c r="CK268" s="1020"/>
      <c r="CL268" s="1020"/>
      <c r="CM268" s="1020"/>
      <c r="CN268" s="1020"/>
      <c r="DA268" s="79"/>
    </row>
    <row r="269" spans="1:105" ht="16.350000000000001" customHeight="1" x14ac:dyDescent="0.2">
      <c r="A269" s="2695" t="s">
        <v>3270</v>
      </c>
      <c r="B269" s="5629"/>
      <c r="C269" s="283" t="s">
        <v>423</v>
      </c>
      <c r="D269" s="2444" t="s">
        <v>2777</v>
      </c>
      <c r="E269" s="2445" t="s">
        <v>2778</v>
      </c>
      <c r="F269" s="384" t="s">
        <v>2779</v>
      </c>
      <c r="G269" s="166" t="s">
        <v>2780</v>
      </c>
      <c r="H269" s="125" t="s">
        <v>2781</v>
      </c>
      <c r="I269" s="166" t="s">
        <v>2782</v>
      </c>
      <c r="J269" s="125" t="s">
        <v>2783</v>
      </c>
      <c r="K269" s="166" t="s">
        <v>2784</v>
      </c>
      <c r="L269" s="125" t="s">
        <v>2785</v>
      </c>
      <c r="M269" s="166" t="s">
        <v>2786</v>
      </c>
      <c r="N269" s="125" t="s">
        <v>2787</v>
      </c>
      <c r="O269" s="166" t="s">
        <v>2788</v>
      </c>
      <c r="P269" s="270" t="s">
        <v>2789</v>
      </c>
      <c r="Q269" s="166" t="s">
        <v>2790</v>
      </c>
      <c r="R269" s="125" t="s">
        <v>2791</v>
      </c>
      <c r="S269" s="126" t="s">
        <v>2792</v>
      </c>
      <c r="T269" s="270" t="s">
        <v>2793</v>
      </c>
      <c r="U269" s="166" t="s">
        <v>2794</v>
      </c>
      <c r="V269" s="125" t="s">
        <v>2795</v>
      </c>
      <c r="W269" s="126" t="s">
        <v>2796</v>
      </c>
      <c r="X269" s="270" t="s">
        <v>2797</v>
      </c>
      <c r="Y269" s="166" t="s">
        <v>2798</v>
      </c>
      <c r="Z269" s="125" t="s">
        <v>2799</v>
      </c>
      <c r="AA269" s="126" t="s">
        <v>2800</v>
      </c>
      <c r="AB269" s="270" t="s">
        <v>2801</v>
      </c>
      <c r="AC269" s="166" t="s">
        <v>2817</v>
      </c>
      <c r="AD269" s="125" t="s">
        <v>2818</v>
      </c>
      <c r="AE269" s="126" t="s">
        <v>2819</v>
      </c>
      <c r="AF269" s="270" t="s">
        <v>2821</v>
      </c>
      <c r="AG269" s="166" t="s">
        <v>2822</v>
      </c>
      <c r="AH269" s="125" t="s">
        <v>2823</v>
      </c>
      <c r="AI269" s="126" t="s">
        <v>2824</v>
      </c>
      <c r="AJ269" s="270" t="s">
        <v>2825</v>
      </c>
      <c r="AK269" s="166" t="s">
        <v>2826</v>
      </c>
      <c r="AL269" s="125" t="s">
        <v>2827</v>
      </c>
      <c r="AM269" s="126" t="s">
        <v>2831</v>
      </c>
      <c r="AN269" s="319" t="s">
        <v>2832</v>
      </c>
      <c r="AO269" s="126" t="s">
        <v>2833</v>
      </c>
      <c r="AP269" s="126" t="s">
        <v>2834</v>
      </c>
      <c r="AQ269" s="168" t="s">
        <v>3011</v>
      </c>
      <c r="AR269" s="166" t="s">
        <v>3012</v>
      </c>
      <c r="AS269" s="168" t="s">
        <v>3013</v>
      </c>
      <c r="AT269" s="105" t="s">
        <v>3014</v>
      </c>
      <c r="AU269" s="168" t="s">
        <v>3015</v>
      </c>
      <c r="AV269" s="168" t="s">
        <v>3206</v>
      </c>
      <c r="AW269" s="2384" t="e">
        <f t="shared" si="62"/>
        <v>#VALUE!</v>
      </c>
      <c r="AX269" s="1262"/>
      <c r="AY269" s="1261"/>
      <c r="AZ269" s="898"/>
      <c r="BA269" s="898"/>
      <c r="BB269" s="94"/>
      <c r="BC269" s="94"/>
      <c r="BD269" s="94"/>
      <c r="BE269" s="94"/>
      <c r="BF269" s="94"/>
      <c r="BG269" s="94"/>
      <c r="BH269" s="94"/>
      <c r="BI269" s="94"/>
      <c r="BJ269" s="94"/>
      <c r="BK269" s="94"/>
      <c r="BL269" s="94"/>
      <c r="BM269" s="94"/>
      <c r="CA269" s="889"/>
      <c r="CB269" s="889" t="e">
        <f t="shared" si="56"/>
        <v>#VALUE!</v>
      </c>
      <c r="CC269" s="889" t="str">
        <f t="shared" si="57"/>
        <v/>
      </c>
      <c r="CD269" s="890" t="str">
        <f t="shared" si="58"/>
        <v xml:space="preserve">* Trans y/o Pueblo Originario y/o Migrantes y/o Niños, Niñas, Adolescentesy Jóvenes Población SENAME NO DEBEN ser Mayor al Total. </v>
      </c>
      <c r="CG269" s="1020"/>
      <c r="CH269" s="1020" t="e">
        <f t="shared" si="59"/>
        <v>#VALUE!</v>
      </c>
      <c r="CI269" s="1020">
        <f t="shared" si="60"/>
        <v>0</v>
      </c>
      <c r="CJ269" s="1020">
        <f t="shared" si="61"/>
        <v>1</v>
      </c>
      <c r="CK269" s="1020"/>
      <c r="CL269" s="1020"/>
      <c r="CM269" s="1020"/>
      <c r="CN269" s="1020"/>
      <c r="DA269" s="79"/>
    </row>
    <row r="270" spans="1:105" ht="21" customHeight="1" x14ac:dyDescent="0.2">
      <c r="B270" s="177" t="s">
        <v>1467</v>
      </c>
      <c r="C270" s="139"/>
      <c r="AX270" s="313"/>
      <c r="AY270" s="1261"/>
      <c r="AZ270" s="898"/>
      <c r="BA270" s="898"/>
      <c r="BB270" s="94"/>
      <c r="BC270" s="94"/>
      <c r="BD270" s="94"/>
      <c r="BE270" s="94"/>
      <c r="BF270" s="94"/>
      <c r="BG270" s="94"/>
      <c r="BH270" s="94"/>
      <c r="BI270" s="94"/>
      <c r="BJ270" s="94"/>
      <c r="BK270" s="94"/>
      <c r="BL270" s="94"/>
      <c r="BM270" s="94"/>
      <c r="CA270" s="889"/>
      <c r="CG270" s="1020"/>
      <c r="CH270" s="1020"/>
      <c r="CI270" s="1020"/>
      <c r="CJ270" s="1020"/>
      <c r="CK270" s="1020"/>
      <c r="CL270" s="1020"/>
      <c r="CM270" s="1020"/>
      <c r="CN270" s="1020"/>
      <c r="DA270" s="79"/>
    </row>
    <row r="271" spans="1:105" ht="16.350000000000001" customHeight="1" x14ac:dyDescent="0.2">
      <c r="B271" s="5118" t="s">
        <v>120</v>
      </c>
      <c r="C271" s="5120"/>
      <c r="D271" s="5545" t="s">
        <v>149</v>
      </c>
      <c r="E271" s="5630"/>
      <c r="F271" s="5546"/>
      <c r="G271" s="5105" t="s">
        <v>425</v>
      </c>
      <c r="H271" s="5137"/>
      <c r="I271" s="5137"/>
      <c r="J271" s="5137"/>
      <c r="K271" s="5137"/>
      <c r="L271" s="5137"/>
      <c r="M271" s="5137"/>
      <c r="N271" s="5137"/>
      <c r="O271" s="5137"/>
      <c r="P271" s="5137"/>
      <c r="Q271" s="5137"/>
      <c r="R271" s="5137"/>
      <c r="S271" s="5137"/>
      <c r="T271" s="5137"/>
      <c r="U271" s="5137"/>
      <c r="V271" s="5137"/>
      <c r="W271" s="5137"/>
      <c r="X271" s="5137"/>
      <c r="Y271" s="5137"/>
      <c r="Z271" s="5137"/>
      <c r="AA271" s="5137"/>
      <c r="AB271" s="5137"/>
      <c r="AC271" s="5137"/>
      <c r="AD271" s="5137"/>
      <c r="AE271" s="5137"/>
      <c r="AF271" s="5137"/>
      <c r="AG271" s="5137"/>
      <c r="AH271" s="5137"/>
      <c r="AI271" s="5137"/>
      <c r="AJ271" s="5137"/>
      <c r="AK271" s="5137"/>
      <c r="AL271" s="5137"/>
      <c r="AM271" s="5137"/>
      <c r="AN271" s="5137"/>
      <c r="AO271" s="5137"/>
      <c r="AP271" s="5137"/>
      <c r="AQ271" s="5137"/>
      <c r="AR271" s="5137"/>
      <c r="AS271" s="5137"/>
      <c r="AT271" s="5106"/>
      <c r="AU271" s="5517" t="s">
        <v>411</v>
      </c>
      <c r="AV271" s="5518"/>
      <c r="AW271" s="5516" t="s">
        <v>1359</v>
      </c>
      <c r="AX271" s="5120" t="s">
        <v>1358</v>
      </c>
      <c r="AY271" s="5120" t="s">
        <v>1484</v>
      </c>
      <c r="AZ271" s="1058"/>
      <c r="BA271" s="1058"/>
      <c r="BB271" s="1058"/>
      <c r="BC271" s="1058"/>
      <c r="BD271" s="1058"/>
      <c r="BE271" s="1058"/>
      <c r="BF271" s="1058"/>
      <c r="BG271" s="1058"/>
      <c r="BH271" s="1058"/>
      <c r="BI271" s="1058"/>
      <c r="BJ271" s="1058"/>
      <c r="BK271" s="94"/>
      <c r="BL271" s="94"/>
      <c r="BM271" s="94"/>
      <c r="CM271" s="1020"/>
      <c r="CN271" s="1020"/>
      <c r="DA271" s="79"/>
    </row>
    <row r="272" spans="1:105" ht="16.350000000000001" customHeight="1" x14ac:dyDescent="0.2">
      <c r="B272" s="5121"/>
      <c r="C272" s="5123"/>
      <c r="D272" s="5549"/>
      <c r="E272" s="5631"/>
      <c r="F272" s="5550"/>
      <c r="G272" s="5107" t="s">
        <v>426</v>
      </c>
      <c r="H272" s="5117"/>
      <c r="I272" s="5107" t="s">
        <v>1382</v>
      </c>
      <c r="J272" s="5117"/>
      <c r="K272" s="5107" t="s">
        <v>1355</v>
      </c>
      <c r="L272" s="5117"/>
      <c r="M272" s="5107" t="s">
        <v>620</v>
      </c>
      <c r="N272" s="5117"/>
      <c r="O272" s="5107" t="s">
        <v>275</v>
      </c>
      <c r="P272" s="5117"/>
      <c r="Q272" s="5107" t="s">
        <v>352</v>
      </c>
      <c r="R272" s="5117"/>
      <c r="S272" s="5107" t="s">
        <v>319</v>
      </c>
      <c r="T272" s="5117"/>
      <c r="U272" s="5107" t="s">
        <v>10</v>
      </c>
      <c r="V272" s="5117"/>
      <c r="W272" s="5107" t="s">
        <v>151</v>
      </c>
      <c r="X272" s="5108"/>
      <c r="Y272" s="5107" t="s">
        <v>152</v>
      </c>
      <c r="Z272" s="5108"/>
      <c r="AA272" s="5107" t="s">
        <v>153</v>
      </c>
      <c r="AB272" s="5108"/>
      <c r="AC272" s="5107" t="s">
        <v>154</v>
      </c>
      <c r="AD272" s="5108"/>
      <c r="AE272" s="5107" t="s">
        <v>155</v>
      </c>
      <c r="AF272" s="5108"/>
      <c r="AG272" s="5107" t="s">
        <v>156</v>
      </c>
      <c r="AH272" s="5108"/>
      <c r="AI272" s="5107" t="s">
        <v>157</v>
      </c>
      <c r="AJ272" s="5108"/>
      <c r="AK272" s="5107" t="s">
        <v>158</v>
      </c>
      <c r="AL272" s="5108"/>
      <c r="AM272" s="5107" t="s">
        <v>159</v>
      </c>
      <c r="AN272" s="5108"/>
      <c r="AO272" s="5107" t="s">
        <v>160</v>
      </c>
      <c r="AP272" s="5108"/>
      <c r="AQ272" s="5107" t="s">
        <v>161</v>
      </c>
      <c r="AR272" s="5108"/>
      <c r="AS272" s="5107" t="s">
        <v>162</v>
      </c>
      <c r="AT272" s="5108"/>
      <c r="AU272" s="5448" t="s">
        <v>1350</v>
      </c>
      <c r="AV272" s="5416" t="s">
        <v>1351</v>
      </c>
      <c r="AW272" s="5113"/>
      <c r="AX272" s="5123"/>
      <c r="AY272" s="5123"/>
      <c r="AZ272" s="1058"/>
      <c r="BA272" s="1058"/>
      <c r="BB272" s="1058"/>
      <c r="BC272" s="1058"/>
      <c r="BD272" s="1058"/>
      <c r="BE272" s="1058"/>
      <c r="BF272" s="1058"/>
      <c r="BG272" s="1058"/>
      <c r="BH272" s="1058"/>
      <c r="BI272" s="1058"/>
      <c r="BJ272" s="1058"/>
      <c r="BK272" s="94"/>
      <c r="BL272" s="94"/>
      <c r="BM272" s="94"/>
      <c r="CM272" s="1020"/>
      <c r="CN272" s="1020"/>
      <c r="DA272" s="79"/>
    </row>
    <row r="273" spans="1:105" ht="32.25" customHeight="1" x14ac:dyDescent="0.2">
      <c r="B273" s="5125"/>
      <c r="C273" s="5126"/>
      <c r="D273" s="253" t="s">
        <v>184</v>
      </c>
      <c r="E273" s="1239" t="s">
        <v>24</v>
      </c>
      <c r="F273" s="1028" t="s">
        <v>25</v>
      </c>
      <c r="G273" s="253" t="s">
        <v>413</v>
      </c>
      <c r="H273" s="191" t="s">
        <v>25</v>
      </c>
      <c r="I273" s="253" t="s">
        <v>413</v>
      </c>
      <c r="J273" s="191" t="s">
        <v>25</v>
      </c>
      <c r="K273" s="253" t="s">
        <v>413</v>
      </c>
      <c r="L273" s="191" t="s">
        <v>25</v>
      </c>
      <c r="M273" s="253" t="s">
        <v>413</v>
      </c>
      <c r="N273" s="191" t="s">
        <v>25</v>
      </c>
      <c r="O273" s="253" t="s">
        <v>413</v>
      </c>
      <c r="P273" s="191" t="s">
        <v>25</v>
      </c>
      <c r="Q273" s="253" t="s">
        <v>413</v>
      </c>
      <c r="R273" s="191" t="s">
        <v>25</v>
      </c>
      <c r="S273" s="253" t="s">
        <v>413</v>
      </c>
      <c r="T273" s="191" t="s">
        <v>25</v>
      </c>
      <c r="U273" s="253" t="s">
        <v>413</v>
      </c>
      <c r="V273" s="191" t="s">
        <v>25</v>
      </c>
      <c r="W273" s="253" t="s">
        <v>413</v>
      </c>
      <c r="X273" s="191" t="s">
        <v>25</v>
      </c>
      <c r="Y273" s="253" t="s">
        <v>413</v>
      </c>
      <c r="Z273" s="191" t="s">
        <v>25</v>
      </c>
      <c r="AA273" s="253" t="s">
        <v>413</v>
      </c>
      <c r="AB273" s="191" t="s">
        <v>25</v>
      </c>
      <c r="AC273" s="253" t="s">
        <v>413</v>
      </c>
      <c r="AD273" s="191" t="s">
        <v>25</v>
      </c>
      <c r="AE273" s="253" t="s">
        <v>413</v>
      </c>
      <c r="AF273" s="191" t="s">
        <v>25</v>
      </c>
      <c r="AG273" s="253" t="s">
        <v>413</v>
      </c>
      <c r="AH273" s="191" t="s">
        <v>25</v>
      </c>
      <c r="AI273" s="253" t="s">
        <v>413</v>
      </c>
      <c r="AJ273" s="191" t="s">
        <v>25</v>
      </c>
      <c r="AK273" s="253" t="s">
        <v>413</v>
      </c>
      <c r="AL273" s="191" t="s">
        <v>25</v>
      </c>
      <c r="AM273" s="253" t="s">
        <v>413</v>
      </c>
      <c r="AN273" s="191" t="s">
        <v>25</v>
      </c>
      <c r="AO273" s="253" t="s">
        <v>413</v>
      </c>
      <c r="AP273" s="191" t="s">
        <v>25</v>
      </c>
      <c r="AQ273" s="253" t="s">
        <v>413</v>
      </c>
      <c r="AR273" s="191" t="s">
        <v>25</v>
      </c>
      <c r="AS273" s="253" t="s">
        <v>413</v>
      </c>
      <c r="AT273" s="191" t="s">
        <v>25</v>
      </c>
      <c r="AU273" s="5519"/>
      <c r="AV273" s="5520"/>
      <c r="AW273" s="5114"/>
      <c r="AX273" s="5126"/>
      <c r="AY273" s="5126"/>
      <c r="AZ273" s="1058"/>
      <c r="BA273" s="1058"/>
      <c r="BB273" s="1058"/>
      <c r="BC273" s="1058"/>
      <c r="BD273" s="1058"/>
      <c r="BE273" s="1058"/>
      <c r="BF273" s="1058"/>
      <c r="BG273" s="1058"/>
      <c r="BH273" s="1058"/>
      <c r="BI273" s="1058"/>
      <c r="BJ273" s="1058"/>
      <c r="BK273" s="94"/>
      <c r="BL273" s="1068"/>
      <c r="BM273" s="94"/>
      <c r="CM273" s="1020"/>
      <c r="CN273" s="1020"/>
      <c r="DA273" s="79"/>
    </row>
    <row r="274" spans="1:105" ht="16.350000000000001" customHeight="1" x14ac:dyDescent="0.2">
      <c r="A274" s="2449" t="s">
        <v>3271</v>
      </c>
      <c r="B274" s="5615" t="s">
        <v>354</v>
      </c>
      <c r="C274" s="2729" t="s">
        <v>415</v>
      </c>
      <c r="D274" s="2584" t="s">
        <v>2777</v>
      </c>
      <c r="E274" s="2836" t="s">
        <v>2778</v>
      </c>
      <c r="F274" s="2564" t="s">
        <v>2779</v>
      </c>
      <c r="G274" s="2837" t="s">
        <v>2780</v>
      </c>
      <c r="H274" s="2837" t="s">
        <v>2781</v>
      </c>
      <c r="I274" s="2838" t="s">
        <v>2782</v>
      </c>
      <c r="J274" s="2837" t="s">
        <v>2783</v>
      </c>
      <c r="K274" s="2838" t="s">
        <v>2784</v>
      </c>
      <c r="L274" s="2839" t="s">
        <v>2785</v>
      </c>
      <c r="M274" s="2838" t="s">
        <v>2786</v>
      </c>
      <c r="N274" s="2840" t="s">
        <v>2787</v>
      </c>
      <c r="O274" s="2838" t="s">
        <v>2788</v>
      </c>
      <c r="P274" s="2839" t="s">
        <v>2789</v>
      </c>
      <c r="Q274" s="2838" t="s">
        <v>2790</v>
      </c>
      <c r="R274" s="2487" t="s">
        <v>2791</v>
      </c>
      <c r="S274" s="2838" t="s">
        <v>2792</v>
      </c>
      <c r="T274" s="2487" t="s">
        <v>2793</v>
      </c>
      <c r="U274" s="2838" t="s">
        <v>2794</v>
      </c>
      <c r="V274" s="2487" t="s">
        <v>2795</v>
      </c>
      <c r="W274" s="2838" t="s">
        <v>2796</v>
      </c>
      <c r="X274" s="2487" t="s">
        <v>2797</v>
      </c>
      <c r="Y274" s="2838" t="s">
        <v>2798</v>
      </c>
      <c r="Z274" s="2487" t="s">
        <v>2799</v>
      </c>
      <c r="AA274" s="2838" t="s">
        <v>2800</v>
      </c>
      <c r="AB274" s="2487" t="s">
        <v>2801</v>
      </c>
      <c r="AC274" s="2838" t="s">
        <v>2817</v>
      </c>
      <c r="AD274" s="2487" t="s">
        <v>2818</v>
      </c>
      <c r="AE274" s="2838" t="s">
        <v>2819</v>
      </c>
      <c r="AF274" s="2487" t="s">
        <v>2821</v>
      </c>
      <c r="AG274" s="2838" t="s">
        <v>2822</v>
      </c>
      <c r="AH274" s="2487" t="s">
        <v>2823</v>
      </c>
      <c r="AI274" s="2838" t="s">
        <v>2824</v>
      </c>
      <c r="AJ274" s="2837" t="s">
        <v>2825</v>
      </c>
      <c r="AK274" s="2838" t="s">
        <v>2826</v>
      </c>
      <c r="AL274" s="2837" t="s">
        <v>2827</v>
      </c>
      <c r="AM274" s="2838" t="s">
        <v>2831</v>
      </c>
      <c r="AN274" s="2837" t="s">
        <v>2832</v>
      </c>
      <c r="AO274" s="2838" t="s">
        <v>2833</v>
      </c>
      <c r="AP274" s="2837" t="s">
        <v>2834</v>
      </c>
      <c r="AQ274" s="2838" t="s">
        <v>3011</v>
      </c>
      <c r="AR274" s="2837" t="s">
        <v>3012</v>
      </c>
      <c r="AS274" s="2838" t="s">
        <v>3013</v>
      </c>
      <c r="AT274" s="2839" t="s">
        <v>3014</v>
      </c>
      <c r="AU274" s="2483" t="s">
        <v>3015</v>
      </c>
      <c r="AV274" s="2499" t="s">
        <v>3206</v>
      </c>
      <c r="AW274" s="2455" t="s">
        <v>3207</v>
      </c>
      <c r="AX274" s="2499" t="s">
        <v>3272</v>
      </c>
      <c r="AY274" s="2455" t="s">
        <v>3273</v>
      </c>
      <c r="AZ274" s="1171"/>
      <c r="BA274" s="1058"/>
      <c r="BB274" s="1058"/>
      <c r="BC274" s="1058"/>
      <c r="BD274" s="1058"/>
      <c r="BE274" s="1058"/>
      <c r="BF274" s="1058"/>
      <c r="BG274" s="1058"/>
      <c r="BH274" s="1058"/>
      <c r="BI274" s="1058"/>
      <c r="BJ274" s="1058"/>
      <c r="BK274" s="94"/>
      <c r="BL274" s="94"/>
      <c r="BM274" s="94"/>
      <c r="CA274" s="889"/>
      <c r="CB274" s="889" t="str">
        <f>IF(CH274=0,"","* La suma de Ingresos de pacientes TRANS NO DEBE superar el total de mujeres ingresadas. ")</f>
        <v/>
      </c>
      <c r="CC274" s="889" t="str">
        <f>IF(CI274=0,"","* El Total de Pueblo Originario Ingresado NO DEBE superar el total de mujeres ingresadas. ")</f>
        <v xml:space="preserve">* El Total de Pueblo Originario Ingresado NO DEBE superar el total de mujeres ingresadas. </v>
      </c>
      <c r="CD274" s="889" t="str">
        <f>IF(CJ274=0,"","* El total de Migrantes Ingresado NO DEBE superar el total de mujeres ingresadas. ")</f>
        <v xml:space="preserve">* El total de Migrantes Ingresado NO DEBE superar el total de mujeres ingresadas. </v>
      </c>
      <c r="CE274" s="889" t="str">
        <f>IF(CK274=0,"","* No olvide digitar los campos Trans y/o Pueblo Originario y/o Migrantes (Digite CERO si no tiene). ")</f>
        <v/>
      </c>
      <c r="CG274" s="1020"/>
      <c r="CH274" s="1020">
        <f>IF(SUM(AU274,AV274)&gt;F274,1,0)</f>
        <v>0</v>
      </c>
      <c r="CI274" s="1020">
        <f>IF(F274&lt;AW274,1,0)</f>
        <v>1</v>
      </c>
      <c r="CJ274" s="1020">
        <f>IF(F274&lt;AX274,1,0)</f>
        <v>1</v>
      </c>
      <c r="CK274" s="1020">
        <f>IF(AND(F274&lt;&gt;0,OR(AU274="",AV274="",AW274="",AX274="")),1,0)</f>
        <v>0</v>
      </c>
      <c r="CL274" s="1020"/>
      <c r="CM274" s="1020"/>
      <c r="CN274" s="1020"/>
      <c r="DA274" s="79"/>
    </row>
    <row r="275" spans="1:105" ht="16.350000000000001" customHeight="1" x14ac:dyDescent="0.2">
      <c r="A275" s="2449" t="s">
        <v>3274</v>
      </c>
      <c r="B275" s="5616"/>
      <c r="C275" s="2841" t="s">
        <v>424</v>
      </c>
      <c r="D275" s="2344" t="s">
        <v>2777</v>
      </c>
      <c r="E275" s="2345" t="s">
        <v>2778</v>
      </c>
      <c r="F275" s="2367" t="s">
        <v>2779</v>
      </c>
      <c r="G275" s="2346" t="s">
        <v>2780</v>
      </c>
      <c r="H275" s="2346" t="s">
        <v>2781</v>
      </c>
      <c r="I275" s="2249" t="s">
        <v>2782</v>
      </c>
      <c r="J275" s="2346" t="s">
        <v>2783</v>
      </c>
      <c r="K275" s="2249" t="s">
        <v>2784</v>
      </c>
      <c r="L275" s="2347" t="s">
        <v>2785</v>
      </c>
      <c r="M275" s="2249" t="s">
        <v>2786</v>
      </c>
      <c r="N275" s="366" t="s">
        <v>2787</v>
      </c>
      <c r="O275" s="2249" t="s">
        <v>2788</v>
      </c>
      <c r="P275" s="2347" t="s">
        <v>2789</v>
      </c>
      <c r="Q275" s="2249" t="s">
        <v>2790</v>
      </c>
      <c r="R275" s="2346" t="s">
        <v>2791</v>
      </c>
      <c r="S275" s="2249" t="s">
        <v>2792</v>
      </c>
      <c r="T275" s="2346" t="s">
        <v>2793</v>
      </c>
      <c r="U275" s="2249" t="s">
        <v>2794</v>
      </c>
      <c r="V275" s="2346" t="s">
        <v>2795</v>
      </c>
      <c r="W275" s="2249" t="s">
        <v>2796</v>
      </c>
      <c r="X275" s="2346" t="s">
        <v>2797</v>
      </c>
      <c r="Y275" s="2249" t="s">
        <v>2798</v>
      </c>
      <c r="Z275" s="2346" t="s">
        <v>2799</v>
      </c>
      <c r="AA275" s="2249" t="s">
        <v>2800</v>
      </c>
      <c r="AB275" s="2346" t="s">
        <v>2801</v>
      </c>
      <c r="AC275" s="2249" t="s">
        <v>2817</v>
      </c>
      <c r="AD275" s="2346" t="s">
        <v>2818</v>
      </c>
      <c r="AE275" s="2249" t="s">
        <v>2819</v>
      </c>
      <c r="AF275" s="2346" t="s">
        <v>2821</v>
      </c>
      <c r="AG275" s="2249" t="s">
        <v>2822</v>
      </c>
      <c r="AH275" s="2346" t="s">
        <v>2823</v>
      </c>
      <c r="AI275" s="2249" t="s">
        <v>2824</v>
      </c>
      <c r="AJ275" s="2346" t="s">
        <v>2825</v>
      </c>
      <c r="AK275" s="2249" t="s">
        <v>2826</v>
      </c>
      <c r="AL275" s="2346" t="s">
        <v>2827</v>
      </c>
      <c r="AM275" s="2249" t="s">
        <v>2831</v>
      </c>
      <c r="AN275" s="2346" t="s">
        <v>2832</v>
      </c>
      <c r="AO275" s="2249" t="s">
        <v>2833</v>
      </c>
      <c r="AP275" s="2346" t="s">
        <v>2834</v>
      </c>
      <c r="AQ275" s="2249" t="s">
        <v>3011</v>
      </c>
      <c r="AR275" s="2346" t="s">
        <v>3012</v>
      </c>
      <c r="AS275" s="2249" t="s">
        <v>3013</v>
      </c>
      <c r="AT275" s="2347" t="s">
        <v>3014</v>
      </c>
      <c r="AU275" s="2249" t="s">
        <v>3015</v>
      </c>
      <c r="AV275" s="2347" t="s">
        <v>3206</v>
      </c>
      <c r="AW275" s="2397" t="s">
        <v>3207</v>
      </c>
      <c r="AX275" s="2347" t="s">
        <v>3272</v>
      </c>
      <c r="AY275" s="2397" t="s">
        <v>3273</v>
      </c>
      <c r="AZ275" s="1171"/>
      <c r="BA275" s="1058"/>
      <c r="BB275" s="1058"/>
      <c r="BC275" s="1058"/>
      <c r="BD275" s="1058"/>
      <c r="BE275" s="1058"/>
      <c r="BF275" s="1058"/>
      <c r="BG275" s="1058"/>
      <c r="BH275" s="1058"/>
      <c r="BI275" s="1058"/>
      <c r="BJ275" s="1058"/>
      <c r="BK275" s="94"/>
      <c r="BL275" s="94"/>
      <c r="BM275" s="94"/>
      <c r="CA275" s="889"/>
      <c r="CB275" s="889" t="str">
        <f>IF(CH275=0,"","* La suma de Ingresos de pacientes Trans NO DEBE superar el total de pacientes ingresados. ")</f>
        <v/>
      </c>
      <c r="CC275" s="889" t="str">
        <f>IF(CI275=0,"","* El Total de Pueblo Originario Ingresado NO DEBE superar el total de pacientes ingresados. ")</f>
        <v xml:space="preserve">* El Total de Pueblo Originario Ingresado NO DEBE superar el total de pacientes ingresados. </v>
      </c>
      <c r="CD275" s="889" t="str">
        <f>IF(CJ275=0,"","* El total de Migrantes Ingresado NO DEBE superar el total de pacientes ingresados. ")</f>
        <v xml:space="preserve">* El total de Migrantes Ingresado NO DEBE superar el total de pacientes ingresados. </v>
      </c>
      <c r="CE275" s="889" t="str">
        <f>IF(CK275=0,"","* No olvide digitar los campos Trans y/o Pueblo Originario y/o Migrantes (Digite CERO si no tiene). ")</f>
        <v/>
      </c>
      <c r="CG275" s="1020"/>
      <c r="CH275" s="1020">
        <f t="shared" ref="CH275:CH281" si="63">IF(SUM(AU275,AV275)&gt;D275,1,0)</f>
        <v>0</v>
      </c>
      <c r="CI275" s="1020">
        <f t="shared" ref="CI275:CI281" si="64">IF(D275&lt;AW275,1,0)</f>
        <v>1</v>
      </c>
      <c r="CJ275" s="1020">
        <f t="shared" ref="CJ275:CJ281" si="65">IF(D275&lt;AX275,1,0)</f>
        <v>1</v>
      </c>
      <c r="CK275" s="1020">
        <f>IF(AND(D275&lt;&gt;0,OR(AU275="",AV275="",AW275="",AX275="")),1,0)</f>
        <v>0</v>
      </c>
      <c r="CL275" s="1020"/>
      <c r="CM275" s="1020"/>
      <c r="CN275" s="1020"/>
      <c r="DA275" s="79"/>
    </row>
    <row r="276" spans="1:105" ht="20.25" customHeight="1" thickBot="1" x14ac:dyDescent="0.25">
      <c r="A276" s="2449" t="s">
        <v>3275</v>
      </c>
      <c r="B276" s="5613" t="s">
        <v>427</v>
      </c>
      <c r="C276" s="5614"/>
      <c r="D276" s="2842" t="s">
        <v>2777</v>
      </c>
      <c r="E276" s="2843" t="s">
        <v>2778</v>
      </c>
      <c r="F276" s="2844" t="s">
        <v>2779</v>
      </c>
      <c r="G276" s="2845" t="s">
        <v>2780</v>
      </c>
      <c r="H276" s="2845" t="s">
        <v>2781</v>
      </c>
      <c r="I276" s="2472" t="s">
        <v>2782</v>
      </c>
      <c r="J276" s="2845" t="s">
        <v>2783</v>
      </c>
      <c r="K276" s="2472" t="s">
        <v>2784</v>
      </c>
      <c r="L276" s="2474" t="s">
        <v>2785</v>
      </c>
      <c r="M276" s="2472" t="s">
        <v>2786</v>
      </c>
      <c r="N276" s="2846" t="s">
        <v>2787</v>
      </c>
      <c r="O276" s="2472" t="s">
        <v>2788</v>
      </c>
      <c r="P276" s="2474" t="s">
        <v>2789</v>
      </c>
      <c r="Q276" s="2472" t="s">
        <v>2790</v>
      </c>
      <c r="R276" s="2845" t="s">
        <v>2791</v>
      </c>
      <c r="S276" s="2472" t="s">
        <v>2792</v>
      </c>
      <c r="T276" s="2845" t="s">
        <v>2793</v>
      </c>
      <c r="U276" s="2472" t="s">
        <v>2794</v>
      </c>
      <c r="V276" s="2845" t="s">
        <v>2795</v>
      </c>
      <c r="W276" s="2472" t="s">
        <v>2796</v>
      </c>
      <c r="X276" s="2845" t="s">
        <v>2797</v>
      </c>
      <c r="Y276" s="2472" t="s">
        <v>2798</v>
      </c>
      <c r="Z276" s="2845" t="s">
        <v>2799</v>
      </c>
      <c r="AA276" s="2472" t="s">
        <v>2800</v>
      </c>
      <c r="AB276" s="2845" t="s">
        <v>2801</v>
      </c>
      <c r="AC276" s="2472" t="s">
        <v>2817</v>
      </c>
      <c r="AD276" s="2845" t="s">
        <v>2818</v>
      </c>
      <c r="AE276" s="2472" t="s">
        <v>2819</v>
      </c>
      <c r="AF276" s="2845" t="s">
        <v>2821</v>
      </c>
      <c r="AG276" s="2472" t="s">
        <v>2822</v>
      </c>
      <c r="AH276" s="2845" t="s">
        <v>2823</v>
      </c>
      <c r="AI276" s="2472" t="s">
        <v>2824</v>
      </c>
      <c r="AJ276" s="2845" t="s">
        <v>2825</v>
      </c>
      <c r="AK276" s="2472" t="s">
        <v>2826</v>
      </c>
      <c r="AL276" s="2845" t="s">
        <v>2827</v>
      </c>
      <c r="AM276" s="2472" t="s">
        <v>2831</v>
      </c>
      <c r="AN276" s="2845" t="s">
        <v>2832</v>
      </c>
      <c r="AO276" s="2472" t="s">
        <v>2833</v>
      </c>
      <c r="AP276" s="2845" t="s">
        <v>2834</v>
      </c>
      <c r="AQ276" s="2472" t="s">
        <v>3011</v>
      </c>
      <c r="AR276" s="2845" t="s">
        <v>3012</v>
      </c>
      <c r="AS276" s="2472" t="s">
        <v>3013</v>
      </c>
      <c r="AT276" s="2474" t="s">
        <v>3014</v>
      </c>
      <c r="AU276" s="2472" t="s">
        <v>3015</v>
      </c>
      <c r="AV276" s="2474" t="s">
        <v>3206</v>
      </c>
      <c r="AW276" s="2471" t="s">
        <v>3207</v>
      </c>
      <c r="AX276" s="2474" t="s">
        <v>3272</v>
      </c>
      <c r="AY276" s="2471" t="s">
        <v>3273</v>
      </c>
      <c r="AZ276" s="1171"/>
      <c r="BA276" s="1058"/>
      <c r="BB276" s="1058"/>
      <c r="BC276" s="1058"/>
      <c r="BD276" s="1058"/>
      <c r="BE276" s="1058"/>
      <c r="BF276" s="1058"/>
      <c r="BG276" s="1058"/>
      <c r="BH276" s="1058"/>
      <c r="BI276" s="1058"/>
      <c r="BJ276" s="1058"/>
      <c r="BK276" s="94"/>
      <c r="BL276" s="94"/>
      <c r="BM276" s="94"/>
      <c r="CA276" s="889"/>
      <c r="CB276" s="889" t="str">
        <f t="shared" ref="CB276:CB281" si="66">IF(CH276=0,"","* La suma de Egresos de pacientes Trans NO DEBE superar el total de pacientes egresados. ")</f>
        <v/>
      </c>
      <c r="CC276" s="889" t="str">
        <f>IF(CI276=0,"","* El Total de Pueblo Originario Egresado NO DEBE superar el total de pacientes egresados. ")</f>
        <v xml:space="preserve">* El Total de Pueblo Originario Egresado NO DEBE superar el total de pacientes egresados. </v>
      </c>
      <c r="CD276" s="889" t="str">
        <f>IF(CJ276=0,"","* El total de Migrantes Egresado NO DEBE superar el total de pacientes egresados. ")</f>
        <v xml:space="preserve">* El total de Migrantes Egresado NO DEBE superar el total de pacientes egresados. </v>
      </c>
      <c r="CE276" s="889" t="str">
        <f>IF(CK276=0,"","* No olvide digitar los campos Trans y/o Pueblo Originario y/o Migrantes (Digite CERO si no tiene). ")</f>
        <v/>
      </c>
      <c r="CG276" s="1020"/>
      <c r="CH276" s="1020">
        <f t="shared" si="63"/>
        <v>0</v>
      </c>
      <c r="CI276" s="1020">
        <f t="shared" si="64"/>
        <v>1</v>
      </c>
      <c r="CJ276" s="1020">
        <f t="shared" si="65"/>
        <v>1</v>
      </c>
      <c r="CK276" s="1020">
        <f>IF(AND(D276&lt;&gt;0,OR(AU276="",AV276="",AW276="",AX276="")),1,0)</f>
        <v>0</v>
      </c>
      <c r="CL276" s="1020"/>
      <c r="CM276" s="1020"/>
      <c r="CN276" s="1020"/>
      <c r="DA276" s="79"/>
    </row>
    <row r="277" spans="1:105" ht="21" customHeight="1" thickTop="1" x14ac:dyDescent="0.2">
      <c r="A277" s="2449" t="s">
        <v>3276</v>
      </c>
      <c r="B277" s="5637" t="s">
        <v>971</v>
      </c>
      <c r="C277" s="5638"/>
      <c r="D277" s="705" t="s">
        <v>2777</v>
      </c>
      <c r="E277" s="706" t="s">
        <v>2778</v>
      </c>
      <c r="F277" s="1238" t="s">
        <v>2779</v>
      </c>
      <c r="G277" s="271" t="s">
        <v>2780</v>
      </c>
      <c r="H277" s="271" t="s">
        <v>2781</v>
      </c>
      <c r="I277" s="231" t="s">
        <v>2782</v>
      </c>
      <c r="J277" s="271" t="s">
        <v>2783</v>
      </c>
      <c r="K277" s="231" t="s">
        <v>2784</v>
      </c>
      <c r="L277" s="649" t="s">
        <v>2785</v>
      </c>
      <c r="M277" s="231" t="s">
        <v>2786</v>
      </c>
      <c r="N277" s="650" t="s">
        <v>2787</v>
      </c>
      <c r="O277" s="231" t="s">
        <v>2788</v>
      </c>
      <c r="P277" s="649" t="s">
        <v>2789</v>
      </c>
      <c r="Q277" s="231" t="s">
        <v>2790</v>
      </c>
      <c r="R277" s="271" t="s">
        <v>2791</v>
      </c>
      <c r="S277" s="231" t="s">
        <v>2792</v>
      </c>
      <c r="T277" s="271" t="s">
        <v>2793</v>
      </c>
      <c r="U277" s="231" t="s">
        <v>2794</v>
      </c>
      <c r="V277" s="271" t="s">
        <v>2795</v>
      </c>
      <c r="W277" s="231" t="s">
        <v>2796</v>
      </c>
      <c r="X277" s="271" t="s">
        <v>2797</v>
      </c>
      <c r="Y277" s="231" t="s">
        <v>2798</v>
      </c>
      <c r="Z277" s="271" t="s">
        <v>2799</v>
      </c>
      <c r="AA277" s="231" t="s">
        <v>2800</v>
      </c>
      <c r="AB277" s="271" t="s">
        <v>2801</v>
      </c>
      <c r="AC277" s="231" t="s">
        <v>2817</v>
      </c>
      <c r="AD277" s="271" t="s">
        <v>2818</v>
      </c>
      <c r="AE277" s="231" t="s">
        <v>2819</v>
      </c>
      <c r="AF277" s="271" t="s">
        <v>2821</v>
      </c>
      <c r="AG277" s="231" t="s">
        <v>2822</v>
      </c>
      <c r="AH277" s="271" t="s">
        <v>2823</v>
      </c>
      <c r="AI277" s="231" t="s">
        <v>2824</v>
      </c>
      <c r="AJ277" s="271" t="s">
        <v>2825</v>
      </c>
      <c r="AK277" s="231" t="s">
        <v>2826</v>
      </c>
      <c r="AL277" s="271" t="s">
        <v>2827</v>
      </c>
      <c r="AM277" s="231" t="s">
        <v>3277</v>
      </c>
      <c r="AN277" s="271" t="s">
        <v>2832</v>
      </c>
      <c r="AO277" s="231" t="s">
        <v>2833</v>
      </c>
      <c r="AP277" s="271" t="s">
        <v>2834</v>
      </c>
      <c r="AQ277" s="231" t="s">
        <v>3011</v>
      </c>
      <c r="AR277" s="271" t="s">
        <v>3012</v>
      </c>
      <c r="AS277" s="231" t="s">
        <v>3013</v>
      </c>
      <c r="AT277" s="649" t="s">
        <v>3014</v>
      </c>
      <c r="AU277" s="231" t="s">
        <v>3015</v>
      </c>
      <c r="AV277" s="649" t="s">
        <v>3206</v>
      </c>
      <c r="AW277" s="260" t="s">
        <v>3207</v>
      </c>
      <c r="AX277" s="649" t="s">
        <v>3272</v>
      </c>
      <c r="AY277" s="260" t="s">
        <v>3273</v>
      </c>
      <c r="AZ277" s="1171"/>
      <c r="BA277" s="1058"/>
      <c r="BB277" s="1058"/>
      <c r="BC277" s="1058"/>
      <c r="BD277" s="1058"/>
      <c r="BE277" s="1058"/>
      <c r="BF277" s="1058"/>
      <c r="BG277" s="1058"/>
      <c r="BH277" s="1058"/>
      <c r="BI277" s="1058"/>
      <c r="BJ277" s="1058"/>
      <c r="BK277" s="94"/>
      <c r="BL277" s="94"/>
      <c r="BM277" s="94"/>
      <c r="CA277" s="889"/>
      <c r="CB277" s="889" t="str">
        <f t="shared" si="66"/>
        <v/>
      </c>
      <c r="CC277" s="889" t="str">
        <f>IF(CI277=0,"","* El Total de Pueblo Originario Egresado NO DEBE superar el total de pacientes egresados. ")</f>
        <v xml:space="preserve">* El Total de Pueblo Originario Egresado NO DEBE superar el total de pacientes egresados. </v>
      </c>
      <c r="CD277" s="889" t="str">
        <f>IF(CJ277=0,"","* El total de Migrantes Egresado NO DEBE superar el total de pacientes egresados. ")</f>
        <v xml:space="preserve">* El total de Migrantes Egresado NO DEBE superar el total de pacientes egresados. </v>
      </c>
      <c r="CE277" s="889" t="str">
        <f>IF(CK277=0,"","* No olvide digitar los campos Trans y/o Pueblo Originario y/o Migrantes (Digite CERO si no tiene). ")</f>
        <v/>
      </c>
      <c r="CF277" s="889" t="str">
        <f>IF(CL277=0,"","* El Total de egresos por fallecimiento NO DEBE superar el total de Egresos. ")</f>
        <v/>
      </c>
      <c r="CG277" s="1020"/>
      <c r="CH277" s="1020">
        <f t="shared" si="63"/>
        <v>0</v>
      </c>
      <c r="CI277" s="1020">
        <f t="shared" si="64"/>
        <v>1</v>
      </c>
      <c r="CJ277" s="1020">
        <f t="shared" si="65"/>
        <v>1</v>
      </c>
      <c r="CK277" s="1020">
        <f>IF(AND(D277&lt;&gt;0,OR(AU277="",AV277="",AW277="",AX277="")),1,0)</f>
        <v>0</v>
      </c>
      <c r="CL277" s="1020">
        <f>IF(D277&gt;D276,1,0)</f>
        <v>0</v>
      </c>
      <c r="CM277" s="1020"/>
      <c r="CN277" s="1020"/>
      <c r="DA277" s="79"/>
    </row>
    <row r="278" spans="1:105" ht="21.75" customHeight="1" thickBot="1" x14ac:dyDescent="0.25">
      <c r="A278" s="2449" t="s">
        <v>3278</v>
      </c>
      <c r="B278" s="5635" t="s">
        <v>1430</v>
      </c>
      <c r="C278" s="5636"/>
      <c r="D278" s="361" t="s">
        <v>2777</v>
      </c>
      <c r="E278" s="711" t="s">
        <v>2778</v>
      </c>
      <c r="F278" s="360" t="s">
        <v>2779</v>
      </c>
      <c r="G278" s="664" t="s">
        <v>2780</v>
      </c>
      <c r="H278" s="664" t="s">
        <v>2781</v>
      </c>
      <c r="I278" s="385" t="s">
        <v>2782</v>
      </c>
      <c r="J278" s="664" t="s">
        <v>2783</v>
      </c>
      <c r="K278" s="385" t="s">
        <v>2784</v>
      </c>
      <c r="L278" s="765" t="s">
        <v>2785</v>
      </c>
      <c r="M278" s="385" t="s">
        <v>2786</v>
      </c>
      <c r="N278" s="665" t="s">
        <v>2787</v>
      </c>
      <c r="O278" s="387" t="s">
        <v>2788</v>
      </c>
      <c r="P278" s="386" t="s">
        <v>2789</v>
      </c>
      <c r="Q278" s="387" t="s">
        <v>2790</v>
      </c>
      <c r="R278" s="386" t="s">
        <v>2791</v>
      </c>
      <c r="S278" s="387" t="s">
        <v>2792</v>
      </c>
      <c r="T278" s="386" t="s">
        <v>2793</v>
      </c>
      <c r="U278" s="387" t="s">
        <v>2794</v>
      </c>
      <c r="V278" s="386" t="s">
        <v>2795</v>
      </c>
      <c r="W278" s="387" t="s">
        <v>2796</v>
      </c>
      <c r="X278" s="386" t="s">
        <v>2797</v>
      </c>
      <c r="Y278" s="387" t="s">
        <v>2798</v>
      </c>
      <c r="Z278" s="386" t="s">
        <v>2799</v>
      </c>
      <c r="AA278" s="387" t="s">
        <v>2800</v>
      </c>
      <c r="AB278" s="386" t="s">
        <v>2801</v>
      </c>
      <c r="AC278" s="387" t="s">
        <v>2817</v>
      </c>
      <c r="AD278" s="386" t="s">
        <v>2818</v>
      </c>
      <c r="AE278" s="387" t="s">
        <v>2819</v>
      </c>
      <c r="AF278" s="386" t="s">
        <v>2821</v>
      </c>
      <c r="AG278" s="387" t="s">
        <v>2822</v>
      </c>
      <c r="AH278" s="386" t="s">
        <v>2823</v>
      </c>
      <c r="AI278" s="387" t="s">
        <v>2824</v>
      </c>
      <c r="AJ278" s="386" t="s">
        <v>2825</v>
      </c>
      <c r="AK278" s="387" t="s">
        <v>2826</v>
      </c>
      <c r="AL278" s="386" t="s">
        <v>2827</v>
      </c>
      <c r="AM278" s="387" t="s">
        <v>3277</v>
      </c>
      <c r="AN278" s="386" t="s">
        <v>2832</v>
      </c>
      <c r="AO278" s="387" t="s">
        <v>2833</v>
      </c>
      <c r="AP278" s="386" t="s">
        <v>2834</v>
      </c>
      <c r="AQ278" s="387" t="s">
        <v>3011</v>
      </c>
      <c r="AR278" s="386" t="s">
        <v>3012</v>
      </c>
      <c r="AS278" s="387" t="s">
        <v>3013</v>
      </c>
      <c r="AT278" s="386" t="s">
        <v>3014</v>
      </c>
      <c r="AU278" s="387" t="s">
        <v>3015</v>
      </c>
      <c r="AV278" s="386" t="s">
        <v>3206</v>
      </c>
      <c r="AW278" s="1276" t="s">
        <v>3207</v>
      </c>
      <c r="AX278" s="765" t="s">
        <v>3272</v>
      </c>
      <c r="AY278" s="1276" t="s">
        <v>3273</v>
      </c>
      <c r="AZ278" s="1171"/>
      <c r="BA278" s="1058"/>
      <c r="BB278" s="1058"/>
      <c r="BC278" s="1058"/>
      <c r="BD278" s="1058"/>
      <c r="BE278" s="1058"/>
      <c r="BF278" s="1058"/>
      <c r="BG278" s="1058"/>
      <c r="BH278" s="1058"/>
      <c r="BI278" s="1058"/>
      <c r="BJ278" s="1058"/>
      <c r="BK278" s="94"/>
      <c r="BL278" s="94"/>
      <c r="BM278" s="94"/>
      <c r="CA278" s="889"/>
      <c r="CB278" s="889" t="str">
        <f t="shared" si="66"/>
        <v/>
      </c>
      <c r="CC278" s="889" t="str">
        <f>IF(CI278=0,"","* El Total de Pueblo Originario Egresado NO DEBE superar el total de pacientes egresados. ")</f>
        <v xml:space="preserve">* El Total de Pueblo Originario Egresado NO DEBE superar el total de pacientes egresados. </v>
      </c>
      <c r="CD278" s="889" t="str">
        <f>IF(CJ278=0,"","* El total de Migrantes Egresado NO DEBE superar el total de pacientes egresados. ")</f>
        <v xml:space="preserve">* El total de Migrantes Egresado NO DEBE superar el total de pacientes egresados. </v>
      </c>
      <c r="CE278" s="889" t="str">
        <f>IF(CK278=0,"","* No olvide digitar los campos Pueblo Originario y/o Migrantes (Digite CERO si no tiene). ")</f>
        <v/>
      </c>
      <c r="CF278" s="889" t="str">
        <f>IF(CL278=0,"","* El total de Egresos por Alta Hijo VIH NO DEBE superar el Total de Egresos. ")</f>
        <v/>
      </c>
      <c r="CG278" s="1020"/>
      <c r="CH278" s="1020">
        <f t="shared" si="63"/>
        <v>0</v>
      </c>
      <c r="CI278" s="1020">
        <f t="shared" si="64"/>
        <v>1</v>
      </c>
      <c r="CJ278" s="1020">
        <f t="shared" si="65"/>
        <v>1</v>
      </c>
      <c r="CK278" s="1020">
        <f>IF(AND(D278&lt;&gt;0,OR(AW278="",AX278="")),1,0)</f>
        <v>0</v>
      </c>
      <c r="CL278" s="1020">
        <f>IF(D278&gt;D276,1,0)</f>
        <v>0</v>
      </c>
      <c r="CM278" s="1020"/>
      <c r="CN278" s="1020"/>
      <c r="DA278" s="79"/>
    </row>
    <row r="279" spans="1:105" ht="18" customHeight="1" thickTop="1" x14ac:dyDescent="0.2">
      <c r="A279" s="2449" t="s">
        <v>3279</v>
      </c>
      <c r="B279" s="5146" t="s">
        <v>974</v>
      </c>
      <c r="C279" s="2624" t="s">
        <v>972</v>
      </c>
      <c r="D279" s="705" t="s">
        <v>2777</v>
      </c>
      <c r="E279" s="706" t="s">
        <v>2778</v>
      </c>
      <c r="F279" s="1238" t="s">
        <v>2779</v>
      </c>
      <c r="G279" s="271" t="s">
        <v>2780</v>
      </c>
      <c r="H279" s="271" t="s">
        <v>2781</v>
      </c>
      <c r="I279" s="231" t="s">
        <v>2782</v>
      </c>
      <c r="J279" s="271" t="s">
        <v>2783</v>
      </c>
      <c r="K279" s="231" t="s">
        <v>2784</v>
      </c>
      <c r="L279" s="649" t="s">
        <v>2785</v>
      </c>
      <c r="M279" s="231" t="s">
        <v>2786</v>
      </c>
      <c r="N279" s="650" t="s">
        <v>2787</v>
      </c>
      <c r="O279" s="231" t="s">
        <v>2788</v>
      </c>
      <c r="P279" s="649" t="s">
        <v>2789</v>
      </c>
      <c r="Q279" s="231" t="s">
        <v>2790</v>
      </c>
      <c r="R279" s="271" t="s">
        <v>2791</v>
      </c>
      <c r="S279" s="231" t="s">
        <v>2792</v>
      </c>
      <c r="T279" s="271" t="s">
        <v>2793</v>
      </c>
      <c r="U279" s="231" t="s">
        <v>2794</v>
      </c>
      <c r="V279" s="271" t="s">
        <v>2795</v>
      </c>
      <c r="W279" s="231" t="s">
        <v>2796</v>
      </c>
      <c r="X279" s="271" t="s">
        <v>2797</v>
      </c>
      <c r="Y279" s="231" t="s">
        <v>2798</v>
      </c>
      <c r="Z279" s="271" t="s">
        <v>2799</v>
      </c>
      <c r="AA279" s="231" t="s">
        <v>2800</v>
      </c>
      <c r="AB279" s="271" t="s">
        <v>2801</v>
      </c>
      <c r="AC279" s="231" t="s">
        <v>2817</v>
      </c>
      <c r="AD279" s="271" t="s">
        <v>2818</v>
      </c>
      <c r="AE279" s="231" t="s">
        <v>2819</v>
      </c>
      <c r="AF279" s="271" t="s">
        <v>2821</v>
      </c>
      <c r="AG279" s="231" t="s">
        <v>2822</v>
      </c>
      <c r="AH279" s="271" t="s">
        <v>2823</v>
      </c>
      <c r="AI279" s="231" t="s">
        <v>2824</v>
      </c>
      <c r="AJ279" s="271" t="s">
        <v>2825</v>
      </c>
      <c r="AK279" s="231" t="s">
        <v>2826</v>
      </c>
      <c r="AL279" s="271" t="s">
        <v>2827</v>
      </c>
      <c r="AM279" s="231" t="s">
        <v>3277</v>
      </c>
      <c r="AN279" s="271" t="s">
        <v>2832</v>
      </c>
      <c r="AO279" s="231" t="s">
        <v>2833</v>
      </c>
      <c r="AP279" s="271" t="s">
        <v>2834</v>
      </c>
      <c r="AQ279" s="231" t="s">
        <v>3011</v>
      </c>
      <c r="AR279" s="271" t="s">
        <v>3012</v>
      </c>
      <c r="AS279" s="231" t="s">
        <v>3013</v>
      </c>
      <c r="AT279" s="649" t="s">
        <v>3014</v>
      </c>
      <c r="AU279" s="231" t="s">
        <v>3015</v>
      </c>
      <c r="AV279" s="649" t="s">
        <v>3206</v>
      </c>
      <c r="AW279" s="260" t="s">
        <v>3207</v>
      </c>
      <c r="AX279" s="649" t="s">
        <v>3272</v>
      </c>
      <c r="AY279" s="649" t="s">
        <v>3273</v>
      </c>
      <c r="AZ279" s="891"/>
      <c r="BA279" s="94"/>
      <c r="BB279" s="94"/>
      <c r="BC279" s="94"/>
      <c r="BD279" s="94"/>
      <c r="BE279" s="94"/>
      <c r="BF279" s="94"/>
      <c r="BG279" s="94"/>
      <c r="BH279" s="94"/>
      <c r="BI279" s="94"/>
      <c r="BJ279" s="94"/>
      <c r="BK279" s="94"/>
      <c r="BL279" s="94"/>
      <c r="BM279" s="94"/>
      <c r="BN279" s="94"/>
      <c r="CA279" s="889"/>
      <c r="CB279" s="889" t="str">
        <f t="shared" si="66"/>
        <v/>
      </c>
      <c r="CC279" s="889" t="str">
        <f>IF(CI279=0,"","* El Total de Pueblo Originario Egresado NO DEBE superar el total de pacientes egresados. ")</f>
        <v xml:space="preserve">* El Total de Pueblo Originario Egresado NO DEBE superar el total de pacientes egresados. </v>
      </c>
      <c r="CD279" s="889" t="str">
        <f>IF(CJ279=0,"","* El total de Migrantes Egresado NO DEBE superar el total de pacientes egresados. ")</f>
        <v xml:space="preserve">* El total de Migrantes Egresado NO DEBE superar el total de pacientes egresados. </v>
      </c>
      <c r="CE279" s="889" t="str">
        <f>IF(CK279=0,"","* No olvide digitar los campos Trans y/o Pueblo Originario y/o Migrantes (Digite CERO si no tiene). ")</f>
        <v/>
      </c>
      <c r="CG279" s="1020"/>
      <c r="CH279" s="1020">
        <f t="shared" si="63"/>
        <v>0</v>
      </c>
      <c r="CI279" s="1020">
        <f t="shared" si="64"/>
        <v>1</v>
      </c>
      <c r="CJ279" s="1020">
        <f t="shared" si="65"/>
        <v>1</v>
      </c>
      <c r="CK279" s="1020">
        <f>IF(AND(D279&lt;&gt;0,OR(AU279="",AV279="",AW279="",AX279="")),1,0)</f>
        <v>0</v>
      </c>
      <c r="CL279" s="1020"/>
      <c r="CM279" s="1020"/>
      <c r="CN279" s="1020"/>
      <c r="CO279" s="1020"/>
    </row>
    <row r="280" spans="1:105" ht="16.350000000000001" customHeight="1" x14ac:dyDescent="0.2">
      <c r="A280" s="2449" t="s">
        <v>3280</v>
      </c>
      <c r="B280" s="5146"/>
      <c r="C280" s="179" t="s">
        <v>973</v>
      </c>
      <c r="D280" s="2442" t="s">
        <v>2777</v>
      </c>
      <c r="E280" s="2443" t="s">
        <v>2778</v>
      </c>
      <c r="F280" s="200" t="s">
        <v>2779</v>
      </c>
      <c r="G280" s="180" t="s">
        <v>2780</v>
      </c>
      <c r="H280" s="180" t="s">
        <v>2781</v>
      </c>
      <c r="I280" s="141" t="s">
        <v>2782</v>
      </c>
      <c r="J280" s="180" t="s">
        <v>2783</v>
      </c>
      <c r="K280" s="141" t="s">
        <v>2784</v>
      </c>
      <c r="L280" s="198" t="s">
        <v>2785</v>
      </c>
      <c r="M280" s="141" t="s">
        <v>2786</v>
      </c>
      <c r="N280" s="143" t="s">
        <v>2787</v>
      </c>
      <c r="O280" s="141" t="s">
        <v>2788</v>
      </c>
      <c r="P280" s="198" t="s">
        <v>2789</v>
      </c>
      <c r="Q280" s="141" t="s">
        <v>2790</v>
      </c>
      <c r="R280" s="180" t="s">
        <v>2791</v>
      </c>
      <c r="S280" s="141" t="s">
        <v>2792</v>
      </c>
      <c r="T280" s="180" t="s">
        <v>2793</v>
      </c>
      <c r="U280" s="141" t="s">
        <v>2794</v>
      </c>
      <c r="V280" s="180" t="s">
        <v>2795</v>
      </c>
      <c r="W280" s="141" t="s">
        <v>2796</v>
      </c>
      <c r="X280" s="180" t="s">
        <v>2797</v>
      </c>
      <c r="Y280" s="141" t="s">
        <v>2798</v>
      </c>
      <c r="Z280" s="180" t="s">
        <v>2799</v>
      </c>
      <c r="AA280" s="141" t="s">
        <v>2800</v>
      </c>
      <c r="AB280" s="180" t="s">
        <v>2801</v>
      </c>
      <c r="AC280" s="141" t="s">
        <v>2817</v>
      </c>
      <c r="AD280" s="180" t="s">
        <v>2818</v>
      </c>
      <c r="AE280" s="141" t="s">
        <v>2819</v>
      </c>
      <c r="AF280" s="180" t="s">
        <v>2821</v>
      </c>
      <c r="AG280" s="141" t="s">
        <v>2822</v>
      </c>
      <c r="AH280" s="180" t="s">
        <v>2823</v>
      </c>
      <c r="AI280" s="141" t="s">
        <v>2824</v>
      </c>
      <c r="AJ280" s="180" t="s">
        <v>2825</v>
      </c>
      <c r="AK280" s="141" t="s">
        <v>2826</v>
      </c>
      <c r="AL280" s="180" t="s">
        <v>2827</v>
      </c>
      <c r="AM280" s="141" t="s">
        <v>2831</v>
      </c>
      <c r="AN280" s="180" t="s">
        <v>2832</v>
      </c>
      <c r="AO280" s="141" t="s">
        <v>2833</v>
      </c>
      <c r="AP280" s="180" t="s">
        <v>2834</v>
      </c>
      <c r="AQ280" s="141" t="s">
        <v>3011</v>
      </c>
      <c r="AR280" s="180" t="s">
        <v>3012</v>
      </c>
      <c r="AS280" s="141" t="s">
        <v>3013</v>
      </c>
      <c r="AT280" s="198" t="s">
        <v>3014</v>
      </c>
      <c r="AU280" s="141" t="s">
        <v>3015</v>
      </c>
      <c r="AV280" s="198" t="s">
        <v>3206</v>
      </c>
      <c r="AW280" s="164" t="s">
        <v>3207</v>
      </c>
      <c r="AX280" s="198" t="s">
        <v>3272</v>
      </c>
      <c r="AY280" s="198" t="s">
        <v>3273</v>
      </c>
      <c r="AZ280" s="891"/>
      <c r="BA280" s="94"/>
      <c r="BB280" s="94"/>
      <c r="BC280" s="94"/>
      <c r="BD280" s="94"/>
      <c r="BE280" s="94"/>
      <c r="BF280" s="94"/>
      <c r="BG280" s="94"/>
      <c r="BH280" s="94"/>
      <c r="BI280" s="94"/>
      <c r="BJ280" s="94"/>
      <c r="BK280" s="94"/>
      <c r="BL280" s="94"/>
      <c r="BM280" s="94"/>
      <c r="BN280" s="94"/>
      <c r="CA280" s="889"/>
      <c r="CB280" s="889" t="str">
        <f t="shared" si="66"/>
        <v/>
      </c>
      <c r="CE280" s="889" t="str">
        <f>IF(CK280=0,"","* No olvide digitar los campos Trans y/o Pueblo Originario y/o Migrantes (Digite CERO si no tiene). ")</f>
        <v/>
      </c>
      <c r="CG280" s="1020"/>
      <c r="CH280" s="1020">
        <f t="shared" si="63"/>
        <v>0</v>
      </c>
      <c r="CI280" s="1020">
        <f t="shared" si="64"/>
        <v>1</v>
      </c>
      <c r="CJ280" s="1020">
        <f t="shared" si="65"/>
        <v>1</v>
      </c>
      <c r="CK280" s="1020">
        <v>0</v>
      </c>
      <c r="CL280" s="1020"/>
      <c r="CM280" s="1020"/>
      <c r="CN280" s="1020"/>
      <c r="CO280" s="1020"/>
    </row>
    <row r="281" spans="1:105" ht="16.350000000000001" customHeight="1" x14ac:dyDescent="0.2">
      <c r="A281" s="2449" t="s">
        <v>3281</v>
      </c>
      <c r="B281" s="5147"/>
      <c r="C281" s="2847" t="s">
        <v>1696</v>
      </c>
      <c r="D281" s="2723" t="s">
        <v>2777</v>
      </c>
      <c r="E281" s="2350" t="s">
        <v>2778</v>
      </c>
      <c r="F281" s="2724" t="s">
        <v>2779</v>
      </c>
      <c r="G281" s="2797" t="s">
        <v>2780</v>
      </c>
      <c r="H281" s="2797" t="s">
        <v>2781</v>
      </c>
      <c r="I281" s="2717" t="s">
        <v>2782</v>
      </c>
      <c r="J281" s="2797" t="s">
        <v>2783</v>
      </c>
      <c r="K281" s="2717" t="s">
        <v>2784</v>
      </c>
      <c r="L281" s="2719" t="s">
        <v>2785</v>
      </c>
      <c r="M281" s="2717" t="s">
        <v>2786</v>
      </c>
      <c r="N281" s="2313" t="s">
        <v>2787</v>
      </c>
      <c r="O281" s="2717" t="s">
        <v>2788</v>
      </c>
      <c r="P281" s="2719" t="s">
        <v>2789</v>
      </c>
      <c r="Q281" s="2717" t="s">
        <v>2790</v>
      </c>
      <c r="R281" s="2797" t="s">
        <v>2791</v>
      </c>
      <c r="S281" s="2717" t="s">
        <v>2792</v>
      </c>
      <c r="T281" s="2797" t="s">
        <v>2793</v>
      </c>
      <c r="U281" s="2717" t="s">
        <v>2794</v>
      </c>
      <c r="V281" s="2797" t="s">
        <v>2795</v>
      </c>
      <c r="W281" s="2717" t="s">
        <v>2796</v>
      </c>
      <c r="X281" s="2797" t="s">
        <v>2797</v>
      </c>
      <c r="Y281" s="2717" t="s">
        <v>2798</v>
      </c>
      <c r="Z281" s="2797" t="s">
        <v>2799</v>
      </c>
      <c r="AA281" s="2717" t="s">
        <v>2800</v>
      </c>
      <c r="AB281" s="2797" t="s">
        <v>2801</v>
      </c>
      <c r="AC281" s="2717" t="s">
        <v>2817</v>
      </c>
      <c r="AD281" s="2797" t="s">
        <v>2818</v>
      </c>
      <c r="AE281" s="2717" t="s">
        <v>2819</v>
      </c>
      <c r="AF281" s="2797" t="s">
        <v>2821</v>
      </c>
      <c r="AG281" s="2717" t="s">
        <v>2822</v>
      </c>
      <c r="AH281" s="2797" t="s">
        <v>2823</v>
      </c>
      <c r="AI281" s="2717" t="s">
        <v>2824</v>
      </c>
      <c r="AJ281" s="2797" t="s">
        <v>2825</v>
      </c>
      <c r="AK281" s="2717" t="s">
        <v>2826</v>
      </c>
      <c r="AL281" s="2797" t="s">
        <v>2827</v>
      </c>
      <c r="AM281" s="2717" t="s">
        <v>2831</v>
      </c>
      <c r="AN281" s="2797" t="s">
        <v>2832</v>
      </c>
      <c r="AO281" s="2717" t="s">
        <v>2833</v>
      </c>
      <c r="AP281" s="2797" t="s">
        <v>2834</v>
      </c>
      <c r="AQ281" s="2717" t="s">
        <v>3011</v>
      </c>
      <c r="AR281" s="2797" t="s">
        <v>3012</v>
      </c>
      <c r="AS281" s="2717" t="s">
        <v>3013</v>
      </c>
      <c r="AT281" s="2719" t="s">
        <v>3014</v>
      </c>
      <c r="AU281" s="2717" t="s">
        <v>3015</v>
      </c>
      <c r="AV281" s="2719" t="s">
        <v>3206</v>
      </c>
      <c r="AW281" s="2747" t="s">
        <v>3207</v>
      </c>
      <c r="AX281" s="2719" t="s">
        <v>3272</v>
      </c>
      <c r="AY281" s="2719" t="s">
        <v>3273</v>
      </c>
      <c r="AZ281" s="891"/>
      <c r="BA281" s="94"/>
      <c r="BB281" s="94"/>
      <c r="BC281" s="94"/>
      <c r="BD281" s="94"/>
      <c r="BE281" s="94"/>
      <c r="BF281" s="94"/>
      <c r="BG281" s="94"/>
      <c r="BH281" s="94"/>
      <c r="BI281" s="94"/>
      <c r="BJ281" s="94"/>
      <c r="BK281" s="94"/>
      <c r="BL281" s="94"/>
      <c r="BM281" s="94"/>
      <c r="BN281" s="94"/>
      <c r="CA281" s="889"/>
      <c r="CB281" s="889" t="str">
        <f t="shared" si="66"/>
        <v/>
      </c>
      <c r="CE281" s="889" t="str">
        <f>IF(CK281=0,"","* No olvide digitar los campos Trans y/o Pueblo Originario y/o Migrantes (Digite CERO si no tiene). ")</f>
        <v/>
      </c>
      <c r="CG281" s="1020"/>
      <c r="CH281" s="1020">
        <f t="shared" si="63"/>
        <v>0</v>
      </c>
      <c r="CI281" s="1020">
        <f t="shared" si="64"/>
        <v>1</v>
      </c>
      <c r="CJ281" s="1020">
        <f t="shared" si="65"/>
        <v>1</v>
      </c>
      <c r="CK281" s="1020">
        <v>0</v>
      </c>
      <c r="CL281" s="1020"/>
      <c r="CM281" s="1020"/>
      <c r="CN281" s="1020"/>
      <c r="CO281" s="1020"/>
    </row>
    <row r="282" spans="1:105" ht="19.5" customHeight="1" x14ac:dyDescent="0.2">
      <c r="B282" s="959" t="s">
        <v>871</v>
      </c>
      <c r="C282" s="139"/>
      <c r="AM282" s="881"/>
      <c r="AN282" s="898"/>
      <c r="AO282" s="898"/>
      <c r="AP282" s="898"/>
      <c r="AQ282" s="898"/>
      <c r="AR282" s="898"/>
      <c r="AS282" s="898"/>
      <c r="AT282" s="898"/>
      <c r="AU282" s="898"/>
      <c r="AV282" s="898"/>
      <c r="AW282" s="911"/>
      <c r="AX282" s="911"/>
      <c r="AY282" s="911"/>
      <c r="AZ282" s="94"/>
      <c r="BA282" s="94"/>
      <c r="BB282" s="94"/>
      <c r="BC282" s="94"/>
      <c r="BD282" s="94"/>
      <c r="BE282" s="94"/>
      <c r="BF282" s="94"/>
      <c r="BG282" s="94"/>
      <c r="BH282" s="94"/>
      <c r="BI282" s="94"/>
      <c r="BJ282" s="94"/>
      <c r="BK282" s="94"/>
      <c r="BL282" s="94"/>
      <c r="BM282" s="94"/>
      <c r="BN282" s="94"/>
      <c r="CH282" s="1020"/>
      <c r="CI282" s="1020"/>
      <c r="CJ282" s="1020"/>
      <c r="CK282" s="1020"/>
      <c r="CL282" s="1020"/>
      <c r="CM282" s="1020"/>
      <c r="CN282" s="1020"/>
      <c r="CO282" s="1020"/>
    </row>
    <row r="283" spans="1:105" ht="16.350000000000001" customHeight="1" x14ac:dyDescent="0.2">
      <c r="B283" s="5118" t="s">
        <v>120</v>
      </c>
      <c r="C283" s="5120"/>
      <c r="D283" s="5523" t="s">
        <v>149</v>
      </c>
      <c r="E283" s="5523"/>
      <c r="F283" s="5523"/>
      <c r="G283" s="5105" t="s">
        <v>406</v>
      </c>
      <c r="H283" s="5137"/>
      <c r="I283" s="5137"/>
      <c r="J283" s="5137"/>
      <c r="K283" s="5137"/>
      <c r="L283" s="5137"/>
      <c r="M283" s="5137"/>
      <c r="N283" s="5137"/>
      <c r="O283" s="5137"/>
      <c r="P283" s="5137"/>
      <c r="Q283" s="5137"/>
      <c r="R283" s="5137"/>
      <c r="S283" s="5137"/>
      <c r="T283" s="5137"/>
      <c r="U283" s="5137"/>
      <c r="V283" s="5137"/>
      <c r="W283" s="5137"/>
      <c r="X283" s="5137"/>
      <c r="Y283" s="5137"/>
      <c r="Z283" s="5137"/>
      <c r="AA283" s="5137"/>
      <c r="AB283" s="5137"/>
      <c r="AC283" s="5137"/>
      <c r="AD283" s="5137"/>
      <c r="AE283" s="5137"/>
      <c r="AF283" s="5137"/>
      <c r="AG283" s="5137"/>
      <c r="AH283" s="5593"/>
      <c r="AI283" s="5607" t="s">
        <v>411</v>
      </c>
      <c r="AJ283" s="5608"/>
      <c r="AK283" s="5611" t="s">
        <v>1359</v>
      </c>
      <c r="AL283" s="5120" t="s">
        <v>1358</v>
      </c>
      <c r="AM283" s="1057"/>
      <c r="AN283" s="1058"/>
      <c r="AO283" s="1058"/>
      <c r="AP283" s="1058"/>
      <c r="AQ283" s="1058"/>
      <c r="AR283" s="1058"/>
      <c r="AS283" s="1058"/>
      <c r="AT283" s="1058"/>
      <c r="AU283" s="1058"/>
      <c r="AV283" s="1058"/>
      <c r="AW283" s="1058"/>
      <c r="AX283" s="1058"/>
      <c r="AY283" s="1058"/>
      <c r="CC283" s="890"/>
      <c r="CD283" s="890"/>
      <c r="CH283" s="1020"/>
      <c r="CI283" s="1020"/>
      <c r="CJ283" s="1020"/>
      <c r="CK283" s="1020"/>
      <c r="CL283" s="1020"/>
      <c r="CM283" s="1020"/>
      <c r="CN283" s="1020"/>
      <c r="CO283" s="1020"/>
    </row>
    <row r="284" spans="1:105" ht="16.350000000000001" customHeight="1" x14ac:dyDescent="0.2">
      <c r="B284" s="5121"/>
      <c r="C284" s="5123"/>
      <c r="D284" s="5523"/>
      <c r="E284" s="5523"/>
      <c r="F284" s="5523"/>
      <c r="G284" s="5107" t="s">
        <v>319</v>
      </c>
      <c r="H284" s="5117"/>
      <c r="I284" s="5107" t="s">
        <v>10</v>
      </c>
      <c r="J284" s="5117"/>
      <c r="K284" s="5107" t="s">
        <v>151</v>
      </c>
      <c r="L284" s="5108"/>
      <c r="M284" s="5107" t="s">
        <v>152</v>
      </c>
      <c r="N284" s="5108"/>
      <c r="O284" s="5107" t="s">
        <v>153</v>
      </c>
      <c r="P284" s="5108"/>
      <c r="Q284" s="5107" t="s">
        <v>154</v>
      </c>
      <c r="R284" s="5108"/>
      <c r="S284" s="5107" t="s">
        <v>155</v>
      </c>
      <c r="T284" s="5108"/>
      <c r="U284" s="5107" t="s">
        <v>156</v>
      </c>
      <c r="V284" s="5108"/>
      <c r="W284" s="5107" t="s">
        <v>157</v>
      </c>
      <c r="X284" s="5108"/>
      <c r="Y284" s="5107" t="s">
        <v>158</v>
      </c>
      <c r="Z284" s="5108"/>
      <c r="AA284" s="5107" t="s">
        <v>159</v>
      </c>
      <c r="AB284" s="5108"/>
      <c r="AC284" s="5107" t="s">
        <v>160</v>
      </c>
      <c r="AD284" s="5108"/>
      <c r="AE284" s="5107" t="s">
        <v>161</v>
      </c>
      <c r="AF284" s="5108"/>
      <c r="AG284" s="5107" t="s">
        <v>162</v>
      </c>
      <c r="AH284" s="5535"/>
      <c r="AI284" s="5609"/>
      <c r="AJ284" s="5610"/>
      <c r="AK284" s="5612"/>
      <c r="AL284" s="5123"/>
      <c r="AM284" s="1057"/>
      <c r="AN284" s="1058"/>
      <c r="AO284" s="1058"/>
      <c r="AP284" s="1058"/>
      <c r="AQ284" s="1058"/>
      <c r="AR284" s="1058"/>
      <c r="AS284" s="1058"/>
      <c r="AT284" s="1058"/>
      <c r="AU284" s="1058"/>
      <c r="AV284" s="1058"/>
      <c r="AW284" s="1058"/>
      <c r="AX284" s="1058"/>
      <c r="AY284" s="1058"/>
      <c r="CC284" s="890"/>
      <c r="CD284" s="890"/>
      <c r="CH284" s="1020"/>
      <c r="CI284" s="1020"/>
      <c r="CJ284" s="1020"/>
      <c r="CK284" s="1020"/>
      <c r="CL284" s="1020"/>
      <c r="CM284" s="1020"/>
      <c r="CN284" s="1020"/>
      <c r="CO284" s="1020"/>
    </row>
    <row r="285" spans="1:105" ht="16.350000000000001" customHeight="1" x14ac:dyDescent="0.2">
      <c r="B285" s="5125"/>
      <c r="C285" s="5126"/>
      <c r="D285" s="253" t="s">
        <v>184</v>
      </c>
      <c r="E285" s="88" t="s">
        <v>24</v>
      </c>
      <c r="F285" s="196" t="s">
        <v>25</v>
      </c>
      <c r="G285" s="253" t="s">
        <v>413</v>
      </c>
      <c r="H285" s="191" t="s">
        <v>25</v>
      </c>
      <c r="I285" s="253" t="s">
        <v>413</v>
      </c>
      <c r="J285" s="191" t="s">
        <v>25</v>
      </c>
      <c r="K285" s="253" t="s">
        <v>413</v>
      </c>
      <c r="L285" s="191" t="s">
        <v>25</v>
      </c>
      <c r="M285" s="253" t="s">
        <v>413</v>
      </c>
      <c r="N285" s="191" t="s">
        <v>25</v>
      </c>
      <c r="O285" s="253" t="s">
        <v>413</v>
      </c>
      <c r="P285" s="191" t="s">
        <v>25</v>
      </c>
      <c r="Q285" s="253" t="s">
        <v>413</v>
      </c>
      <c r="R285" s="191" t="s">
        <v>25</v>
      </c>
      <c r="S285" s="253" t="s">
        <v>413</v>
      </c>
      <c r="T285" s="191" t="s">
        <v>25</v>
      </c>
      <c r="U285" s="253" t="s">
        <v>413</v>
      </c>
      <c r="V285" s="191" t="s">
        <v>25</v>
      </c>
      <c r="W285" s="253" t="s">
        <v>413</v>
      </c>
      <c r="X285" s="191" t="s">
        <v>25</v>
      </c>
      <c r="Y285" s="253" t="s">
        <v>413</v>
      </c>
      <c r="Z285" s="191" t="s">
        <v>25</v>
      </c>
      <c r="AA285" s="253" t="s">
        <v>413</v>
      </c>
      <c r="AB285" s="191" t="s">
        <v>25</v>
      </c>
      <c r="AC285" s="253" t="s">
        <v>413</v>
      </c>
      <c r="AD285" s="191" t="s">
        <v>25</v>
      </c>
      <c r="AE285" s="253" t="s">
        <v>413</v>
      </c>
      <c r="AF285" s="191" t="s">
        <v>25</v>
      </c>
      <c r="AG285" s="253" t="s">
        <v>413</v>
      </c>
      <c r="AH285" s="508" t="s">
        <v>25</v>
      </c>
      <c r="AI285" s="769" t="s">
        <v>1350</v>
      </c>
      <c r="AJ285" s="784" t="s">
        <v>1351</v>
      </c>
      <c r="AK285" s="5432"/>
      <c r="AL285" s="5126"/>
      <c r="AM285" s="1057"/>
      <c r="AN285" s="1058"/>
      <c r="AO285" s="1058"/>
      <c r="AP285" s="1058"/>
      <c r="AQ285" s="1058"/>
      <c r="AR285" s="1058"/>
      <c r="AS285" s="1058"/>
      <c r="AT285" s="1058"/>
      <c r="AU285" s="1058"/>
      <c r="AV285" s="1058"/>
      <c r="AW285" s="1058"/>
      <c r="AX285" s="1058"/>
      <c r="AY285" s="1058"/>
      <c r="CC285" s="890"/>
      <c r="CD285" s="890"/>
      <c r="CH285" s="1020"/>
      <c r="CI285" s="1020"/>
      <c r="CJ285" s="1020"/>
      <c r="CK285" s="1020"/>
      <c r="CL285" s="1020"/>
      <c r="CM285" s="1020"/>
      <c r="CN285" s="1020"/>
      <c r="CO285" s="1020"/>
    </row>
    <row r="286" spans="1:105" ht="20.25" customHeight="1" thickBot="1" x14ac:dyDescent="0.25">
      <c r="A286" s="2449" t="s">
        <v>3282</v>
      </c>
      <c r="B286" s="5626" t="s">
        <v>354</v>
      </c>
      <c r="C286" s="5626"/>
      <c r="D286" s="2848" t="s">
        <v>2777</v>
      </c>
      <c r="E286" s="2849" t="s">
        <v>2778</v>
      </c>
      <c r="F286" s="2850" t="s">
        <v>2779</v>
      </c>
      <c r="G286" s="2472" t="s">
        <v>2780</v>
      </c>
      <c r="H286" s="2845" t="s">
        <v>2781</v>
      </c>
      <c r="I286" s="2472" t="s">
        <v>2782</v>
      </c>
      <c r="J286" s="2845" t="s">
        <v>2783</v>
      </c>
      <c r="K286" s="2472" t="s">
        <v>2784</v>
      </c>
      <c r="L286" s="2845" t="s">
        <v>2785</v>
      </c>
      <c r="M286" s="2472" t="s">
        <v>2786</v>
      </c>
      <c r="N286" s="2845" t="s">
        <v>2787</v>
      </c>
      <c r="O286" s="2472" t="s">
        <v>2788</v>
      </c>
      <c r="P286" s="2845" t="s">
        <v>2789</v>
      </c>
      <c r="Q286" s="2472" t="s">
        <v>2790</v>
      </c>
      <c r="R286" s="2845" t="s">
        <v>2791</v>
      </c>
      <c r="S286" s="2472" t="s">
        <v>2792</v>
      </c>
      <c r="T286" s="2845" t="s">
        <v>2793</v>
      </c>
      <c r="U286" s="2472" t="s">
        <v>2794</v>
      </c>
      <c r="V286" s="2845" t="s">
        <v>2795</v>
      </c>
      <c r="W286" s="2472" t="s">
        <v>2796</v>
      </c>
      <c r="X286" s="2845" t="s">
        <v>2797</v>
      </c>
      <c r="Y286" s="2472" t="s">
        <v>2798</v>
      </c>
      <c r="Z286" s="2845" t="s">
        <v>2799</v>
      </c>
      <c r="AA286" s="2472" t="s">
        <v>2800</v>
      </c>
      <c r="AB286" s="2845" t="s">
        <v>2801</v>
      </c>
      <c r="AC286" s="2472" t="s">
        <v>2817</v>
      </c>
      <c r="AD286" s="2845" t="s">
        <v>2818</v>
      </c>
      <c r="AE286" s="2472" t="s">
        <v>2819</v>
      </c>
      <c r="AF286" s="2845" t="s">
        <v>2821</v>
      </c>
      <c r="AG286" s="2472" t="s">
        <v>2822</v>
      </c>
      <c r="AH286" s="2851" t="s">
        <v>2823</v>
      </c>
      <c r="AI286" s="2845" t="s">
        <v>2824</v>
      </c>
      <c r="AJ286" s="2852" t="s">
        <v>2825</v>
      </c>
      <c r="AK286" s="2472" t="s">
        <v>2826</v>
      </c>
      <c r="AL286" s="2474" t="s">
        <v>2827</v>
      </c>
      <c r="AM286" s="1057"/>
      <c r="AN286" s="128"/>
      <c r="AO286" s="128"/>
      <c r="AP286" s="128"/>
      <c r="AQ286" s="128"/>
      <c r="AR286" s="128"/>
      <c r="AS286" s="905"/>
      <c r="AT286" s="905"/>
      <c r="AU286" s="905"/>
      <c r="AV286" s="905"/>
      <c r="AW286" s="905"/>
      <c r="AX286" s="905"/>
      <c r="AY286" s="905"/>
      <c r="CA286" s="80"/>
      <c r="CK286" s="889">
        <v>0</v>
      </c>
    </row>
    <row r="287" spans="1:105" ht="22.5" customHeight="1" thickTop="1" thickBot="1" x14ac:dyDescent="0.25">
      <c r="A287" s="2449" t="s">
        <v>3283</v>
      </c>
      <c r="B287" s="5624" t="s">
        <v>427</v>
      </c>
      <c r="C287" s="5624"/>
      <c r="D287" s="719" t="s">
        <v>2777</v>
      </c>
      <c r="E287" s="720" t="s">
        <v>2778</v>
      </c>
      <c r="F287" s="712" t="s">
        <v>2779</v>
      </c>
      <c r="G287" s="388" t="s">
        <v>2780</v>
      </c>
      <c r="H287" s="666" t="s">
        <v>2781</v>
      </c>
      <c r="I287" s="388" t="s">
        <v>2782</v>
      </c>
      <c r="J287" s="666" t="s">
        <v>2783</v>
      </c>
      <c r="K287" s="388" t="s">
        <v>2784</v>
      </c>
      <c r="L287" s="666" t="s">
        <v>2785</v>
      </c>
      <c r="M287" s="388" t="s">
        <v>2786</v>
      </c>
      <c r="N287" s="666" t="s">
        <v>2787</v>
      </c>
      <c r="O287" s="388" t="s">
        <v>2788</v>
      </c>
      <c r="P287" s="666" t="s">
        <v>2789</v>
      </c>
      <c r="Q287" s="388" t="s">
        <v>2790</v>
      </c>
      <c r="R287" s="666" t="s">
        <v>2791</v>
      </c>
      <c r="S287" s="388" t="s">
        <v>2792</v>
      </c>
      <c r="T287" s="666" t="s">
        <v>2793</v>
      </c>
      <c r="U287" s="388" t="s">
        <v>2794</v>
      </c>
      <c r="V287" s="666" t="s">
        <v>2795</v>
      </c>
      <c r="W287" s="388" t="s">
        <v>2796</v>
      </c>
      <c r="X287" s="666" t="s">
        <v>2797</v>
      </c>
      <c r="Y287" s="388" t="s">
        <v>2798</v>
      </c>
      <c r="Z287" s="666" t="s">
        <v>2799</v>
      </c>
      <c r="AA287" s="388" t="s">
        <v>2800</v>
      </c>
      <c r="AB287" s="666" t="s">
        <v>2801</v>
      </c>
      <c r="AC287" s="388" t="s">
        <v>2817</v>
      </c>
      <c r="AD287" s="666" t="s">
        <v>2818</v>
      </c>
      <c r="AE287" s="388" t="s">
        <v>2819</v>
      </c>
      <c r="AF287" s="666" t="s">
        <v>2821</v>
      </c>
      <c r="AG287" s="388" t="s">
        <v>2822</v>
      </c>
      <c r="AH287" s="667" t="s">
        <v>2823</v>
      </c>
      <c r="AI287" s="666" t="s">
        <v>2824</v>
      </c>
      <c r="AJ287" s="389" t="s">
        <v>2825</v>
      </c>
      <c r="AK287" s="388" t="s">
        <v>2826</v>
      </c>
      <c r="AL287" s="389" t="s">
        <v>2827</v>
      </c>
      <c r="AM287" s="1057"/>
      <c r="AN287" s="128"/>
      <c r="AO287" s="128"/>
      <c r="AP287" s="128"/>
      <c r="AQ287" s="128"/>
      <c r="AR287" s="128"/>
      <c r="AS287" s="905"/>
      <c r="AT287" s="905"/>
      <c r="AU287" s="905"/>
      <c r="AV287" s="905"/>
      <c r="AW287" s="905"/>
      <c r="AX287" s="905"/>
      <c r="AY287" s="905"/>
    </row>
    <row r="288" spans="1:105" ht="18.75" customHeight="1" thickTop="1" x14ac:dyDescent="0.2">
      <c r="A288" s="2449" t="s">
        <v>3284</v>
      </c>
      <c r="B288" s="5625" t="s">
        <v>317</v>
      </c>
      <c r="C288" s="5625"/>
      <c r="D288" s="2723" t="s">
        <v>2777</v>
      </c>
      <c r="E288" s="2350" t="s">
        <v>2778</v>
      </c>
      <c r="F288" s="2771" t="s">
        <v>2779</v>
      </c>
      <c r="G288" s="2853" t="s">
        <v>2780</v>
      </c>
      <c r="H288" s="2854" t="s">
        <v>2781</v>
      </c>
      <c r="I288" s="2853" t="s">
        <v>2782</v>
      </c>
      <c r="J288" s="2854" t="s">
        <v>2783</v>
      </c>
      <c r="K288" s="2853" t="s">
        <v>2784</v>
      </c>
      <c r="L288" s="2854" t="s">
        <v>2785</v>
      </c>
      <c r="M288" s="2853" t="s">
        <v>2786</v>
      </c>
      <c r="N288" s="2854" t="s">
        <v>2787</v>
      </c>
      <c r="O288" s="2853" t="s">
        <v>2788</v>
      </c>
      <c r="P288" s="2854" t="s">
        <v>2789</v>
      </c>
      <c r="Q288" s="2853" t="s">
        <v>2790</v>
      </c>
      <c r="R288" s="2854" t="s">
        <v>2791</v>
      </c>
      <c r="S288" s="2853" t="s">
        <v>2792</v>
      </c>
      <c r="T288" s="2854" t="s">
        <v>2793</v>
      </c>
      <c r="U288" s="2853" t="s">
        <v>2794</v>
      </c>
      <c r="V288" s="2854" t="s">
        <v>2795</v>
      </c>
      <c r="W288" s="2853" t="s">
        <v>2796</v>
      </c>
      <c r="X288" s="2854" t="s">
        <v>2797</v>
      </c>
      <c r="Y288" s="2853" t="s">
        <v>2798</v>
      </c>
      <c r="Z288" s="2854" t="s">
        <v>2799</v>
      </c>
      <c r="AA288" s="2853" t="s">
        <v>2800</v>
      </c>
      <c r="AB288" s="2854" t="s">
        <v>2801</v>
      </c>
      <c r="AC288" s="2853" t="s">
        <v>2817</v>
      </c>
      <c r="AD288" s="2854" t="s">
        <v>2818</v>
      </c>
      <c r="AE288" s="2853" t="s">
        <v>2819</v>
      </c>
      <c r="AF288" s="2854" t="s">
        <v>2821</v>
      </c>
      <c r="AG288" s="2853" t="s">
        <v>2822</v>
      </c>
      <c r="AH288" s="2855" t="s">
        <v>2823</v>
      </c>
      <c r="AI288" s="2854" t="s">
        <v>2824</v>
      </c>
      <c r="AJ288" s="2856" t="s">
        <v>2825</v>
      </c>
      <c r="AK288" s="2853" t="s">
        <v>2826</v>
      </c>
      <c r="AL288" s="2856" t="s">
        <v>2827</v>
      </c>
      <c r="AM288" s="1057"/>
      <c r="AN288" s="81"/>
      <c r="AO288" s="81"/>
      <c r="AP288" s="81"/>
      <c r="AQ288" s="81"/>
      <c r="AR288" s="81"/>
      <c r="AS288" s="81"/>
      <c r="AT288" s="81"/>
      <c r="AU288" s="81"/>
      <c r="AV288" s="81"/>
      <c r="AW288" s="81"/>
      <c r="AX288" s="81"/>
      <c r="AY288" s="81"/>
    </row>
    <row r="289" spans="1:105" ht="30" customHeight="1" x14ac:dyDescent="0.2">
      <c r="B289" s="1270" t="s">
        <v>1264</v>
      </c>
      <c r="C289" s="1271"/>
      <c r="D289" s="1272"/>
      <c r="E289" s="1272"/>
      <c r="F289" s="1272"/>
      <c r="G289" s="1272"/>
      <c r="H289" s="1272"/>
      <c r="I289" s="1272"/>
      <c r="J289" s="1272"/>
      <c r="K289" s="1272"/>
      <c r="L289" s="1272"/>
      <c r="M289" s="1272"/>
      <c r="N289" s="1272"/>
      <c r="O289" s="1272"/>
      <c r="P289" s="190"/>
      <c r="Q289" s="190"/>
      <c r="R289" s="190"/>
      <c r="S289" s="190"/>
      <c r="T289" s="190"/>
      <c r="U289" s="190"/>
      <c r="V289" s="190"/>
      <c r="W289" s="190"/>
      <c r="X289" s="190"/>
      <c r="Y289" s="190"/>
      <c r="Z289" s="190"/>
      <c r="AA289" s="190"/>
      <c r="AB289" s="190"/>
      <c r="AC289" s="190"/>
      <c r="AD289" s="190"/>
      <c r="AE289" s="190"/>
      <c r="AF289" s="190"/>
      <c r="AG289" s="190"/>
      <c r="AH289" s="190"/>
      <c r="AI289" s="81"/>
      <c r="AJ289" s="190"/>
      <c r="AK289" s="190"/>
      <c r="AL289" s="190"/>
      <c r="AM289" s="81"/>
      <c r="AN289" s="81"/>
      <c r="AO289" s="81"/>
      <c r="AP289" s="81"/>
      <c r="AQ289" s="81"/>
      <c r="AR289" s="81"/>
      <c r="AS289" s="81"/>
      <c r="AT289" s="81"/>
      <c r="AU289" s="81"/>
      <c r="AV289" s="81"/>
      <c r="AW289" s="81"/>
      <c r="AX289" s="81"/>
      <c r="AY289" s="81"/>
    </row>
    <row r="290" spans="1:105" ht="16.350000000000001" customHeight="1" x14ac:dyDescent="0.2">
      <c r="B290" s="5135" t="s">
        <v>177</v>
      </c>
      <c r="C290" s="5632" t="s">
        <v>428</v>
      </c>
      <c r="D290" s="5633"/>
      <c r="E290" s="5634"/>
      <c r="F290" s="5125" t="s">
        <v>429</v>
      </c>
      <c r="G290" s="5598"/>
      <c r="H290" s="5598"/>
      <c r="I290" s="5598"/>
      <c r="J290" s="5598"/>
      <c r="K290" s="5598"/>
      <c r="L290" s="5598"/>
      <c r="M290" s="5598"/>
      <c r="N290" s="5598"/>
      <c r="O290" s="392"/>
      <c r="P290" s="190"/>
      <c r="Q290" s="190"/>
      <c r="R290" s="190"/>
      <c r="S290" s="190"/>
      <c r="T290" s="190"/>
      <c r="U290" s="190"/>
      <c r="V290" s="190"/>
      <c r="W290" s="190"/>
      <c r="X290" s="190"/>
      <c r="Y290" s="190"/>
      <c r="Z290" s="190"/>
      <c r="AA290" s="190"/>
      <c r="AB290" s="190"/>
      <c r="AC290" s="190"/>
      <c r="AD290" s="190"/>
      <c r="AE290" s="190"/>
      <c r="AF290" s="190"/>
      <c r="AG290" s="190"/>
      <c r="AH290" s="190"/>
      <c r="AI290" s="190"/>
      <c r="AJ290" s="190"/>
      <c r="AK290" s="190"/>
      <c r="AL290" s="190"/>
      <c r="AM290" s="81"/>
      <c r="AN290" s="219"/>
      <c r="AO290" s="81"/>
      <c r="AP290" s="81"/>
      <c r="AQ290" s="81"/>
      <c r="AR290" s="81"/>
      <c r="AS290" s="81"/>
      <c r="AT290" s="81"/>
      <c r="AU290" s="81"/>
      <c r="AV290" s="81"/>
      <c r="AW290" s="81"/>
      <c r="AX290" s="81"/>
      <c r="AY290" s="81"/>
    </row>
    <row r="291" spans="1:105" ht="16.350000000000001" customHeight="1" x14ac:dyDescent="0.2">
      <c r="B291" s="5135"/>
      <c r="C291" s="5125"/>
      <c r="D291" s="5598"/>
      <c r="E291" s="5126"/>
      <c r="F291" s="5107" t="s">
        <v>350</v>
      </c>
      <c r="G291" s="5108"/>
      <c r="H291" s="5107" t="s">
        <v>351</v>
      </c>
      <c r="I291" s="5108"/>
      <c r="J291" s="5107" t="s">
        <v>352</v>
      </c>
      <c r="K291" s="5108"/>
      <c r="L291" s="5107" t="s">
        <v>319</v>
      </c>
      <c r="M291" s="5108"/>
      <c r="N291" s="5107" t="s">
        <v>10</v>
      </c>
      <c r="O291" s="5108"/>
      <c r="P291" s="190"/>
      <c r="Q291" s="190"/>
      <c r="R291" s="190"/>
      <c r="S291" s="190"/>
      <c r="T291" s="190"/>
      <c r="U291" s="190"/>
      <c r="V291" s="190"/>
      <c r="W291" s="190"/>
      <c r="X291" s="190"/>
      <c r="Y291" s="190"/>
      <c r="Z291" s="190"/>
      <c r="AA291" s="190"/>
      <c r="AB291" s="190"/>
      <c r="AC291" s="190"/>
      <c r="AD291" s="190"/>
      <c r="AE291" s="190"/>
      <c r="AF291" s="190"/>
      <c r="AG291" s="190"/>
      <c r="AH291" s="190"/>
      <c r="AI291" s="190"/>
      <c r="AJ291" s="190"/>
      <c r="AK291" s="190"/>
      <c r="AL291" s="190"/>
      <c r="AM291" s="81"/>
      <c r="AN291" s="81"/>
      <c r="AO291" s="81"/>
      <c r="AP291" s="81"/>
      <c r="AQ291" s="81"/>
      <c r="AR291" s="81"/>
      <c r="AS291" s="81"/>
      <c r="AT291" s="81"/>
      <c r="AU291" s="81"/>
      <c r="AV291" s="81"/>
      <c r="AW291" s="81"/>
      <c r="AX291" s="81"/>
      <c r="AY291" s="81"/>
    </row>
    <row r="292" spans="1:105" ht="19.5" customHeight="1" x14ac:dyDescent="0.2">
      <c r="B292" s="5136"/>
      <c r="C292" s="1247" t="s">
        <v>184</v>
      </c>
      <c r="D292" s="1273" t="s">
        <v>24</v>
      </c>
      <c r="E292" s="235" t="s">
        <v>25</v>
      </c>
      <c r="F292" s="253" t="s">
        <v>24</v>
      </c>
      <c r="G292" s="131" t="s">
        <v>25</v>
      </c>
      <c r="H292" s="253" t="s">
        <v>24</v>
      </c>
      <c r="I292" s="131" t="s">
        <v>25</v>
      </c>
      <c r="J292" s="253" t="s">
        <v>24</v>
      </c>
      <c r="K292" s="131" t="s">
        <v>25</v>
      </c>
      <c r="L292" s="253" t="s">
        <v>24</v>
      </c>
      <c r="M292" s="131" t="s">
        <v>25</v>
      </c>
      <c r="N292" s="253" t="s">
        <v>24</v>
      </c>
      <c r="O292" s="131" t="s">
        <v>25</v>
      </c>
    </row>
    <row r="293" spans="1:105" ht="20.25" customHeight="1" x14ac:dyDescent="0.2">
      <c r="A293" s="2449" t="s">
        <v>3285</v>
      </c>
      <c r="B293" s="2557" t="s">
        <v>111</v>
      </c>
      <c r="C293" s="2857" t="s">
        <v>2777</v>
      </c>
      <c r="D293" s="2858" t="s">
        <v>2778</v>
      </c>
      <c r="E293" s="2558" t="s">
        <v>2779</v>
      </c>
      <c r="F293" s="2483" t="s">
        <v>2780</v>
      </c>
      <c r="G293" s="2499" t="s">
        <v>2781</v>
      </c>
      <c r="H293" s="2483" t="s">
        <v>2782</v>
      </c>
      <c r="I293" s="2499" t="s">
        <v>2783</v>
      </c>
      <c r="J293" s="2483" t="s">
        <v>2784</v>
      </c>
      <c r="K293" s="2480" t="s">
        <v>2785</v>
      </c>
      <c r="L293" s="2483" t="s">
        <v>2786</v>
      </c>
      <c r="M293" s="2480" t="s">
        <v>2787</v>
      </c>
      <c r="N293" s="2560" t="s">
        <v>2788</v>
      </c>
      <c r="O293" s="2480" t="s">
        <v>2789</v>
      </c>
      <c r="P293" s="79"/>
    </row>
    <row r="294" spans="1:105" ht="21.75" customHeight="1" x14ac:dyDescent="0.2">
      <c r="A294" s="2449" t="s">
        <v>3286</v>
      </c>
      <c r="B294" s="2859" t="s">
        <v>326</v>
      </c>
      <c r="C294" s="2860" t="s">
        <v>2777</v>
      </c>
      <c r="D294" s="2861" t="s">
        <v>2778</v>
      </c>
      <c r="E294" s="2862" t="s">
        <v>2779</v>
      </c>
      <c r="F294" s="2717" t="s">
        <v>2780</v>
      </c>
      <c r="G294" s="2719" t="s">
        <v>2781</v>
      </c>
      <c r="H294" s="2717" t="s">
        <v>2782</v>
      </c>
      <c r="I294" s="2863" t="s">
        <v>2783</v>
      </c>
      <c r="J294" s="2717" t="s">
        <v>2784</v>
      </c>
      <c r="K294" s="2719" t="s">
        <v>2785</v>
      </c>
      <c r="L294" s="2717" t="s">
        <v>2786</v>
      </c>
      <c r="M294" s="2719" t="s">
        <v>2787</v>
      </c>
      <c r="N294" s="2772" t="s">
        <v>2788</v>
      </c>
      <c r="O294" s="2863" t="s">
        <v>2789</v>
      </c>
      <c r="P294" s="79"/>
    </row>
    <row r="295" spans="1:105" ht="22.5" customHeight="1" x14ac:dyDescent="0.2">
      <c r="B295" s="5059" t="s">
        <v>1702</v>
      </c>
      <c r="C295" s="5060"/>
      <c r="D295" s="5061"/>
      <c r="E295" s="5061"/>
      <c r="F295" s="5061"/>
      <c r="G295" s="5061"/>
      <c r="H295" s="5061"/>
      <c r="I295" s="5061"/>
      <c r="J295" s="5061"/>
      <c r="K295" s="5061"/>
      <c r="L295" s="5061"/>
      <c r="M295" s="5061"/>
      <c r="N295" s="5061"/>
      <c r="O295" s="5061"/>
      <c r="P295" s="243"/>
      <c r="Q295" s="243"/>
      <c r="R295" s="243"/>
      <c r="S295" s="243"/>
      <c r="T295" s="243"/>
      <c r="U295" s="243"/>
      <c r="V295" s="243"/>
      <c r="W295" s="243"/>
      <c r="X295" s="243"/>
      <c r="Y295" s="243"/>
      <c r="Z295" s="243"/>
      <c r="AA295" s="243"/>
      <c r="AB295" s="243"/>
      <c r="AC295" s="243"/>
      <c r="AD295" s="243"/>
      <c r="AE295" s="243"/>
      <c r="AF295" s="243"/>
      <c r="AG295" s="243"/>
      <c r="AH295" s="243"/>
      <c r="AI295" s="243"/>
      <c r="AJ295" s="243"/>
      <c r="AK295" s="243"/>
    </row>
    <row r="296" spans="1:105" ht="14.25" customHeight="1" x14ac:dyDescent="0.2">
      <c r="B296" s="5710" t="s">
        <v>177</v>
      </c>
      <c r="C296" s="5710" t="s">
        <v>188</v>
      </c>
      <c r="D296" s="5711" t="s">
        <v>428</v>
      </c>
      <c r="E296" s="5711"/>
      <c r="F296" s="5711"/>
      <c r="G296" s="5413" t="s">
        <v>429</v>
      </c>
      <c r="H296" s="5426"/>
      <c r="I296" s="5426"/>
      <c r="J296" s="5426"/>
      <c r="K296" s="5426"/>
      <c r="L296" s="5426"/>
      <c r="M296" s="5426"/>
      <c r="N296" s="5426"/>
      <c r="O296" s="5426"/>
      <c r="P296" s="5426"/>
      <c r="Q296" s="5426"/>
      <c r="R296" s="5426"/>
      <c r="S296" s="5426"/>
      <c r="T296" s="5426"/>
      <c r="U296" s="5426"/>
      <c r="V296" s="5426"/>
      <c r="W296" s="5426"/>
      <c r="X296" s="5426"/>
      <c r="Y296" s="5426"/>
      <c r="Z296" s="5426"/>
      <c r="AA296" s="5426"/>
      <c r="AB296" s="5426"/>
      <c r="AC296" s="5426"/>
      <c r="AD296" s="5426"/>
      <c r="AE296" s="5426"/>
      <c r="AF296" s="5426"/>
      <c r="AG296" s="5426"/>
      <c r="AH296" s="5541"/>
      <c r="AI296" s="5709" t="s">
        <v>1357</v>
      </c>
      <c r="AJ296" s="5709" t="s">
        <v>1358</v>
      </c>
      <c r="AK296" s="5709" t="s">
        <v>1359</v>
      </c>
      <c r="BU296" s="79"/>
      <c r="BV296" s="889"/>
      <c r="BW296" s="889"/>
      <c r="BX296" s="889"/>
      <c r="BY296" s="889"/>
      <c r="BZ296" s="889"/>
      <c r="CA296" s="889"/>
      <c r="CV296" s="80"/>
      <c r="CW296" s="80"/>
      <c r="CX296" s="80"/>
      <c r="CY296" s="80"/>
      <c r="CZ296" s="80"/>
      <c r="DA296" s="80"/>
    </row>
    <row r="297" spans="1:105" x14ac:dyDescent="0.2">
      <c r="B297" s="5710"/>
      <c r="C297" s="5710"/>
      <c r="D297" s="5711"/>
      <c r="E297" s="5711"/>
      <c r="F297" s="5711"/>
      <c r="G297" s="5413" t="s">
        <v>319</v>
      </c>
      <c r="H297" s="5541"/>
      <c r="I297" s="5413" t="s">
        <v>10</v>
      </c>
      <c r="J297" s="5541"/>
      <c r="K297" s="5413" t="s">
        <v>151</v>
      </c>
      <c r="L297" s="5541"/>
      <c r="M297" s="5413" t="s">
        <v>152</v>
      </c>
      <c r="N297" s="5541"/>
      <c r="O297" s="5413" t="s">
        <v>153</v>
      </c>
      <c r="P297" s="5541"/>
      <c r="Q297" s="5413" t="s">
        <v>154</v>
      </c>
      <c r="R297" s="5541"/>
      <c r="S297" s="5413" t="s">
        <v>155</v>
      </c>
      <c r="T297" s="5541"/>
      <c r="U297" s="5413" t="s">
        <v>156</v>
      </c>
      <c r="V297" s="5541"/>
      <c r="W297" s="5413" t="s">
        <v>157</v>
      </c>
      <c r="X297" s="5541"/>
      <c r="Y297" s="5413" t="s">
        <v>158</v>
      </c>
      <c r="Z297" s="5541"/>
      <c r="AA297" s="5413" t="s">
        <v>159</v>
      </c>
      <c r="AB297" s="5541"/>
      <c r="AC297" s="5413" t="s">
        <v>160</v>
      </c>
      <c r="AD297" s="5541"/>
      <c r="AE297" s="5413" t="s">
        <v>161</v>
      </c>
      <c r="AF297" s="5541"/>
      <c r="AG297" s="5413" t="s">
        <v>162</v>
      </c>
      <c r="AH297" s="5541"/>
      <c r="AI297" s="5123"/>
      <c r="AJ297" s="5123"/>
      <c r="AK297" s="5123"/>
      <c r="BU297" s="79"/>
      <c r="BV297" s="889"/>
      <c r="BW297" s="889"/>
      <c r="BX297" s="889"/>
      <c r="BY297" s="889"/>
      <c r="BZ297" s="889"/>
      <c r="CA297" s="889"/>
      <c r="CV297" s="80"/>
      <c r="CW297" s="80"/>
      <c r="CX297" s="80"/>
      <c r="CY297" s="80"/>
      <c r="CZ297" s="80"/>
      <c r="DA297" s="80"/>
    </row>
    <row r="298" spans="1:105" x14ac:dyDescent="0.2">
      <c r="B298" s="5710"/>
      <c r="C298" s="5710"/>
      <c r="D298" s="4788" t="s">
        <v>184</v>
      </c>
      <c r="E298" s="4788" t="s">
        <v>24</v>
      </c>
      <c r="F298" s="4786" t="s">
        <v>25</v>
      </c>
      <c r="G298" s="4789" t="s">
        <v>24</v>
      </c>
      <c r="H298" s="4760" t="s">
        <v>25</v>
      </c>
      <c r="I298" s="4789" t="s">
        <v>24</v>
      </c>
      <c r="J298" s="4760" t="s">
        <v>25</v>
      </c>
      <c r="K298" s="4789" t="s">
        <v>413</v>
      </c>
      <c r="L298" s="4760" t="s">
        <v>25</v>
      </c>
      <c r="M298" s="4789" t="s">
        <v>413</v>
      </c>
      <c r="N298" s="4760" t="s">
        <v>25</v>
      </c>
      <c r="O298" s="4789" t="s">
        <v>413</v>
      </c>
      <c r="P298" s="4760" t="s">
        <v>25</v>
      </c>
      <c r="Q298" s="4789" t="s">
        <v>413</v>
      </c>
      <c r="R298" s="4760" t="s">
        <v>25</v>
      </c>
      <c r="S298" s="4789" t="s">
        <v>413</v>
      </c>
      <c r="T298" s="4760" t="s">
        <v>25</v>
      </c>
      <c r="U298" s="4789" t="s">
        <v>413</v>
      </c>
      <c r="V298" s="4760" t="s">
        <v>25</v>
      </c>
      <c r="W298" s="4789" t="s">
        <v>413</v>
      </c>
      <c r="X298" s="4760" t="s">
        <v>25</v>
      </c>
      <c r="Y298" s="4789" t="s">
        <v>413</v>
      </c>
      <c r="Z298" s="4760" t="s">
        <v>25</v>
      </c>
      <c r="AA298" s="4789" t="s">
        <v>413</v>
      </c>
      <c r="AB298" s="4760" t="s">
        <v>25</v>
      </c>
      <c r="AC298" s="4789" t="s">
        <v>413</v>
      </c>
      <c r="AD298" s="4760" t="s">
        <v>25</v>
      </c>
      <c r="AE298" s="4789" t="s">
        <v>413</v>
      </c>
      <c r="AF298" s="4760" t="s">
        <v>25</v>
      </c>
      <c r="AG298" s="4789" t="s">
        <v>413</v>
      </c>
      <c r="AH298" s="4760" t="s">
        <v>25</v>
      </c>
      <c r="AI298" s="5126"/>
      <c r="AJ298" s="5126"/>
      <c r="AK298" s="5126"/>
      <c r="BU298" s="79"/>
      <c r="BV298" s="889"/>
      <c r="BW298" s="889"/>
      <c r="BX298" s="889"/>
      <c r="BY298" s="889"/>
      <c r="BZ298" s="889"/>
      <c r="CA298" s="889"/>
      <c r="CV298" s="80"/>
      <c r="CW298" s="80"/>
      <c r="CX298" s="80"/>
      <c r="CY298" s="80"/>
      <c r="CZ298" s="80"/>
      <c r="DA298" s="80"/>
    </row>
    <row r="299" spans="1:105" x14ac:dyDescent="0.2">
      <c r="A299" s="643" t="s">
        <v>3744</v>
      </c>
      <c r="B299" s="5712" t="s">
        <v>111</v>
      </c>
      <c r="C299" s="5062" t="s">
        <v>1699</v>
      </c>
      <c r="D299" s="5063" t="s">
        <v>2777</v>
      </c>
      <c r="E299" s="5064" t="s">
        <v>2778</v>
      </c>
      <c r="F299" s="4791" t="s">
        <v>2779</v>
      </c>
      <c r="G299" s="137" t="s">
        <v>2780</v>
      </c>
      <c r="H299" s="1121" t="s">
        <v>2781</v>
      </c>
      <c r="I299" s="137" t="s">
        <v>2782</v>
      </c>
      <c r="J299" s="1121" t="s">
        <v>2783</v>
      </c>
      <c r="K299" s="137" t="s">
        <v>2784</v>
      </c>
      <c r="L299" s="1121" t="s">
        <v>2785</v>
      </c>
      <c r="M299" s="137" t="s">
        <v>2786</v>
      </c>
      <c r="N299" s="1121" t="s">
        <v>2787</v>
      </c>
      <c r="O299" s="137" t="s">
        <v>2788</v>
      </c>
      <c r="P299" s="1121" t="s">
        <v>2789</v>
      </c>
      <c r="Q299" s="137" t="s">
        <v>2790</v>
      </c>
      <c r="R299" s="1121" t="s">
        <v>2791</v>
      </c>
      <c r="S299" s="137" t="s">
        <v>2792</v>
      </c>
      <c r="T299" s="1121" t="s">
        <v>2793</v>
      </c>
      <c r="U299" s="137" t="s">
        <v>2794</v>
      </c>
      <c r="V299" s="1121" t="s">
        <v>2795</v>
      </c>
      <c r="W299" s="137" t="s">
        <v>2796</v>
      </c>
      <c r="X299" s="1121" t="s">
        <v>2797</v>
      </c>
      <c r="Y299" s="137" t="s">
        <v>2798</v>
      </c>
      <c r="Z299" s="1121" t="s">
        <v>2799</v>
      </c>
      <c r="AA299" s="137" t="s">
        <v>2800</v>
      </c>
      <c r="AB299" s="1121" t="s">
        <v>2801</v>
      </c>
      <c r="AC299" s="137" t="s">
        <v>2817</v>
      </c>
      <c r="AD299" s="1121" t="s">
        <v>2818</v>
      </c>
      <c r="AE299" s="137" t="s">
        <v>2819</v>
      </c>
      <c r="AF299" s="1121" t="s">
        <v>2821</v>
      </c>
      <c r="AG299" s="137" t="s">
        <v>2822</v>
      </c>
      <c r="AH299" s="1121" t="s">
        <v>2823</v>
      </c>
      <c r="AI299" s="137" t="s">
        <v>2824</v>
      </c>
      <c r="AJ299" s="110" t="s">
        <v>2825</v>
      </c>
      <c r="AK299" s="123" t="s">
        <v>2826</v>
      </c>
      <c r="AL299" s="1057"/>
      <c r="BU299" s="79"/>
      <c r="BV299" s="889"/>
      <c r="BW299" s="889"/>
      <c r="BX299" s="889"/>
      <c r="BY299" s="889"/>
      <c r="BZ299" s="889"/>
      <c r="CA299" s="889"/>
      <c r="CK299" s="889">
        <v>0</v>
      </c>
      <c r="CV299" s="80"/>
      <c r="CW299" s="80"/>
      <c r="CX299" s="80"/>
      <c r="CY299" s="80"/>
      <c r="CZ299" s="80"/>
      <c r="DA299" s="80"/>
    </row>
    <row r="300" spans="1:105" x14ac:dyDescent="0.2">
      <c r="A300" s="643" t="s">
        <v>3745</v>
      </c>
      <c r="B300" s="5713"/>
      <c r="C300" s="107" t="s">
        <v>1700</v>
      </c>
      <c r="D300" s="349" t="s">
        <v>2777</v>
      </c>
      <c r="E300" s="2885" t="s">
        <v>2778</v>
      </c>
      <c r="F300" s="5065" t="s">
        <v>2779</v>
      </c>
      <c r="G300" s="141" t="s">
        <v>2780</v>
      </c>
      <c r="H300" s="198" t="s">
        <v>2781</v>
      </c>
      <c r="I300" s="141" t="s">
        <v>2782</v>
      </c>
      <c r="J300" s="198" t="s">
        <v>2783</v>
      </c>
      <c r="K300" s="141" t="s">
        <v>2784</v>
      </c>
      <c r="L300" s="198" t="s">
        <v>2785</v>
      </c>
      <c r="M300" s="141" t="s">
        <v>2786</v>
      </c>
      <c r="N300" s="198" t="s">
        <v>2787</v>
      </c>
      <c r="O300" s="141" t="s">
        <v>2788</v>
      </c>
      <c r="P300" s="198" t="s">
        <v>2789</v>
      </c>
      <c r="Q300" s="141" t="s">
        <v>2790</v>
      </c>
      <c r="R300" s="198" t="s">
        <v>2791</v>
      </c>
      <c r="S300" s="141" t="s">
        <v>2792</v>
      </c>
      <c r="T300" s="198" t="s">
        <v>2793</v>
      </c>
      <c r="U300" s="141" t="s">
        <v>2794</v>
      </c>
      <c r="V300" s="198" t="s">
        <v>2795</v>
      </c>
      <c r="W300" s="141" t="s">
        <v>2796</v>
      </c>
      <c r="X300" s="198" t="s">
        <v>2797</v>
      </c>
      <c r="Y300" s="141" t="s">
        <v>2798</v>
      </c>
      <c r="Z300" s="198" t="s">
        <v>2799</v>
      </c>
      <c r="AA300" s="141" t="s">
        <v>2800</v>
      </c>
      <c r="AB300" s="198" t="s">
        <v>2801</v>
      </c>
      <c r="AC300" s="141" t="s">
        <v>2817</v>
      </c>
      <c r="AD300" s="198" t="s">
        <v>2818</v>
      </c>
      <c r="AE300" s="141" t="s">
        <v>2819</v>
      </c>
      <c r="AF300" s="198" t="s">
        <v>2821</v>
      </c>
      <c r="AG300" s="141" t="s">
        <v>2822</v>
      </c>
      <c r="AH300" s="198" t="s">
        <v>2823</v>
      </c>
      <c r="AI300" s="141" t="s">
        <v>2824</v>
      </c>
      <c r="AJ300" s="142" t="s">
        <v>2825</v>
      </c>
      <c r="AK300" s="163" t="s">
        <v>2826</v>
      </c>
      <c r="AL300" s="1057"/>
      <c r="BU300" s="79"/>
      <c r="BV300" s="889"/>
      <c r="BW300" s="889"/>
      <c r="BX300" s="889"/>
      <c r="BY300" s="889"/>
      <c r="BZ300" s="889"/>
      <c r="CA300" s="889"/>
      <c r="CK300" s="889">
        <v>0</v>
      </c>
      <c r="CV300" s="80"/>
      <c r="CW300" s="80"/>
      <c r="CX300" s="80"/>
      <c r="CY300" s="80"/>
      <c r="CZ300" s="80"/>
      <c r="DA300" s="80"/>
    </row>
    <row r="301" spans="1:105" x14ac:dyDescent="0.2">
      <c r="A301" s="643" t="s">
        <v>3746</v>
      </c>
      <c r="B301" s="5714"/>
      <c r="C301" s="5066" t="s">
        <v>1701</v>
      </c>
      <c r="D301" s="482" t="s">
        <v>2777</v>
      </c>
      <c r="E301" s="5067" t="s">
        <v>2778</v>
      </c>
      <c r="F301" s="5068" t="s">
        <v>2779</v>
      </c>
      <c r="G301" s="166" t="s">
        <v>2780</v>
      </c>
      <c r="H301" s="168" t="s">
        <v>2781</v>
      </c>
      <c r="I301" s="166" t="s">
        <v>2782</v>
      </c>
      <c r="J301" s="168" t="s">
        <v>2783</v>
      </c>
      <c r="K301" s="166" t="s">
        <v>2784</v>
      </c>
      <c r="L301" s="168" t="s">
        <v>2785</v>
      </c>
      <c r="M301" s="166" t="s">
        <v>2786</v>
      </c>
      <c r="N301" s="168" t="s">
        <v>2787</v>
      </c>
      <c r="O301" s="166" t="s">
        <v>2788</v>
      </c>
      <c r="P301" s="168" t="s">
        <v>2789</v>
      </c>
      <c r="Q301" s="166" t="s">
        <v>2790</v>
      </c>
      <c r="R301" s="168" t="s">
        <v>2791</v>
      </c>
      <c r="S301" s="166" t="s">
        <v>2792</v>
      </c>
      <c r="T301" s="168" t="s">
        <v>2793</v>
      </c>
      <c r="U301" s="166" t="s">
        <v>2794</v>
      </c>
      <c r="V301" s="168" t="s">
        <v>2795</v>
      </c>
      <c r="W301" s="166" t="s">
        <v>2796</v>
      </c>
      <c r="X301" s="168" t="s">
        <v>2797</v>
      </c>
      <c r="Y301" s="166" t="s">
        <v>2798</v>
      </c>
      <c r="Z301" s="168" t="s">
        <v>2799</v>
      </c>
      <c r="AA301" s="166" t="s">
        <v>2800</v>
      </c>
      <c r="AB301" s="168" t="s">
        <v>2801</v>
      </c>
      <c r="AC301" s="166" t="s">
        <v>2817</v>
      </c>
      <c r="AD301" s="168" t="s">
        <v>2818</v>
      </c>
      <c r="AE301" s="166" t="s">
        <v>2819</v>
      </c>
      <c r="AF301" s="168" t="s">
        <v>2821</v>
      </c>
      <c r="AG301" s="166" t="s">
        <v>2822</v>
      </c>
      <c r="AH301" s="168" t="s">
        <v>2823</v>
      </c>
      <c r="AI301" s="166" t="s">
        <v>2824</v>
      </c>
      <c r="AJ301" s="102" t="s">
        <v>2825</v>
      </c>
      <c r="AK301" s="125" t="s">
        <v>2826</v>
      </c>
      <c r="AL301" s="1057"/>
      <c r="BU301" s="79"/>
      <c r="BV301" s="889"/>
      <c r="BW301" s="889"/>
      <c r="BX301" s="889"/>
      <c r="BY301" s="889"/>
      <c r="BZ301" s="889"/>
      <c r="CA301" s="889"/>
      <c r="CK301" s="889">
        <v>0</v>
      </c>
      <c r="CV301" s="80"/>
      <c r="CW301" s="80"/>
      <c r="CX301" s="80"/>
      <c r="CY301" s="80"/>
      <c r="CZ301" s="80"/>
      <c r="DA301" s="80"/>
    </row>
    <row r="302" spans="1:105" x14ac:dyDescent="0.2">
      <c r="A302" s="643" t="s">
        <v>3747</v>
      </c>
      <c r="B302" s="5715" t="s">
        <v>1703</v>
      </c>
      <c r="C302" s="5062" t="s">
        <v>1699</v>
      </c>
      <c r="D302" s="5063" t="s">
        <v>2777</v>
      </c>
      <c r="E302" s="5064" t="s">
        <v>2778</v>
      </c>
      <c r="F302" s="4791" t="s">
        <v>2779</v>
      </c>
      <c r="G302" s="2577" t="s">
        <v>2780</v>
      </c>
      <c r="H302" s="4378" t="s">
        <v>2781</v>
      </c>
      <c r="I302" s="2577" t="s">
        <v>2782</v>
      </c>
      <c r="J302" s="4378" t="s">
        <v>2783</v>
      </c>
      <c r="K302" s="2577" t="s">
        <v>2784</v>
      </c>
      <c r="L302" s="4378" t="s">
        <v>2785</v>
      </c>
      <c r="M302" s="2577" t="s">
        <v>2786</v>
      </c>
      <c r="N302" s="4378" t="s">
        <v>2787</v>
      </c>
      <c r="O302" s="2577" t="s">
        <v>2788</v>
      </c>
      <c r="P302" s="4378" t="s">
        <v>2789</v>
      </c>
      <c r="Q302" s="2577" t="s">
        <v>2790</v>
      </c>
      <c r="R302" s="4378" t="s">
        <v>2791</v>
      </c>
      <c r="S302" s="2577" t="s">
        <v>2792</v>
      </c>
      <c r="T302" s="4378" t="s">
        <v>2793</v>
      </c>
      <c r="U302" s="2577" t="s">
        <v>2794</v>
      </c>
      <c r="V302" s="4378" t="s">
        <v>2795</v>
      </c>
      <c r="W302" s="2577" t="s">
        <v>2796</v>
      </c>
      <c r="X302" s="4378" t="s">
        <v>2797</v>
      </c>
      <c r="Y302" s="2577" t="s">
        <v>2798</v>
      </c>
      <c r="Z302" s="4378" t="s">
        <v>2799</v>
      </c>
      <c r="AA302" s="2577" t="s">
        <v>2800</v>
      </c>
      <c r="AB302" s="4378" t="s">
        <v>2801</v>
      </c>
      <c r="AC302" s="2577" t="s">
        <v>2817</v>
      </c>
      <c r="AD302" s="4378" t="s">
        <v>2818</v>
      </c>
      <c r="AE302" s="2577" t="s">
        <v>2819</v>
      </c>
      <c r="AF302" s="4378" t="s">
        <v>2821</v>
      </c>
      <c r="AG302" s="2577" t="s">
        <v>2822</v>
      </c>
      <c r="AH302" s="4378" t="s">
        <v>2823</v>
      </c>
      <c r="AI302" s="2577" t="s">
        <v>2824</v>
      </c>
      <c r="AJ302" s="2396" t="s">
        <v>2825</v>
      </c>
      <c r="AK302" s="2270" t="s">
        <v>2826</v>
      </c>
      <c r="AL302" s="1057"/>
      <c r="BU302" s="79"/>
      <c r="BV302" s="889"/>
      <c r="BW302" s="889"/>
      <c r="BX302" s="889"/>
      <c r="BY302" s="889"/>
      <c r="BZ302" s="889"/>
      <c r="CA302" s="889"/>
      <c r="CV302" s="80"/>
      <c r="CW302" s="80"/>
      <c r="CX302" s="80"/>
      <c r="CY302" s="80"/>
      <c r="CZ302" s="80"/>
      <c r="DA302" s="80"/>
    </row>
    <row r="303" spans="1:105" x14ac:dyDescent="0.2">
      <c r="A303" s="643" t="s">
        <v>3748</v>
      </c>
      <c r="B303" s="5716"/>
      <c r="C303" s="140" t="s">
        <v>1700</v>
      </c>
      <c r="D303" s="349" t="s">
        <v>2777</v>
      </c>
      <c r="E303" s="2885" t="s">
        <v>2778</v>
      </c>
      <c r="F303" s="5065" t="s">
        <v>2779</v>
      </c>
      <c r="G303" s="141" t="s">
        <v>2780</v>
      </c>
      <c r="H303" s="198" t="s">
        <v>2781</v>
      </c>
      <c r="I303" s="141" t="s">
        <v>2782</v>
      </c>
      <c r="J303" s="198" t="s">
        <v>2783</v>
      </c>
      <c r="K303" s="141" t="s">
        <v>2784</v>
      </c>
      <c r="L303" s="198" t="s">
        <v>2785</v>
      </c>
      <c r="M303" s="141" t="s">
        <v>2786</v>
      </c>
      <c r="N303" s="198" t="s">
        <v>2787</v>
      </c>
      <c r="O303" s="141" t="s">
        <v>2788</v>
      </c>
      <c r="P303" s="198" t="s">
        <v>2789</v>
      </c>
      <c r="Q303" s="141" t="s">
        <v>2790</v>
      </c>
      <c r="R303" s="198" t="s">
        <v>2791</v>
      </c>
      <c r="S303" s="141" t="s">
        <v>2792</v>
      </c>
      <c r="T303" s="198" t="s">
        <v>2793</v>
      </c>
      <c r="U303" s="141" t="s">
        <v>2794</v>
      </c>
      <c r="V303" s="198" t="s">
        <v>2795</v>
      </c>
      <c r="W303" s="141" t="s">
        <v>2796</v>
      </c>
      <c r="X303" s="198" t="s">
        <v>2797</v>
      </c>
      <c r="Y303" s="141" t="s">
        <v>2798</v>
      </c>
      <c r="Z303" s="198" t="s">
        <v>2799</v>
      </c>
      <c r="AA303" s="141" t="s">
        <v>2800</v>
      </c>
      <c r="AB303" s="198" t="s">
        <v>2801</v>
      </c>
      <c r="AC303" s="141" t="s">
        <v>2817</v>
      </c>
      <c r="AD303" s="198" t="s">
        <v>2818</v>
      </c>
      <c r="AE303" s="141" t="s">
        <v>2819</v>
      </c>
      <c r="AF303" s="198" t="s">
        <v>2821</v>
      </c>
      <c r="AG303" s="141" t="s">
        <v>2822</v>
      </c>
      <c r="AH303" s="198" t="s">
        <v>2823</v>
      </c>
      <c r="AI303" s="141" t="s">
        <v>2824</v>
      </c>
      <c r="AJ303" s="142" t="s">
        <v>2825</v>
      </c>
      <c r="AK303" s="163" t="s">
        <v>2826</v>
      </c>
      <c r="AL303" s="1057"/>
      <c r="BU303" s="79"/>
      <c r="BV303" s="889"/>
      <c r="BW303" s="889"/>
      <c r="BX303" s="889"/>
      <c r="BY303" s="889"/>
      <c r="BZ303" s="889"/>
      <c r="CA303" s="889"/>
      <c r="CV303" s="80"/>
      <c r="CW303" s="80"/>
      <c r="CX303" s="80"/>
      <c r="CY303" s="80"/>
      <c r="CZ303" s="80"/>
      <c r="DA303" s="80"/>
    </row>
    <row r="304" spans="1:105" x14ac:dyDescent="0.2">
      <c r="A304" s="643" t="s">
        <v>3749</v>
      </c>
      <c r="B304" s="5717"/>
      <c r="C304" s="5066" t="s">
        <v>1701</v>
      </c>
      <c r="D304" s="482" t="s">
        <v>2777</v>
      </c>
      <c r="E304" s="2887" t="s">
        <v>2778</v>
      </c>
      <c r="F304" s="4787" t="s">
        <v>2779</v>
      </c>
      <c r="G304" s="203" t="s">
        <v>2780</v>
      </c>
      <c r="H304" s="5041" t="s">
        <v>2781</v>
      </c>
      <c r="I304" s="203" t="s">
        <v>2782</v>
      </c>
      <c r="J304" s="5041" t="s">
        <v>2783</v>
      </c>
      <c r="K304" s="203" t="s">
        <v>2784</v>
      </c>
      <c r="L304" s="5041" t="s">
        <v>2785</v>
      </c>
      <c r="M304" s="203" t="s">
        <v>2786</v>
      </c>
      <c r="N304" s="5041" t="s">
        <v>2787</v>
      </c>
      <c r="O304" s="203" t="s">
        <v>2788</v>
      </c>
      <c r="P304" s="5041" t="s">
        <v>2789</v>
      </c>
      <c r="Q304" s="203" t="s">
        <v>2790</v>
      </c>
      <c r="R304" s="5041" t="s">
        <v>2791</v>
      </c>
      <c r="S304" s="203" t="s">
        <v>2792</v>
      </c>
      <c r="T304" s="5041" t="s">
        <v>2793</v>
      </c>
      <c r="U304" s="203" t="s">
        <v>2794</v>
      </c>
      <c r="V304" s="5041" t="s">
        <v>2795</v>
      </c>
      <c r="W304" s="203" t="s">
        <v>2796</v>
      </c>
      <c r="X304" s="5041" t="s">
        <v>2797</v>
      </c>
      <c r="Y304" s="203" t="s">
        <v>2798</v>
      </c>
      <c r="Z304" s="5041" t="s">
        <v>2799</v>
      </c>
      <c r="AA304" s="203" t="s">
        <v>2800</v>
      </c>
      <c r="AB304" s="5041" t="s">
        <v>2801</v>
      </c>
      <c r="AC304" s="203" t="s">
        <v>2817</v>
      </c>
      <c r="AD304" s="5041" t="s">
        <v>2818</v>
      </c>
      <c r="AE304" s="203" t="s">
        <v>2819</v>
      </c>
      <c r="AF304" s="5041" t="s">
        <v>2821</v>
      </c>
      <c r="AG304" s="203" t="s">
        <v>2822</v>
      </c>
      <c r="AH304" s="5041" t="s">
        <v>2823</v>
      </c>
      <c r="AI304" s="166" t="s">
        <v>2824</v>
      </c>
      <c r="AJ304" s="102" t="s">
        <v>2825</v>
      </c>
      <c r="AK304" s="125" t="s">
        <v>2826</v>
      </c>
      <c r="AL304" s="1057"/>
      <c r="BU304" s="79"/>
      <c r="BV304" s="889"/>
      <c r="BW304" s="889"/>
      <c r="BX304" s="889"/>
      <c r="BY304" s="889"/>
      <c r="BZ304" s="889"/>
      <c r="CA304" s="889"/>
      <c r="CV304" s="80"/>
      <c r="CW304" s="80"/>
      <c r="CX304" s="80"/>
      <c r="CY304" s="80"/>
      <c r="CZ304" s="80"/>
      <c r="DA304" s="80"/>
    </row>
    <row r="310" spans="1:105" hidden="1" x14ac:dyDescent="0.2"/>
    <row r="311" spans="1:105" ht="15.75" hidden="1" customHeight="1" x14ac:dyDescent="0.2"/>
    <row r="312" spans="1:105" s="206" customFormat="1" ht="18.75" hidden="1" customHeight="1" x14ac:dyDescent="0.2">
      <c r="B312" s="80"/>
      <c r="C312" s="80"/>
      <c r="CA312" s="1016"/>
      <c r="CB312" s="1016"/>
      <c r="CC312" s="1016"/>
      <c r="CD312" s="1016"/>
      <c r="CE312" s="1016"/>
      <c r="CF312" s="1016"/>
      <c r="CG312" s="1016"/>
      <c r="CH312" s="1016"/>
      <c r="CI312" s="1016"/>
      <c r="CJ312" s="1016"/>
      <c r="CK312" s="1016"/>
      <c r="CL312" s="1016"/>
      <c r="CM312" s="1016"/>
      <c r="CN312" s="1016"/>
      <c r="CO312" s="1016"/>
      <c r="CP312" s="1016"/>
      <c r="CQ312" s="1016"/>
      <c r="CR312" s="1016"/>
      <c r="CS312" s="1016"/>
      <c r="CT312" s="1016"/>
      <c r="CU312" s="1016"/>
      <c r="CV312" s="1016"/>
      <c r="CW312" s="1016"/>
      <c r="CX312" s="1016"/>
      <c r="CY312" s="1016"/>
      <c r="CZ312" s="1016"/>
      <c r="DA312" s="1016"/>
    </row>
    <row r="313" spans="1:105" ht="18.75" hidden="1" customHeight="1" x14ac:dyDescent="0.2">
      <c r="A313" s="643"/>
    </row>
    <row r="314" spans="1:105" ht="18" hidden="1" customHeight="1" x14ac:dyDescent="0.2">
      <c r="A314" s="643"/>
    </row>
    <row r="315" spans="1:105" ht="11.25" hidden="1" customHeight="1" x14ac:dyDescent="0.2">
      <c r="A315" s="643"/>
      <c r="B315" s="206">
        <f>SUM(D11:D15,D19:D29,D33:D52,C55,D58,D63:D66,D71:D74,D79,D84:D89,D94:D99,D104:D108,D115,D120,D121,D128,D133,D134,D141,D142:D145,D151,D153:D189,D193,D195:D231,D235:D238,D243:D246,D251:D269,D274:D281,D286:D288,C293:C294)</f>
        <v>0</v>
      </c>
      <c r="C315" s="206" t="e">
        <f>SUM(CG8:CO294)</f>
        <v>#VALUE!</v>
      </c>
    </row>
    <row r="316" spans="1:105" ht="12.75" hidden="1" customHeight="1" x14ac:dyDescent="0.2">
      <c r="A316" s="643"/>
    </row>
    <row r="317" spans="1:105" x14ac:dyDescent="0.2">
      <c r="A317" s="643"/>
    </row>
    <row r="318" spans="1:105" x14ac:dyDescent="0.2">
      <c r="A318" s="80" t="s">
        <v>3742</v>
      </c>
    </row>
    <row r="319" spans="1:105" x14ac:dyDescent="0.2">
      <c r="A319" s="643" t="s">
        <v>3744</v>
      </c>
    </row>
    <row r="320" spans="1:105" x14ac:dyDescent="0.2">
      <c r="A320" s="643" t="s">
        <v>3745</v>
      </c>
    </row>
    <row r="321" spans="1:1" x14ac:dyDescent="0.2">
      <c r="A321" s="643" t="s">
        <v>3746</v>
      </c>
    </row>
    <row r="322" spans="1:1" x14ac:dyDescent="0.2">
      <c r="A322" s="643" t="s">
        <v>3747</v>
      </c>
    </row>
    <row r="323" spans="1:1" x14ac:dyDescent="0.2">
      <c r="A323" s="643" t="s">
        <v>3748</v>
      </c>
    </row>
    <row r="324" spans="1:1" x14ac:dyDescent="0.2">
      <c r="A324" s="643" t="s">
        <v>3749</v>
      </c>
    </row>
  </sheetData>
  <mergeCells count="441">
    <mergeCell ref="A9:A10"/>
    <mergeCell ref="AI296:AI298"/>
    <mergeCell ref="AJ296:AJ298"/>
    <mergeCell ref="AK296:AK298"/>
    <mergeCell ref="B296:B298"/>
    <mergeCell ref="C296:C298"/>
    <mergeCell ref="D296:F297"/>
    <mergeCell ref="B299:B301"/>
    <mergeCell ref="B302:B304"/>
    <mergeCell ref="G296:AH296"/>
    <mergeCell ref="G297:H297"/>
    <mergeCell ref="I297:J297"/>
    <mergeCell ref="K297:L297"/>
    <mergeCell ref="M297:N297"/>
    <mergeCell ref="O297:P297"/>
    <mergeCell ref="Q297:R297"/>
    <mergeCell ref="S297:T297"/>
    <mergeCell ref="U297:V297"/>
    <mergeCell ref="W297:X297"/>
    <mergeCell ref="Y297:Z297"/>
    <mergeCell ref="AA297:AB297"/>
    <mergeCell ref="AC297:AD297"/>
    <mergeCell ref="AE297:AF297"/>
    <mergeCell ref="AG297:AH297"/>
    <mergeCell ref="AY271:AY273"/>
    <mergeCell ref="B44:B45"/>
    <mergeCell ref="B191:C192"/>
    <mergeCell ref="B231:C231"/>
    <mergeCell ref="B230:C230"/>
    <mergeCell ref="B229:C229"/>
    <mergeCell ref="B228:C228"/>
    <mergeCell ref="B227:C227"/>
    <mergeCell ref="B226:C226"/>
    <mergeCell ref="B225:C225"/>
    <mergeCell ref="B194:C194"/>
    <mergeCell ref="B193:C193"/>
    <mergeCell ref="B197:C197"/>
    <mergeCell ref="B151:C151"/>
    <mergeCell ref="B152:C152"/>
    <mergeCell ref="B183:C183"/>
    <mergeCell ref="B184:C184"/>
    <mergeCell ref="B185:C185"/>
    <mergeCell ref="B186:C186"/>
    <mergeCell ref="B187:C187"/>
    <mergeCell ref="B188:C188"/>
    <mergeCell ref="B189:C189"/>
    <mergeCell ref="B149:C150"/>
    <mergeCell ref="C240:C242"/>
    <mergeCell ref="B159:B166"/>
    <mergeCell ref="B153:B154"/>
    <mergeCell ref="B167:B169"/>
    <mergeCell ref="B237:B238"/>
    <mergeCell ref="B142:B145"/>
    <mergeCell ref="B57:C57"/>
    <mergeCell ref="B58:C58"/>
    <mergeCell ref="B65:C65"/>
    <mergeCell ref="B66:C66"/>
    <mergeCell ref="B120:C120"/>
    <mergeCell ref="B133:C133"/>
    <mergeCell ref="B134:C134"/>
    <mergeCell ref="B128:C128"/>
    <mergeCell ref="B129:B132"/>
    <mergeCell ref="B125:B127"/>
    <mergeCell ref="B156:B157"/>
    <mergeCell ref="B155:C155"/>
    <mergeCell ref="D233:F233"/>
    <mergeCell ref="B233:C234"/>
    <mergeCell ref="B222:B224"/>
    <mergeCell ref="S68:W68"/>
    <mergeCell ref="B68:C70"/>
    <mergeCell ref="D68:F69"/>
    <mergeCell ref="G68:R68"/>
    <mergeCell ref="G69:H69"/>
    <mergeCell ref="I69:J69"/>
    <mergeCell ref="K69:L69"/>
    <mergeCell ref="M69:N69"/>
    <mergeCell ref="O69:P69"/>
    <mergeCell ref="Q69:R69"/>
    <mergeCell ref="B209:B211"/>
    <mergeCell ref="B212:B215"/>
    <mergeCell ref="B216:B221"/>
    <mergeCell ref="B138:B141"/>
    <mergeCell ref="B136:C137"/>
    <mergeCell ref="D136:F136"/>
    <mergeCell ref="G136:H136"/>
    <mergeCell ref="I136:J136"/>
    <mergeCell ref="K136:L136"/>
    <mergeCell ref="M136:N136"/>
    <mergeCell ref="O136:P136"/>
    <mergeCell ref="AV248:AV250"/>
    <mergeCell ref="S69:T69"/>
    <mergeCell ref="U69:U70"/>
    <mergeCell ref="V69:W69"/>
    <mergeCell ref="B71:C71"/>
    <mergeCell ref="B72:C72"/>
    <mergeCell ref="B73:C73"/>
    <mergeCell ref="B74:C74"/>
    <mergeCell ref="AS149:AS150"/>
    <mergeCell ref="B170:B173"/>
    <mergeCell ref="B195:B196"/>
    <mergeCell ref="AI191:AJ191"/>
    <mergeCell ref="AK191:AL191"/>
    <mergeCell ref="AM191:AN191"/>
    <mergeCell ref="B174:B179"/>
    <mergeCell ref="B201:B208"/>
    <mergeCell ref="B235:B236"/>
    <mergeCell ref="B243:B244"/>
    <mergeCell ref="B248:C250"/>
    <mergeCell ref="AT248:AT250"/>
    <mergeCell ref="AR248:AS249"/>
    <mergeCell ref="Q249:R249"/>
    <mergeCell ref="S249:T249"/>
    <mergeCell ref="AO248:AQ248"/>
    <mergeCell ref="AW191:AW192"/>
    <mergeCell ref="B198:B199"/>
    <mergeCell ref="AV191:AV192"/>
    <mergeCell ref="AT191:AU191"/>
    <mergeCell ref="AO191:AQ191"/>
    <mergeCell ref="AR191:AR192"/>
    <mergeCell ref="B180:B182"/>
    <mergeCell ref="AT149:AT150"/>
    <mergeCell ref="D191:F191"/>
    <mergeCell ref="G191:H191"/>
    <mergeCell ref="AS191:AS192"/>
    <mergeCell ref="W191:X191"/>
    <mergeCell ref="I191:J191"/>
    <mergeCell ref="AA149:AB149"/>
    <mergeCell ref="O149:P149"/>
    <mergeCell ref="Y149:Z149"/>
    <mergeCell ref="D149:F149"/>
    <mergeCell ref="G149:H149"/>
    <mergeCell ref="I149:J149"/>
    <mergeCell ref="K149:L149"/>
    <mergeCell ref="M149:N149"/>
    <mergeCell ref="AO149:AO150"/>
    <mergeCell ref="AP149:AP150"/>
    <mergeCell ref="Q149:R149"/>
    <mergeCell ref="B240:B242"/>
    <mergeCell ref="B245:B246"/>
    <mergeCell ref="B290:B292"/>
    <mergeCell ref="D283:F284"/>
    <mergeCell ref="F290:N290"/>
    <mergeCell ref="F291:G291"/>
    <mergeCell ref="H291:I291"/>
    <mergeCell ref="J291:K291"/>
    <mergeCell ref="L291:M291"/>
    <mergeCell ref="N291:O291"/>
    <mergeCell ref="B287:C287"/>
    <mergeCell ref="B288:C288"/>
    <mergeCell ref="B286:C286"/>
    <mergeCell ref="B283:C285"/>
    <mergeCell ref="B261:B269"/>
    <mergeCell ref="D271:F272"/>
    <mergeCell ref="C290:E291"/>
    <mergeCell ref="D240:F241"/>
    <mergeCell ref="B278:C278"/>
    <mergeCell ref="B279:B281"/>
    <mergeCell ref="B277:C277"/>
    <mergeCell ref="O241:P241"/>
    <mergeCell ref="S272:T272"/>
    <mergeCell ref="K272:L272"/>
    <mergeCell ref="Q272:R272"/>
    <mergeCell ref="AG249:AH249"/>
    <mergeCell ref="B276:C276"/>
    <mergeCell ref="B252:B260"/>
    <mergeCell ref="M272:N272"/>
    <mergeCell ref="I272:J272"/>
    <mergeCell ref="O272:P272"/>
    <mergeCell ref="G272:H272"/>
    <mergeCell ref="AG272:AH272"/>
    <mergeCell ref="U272:V272"/>
    <mergeCell ref="B271:C273"/>
    <mergeCell ref="B274:B275"/>
    <mergeCell ref="D248:F249"/>
    <mergeCell ref="G249:H249"/>
    <mergeCell ref="I249:J249"/>
    <mergeCell ref="K249:L249"/>
    <mergeCell ref="M249:N249"/>
    <mergeCell ref="O249:P249"/>
    <mergeCell ref="B251:C251"/>
    <mergeCell ref="U249:V249"/>
    <mergeCell ref="W249:X249"/>
    <mergeCell ref="AL283:AL285"/>
    <mergeCell ref="G284:H284"/>
    <mergeCell ref="I284:J284"/>
    <mergeCell ref="K284:L284"/>
    <mergeCell ref="M284:N284"/>
    <mergeCell ref="O284:P284"/>
    <mergeCell ref="Q284:R284"/>
    <mergeCell ref="S284:T284"/>
    <mergeCell ref="U284:V284"/>
    <mergeCell ref="W284:X284"/>
    <mergeCell ref="Y284:Z284"/>
    <mergeCell ref="AA284:AB284"/>
    <mergeCell ref="AC284:AD284"/>
    <mergeCell ref="AE284:AF284"/>
    <mergeCell ref="AG284:AH284"/>
    <mergeCell ref="G283:AH283"/>
    <mergeCell ref="AI283:AJ284"/>
    <mergeCell ref="AK283:AK285"/>
    <mergeCell ref="AS272:AT272"/>
    <mergeCell ref="AK272:AL272"/>
    <mergeCell ref="AM272:AN272"/>
    <mergeCell ref="AO272:AP272"/>
    <mergeCell ref="AQ272:AR272"/>
    <mergeCell ref="AC272:AD272"/>
    <mergeCell ref="AE272:AF272"/>
    <mergeCell ref="W272:X272"/>
    <mergeCell ref="AI272:AJ272"/>
    <mergeCell ref="Y272:Z272"/>
    <mergeCell ref="AA272:AB272"/>
    <mergeCell ref="AQ249:AQ250"/>
    <mergeCell ref="AG241:AH241"/>
    <mergeCell ref="AI241:AJ241"/>
    <mergeCell ref="AK241:AL241"/>
    <mergeCell ref="W241:X241"/>
    <mergeCell ref="AI233:AJ233"/>
    <mergeCell ref="AK233:AL233"/>
    <mergeCell ref="AM240:AM242"/>
    <mergeCell ref="Y249:Z249"/>
    <mergeCell ref="AC241:AD241"/>
    <mergeCell ref="AA241:AB241"/>
    <mergeCell ref="AC249:AD249"/>
    <mergeCell ref="AE249:AF249"/>
    <mergeCell ref="AO249:AO250"/>
    <mergeCell ref="AP249:AP250"/>
    <mergeCell ref="AK249:AL249"/>
    <mergeCell ref="AM249:AN249"/>
    <mergeCell ref="G248:AN248"/>
    <mergeCell ref="AI249:AJ249"/>
    <mergeCell ref="AA249:AB249"/>
    <mergeCell ref="M233:N233"/>
    <mergeCell ref="O233:P233"/>
    <mergeCell ref="Q233:R233"/>
    <mergeCell ref="G240:AL240"/>
    <mergeCell ref="M123:N123"/>
    <mergeCell ref="O123:Q123"/>
    <mergeCell ref="D123:F123"/>
    <mergeCell ref="G123:H123"/>
    <mergeCell ref="K123:L123"/>
    <mergeCell ref="B123:C124"/>
    <mergeCell ref="I123:J123"/>
    <mergeCell ref="I61:J61"/>
    <mergeCell ref="G60:R60"/>
    <mergeCell ref="M61:N61"/>
    <mergeCell ref="D60:F61"/>
    <mergeCell ref="B121:C121"/>
    <mergeCell ref="B112:B114"/>
    <mergeCell ref="B115:C115"/>
    <mergeCell ref="O82:P82"/>
    <mergeCell ref="Q82:R82"/>
    <mergeCell ref="B60:C62"/>
    <mergeCell ref="D110:F110"/>
    <mergeCell ref="B104:C104"/>
    <mergeCell ref="B79:C79"/>
    <mergeCell ref="O77:P77"/>
    <mergeCell ref="G81:AH81"/>
    <mergeCell ref="Z61:AA61"/>
    <mergeCell ref="W61:X61"/>
    <mergeCell ref="Y61:Y62"/>
    <mergeCell ref="K61:L61"/>
    <mergeCell ref="E31:O31"/>
    <mergeCell ref="S61:T61"/>
    <mergeCell ref="U61:V61"/>
    <mergeCell ref="S60:T60"/>
    <mergeCell ref="U60:V60"/>
    <mergeCell ref="B6:Q6"/>
    <mergeCell ref="B9:C10"/>
    <mergeCell ref="D9:D10"/>
    <mergeCell ref="O9:O10"/>
    <mergeCell ref="B11:C11"/>
    <mergeCell ref="P9:P10"/>
    <mergeCell ref="Q9:Q10"/>
    <mergeCell ref="G17:G18"/>
    <mergeCell ref="D17:D18"/>
    <mergeCell ref="E17:E18"/>
    <mergeCell ref="B12:C12"/>
    <mergeCell ref="B13:C13"/>
    <mergeCell ref="B14:C14"/>
    <mergeCell ref="B15:C15"/>
    <mergeCell ref="B17:C18"/>
    <mergeCell ref="F17:F18"/>
    <mergeCell ref="E9:N9"/>
    <mergeCell ref="D31:D32"/>
    <mergeCell ref="O61:P61"/>
    <mergeCell ref="Q61:R61"/>
    <mergeCell ref="B94:C94"/>
    <mergeCell ref="B108:C108"/>
    <mergeCell ref="B110:C111"/>
    <mergeCell ref="G61:H61"/>
    <mergeCell ref="B23:C23"/>
    <mergeCell ref="B19:C19"/>
    <mergeCell ref="B95:B99"/>
    <mergeCell ref="G110:H110"/>
    <mergeCell ref="I110:J110"/>
    <mergeCell ref="K110:L110"/>
    <mergeCell ref="B105:C105"/>
    <mergeCell ref="B106:B107"/>
    <mergeCell ref="B26:C26"/>
    <mergeCell ref="B27:C27"/>
    <mergeCell ref="B36:B41"/>
    <mergeCell ref="B48:B49"/>
    <mergeCell ref="B50:B51"/>
    <mergeCell ref="B52:C52"/>
    <mergeCell ref="B47:C47"/>
    <mergeCell ref="B46:C46"/>
    <mergeCell ref="B20:C20"/>
    <mergeCell ref="B21:C21"/>
    <mergeCell ref="B28:C28"/>
    <mergeCell ref="B31:C32"/>
    <mergeCell ref="B64:C64"/>
    <mergeCell ref="B24:C24"/>
    <mergeCell ref="B22:C22"/>
    <mergeCell ref="B25:C25"/>
    <mergeCell ref="B63:C63"/>
    <mergeCell ref="B33:C33"/>
    <mergeCell ref="B34:C34"/>
    <mergeCell ref="B35:C35"/>
    <mergeCell ref="B42:B43"/>
    <mergeCell ref="AG82:AH82"/>
    <mergeCell ref="I82:J82"/>
    <mergeCell ref="K82:L82"/>
    <mergeCell ref="M82:N82"/>
    <mergeCell ref="G82:H82"/>
    <mergeCell ref="W82:X82"/>
    <mergeCell ref="B101:C103"/>
    <mergeCell ref="D101:F102"/>
    <mergeCell ref="S82:T82"/>
    <mergeCell ref="U82:V82"/>
    <mergeCell ref="W102:X102"/>
    <mergeCell ref="Y102:Z102"/>
    <mergeCell ref="Y82:Z82"/>
    <mergeCell ref="AA82:AB82"/>
    <mergeCell ref="AC82:AD82"/>
    <mergeCell ref="AE82:AF82"/>
    <mergeCell ref="Z120:AA120"/>
    <mergeCell ref="T120:U120"/>
    <mergeCell ref="B29:C29"/>
    <mergeCell ref="G76:P76"/>
    <mergeCell ref="G77:H77"/>
    <mergeCell ref="I77:J77"/>
    <mergeCell ref="K77:L77"/>
    <mergeCell ref="S92:T92"/>
    <mergeCell ref="M77:N77"/>
    <mergeCell ref="B116:B119"/>
    <mergeCell ref="D76:F77"/>
    <mergeCell ref="B76:C78"/>
    <mergeCell ref="G92:H92"/>
    <mergeCell ref="I92:J92"/>
    <mergeCell ref="K92:L92"/>
    <mergeCell ref="M92:N92"/>
    <mergeCell ref="O92:P92"/>
    <mergeCell ref="Q92:R92"/>
    <mergeCell ref="B91:C93"/>
    <mergeCell ref="D91:F92"/>
    <mergeCell ref="B85:B89"/>
    <mergeCell ref="B84:C84"/>
    <mergeCell ref="B81:C83"/>
    <mergeCell ref="D81:F82"/>
    <mergeCell ref="AL92:AL93"/>
    <mergeCell ref="AI91:AL91"/>
    <mergeCell ref="AA92:AB92"/>
    <mergeCell ref="AC92:AD92"/>
    <mergeCell ref="G91:AH91"/>
    <mergeCell ref="U92:V92"/>
    <mergeCell ref="W92:X92"/>
    <mergeCell ref="AC102:AD102"/>
    <mergeCell ref="AE102:AF102"/>
    <mergeCell ref="AG92:AH92"/>
    <mergeCell ref="AG102:AH102"/>
    <mergeCell ref="AA102:AB102"/>
    <mergeCell ref="Y92:Z92"/>
    <mergeCell ref="AI92:AI93"/>
    <mergeCell ref="AJ92:AJ93"/>
    <mergeCell ref="AK92:AK93"/>
    <mergeCell ref="AI102:AI103"/>
    <mergeCell ref="AE92:AF92"/>
    <mergeCell ref="AI101:AK101"/>
    <mergeCell ref="G101:AH101"/>
    <mergeCell ref="G102:H102"/>
    <mergeCell ref="I102:J102"/>
    <mergeCell ref="K102:L102"/>
    <mergeCell ref="M102:N102"/>
    <mergeCell ref="Y241:Z241"/>
    <mergeCell ref="G241:H241"/>
    <mergeCell ref="AJ102:AJ103"/>
    <mergeCell ref="AK102:AK103"/>
    <mergeCell ref="AE149:AF149"/>
    <mergeCell ref="AG149:AH149"/>
    <mergeCell ref="AI149:AJ149"/>
    <mergeCell ref="AK149:AL149"/>
    <mergeCell ref="S149:T149"/>
    <mergeCell ref="K241:L241"/>
    <mergeCell ref="S233:T233"/>
    <mergeCell ref="AG233:AH233"/>
    <mergeCell ref="Q241:R241"/>
    <mergeCell ref="S241:T241"/>
    <mergeCell ref="U241:V241"/>
    <mergeCell ref="AE241:AF241"/>
    <mergeCell ref="V120:W120"/>
    <mergeCell ref="M110:N110"/>
    <mergeCell ref="X120:Y120"/>
    <mergeCell ref="R120:S120"/>
    <mergeCell ref="O102:P102"/>
    <mergeCell ref="Q102:R102"/>
    <mergeCell ref="S102:T102"/>
    <mergeCell ref="U102:V102"/>
    <mergeCell ref="AQ149:AR149"/>
    <mergeCell ref="U149:V149"/>
    <mergeCell ref="W149:X149"/>
    <mergeCell ref="AM149:AN149"/>
    <mergeCell ref="AC149:AD149"/>
    <mergeCell ref="AC233:AD233"/>
    <mergeCell ref="AE233:AF233"/>
    <mergeCell ref="W233:X233"/>
    <mergeCell ref="U233:V233"/>
    <mergeCell ref="Y233:Z233"/>
    <mergeCell ref="AW271:AW273"/>
    <mergeCell ref="AX271:AX273"/>
    <mergeCell ref="AU271:AV271"/>
    <mergeCell ref="AU272:AU273"/>
    <mergeCell ref="AV272:AV273"/>
    <mergeCell ref="AU248:AU250"/>
    <mergeCell ref="G271:AT271"/>
    <mergeCell ref="Y191:Z191"/>
    <mergeCell ref="AA191:AB191"/>
    <mergeCell ref="AC191:AD191"/>
    <mergeCell ref="AE191:AF191"/>
    <mergeCell ref="AG191:AH191"/>
    <mergeCell ref="K191:L191"/>
    <mergeCell ref="M191:N191"/>
    <mergeCell ref="O191:P191"/>
    <mergeCell ref="Q191:R191"/>
    <mergeCell ref="S191:T191"/>
    <mergeCell ref="U191:V191"/>
    <mergeCell ref="AA233:AB233"/>
    <mergeCell ref="I233:J233"/>
    <mergeCell ref="K233:L233"/>
    <mergeCell ref="I241:J241"/>
    <mergeCell ref="G233:H233"/>
    <mergeCell ref="M241:N241"/>
  </mergeCells>
  <phoneticPr fontId="87" type="noConversion"/>
  <pageMargins left="0.7" right="0.7" top="0.75" bottom="0.75" header="0.3" footer="0.3"/>
  <pageSetup paperSize="9" orientation="portrait" r:id="rId1"/>
  <legacyDrawing r:id="rId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7">
    <tabColor theme="0"/>
  </sheetPr>
  <dimension ref="A1:DA179"/>
  <sheetViews>
    <sheetView zoomScaleNormal="100" workbookViewId="0"/>
  </sheetViews>
  <sheetFormatPr baseColWidth="10" defaultColWidth="11.42578125" defaultRowHeight="14.25" x14ac:dyDescent="0.2"/>
  <cols>
    <col min="1" max="1" width="13.85546875" style="80" customWidth="1"/>
    <col min="2" max="2" width="48.140625" style="80" customWidth="1"/>
    <col min="3" max="3" width="23.28515625" style="80" customWidth="1"/>
    <col min="4" max="4" width="17.28515625" style="80" customWidth="1"/>
    <col min="5" max="5" width="16.28515625" style="80" customWidth="1"/>
    <col min="6" max="6" width="17.140625" style="80" customWidth="1"/>
    <col min="7" max="7" width="13.7109375" style="80" customWidth="1"/>
    <col min="8" max="8" width="14.140625" style="80" customWidth="1"/>
    <col min="9" max="9" width="15.7109375" style="80" customWidth="1"/>
    <col min="10" max="11" width="13.7109375" style="80" customWidth="1"/>
    <col min="12" max="74" width="11.42578125" style="80"/>
    <col min="75" max="76" width="12.140625" style="80" customWidth="1"/>
    <col min="77" max="78" width="12.140625" style="79" customWidth="1"/>
    <col min="79" max="79" width="12.28515625" style="79" customWidth="1"/>
    <col min="80" max="105" width="12.28515625" style="889" customWidth="1"/>
    <col min="106" max="106" width="12.28515625" style="80" customWidth="1"/>
    <col min="107" max="16384" width="11.42578125" style="80"/>
  </cols>
  <sheetData>
    <row r="1" spans="1:91" ht="16.350000000000001" customHeight="1" x14ac:dyDescent="0.2">
      <c r="B1" s="78" t="s">
        <v>910</v>
      </c>
    </row>
    <row r="2" spans="1:91" ht="16.350000000000001" customHeight="1" x14ac:dyDescent="0.2">
      <c r="B2" s="78" t="str">
        <f>CONCATENATE("COMUNA: ",NOMBRE!B2," - ","( ",NOMBRE!C2,NOMBRE!D2,NOMBRE!E2,NOMBRE!F2,NOMBRE!G2," )")</f>
        <v>COMUNA:  - (  )</v>
      </c>
    </row>
    <row r="3" spans="1:91" ht="16.350000000000001" customHeight="1" x14ac:dyDescent="0.2">
      <c r="B3" s="78" t="str">
        <f>CONCATENATE("ESTABLECIMIENTO/ESTRATEGIA: ",NOMBRE!B3," - ","( ",NOMBRE!C3,NOMBRE!D3,NOMBRE!E3,NOMBRE!F3,NOMBRE!G3,NOMBRE!H3," )")</f>
        <v>ESTABLECIMIENTO/ESTRATEGIA:  - (  )</v>
      </c>
    </row>
    <row r="4" spans="1:91" ht="16.350000000000001" customHeight="1" x14ac:dyDescent="0.2">
      <c r="B4" s="78" t="str">
        <f>CONCATENATE("MES: ",NOMBRE!B6," - ","( ",NOMBRE!C6,NOMBRE!D6," )")</f>
        <v>MES:  - (  )</v>
      </c>
    </row>
    <row r="5" spans="1:91" ht="16.350000000000001" customHeight="1" x14ac:dyDescent="0.2">
      <c r="B5" s="78" t="str">
        <f>CONCATENATE("AÑO: ",NOMBRE!B7)</f>
        <v>AÑO: 2020</v>
      </c>
    </row>
    <row r="6" spans="1:91" ht="15" x14ac:dyDescent="0.2">
      <c r="B6" s="5148" t="s">
        <v>430</v>
      </c>
      <c r="C6" s="5148"/>
      <c r="D6" s="5148"/>
      <c r="E6" s="5148"/>
      <c r="F6" s="5148"/>
      <c r="G6" s="5148"/>
      <c r="H6" s="5148"/>
      <c r="I6" s="5148"/>
      <c r="J6" s="5148"/>
      <c r="K6" s="5148"/>
      <c r="L6" s="5148"/>
      <c r="M6" s="5148"/>
      <c r="N6" s="5148"/>
      <c r="O6" s="5148"/>
      <c r="P6" s="5148"/>
      <c r="Q6" s="5148"/>
      <c r="R6" s="5148"/>
      <c r="S6" s="5148"/>
      <c r="T6" s="5148"/>
      <c r="U6" s="5148"/>
      <c r="V6" s="5148"/>
      <c r="W6" s="5148"/>
      <c r="X6" s="5148"/>
      <c r="Y6" s="190"/>
      <c r="Z6" s="190"/>
      <c r="AA6" s="190"/>
      <c r="AB6" s="190"/>
      <c r="AC6" s="190"/>
      <c r="AD6" s="190"/>
      <c r="AE6" s="190"/>
      <c r="AF6" s="190"/>
      <c r="AG6" s="190"/>
      <c r="AH6" s="190"/>
      <c r="AI6" s="190"/>
      <c r="AJ6" s="190"/>
      <c r="AK6" s="190"/>
      <c r="AL6" s="190"/>
      <c r="AM6" s="190"/>
      <c r="AN6" s="190"/>
      <c r="AO6" s="190"/>
      <c r="AP6" s="190"/>
      <c r="AQ6" s="190"/>
    </row>
    <row r="7" spans="1:91" ht="15" x14ac:dyDescent="0.2">
      <c r="B7" s="82"/>
      <c r="C7" s="82"/>
      <c r="D7" s="82"/>
      <c r="E7" s="82"/>
      <c r="F7" s="82"/>
      <c r="G7" s="82"/>
      <c r="H7" s="82"/>
      <c r="I7" s="82"/>
      <c r="J7" s="82"/>
      <c r="K7" s="82"/>
      <c r="L7" s="82"/>
      <c r="M7" s="82"/>
      <c r="N7" s="82"/>
      <c r="O7" s="82"/>
      <c r="P7" s="82"/>
      <c r="Q7" s="82"/>
      <c r="R7" s="82"/>
      <c r="S7" s="82"/>
      <c r="T7" s="82"/>
      <c r="U7" s="82"/>
      <c r="V7" s="82"/>
      <c r="W7" s="82"/>
      <c r="X7" s="82"/>
      <c r="Y7" s="190"/>
      <c r="Z7" s="190"/>
      <c r="AA7" s="190"/>
      <c r="AB7" s="190"/>
      <c r="AC7" s="190"/>
      <c r="AD7" s="190"/>
      <c r="AE7" s="190"/>
      <c r="AF7" s="190"/>
      <c r="AG7" s="190"/>
      <c r="AH7" s="190"/>
      <c r="AI7" s="190"/>
      <c r="AJ7" s="190"/>
      <c r="AK7" s="190"/>
      <c r="AL7" s="190"/>
      <c r="AM7" s="190"/>
      <c r="AN7" s="190"/>
      <c r="AO7" s="190"/>
      <c r="AP7" s="190"/>
      <c r="AQ7" s="190"/>
    </row>
    <row r="8" spans="1:91" ht="31.35" customHeight="1" x14ac:dyDescent="0.2">
      <c r="B8" s="393"/>
      <c r="C8" s="84"/>
      <c r="D8" s="84"/>
      <c r="E8" s="84"/>
      <c r="F8" s="84"/>
      <c r="G8" s="84"/>
      <c r="H8" s="84"/>
      <c r="I8" s="84"/>
      <c r="J8" s="394"/>
      <c r="K8" s="84"/>
      <c r="L8" s="213"/>
      <c r="M8" s="84"/>
      <c r="N8" s="190"/>
      <c r="O8" s="190"/>
      <c r="P8" s="190"/>
      <c r="Q8" s="190"/>
      <c r="R8" s="190"/>
      <c r="S8" s="190"/>
      <c r="T8" s="190"/>
      <c r="U8" s="190"/>
      <c r="V8" s="190"/>
      <c r="W8" s="255"/>
      <c r="X8" s="190"/>
      <c r="Y8" s="190"/>
      <c r="Z8" s="190"/>
      <c r="AA8" s="190"/>
      <c r="AB8" s="190"/>
      <c r="AC8" s="190"/>
      <c r="AD8" s="190"/>
      <c r="AE8" s="190"/>
      <c r="AF8" s="190"/>
      <c r="AG8" s="190"/>
      <c r="AH8" s="190"/>
      <c r="AI8" s="190"/>
      <c r="AJ8" s="190"/>
      <c r="AK8" s="190"/>
      <c r="AL8" s="190"/>
      <c r="AM8" s="190"/>
      <c r="AN8" s="190"/>
      <c r="AO8" s="190"/>
      <c r="AP8" s="190"/>
      <c r="AQ8" s="190"/>
      <c r="CH8" s="1020"/>
      <c r="CI8" s="1020"/>
      <c r="CJ8" s="1020"/>
      <c r="CK8" s="1020"/>
      <c r="CL8" s="1020"/>
      <c r="CM8" s="1020"/>
    </row>
    <row r="9" spans="1:91" ht="31.35" customHeight="1" x14ac:dyDescent="0.2">
      <c r="B9" s="485" t="s">
        <v>2634</v>
      </c>
      <c r="C9" s="86"/>
      <c r="D9" s="86"/>
      <c r="E9" s="86"/>
      <c r="F9" s="86"/>
      <c r="G9" s="86"/>
      <c r="H9" s="86"/>
      <c r="I9" s="86"/>
      <c r="J9" s="86"/>
      <c r="K9" s="86"/>
      <c r="L9" s="221"/>
      <c r="M9" s="86"/>
      <c r="N9" s="205"/>
      <c r="O9" s="205"/>
      <c r="P9" s="190"/>
      <c r="Q9" s="190"/>
      <c r="R9" s="190"/>
      <c r="S9" s="190"/>
      <c r="T9" s="190"/>
      <c r="U9" s="190"/>
      <c r="V9" s="190"/>
      <c r="W9" s="255"/>
      <c r="X9" s="190"/>
      <c r="Y9" s="190"/>
      <c r="Z9" s="190"/>
      <c r="AA9" s="190"/>
      <c r="AB9" s="190"/>
      <c r="AC9" s="190"/>
      <c r="AD9" s="190"/>
      <c r="AE9" s="190"/>
      <c r="AF9" s="190"/>
      <c r="AG9" s="190"/>
      <c r="AH9" s="190"/>
      <c r="AI9" s="190"/>
      <c r="AJ9" s="190"/>
      <c r="AK9" s="190"/>
      <c r="AL9" s="190"/>
      <c r="AM9" s="190"/>
      <c r="AN9" s="190"/>
      <c r="AO9" s="190"/>
      <c r="AP9" s="190"/>
      <c r="AQ9" s="881"/>
      <c r="AR9" s="94"/>
      <c r="AS9" s="94"/>
      <c r="AT9" s="94"/>
      <c r="AU9" s="94"/>
      <c r="AV9" s="94"/>
      <c r="AW9" s="94"/>
      <c r="AX9" s="94"/>
      <c r="AY9" s="94"/>
      <c r="AZ9" s="94"/>
      <c r="BA9" s="94"/>
      <c r="BB9" s="94"/>
      <c r="BC9" s="94"/>
      <c r="BD9" s="94"/>
      <c r="BE9" s="94"/>
      <c r="CH9" s="1020"/>
      <c r="CI9" s="1020"/>
      <c r="CJ9" s="1020"/>
      <c r="CK9" s="1020"/>
      <c r="CL9" s="1020"/>
      <c r="CM9" s="1020"/>
    </row>
    <row r="10" spans="1:91" ht="25.35" customHeight="1" x14ac:dyDescent="0.2">
      <c r="A10" s="5168" t="s">
        <v>2775</v>
      </c>
      <c r="B10" s="5134" t="s">
        <v>177</v>
      </c>
      <c r="C10" s="5134" t="s">
        <v>3</v>
      </c>
      <c r="D10" s="5118" t="s">
        <v>428</v>
      </c>
      <c r="E10" s="5119"/>
      <c r="F10" s="5120"/>
      <c r="G10" s="5107" t="s">
        <v>429</v>
      </c>
      <c r="H10" s="5117"/>
      <c r="I10" s="5117"/>
      <c r="J10" s="5117"/>
      <c r="K10" s="5117"/>
      <c r="L10" s="5117"/>
      <c r="M10" s="5117"/>
      <c r="N10" s="5117"/>
      <c r="O10" s="5117"/>
      <c r="P10" s="5117"/>
      <c r="Q10" s="5117"/>
      <c r="R10" s="5117"/>
      <c r="S10" s="5117"/>
      <c r="T10" s="5117"/>
      <c r="U10" s="5117"/>
      <c r="V10" s="5117"/>
      <c r="W10" s="5117"/>
      <c r="X10" s="5117"/>
      <c r="Y10" s="5117"/>
      <c r="Z10" s="5117"/>
      <c r="AA10" s="5117"/>
      <c r="AB10" s="5117"/>
      <c r="AC10" s="5117"/>
      <c r="AD10" s="5117"/>
      <c r="AE10" s="5117"/>
      <c r="AF10" s="5117"/>
      <c r="AG10" s="5117"/>
      <c r="AH10" s="5117"/>
      <c r="AI10" s="5117"/>
      <c r="AJ10" s="5117"/>
      <c r="AK10" s="5117"/>
      <c r="AL10" s="5117"/>
      <c r="AM10" s="5117"/>
      <c r="AN10" s="5108"/>
      <c r="AO10" s="5120" t="s">
        <v>1357</v>
      </c>
      <c r="AP10" s="5652" t="s">
        <v>1483</v>
      </c>
      <c r="AQ10" s="5733" t="s">
        <v>1359</v>
      </c>
      <c r="AR10" s="5733" t="s">
        <v>1358</v>
      </c>
      <c r="AS10" s="5733" t="s">
        <v>1749</v>
      </c>
      <c r="AT10" s="94"/>
      <c r="AU10" s="94"/>
      <c r="AV10" s="94"/>
      <c r="AW10" s="94"/>
      <c r="AX10" s="94"/>
      <c r="AY10" s="94"/>
      <c r="AZ10" s="94"/>
      <c r="BA10" s="94"/>
      <c r="BB10" s="94"/>
      <c r="BC10" s="94"/>
      <c r="BD10" s="94"/>
      <c r="BE10" s="94"/>
      <c r="CH10" s="1020"/>
      <c r="CI10" s="1020"/>
      <c r="CJ10" s="1020"/>
      <c r="CK10" s="1020"/>
      <c r="CL10" s="1020"/>
      <c r="CM10" s="1020"/>
    </row>
    <row r="11" spans="1:91" ht="19.5" customHeight="1" x14ac:dyDescent="0.2">
      <c r="A11" s="5168"/>
      <c r="B11" s="5135"/>
      <c r="C11" s="5135"/>
      <c r="D11" s="5125"/>
      <c r="E11" s="5598"/>
      <c r="F11" s="5126"/>
      <c r="G11" s="5107" t="s">
        <v>350</v>
      </c>
      <c r="H11" s="5108"/>
      <c r="I11" s="5107" t="s">
        <v>351</v>
      </c>
      <c r="J11" s="5108"/>
      <c r="K11" s="5107" t="s">
        <v>352</v>
      </c>
      <c r="L11" s="5108"/>
      <c r="M11" s="5107" t="s">
        <v>319</v>
      </c>
      <c r="N11" s="5108"/>
      <c r="O11" s="5107" t="s">
        <v>10</v>
      </c>
      <c r="P11" s="5108"/>
      <c r="Q11" s="5105" t="s">
        <v>11</v>
      </c>
      <c r="R11" s="5106"/>
      <c r="S11" s="5105" t="s">
        <v>12</v>
      </c>
      <c r="T11" s="5106"/>
      <c r="U11" s="5105" t="s">
        <v>13</v>
      </c>
      <c r="V11" s="5106"/>
      <c r="W11" s="5105" t="s">
        <v>14</v>
      </c>
      <c r="X11" s="5106"/>
      <c r="Y11" s="5105" t="s">
        <v>15</v>
      </c>
      <c r="Z11" s="5106"/>
      <c r="AA11" s="5105" t="s">
        <v>16</v>
      </c>
      <c r="AB11" s="5106"/>
      <c r="AC11" s="5105" t="s">
        <v>17</v>
      </c>
      <c r="AD11" s="5106"/>
      <c r="AE11" s="5105" t="s">
        <v>18</v>
      </c>
      <c r="AF11" s="5106"/>
      <c r="AG11" s="5105" t="s">
        <v>19</v>
      </c>
      <c r="AH11" s="5106"/>
      <c r="AI11" s="5105" t="s">
        <v>20</v>
      </c>
      <c r="AJ11" s="5106"/>
      <c r="AK11" s="5105" t="s">
        <v>21</v>
      </c>
      <c r="AL11" s="5106"/>
      <c r="AM11" s="5105" t="s">
        <v>22</v>
      </c>
      <c r="AN11" s="5106"/>
      <c r="AO11" s="5123"/>
      <c r="AP11" s="5416"/>
      <c r="AQ11" s="5734"/>
      <c r="AR11" s="5734"/>
      <c r="AS11" s="5734"/>
      <c r="AT11" s="94"/>
      <c r="AU11" s="94"/>
      <c r="AV11" s="94"/>
      <c r="AW11" s="94"/>
      <c r="AX11" s="94"/>
      <c r="AY11" s="94"/>
      <c r="AZ11" s="94"/>
      <c r="BA11" s="94"/>
      <c r="BB11" s="94"/>
      <c r="BC11" s="94"/>
      <c r="BD11" s="94"/>
      <c r="BE11" s="94"/>
      <c r="CH11" s="1020"/>
      <c r="CI11" s="1020"/>
      <c r="CJ11" s="1020"/>
      <c r="CK11" s="1020"/>
      <c r="CL11" s="1020"/>
      <c r="CM11" s="1020"/>
    </row>
    <row r="12" spans="1:91" ht="19.5" customHeight="1" x14ac:dyDescent="0.2">
      <c r="A12" s="5168"/>
      <c r="B12" s="5136"/>
      <c r="C12" s="5136"/>
      <c r="D12" s="341" t="s">
        <v>184</v>
      </c>
      <c r="E12" s="535" t="s">
        <v>24</v>
      </c>
      <c r="F12" s="395" t="s">
        <v>25</v>
      </c>
      <c r="G12" s="253" t="s">
        <v>24</v>
      </c>
      <c r="H12" s="395" t="s">
        <v>25</v>
      </c>
      <c r="I12" s="253" t="s">
        <v>24</v>
      </c>
      <c r="J12" s="395" t="s">
        <v>25</v>
      </c>
      <c r="K12" s="253" t="s">
        <v>24</v>
      </c>
      <c r="L12" s="395" t="s">
        <v>25</v>
      </c>
      <c r="M12" s="253" t="s">
        <v>24</v>
      </c>
      <c r="N12" s="395" t="s">
        <v>25</v>
      </c>
      <c r="O12" s="253" t="s">
        <v>24</v>
      </c>
      <c r="P12" s="395" t="s">
        <v>25</v>
      </c>
      <c r="Q12" s="253" t="s">
        <v>24</v>
      </c>
      <c r="R12" s="395" t="s">
        <v>25</v>
      </c>
      <c r="S12" s="253" t="s">
        <v>24</v>
      </c>
      <c r="T12" s="395" t="s">
        <v>25</v>
      </c>
      <c r="U12" s="253" t="s">
        <v>24</v>
      </c>
      <c r="V12" s="395" t="s">
        <v>25</v>
      </c>
      <c r="W12" s="253" t="s">
        <v>24</v>
      </c>
      <c r="X12" s="395" t="s">
        <v>25</v>
      </c>
      <c r="Y12" s="253" t="s">
        <v>24</v>
      </c>
      <c r="Z12" s="395" t="s">
        <v>25</v>
      </c>
      <c r="AA12" s="253" t="s">
        <v>24</v>
      </c>
      <c r="AB12" s="395" t="s">
        <v>25</v>
      </c>
      <c r="AC12" s="253" t="s">
        <v>24</v>
      </c>
      <c r="AD12" s="395" t="s">
        <v>25</v>
      </c>
      <c r="AE12" s="253" t="s">
        <v>24</v>
      </c>
      <c r="AF12" s="395" t="s">
        <v>25</v>
      </c>
      <c r="AG12" s="253" t="s">
        <v>24</v>
      </c>
      <c r="AH12" s="395" t="s">
        <v>25</v>
      </c>
      <c r="AI12" s="253" t="s">
        <v>24</v>
      </c>
      <c r="AJ12" s="395" t="s">
        <v>25</v>
      </c>
      <c r="AK12" s="253" t="s">
        <v>24</v>
      </c>
      <c r="AL12" s="395" t="s">
        <v>25</v>
      </c>
      <c r="AM12" s="253" t="s">
        <v>24</v>
      </c>
      <c r="AN12" s="395" t="s">
        <v>25</v>
      </c>
      <c r="AO12" s="5126"/>
      <c r="AP12" s="5520"/>
      <c r="AQ12" s="5735"/>
      <c r="AR12" s="5735"/>
      <c r="AS12" s="5735"/>
      <c r="AT12" s="94"/>
      <c r="AU12" s="94"/>
      <c r="AV12" s="94"/>
      <c r="AW12" s="94"/>
      <c r="AX12" s="94"/>
      <c r="AY12" s="94"/>
      <c r="AZ12" s="94"/>
      <c r="BA12" s="94"/>
      <c r="BB12" s="94"/>
      <c r="BC12" s="94"/>
      <c r="BD12" s="94"/>
      <c r="BE12" s="94"/>
      <c r="CH12" s="1020"/>
      <c r="CI12" s="1020"/>
      <c r="CJ12" s="1020"/>
      <c r="CK12" s="1020"/>
      <c r="CL12" s="1020"/>
      <c r="CM12" s="1020"/>
    </row>
    <row r="13" spans="1:91" ht="16.350000000000001" customHeight="1" x14ac:dyDescent="0.2">
      <c r="A13" s="2458" t="s">
        <v>3287</v>
      </c>
      <c r="B13" s="5102" t="s">
        <v>828</v>
      </c>
      <c r="C13" s="2583" t="s">
        <v>29</v>
      </c>
      <c r="D13" s="2883" t="s">
        <v>2777</v>
      </c>
      <c r="E13" s="2884" t="s">
        <v>2778</v>
      </c>
      <c r="F13" s="3486" t="s">
        <v>2779</v>
      </c>
      <c r="G13" s="2483" t="s">
        <v>2780</v>
      </c>
      <c r="H13" s="2499" t="s">
        <v>2781</v>
      </c>
      <c r="I13" s="2483" t="s">
        <v>2782</v>
      </c>
      <c r="J13" s="2499" t="s">
        <v>2783</v>
      </c>
      <c r="K13" s="2483" t="s">
        <v>2784</v>
      </c>
      <c r="L13" s="2480" t="s">
        <v>2785</v>
      </c>
      <c r="M13" s="2483" t="s">
        <v>2786</v>
      </c>
      <c r="N13" s="2480" t="s">
        <v>2787</v>
      </c>
      <c r="O13" s="2483" t="s">
        <v>2788</v>
      </c>
      <c r="P13" s="2480" t="s">
        <v>2789</v>
      </c>
      <c r="Q13" s="2483" t="s">
        <v>2790</v>
      </c>
      <c r="R13" s="2480" t="s">
        <v>2791</v>
      </c>
      <c r="S13" s="2483" t="s">
        <v>2792</v>
      </c>
      <c r="T13" s="2480" t="s">
        <v>2793</v>
      </c>
      <c r="U13" s="2483" t="s">
        <v>2794</v>
      </c>
      <c r="V13" s="2480" t="s">
        <v>2795</v>
      </c>
      <c r="W13" s="2483" t="s">
        <v>2796</v>
      </c>
      <c r="X13" s="2480" t="s">
        <v>2797</v>
      </c>
      <c r="Y13" s="2483" t="s">
        <v>2798</v>
      </c>
      <c r="Z13" s="2480" t="s">
        <v>2799</v>
      </c>
      <c r="AA13" s="2483" t="s">
        <v>2800</v>
      </c>
      <c r="AB13" s="2480" t="s">
        <v>2801</v>
      </c>
      <c r="AC13" s="2483" t="s">
        <v>2817</v>
      </c>
      <c r="AD13" s="2480" t="s">
        <v>2818</v>
      </c>
      <c r="AE13" s="2483" t="s">
        <v>2819</v>
      </c>
      <c r="AF13" s="2480" t="s">
        <v>2821</v>
      </c>
      <c r="AG13" s="2483" t="s">
        <v>2822</v>
      </c>
      <c r="AH13" s="2480" t="s">
        <v>2823</v>
      </c>
      <c r="AI13" s="2483" t="s">
        <v>2824</v>
      </c>
      <c r="AJ13" s="2480" t="s">
        <v>2825</v>
      </c>
      <c r="AK13" s="2483" t="s">
        <v>2826</v>
      </c>
      <c r="AL13" s="2480" t="s">
        <v>2827</v>
      </c>
      <c r="AM13" s="2560" t="s">
        <v>2831</v>
      </c>
      <c r="AN13" s="2480" t="s">
        <v>2832</v>
      </c>
      <c r="AO13" s="2499" t="s">
        <v>2833</v>
      </c>
      <c r="AP13" s="2499" t="s">
        <v>2834</v>
      </c>
      <c r="AQ13" s="2455" t="s">
        <v>3011</v>
      </c>
      <c r="AR13" s="2499" t="s">
        <v>3012</v>
      </c>
      <c r="AS13" s="2499" t="s">
        <v>3013</v>
      </c>
      <c r="AT13" s="2384" t="str">
        <f>CONCATENATE(CB13,CC13,CD13,CE13,CF13,CG13)</f>
        <v xml:space="preserve">* El número de Beneficiarios NO DEBE ser mayor que el Total. * Los Niños, Niñas, Adolescentes y Jóvenes de Programa SENAME NO DEBE ser mayor que el Total. * El número de personas pertenecientes a Pueblos Originarios NO DEBE ser mayor que el Total. * El número de personas Migrantes NO DEBE ser mayor que el Total. * El número de personas con Demencia NO DEBE ser mayor que el Total. </v>
      </c>
      <c r="AU13" s="1058"/>
      <c r="AV13" s="1058"/>
      <c r="AW13" s="1058"/>
      <c r="AX13" s="1058"/>
      <c r="AY13" s="1058"/>
      <c r="AZ13" s="1058"/>
      <c r="BA13" s="1058"/>
      <c r="BB13" s="1058"/>
      <c r="BC13" s="94"/>
      <c r="BD13" s="94"/>
      <c r="BE13" s="94"/>
      <c r="CB13" s="1031" t="str">
        <f>IF(CH13=1,"* El número de Beneficiarios NO DEBE ser mayor que el Total. ","")</f>
        <v xml:space="preserve">* El número de Beneficiarios NO DEBE ser mayor que el Total. </v>
      </c>
      <c r="CC13" s="1164" t="str">
        <f>IF(CI13=1,"* Los Niños, Niñas, Adolescentes y Jóvenes de Programa SENAME NO DEBE ser mayor que el Total. ","")</f>
        <v xml:space="preserve">* Los Niños, Niñas, Adolescentes y Jóvenes de Programa SENAME NO DEBE ser mayor que el Total. </v>
      </c>
      <c r="CD13" s="1164" t="str">
        <f>IF(CJ13=1,"* El número de personas pertenecientes a Pueblos Originarios NO DEBE ser mayor que el Total. ","")</f>
        <v xml:space="preserve">* El número de personas pertenecientes a Pueblos Originarios NO DEBE ser mayor que el Total. </v>
      </c>
      <c r="CE13" s="1164" t="str">
        <f>IF(CK13=1,"* El número de personas Migrantes NO DEBE ser mayor que el Total. ","")</f>
        <v xml:space="preserve">* El número de personas Migrantes NO DEBE ser mayor que el Total. </v>
      </c>
      <c r="CF13" s="1164" t="str">
        <f>IF(CL13=1,"* El número de personas con Demencia NO DEBE ser mayor que el Total. ","")</f>
        <v xml:space="preserve">* El número de personas con Demencia NO DEBE ser mayor que el Total. </v>
      </c>
      <c r="CG13" s="1031" t="str">
        <f>IF(CM13=1,"* No olvide digitar la columna Beneficiarios y/o Niños, Niñas, Adolescentes y Jóvenes de Programa SENAME y/o Pueblos Originarios y/o Migrantes y/o Demencia (Digite CEROS si no tiene). ","")</f>
        <v/>
      </c>
      <c r="CH13" s="1163">
        <f>IF($D13&lt;AO13,1,0)</f>
        <v>1</v>
      </c>
      <c r="CI13" s="1163">
        <f t="shared" ref="CI13:CL27" si="0">IF($D13&lt;AP13,1,0)</f>
        <v>1</v>
      </c>
      <c r="CJ13" s="1163">
        <f t="shared" si="0"/>
        <v>1</v>
      </c>
      <c r="CK13" s="1163">
        <f t="shared" si="0"/>
        <v>1</v>
      </c>
      <c r="CL13" s="1163">
        <f t="shared" si="0"/>
        <v>1</v>
      </c>
      <c r="CM13" s="1163">
        <f>IF(AND(D13&lt;&gt;0,OR(AO13="",AP13="",AQ13="",AR13="",AS13="")),1,0)</f>
        <v>0</v>
      </c>
    </row>
    <row r="14" spans="1:91" ht="16.350000000000001" customHeight="1" x14ac:dyDescent="0.2">
      <c r="A14" s="2458" t="s">
        <v>3288</v>
      </c>
      <c r="B14" s="5103"/>
      <c r="C14" s="2419" t="s">
        <v>280</v>
      </c>
      <c r="D14" s="2885" t="s">
        <v>2777</v>
      </c>
      <c r="E14" s="2886" t="s">
        <v>2778</v>
      </c>
      <c r="F14" s="3485" t="s">
        <v>2779</v>
      </c>
      <c r="G14" s="141" t="s">
        <v>2780</v>
      </c>
      <c r="H14" s="198" t="s">
        <v>2781</v>
      </c>
      <c r="I14" s="141" t="s">
        <v>2782</v>
      </c>
      <c r="J14" s="198" t="s">
        <v>2783</v>
      </c>
      <c r="K14" s="141" t="s">
        <v>2784</v>
      </c>
      <c r="L14" s="163" t="s">
        <v>2785</v>
      </c>
      <c r="M14" s="141" t="s">
        <v>2786</v>
      </c>
      <c r="N14" s="163" t="s">
        <v>2787</v>
      </c>
      <c r="O14" s="141" t="s">
        <v>2788</v>
      </c>
      <c r="P14" s="163" t="s">
        <v>2789</v>
      </c>
      <c r="Q14" s="141" t="s">
        <v>2790</v>
      </c>
      <c r="R14" s="163" t="s">
        <v>2791</v>
      </c>
      <c r="S14" s="141" t="s">
        <v>2792</v>
      </c>
      <c r="T14" s="163" t="s">
        <v>2793</v>
      </c>
      <c r="U14" s="141" t="s">
        <v>2794</v>
      </c>
      <c r="V14" s="163" t="s">
        <v>2795</v>
      </c>
      <c r="W14" s="141" t="s">
        <v>2796</v>
      </c>
      <c r="X14" s="163" t="s">
        <v>2797</v>
      </c>
      <c r="Y14" s="141" t="s">
        <v>2798</v>
      </c>
      <c r="Z14" s="163" t="s">
        <v>2799</v>
      </c>
      <c r="AA14" s="141" t="s">
        <v>2800</v>
      </c>
      <c r="AB14" s="163" t="s">
        <v>2801</v>
      </c>
      <c r="AC14" s="141" t="s">
        <v>2817</v>
      </c>
      <c r="AD14" s="163" t="s">
        <v>2818</v>
      </c>
      <c r="AE14" s="141" t="s">
        <v>2819</v>
      </c>
      <c r="AF14" s="163" t="s">
        <v>2821</v>
      </c>
      <c r="AG14" s="141" t="s">
        <v>2822</v>
      </c>
      <c r="AH14" s="163" t="s">
        <v>2823</v>
      </c>
      <c r="AI14" s="141" t="s">
        <v>2824</v>
      </c>
      <c r="AJ14" s="163" t="s">
        <v>2825</v>
      </c>
      <c r="AK14" s="141" t="s">
        <v>2826</v>
      </c>
      <c r="AL14" s="163" t="s">
        <v>2827</v>
      </c>
      <c r="AM14" s="224" t="s">
        <v>2831</v>
      </c>
      <c r="AN14" s="163" t="s">
        <v>2832</v>
      </c>
      <c r="AO14" s="198" t="s">
        <v>2833</v>
      </c>
      <c r="AP14" s="198" t="s">
        <v>2834</v>
      </c>
      <c r="AQ14" s="164" t="s">
        <v>3011</v>
      </c>
      <c r="AR14" s="198" t="s">
        <v>3012</v>
      </c>
      <c r="AS14" s="198" t="s">
        <v>3013</v>
      </c>
      <c r="AT14" s="2384" t="str">
        <f t="shared" ref="AT14:AT27" si="1">CONCATENATE(CB14,CC14,CD14,CE14,CF14,CG14)</f>
        <v xml:space="preserve">* El número de Beneficiarios NO DEBE ser mayor que el Total. * Los Niños, Niñas, Adolescentes y Jóvenes de Programa SENAME NO DEBE ser mayor que el Total. * El total de personas pertenecientes a Pueblos Originarios NO DEBE ser mayor que el Total. * El número de personas Migrantes NO DEBE ser mayor que el Total. * El número de personas con Demencia NO DEBE ser mayor que el Total. </v>
      </c>
      <c r="AU14" s="1058"/>
      <c r="AV14" s="1058"/>
      <c r="AW14" s="1058"/>
      <c r="AX14" s="1058"/>
      <c r="AY14" s="1058"/>
      <c r="AZ14" s="1058"/>
      <c r="BA14" s="1058"/>
      <c r="BB14" s="1058"/>
      <c r="BC14" s="94"/>
      <c r="BD14" s="94"/>
      <c r="BE14" s="94"/>
      <c r="CB14" s="1031" t="str">
        <f t="shared" ref="CB14:CB18" si="2">IF(CH14=1,"* El número de Beneficiarios NO DEBE ser mayor que el Total. ","")</f>
        <v xml:space="preserve">* El número de Beneficiarios NO DEBE ser mayor que el Total. </v>
      </c>
      <c r="CC14" s="1164" t="str">
        <f t="shared" ref="CC14:CC18" si="3">IF(CI14=1,"* Los Niños, Niñas, Adolescentes y Jóvenes de Programa SENAME NO DEBE ser mayor que el Total. ","")</f>
        <v xml:space="preserve">* Los Niños, Niñas, Adolescentes y Jóvenes de Programa SENAME NO DEBE ser mayor que el Total. </v>
      </c>
      <c r="CD14" s="1164" t="str">
        <f t="shared" ref="CD14:CD27" si="4">IF(CJ14=1,"* El total de personas pertenecientes a Pueblos Originarios NO DEBE ser mayor que el Total. ","")</f>
        <v xml:space="preserve">* El total de personas pertenecientes a Pueblos Originarios NO DEBE ser mayor que el Total. </v>
      </c>
      <c r="CE14" s="1164" t="str">
        <f t="shared" ref="CE14:CE27" si="5">IF(CK14=1,"* El número de personas Migrantes NO DEBE ser mayor que el Total. ","")</f>
        <v xml:space="preserve">* El número de personas Migrantes NO DEBE ser mayor que el Total. </v>
      </c>
      <c r="CF14" s="1164" t="str">
        <f t="shared" ref="CF14:CF27" si="6">IF(CL14=1,"* El número de personas con Demencia NO DEBE ser mayor que el Total. ","")</f>
        <v xml:space="preserve">* El número de personas con Demencia NO DEBE ser mayor que el Total. </v>
      </c>
      <c r="CG14" s="1031" t="str">
        <f t="shared" ref="CG14:CG27" si="7">IF(CM14=1,"* No olvide digitar la columna Beneficiarios y/o Niños, Niñas, Adolescentes y Jóvenes de Programa SENAME y/o Pueblos Originarios y/o Migrantes y/o Demencia (Digite CEROS si no tiene). ","")</f>
        <v/>
      </c>
      <c r="CH14" s="1163">
        <f t="shared" ref="CH14:CH27" si="8">IF($D14&lt;AO14,1,0)</f>
        <v>1</v>
      </c>
      <c r="CI14" s="1163">
        <f t="shared" si="0"/>
        <v>1</v>
      </c>
      <c r="CJ14" s="1163">
        <f t="shared" si="0"/>
        <v>1</v>
      </c>
      <c r="CK14" s="1163">
        <f t="shared" si="0"/>
        <v>1</v>
      </c>
      <c r="CL14" s="1163">
        <f t="shared" si="0"/>
        <v>1</v>
      </c>
      <c r="CM14" s="1163">
        <f t="shared" ref="CM14:CM27" si="9">IF(AND(D14&lt;&gt;0,OR(AO14="",AP14="",AQ14="",AR14="",AS14="")),1,0)</f>
        <v>0</v>
      </c>
    </row>
    <row r="15" spans="1:91" ht="16.350000000000001" customHeight="1" x14ac:dyDescent="0.2">
      <c r="A15" s="2458" t="s">
        <v>3289</v>
      </c>
      <c r="B15" s="5103"/>
      <c r="C15" s="2419" t="s">
        <v>41</v>
      </c>
      <c r="D15" s="2885" t="s">
        <v>2777</v>
      </c>
      <c r="E15" s="2886" t="s">
        <v>2778</v>
      </c>
      <c r="F15" s="3485" t="s">
        <v>2779</v>
      </c>
      <c r="G15" s="141" t="s">
        <v>2780</v>
      </c>
      <c r="H15" s="198" t="s">
        <v>2781</v>
      </c>
      <c r="I15" s="141" t="s">
        <v>2782</v>
      </c>
      <c r="J15" s="198" t="s">
        <v>2783</v>
      </c>
      <c r="K15" s="141" t="s">
        <v>2784</v>
      </c>
      <c r="L15" s="163" t="s">
        <v>2785</v>
      </c>
      <c r="M15" s="141" t="s">
        <v>2786</v>
      </c>
      <c r="N15" s="163" t="s">
        <v>2787</v>
      </c>
      <c r="O15" s="141" t="s">
        <v>2788</v>
      </c>
      <c r="P15" s="163" t="s">
        <v>2789</v>
      </c>
      <c r="Q15" s="141" t="s">
        <v>2790</v>
      </c>
      <c r="R15" s="163" t="s">
        <v>2791</v>
      </c>
      <c r="S15" s="141" t="s">
        <v>2792</v>
      </c>
      <c r="T15" s="163" t="s">
        <v>2793</v>
      </c>
      <c r="U15" s="141" t="s">
        <v>2794</v>
      </c>
      <c r="V15" s="163" t="s">
        <v>2795</v>
      </c>
      <c r="W15" s="141" t="s">
        <v>2796</v>
      </c>
      <c r="X15" s="163" t="s">
        <v>2797</v>
      </c>
      <c r="Y15" s="141" t="s">
        <v>2798</v>
      </c>
      <c r="Z15" s="163" t="s">
        <v>2799</v>
      </c>
      <c r="AA15" s="141" t="s">
        <v>2800</v>
      </c>
      <c r="AB15" s="163" t="s">
        <v>2801</v>
      </c>
      <c r="AC15" s="141" t="s">
        <v>2817</v>
      </c>
      <c r="AD15" s="163" t="s">
        <v>2818</v>
      </c>
      <c r="AE15" s="141" t="s">
        <v>2819</v>
      </c>
      <c r="AF15" s="163" t="s">
        <v>2821</v>
      </c>
      <c r="AG15" s="141" t="s">
        <v>2822</v>
      </c>
      <c r="AH15" s="163" t="s">
        <v>2823</v>
      </c>
      <c r="AI15" s="141" t="s">
        <v>2824</v>
      </c>
      <c r="AJ15" s="163" t="s">
        <v>2825</v>
      </c>
      <c r="AK15" s="141" t="s">
        <v>2826</v>
      </c>
      <c r="AL15" s="163" t="s">
        <v>2827</v>
      </c>
      <c r="AM15" s="224" t="s">
        <v>2831</v>
      </c>
      <c r="AN15" s="163" t="s">
        <v>2832</v>
      </c>
      <c r="AO15" s="198" t="s">
        <v>2833</v>
      </c>
      <c r="AP15" s="198" t="s">
        <v>2834</v>
      </c>
      <c r="AQ15" s="164" t="s">
        <v>3011</v>
      </c>
      <c r="AR15" s="198" t="s">
        <v>3012</v>
      </c>
      <c r="AS15" s="198" t="s">
        <v>3013</v>
      </c>
      <c r="AT15" s="2384" t="str">
        <f t="shared" si="1"/>
        <v xml:space="preserve">* El número de Beneficiarios NO DEBE ser mayor que el Total. * Los Niños, Niñas, Adolescentes y Jóvenes de Programa SENAME NO DEBE ser mayor que el Total. * El total de personas pertenecientes a Pueblos Originarios NO DEBE ser mayor que el Total. * El número de personas Migrantes NO DEBE ser mayor que el Total. * El número de personas con Demencia NO DEBE ser mayor que el Total. </v>
      </c>
      <c r="AU15" s="1058"/>
      <c r="AV15" s="1058"/>
      <c r="AW15" s="1058"/>
      <c r="AX15" s="1058"/>
      <c r="AY15" s="1058"/>
      <c r="AZ15" s="1058"/>
      <c r="BA15" s="1058"/>
      <c r="BB15" s="1058"/>
      <c r="BC15" s="94"/>
      <c r="BD15" s="94"/>
      <c r="BE15" s="94"/>
      <c r="CB15" s="1031" t="str">
        <f t="shared" si="2"/>
        <v xml:space="preserve">* El número de Beneficiarios NO DEBE ser mayor que el Total. </v>
      </c>
      <c r="CC15" s="1164" t="str">
        <f t="shared" si="3"/>
        <v xml:space="preserve">* Los Niños, Niñas, Adolescentes y Jóvenes de Programa SENAME NO DEBE ser mayor que el Total. </v>
      </c>
      <c r="CD15" s="1164" t="str">
        <f t="shared" si="4"/>
        <v xml:space="preserve">* El total de personas pertenecientes a Pueblos Originarios NO DEBE ser mayor que el Total. </v>
      </c>
      <c r="CE15" s="1164" t="str">
        <f t="shared" si="5"/>
        <v xml:space="preserve">* El número de personas Migrantes NO DEBE ser mayor que el Total. </v>
      </c>
      <c r="CF15" s="1164" t="str">
        <f t="shared" si="6"/>
        <v xml:space="preserve">* El número de personas con Demencia NO DEBE ser mayor que el Total. </v>
      </c>
      <c r="CG15" s="1031" t="str">
        <f t="shared" si="7"/>
        <v/>
      </c>
      <c r="CH15" s="1163">
        <f t="shared" si="8"/>
        <v>1</v>
      </c>
      <c r="CI15" s="1163">
        <f t="shared" si="0"/>
        <v>1</v>
      </c>
      <c r="CJ15" s="1163">
        <f t="shared" si="0"/>
        <v>1</v>
      </c>
      <c r="CK15" s="1163">
        <f t="shared" si="0"/>
        <v>1</v>
      </c>
      <c r="CL15" s="1163">
        <f t="shared" si="0"/>
        <v>1</v>
      </c>
      <c r="CM15" s="1163">
        <f t="shared" si="9"/>
        <v>0</v>
      </c>
    </row>
    <row r="16" spans="1:91" ht="16.350000000000001" customHeight="1" x14ac:dyDescent="0.2">
      <c r="A16" s="2458" t="s">
        <v>3290</v>
      </c>
      <c r="B16" s="5103"/>
      <c r="C16" s="2419" t="s">
        <v>30</v>
      </c>
      <c r="D16" s="2885" t="s">
        <v>2777</v>
      </c>
      <c r="E16" s="2886" t="s">
        <v>2778</v>
      </c>
      <c r="F16" s="3485" t="s">
        <v>2779</v>
      </c>
      <c r="G16" s="141" t="s">
        <v>2780</v>
      </c>
      <c r="H16" s="198" t="s">
        <v>2781</v>
      </c>
      <c r="I16" s="141" t="s">
        <v>2782</v>
      </c>
      <c r="J16" s="198" t="s">
        <v>2783</v>
      </c>
      <c r="K16" s="141" t="s">
        <v>2784</v>
      </c>
      <c r="L16" s="163" t="s">
        <v>2785</v>
      </c>
      <c r="M16" s="141" t="s">
        <v>2786</v>
      </c>
      <c r="N16" s="163" t="s">
        <v>2787</v>
      </c>
      <c r="O16" s="141" t="s">
        <v>2788</v>
      </c>
      <c r="P16" s="163" t="s">
        <v>2789</v>
      </c>
      <c r="Q16" s="141" t="s">
        <v>2790</v>
      </c>
      <c r="R16" s="163" t="s">
        <v>2791</v>
      </c>
      <c r="S16" s="141" t="s">
        <v>2792</v>
      </c>
      <c r="T16" s="163" t="s">
        <v>2793</v>
      </c>
      <c r="U16" s="141" t="s">
        <v>2794</v>
      </c>
      <c r="V16" s="163" t="s">
        <v>2795</v>
      </c>
      <c r="W16" s="141" t="s">
        <v>2796</v>
      </c>
      <c r="X16" s="163" t="s">
        <v>2797</v>
      </c>
      <c r="Y16" s="141" t="s">
        <v>2798</v>
      </c>
      <c r="Z16" s="163" t="s">
        <v>2799</v>
      </c>
      <c r="AA16" s="141" t="s">
        <v>2800</v>
      </c>
      <c r="AB16" s="163" t="s">
        <v>2801</v>
      </c>
      <c r="AC16" s="141" t="s">
        <v>2817</v>
      </c>
      <c r="AD16" s="163" t="s">
        <v>2818</v>
      </c>
      <c r="AE16" s="141" t="s">
        <v>2819</v>
      </c>
      <c r="AF16" s="163" t="s">
        <v>2821</v>
      </c>
      <c r="AG16" s="141" t="s">
        <v>2822</v>
      </c>
      <c r="AH16" s="163" t="s">
        <v>2823</v>
      </c>
      <c r="AI16" s="141" t="s">
        <v>2824</v>
      </c>
      <c r="AJ16" s="163" t="s">
        <v>2825</v>
      </c>
      <c r="AK16" s="141" t="s">
        <v>2826</v>
      </c>
      <c r="AL16" s="163" t="s">
        <v>2827</v>
      </c>
      <c r="AM16" s="224" t="s">
        <v>2831</v>
      </c>
      <c r="AN16" s="163" t="s">
        <v>2832</v>
      </c>
      <c r="AO16" s="198" t="s">
        <v>2833</v>
      </c>
      <c r="AP16" s="198" t="s">
        <v>2834</v>
      </c>
      <c r="AQ16" s="164" t="s">
        <v>3011</v>
      </c>
      <c r="AR16" s="198" t="s">
        <v>3012</v>
      </c>
      <c r="AS16" s="198" t="s">
        <v>3013</v>
      </c>
      <c r="AT16" s="2384" t="str">
        <f t="shared" si="1"/>
        <v xml:space="preserve">* El número de Beneficiarios NO DEBE ser mayor que el Total. * Los Niños, Niñas, Adolescentes y Jóvenes de Programa SENAME NO DEBE ser mayor que el Total. * El total de personas pertenecientes a Pueblos Originarios NO DEBE ser mayor que el Total. * El número de personas Migrantes NO DEBE ser mayor que el Total. * El número de personas con Demencia NO DEBE ser mayor que el Total. </v>
      </c>
      <c r="AU16" s="1058"/>
      <c r="AV16" s="1058"/>
      <c r="AW16" s="1058"/>
      <c r="AX16" s="1058"/>
      <c r="AY16" s="1058"/>
      <c r="AZ16" s="1058"/>
      <c r="BA16" s="1058"/>
      <c r="BB16" s="1058"/>
      <c r="BC16" s="94"/>
      <c r="BD16" s="94"/>
      <c r="BE16" s="94"/>
      <c r="CB16" s="1031" t="str">
        <f t="shared" si="2"/>
        <v xml:space="preserve">* El número de Beneficiarios NO DEBE ser mayor que el Total. </v>
      </c>
      <c r="CC16" s="1164" t="str">
        <f t="shared" si="3"/>
        <v xml:space="preserve">* Los Niños, Niñas, Adolescentes y Jóvenes de Programa SENAME NO DEBE ser mayor que el Total. </v>
      </c>
      <c r="CD16" s="1164" t="str">
        <f t="shared" si="4"/>
        <v xml:space="preserve">* El total de personas pertenecientes a Pueblos Originarios NO DEBE ser mayor que el Total. </v>
      </c>
      <c r="CE16" s="1164" t="str">
        <f t="shared" si="5"/>
        <v xml:space="preserve">* El número de personas Migrantes NO DEBE ser mayor que el Total. </v>
      </c>
      <c r="CF16" s="1164" t="str">
        <f t="shared" si="6"/>
        <v xml:space="preserve">* El número de personas con Demencia NO DEBE ser mayor que el Total. </v>
      </c>
      <c r="CG16" s="1031" t="str">
        <f t="shared" si="7"/>
        <v/>
      </c>
      <c r="CH16" s="1163">
        <f t="shared" si="8"/>
        <v>1</v>
      </c>
      <c r="CI16" s="1163">
        <f t="shared" si="0"/>
        <v>1</v>
      </c>
      <c r="CJ16" s="1163">
        <f t="shared" si="0"/>
        <v>1</v>
      </c>
      <c r="CK16" s="1163">
        <f t="shared" si="0"/>
        <v>1</v>
      </c>
      <c r="CL16" s="1163">
        <f t="shared" si="0"/>
        <v>1</v>
      </c>
      <c r="CM16" s="1163">
        <f t="shared" si="9"/>
        <v>0</v>
      </c>
    </row>
    <row r="17" spans="1:91" ht="16.350000000000001" customHeight="1" x14ac:dyDescent="0.2">
      <c r="A17" s="2458" t="s">
        <v>3291</v>
      </c>
      <c r="B17" s="5103"/>
      <c r="C17" s="2419" t="s">
        <v>283</v>
      </c>
      <c r="D17" s="2885" t="s">
        <v>2777</v>
      </c>
      <c r="E17" s="2886" t="s">
        <v>2778</v>
      </c>
      <c r="F17" s="3485" t="s">
        <v>2779</v>
      </c>
      <c r="G17" s="141" t="s">
        <v>2780</v>
      </c>
      <c r="H17" s="198" t="s">
        <v>2781</v>
      </c>
      <c r="I17" s="141" t="s">
        <v>2782</v>
      </c>
      <c r="J17" s="198" t="s">
        <v>2783</v>
      </c>
      <c r="K17" s="141" t="s">
        <v>2784</v>
      </c>
      <c r="L17" s="163" t="s">
        <v>2785</v>
      </c>
      <c r="M17" s="141" t="s">
        <v>2786</v>
      </c>
      <c r="N17" s="163" t="s">
        <v>2787</v>
      </c>
      <c r="O17" s="141" t="s">
        <v>2788</v>
      </c>
      <c r="P17" s="163" t="s">
        <v>2789</v>
      </c>
      <c r="Q17" s="141" t="s">
        <v>2790</v>
      </c>
      <c r="R17" s="163" t="s">
        <v>2791</v>
      </c>
      <c r="S17" s="141" t="s">
        <v>2792</v>
      </c>
      <c r="T17" s="163" t="s">
        <v>2793</v>
      </c>
      <c r="U17" s="141" t="s">
        <v>2794</v>
      </c>
      <c r="V17" s="163" t="s">
        <v>2795</v>
      </c>
      <c r="W17" s="141" t="s">
        <v>2796</v>
      </c>
      <c r="X17" s="163" t="s">
        <v>2797</v>
      </c>
      <c r="Y17" s="141" t="s">
        <v>2798</v>
      </c>
      <c r="Z17" s="163" t="s">
        <v>2799</v>
      </c>
      <c r="AA17" s="141" t="s">
        <v>2800</v>
      </c>
      <c r="AB17" s="163" t="s">
        <v>2801</v>
      </c>
      <c r="AC17" s="141" t="s">
        <v>2817</v>
      </c>
      <c r="AD17" s="163" t="s">
        <v>2818</v>
      </c>
      <c r="AE17" s="141" t="s">
        <v>2819</v>
      </c>
      <c r="AF17" s="163" t="s">
        <v>2821</v>
      </c>
      <c r="AG17" s="141" t="s">
        <v>2822</v>
      </c>
      <c r="AH17" s="163" t="s">
        <v>2823</v>
      </c>
      <c r="AI17" s="141" t="s">
        <v>2824</v>
      </c>
      <c r="AJ17" s="163" t="s">
        <v>2825</v>
      </c>
      <c r="AK17" s="141" t="s">
        <v>2826</v>
      </c>
      <c r="AL17" s="163" t="s">
        <v>2827</v>
      </c>
      <c r="AM17" s="224" t="s">
        <v>2831</v>
      </c>
      <c r="AN17" s="163" t="s">
        <v>2832</v>
      </c>
      <c r="AO17" s="198" t="s">
        <v>2833</v>
      </c>
      <c r="AP17" s="198" t="s">
        <v>2834</v>
      </c>
      <c r="AQ17" s="164" t="s">
        <v>3011</v>
      </c>
      <c r="AR17" s="198" t="s">
        <v>3012</v>
      </c>
      <c r="AS17" s="198" t="s">
        <v>3013</v>
      </c>
      <c r="AT17" s="2384" t="str">
        <f t="shared" si="1"/>
        <v xml:space="preserve">* El número de Beneficiarios NO DEBE ser mayor que el Total. * Los Niños, Niñas, Adolescentes y Jóvenes de Programa SENAME NO DEBE ser mayor que el Total. * El total de personas pertenecientes a Pueblos Originarios NO DEBE ser mayor que el Total. * El número de personas Migrantes NO DEBE ser mayor que el Total. * El número de personas con Demencia NO DEBE ser mayor que el Total. </v>
      </c>
      <c r="AU17" s="1058"/>
      <c r="AV17" s="1058"/>
      <c r="AW17" s="1058"/>
      <c r="AX17" s="1058"/>
      <c r="AY17" s="1058"/>
      <c r="AZ17" s="1058"/>
      <c r="BA17" s="1058"/>
      <c r="BB17" s="1058"/>
      <c r="BC17" s="94"/>
      <c r="BD17" s="94"/>
      <c r="BE17" s="94"/>
      <c r="CB17" s="1031" t="str">
        <f t="shared" si="2"/>
        <v xml:space="preserve">* El número de Beneficiarios NO DEBE ser mayor que el Total. </v>
      </c>
      <c r="CC17" s="1164" t="str">
        <f t="shared" si="3"/>
        <v xml:space="preserve">* Los Niños, Niñas, Adolescentes y Jóvenes de Programa SENAME NO DEBE ser mayor que el Total. </v>
      </c>
      <c r="CD17" s="1164" t="str">
        <f t="shared" si="4"/>
        <v xml:space="preserve">* El total de personas pertenecientes a Pueblos Originarios NO DEBE ser mayor que el Total. </v>
      </c>
      <c r="CE17" s="1164" t="str">
        <f t="shared" si="5"/>
        <v xml:space="preserve">* El número de personas Migrantes NO DEBE ser mayor que el Total. </v>
      </c>
      <c r="CF17" s="1164" t="str">
        <f t="shared" si="6"/>
        <v xml:space="preserve">* El número de personas con Demencia NO DEBE ser mayor que el Total. </v>
      </c>
      <c r="CG17" s="1031" t="str">
        <f t="shared" si="7"/>
        <v/>
      </c>
      <c r="CH17" s="1163">
        <f t="shared" si="8"/>
        <v>1</v>
      </c>
      <c r="CI17" s="1163">
        <f t="shared" si="0"/>
        <v>1</v>
      </c>
      <c r="CJ17" s="1163">
        <f t="shared" si="0"/>
        <v>1</v>
      </c>
      <c r="CK17" s="1163">
        <f t="shared" si="0"/>
        <v>1</v>
      </c>
      <c r="CL17" s="1163">
        <f t="shared" si="0"/>
        <v>1</v>
      </c>
      <c r="CM17" s="1163">
        <f t="shared" si="9"/>
        <v>0</v>
      </c>
    </row>
    <row r="18" spans="1:91" ht="16.350000000000001" customHeight="1" x14ac:dyDescent="0.2">
      <c r="A18" s="2458" t="s">
        <v>3292</v>
      </c>
      <c r="B18" s="5103"/>
      <c r="C18" s="2419" t="s">
        <v>285</v>
      </c>
      <c r="D18" s="2885" t="s">
        <v>2777</v>
      </c>
      <c r="E18" s="2886" t="s">
        <v>2778</v>
      </c>
      <c r="F18" s="3485" t="s">
        <v>2779</v>
      </c>
      <c r="G18" s="141" t="s">
        <v>2780</v>
      </c>
      <c r="H18" s="198" t="s">
        <v>2781</v>
      </c>
      <c r="I18" s="141" t="s">
        <v>2782</v>
      </c>
      <c r="J18" s="198" t="s">
        <v>2783</v>
      </c>
      <c r="K18" s="141" t="s">
        <v>2784</v>
      </c>
      <c r="L18" s="163" t="s">
        <v>2785</v>
      </c>
      <c r="M18" s="141" t="s">
        <v>2786</v>
      </c>
      <c r="N18" s="163" t="s">
        <v>2787</v>
      </c>
      <c r="O18" s="141" t="s">
        <v>2788</v>
      </c>
      <c r="P18" s="163" t="s">
        <v>2789</v>
      </c>
      <c r="Q18" s="141" t="s">
        <v>2790</v>
      </c>
      <c r="R18" s="163" t="s">
        <v>2791</v>
      </c>
      <c r="S18" s="141" t="s">
        <v>2792</v>
      </c>
      <c r="T18" s="163" t="s">
        <v>2793</v>
      </c>
      <c r="U18" s="141" t="s">
        <v>2794</v>
      </c>
      <c r="V18" s="163" t="s">
        <v>2795</v>
      </c>
      <c r="W18" s="141" t="s">
        <v>2796</v>
      </c>
      <c r="X18" s="163" t="s">
        <v>2797</v>
      </c>
      <c r="Y18" s="141" t="s">
        <v>2798</v>
      </c>
      <c r="Z18" s="163" t="s">
        <v>2799</v>
      </c>
      <c r="AA18" s="141" t="s">
        <v>2800</v>
      </c>
      <c r="AB18" s="163" t="s">
        <v>2801</v>
      </c>
      <c r="AC18" s="141" t="s">
        <v>2817</v>
      </c>
      <c r="AD18" s="163" t="s">
        <v>2818</v>
      </c>
      <c r="AE18" s="141" t="s">
        <v>2819</v>
      </c>
      <c r="AF18" s="163" t="s">
        <v>2821</v>
      </c>
      <c r="AG18" s="141" t="s">
        <v>2822</v>
      </c>
      <c r="AH18" s="163" t="s">
        <v>2823</v>
      </c>
      <c r="AI18" s="141" t="s">
        <v>2824</v>
      </c>
      <c r="AJ18" s="163" t="s">
        <v>2825</v>
      </c>
      <c r="AK18" s="141" t="s">
        <v>2826</v>
      </c>
      <c r="AL18" s="163" t="s">
        <v>2827</v>
      </c>
      <c r="AM18" s="224" t="s">
        <v>2831</v>
      </c>
      <c r="AN18" s="163" t="s">
        <v>2832</v>
      </c>
      <c r="AO18" s="198" t="s">
        <v>2833</v>
      </c>
      <c r="AP18" s="198" t="s">
        <v>2834</v>
      </c>
      <c r="AQ18" s="164" t="s">
        <v>3011</v>
      </c>
      <c r="AR18" s="198" t="s">
        <v>3012</v>
      </c>
      <c r="AS18" s="198" t="s">
        <v>3013</v>
      </c>
      <c r="AT18" s="2384" t="str">
        <f t="shared" si="1"/>
        <v xml:space="preserve">* El número de Beneficiarios NO DEBE ser mayor que el Total. * Los Niños, Niñas, Adolescentes y Jóvenes de Programa SENAME NO DEBE ser mayor que el Total. * El total de personas pertenecientes a Pueblos Originarios NO DEBE ser mayor que el Total. * El número de personas Migrantes NO DEBE ser mayor que el Total. * El número de personas con Demencia NO DEBE ser mayor que el Total. </v>
      </c>
      <c r="AU18" s="1058"/>
      <c r="AV18" s="1058"/>
      <c r="AW18" s="1058"/>
      <c r="AX18" s="1058"/>
      <c r="AY18" s="1058"/>
      <c r="AZ18" s="1058"/>
      <c r="BA18" s="1058"/>
      <c r="BB18" s="1058"/>
      <c r="BC18" s="94"/>
      <c r="BD18" s="94"/>
      <c r="BE18" s="94"/>
      <c r="CB18" s="1031" t="str">
        <f t="shared" si="2"/>
        <v xml:space="preserve">* El número de Beneficiarios NO DEBE ser mayor que el Total. </v>
      </c>
      <c r="CC18" s="1164" t="str">
        <f t="shared" si="3"/>
        <v xml:space="preserve">* Los Niños, Niñas, Adolescentes y Jóvenes de Programa SENAME NO DEBE ser mayor que el Total. </v>
      </c>
      <c r="CD18" s="1164" t="str">
        <f t="shared" si="4"/>
        <v xml:space="preserve">* El total de personas pertenecientes a Pueblos Originarios NO DEBE ser mayor que el Total. </v>
      </c>
      <c r="CE18" s="1164" t="str">
        <f t="shared" si="5"/>
        <v xml:space="preserve">* El número de personas Migrantes NO DEBE ser mayor que el Total. </v>
      </c>
      <c r="CF18" s="1164" t="str">
        <f t="shared" si="6"/>
        <v xml:space="preserve">* El número de personas con Demencia NO DEBE ser mayor que el Total. </v>
      </c>
      <c r="CG18" s="1031" t="str">
        <f t="shared" si="7"/>
        <v/>
      </c>
      <c r="CH18" s="1163">
        <f t="shared" si="8"/>
        <v>1</v>
      </c>
      <c r="CI18" s="1163">
        <f t="shared" si="0"/>
        <v>1</v>
      </c>
      <c r="CJ18" s="1163">
        <f t="shared" si="0"/>
        <v>1</v>
      </c>
      <c r="CK18" s="1163">
        <f t="shared" si="0"/>
        <v>1</v>
      </c>
      <c r="CL18" s="1163">
        <f t="shared" si="0"/>
        <v>1</v>
      </c>
      <c r="CM18" s="1163">
        <f t="shared" si="9"/>
        <v>0</v>
      </c>
    </row>
    <row r="19" spans="1:91" ht="16.350000000000001" customHeight="1" x14ac:dyDescent="0.2">
      <c r="A19" s="2458" t="s">
        <v>3293</v>
      </c>
      <c r="B19" s="5103"/>
      <c r="C19" s="2419" t="s">
        <v>282</v>
      </c>
      <c r="D19" s="2889" t="s">
        <v>2777</v>
      </c>
      <c r="E19" s="2890" t="s">
        <v>2778</v>
      </c>
      <c r="F19" s="3497" t="s">
        <v>2779</v>
      </c>
      <c r="G19" s="2245" t="s">
        <v>2780</v>
      </c>
      <c r="H19" s="240" t="s">
        <v>2781</v>
      </c>
      <c r="I19" s="2245" t="s">
        <v>2782</v>
      </c>
      <c r="J19" s="240" t="s">
        <v>2783</v>
      </c>
      <c r="K19" s="2245" t="s">
        <v>2784</v>
      </c>
      <c r="L19" s="183" t="s">
        <v>2785</v>
      </c>
      <c r="M19" s="2245" t="s">
        <v>2786</v>
      </c>
      <c r="N19" s="183" t="s">
        <v>2787</v>
      </c>
      <c r="O19" s="2245" t="s">
        <v>2788</v>
      </c>
      <c r="P19" s="183" t="s">
        <v>2789</v>
      </c>
      <c r="Q19" s="2245" t="s">
        <v>2790</v>
      </c>
      <c r="R19" s="183" t="s">
        <v>2791</v>
      </c>
      <c r="S19" s="2245" t="s">
        <v>2792</v>
      </c>
      <c r="T19" s="183" t="s">
        <v>2793</v>
      </c>
      <c r="U19" s="2245" t="s">
        <v>2794</v>
      </c>
      <c r="V19" s="183" t="s">
        <v>2795</v>
      </c>
      <c r="W19" s="2245" t="s">
        <v>2796</v>
      </c>
      <c r="X19" s="183" t="s">
        <v>2797</v>
      </c>
      <c r="Y19" s="2245" t="s">
        <v>2798</v>
      </c>
      <c r="Z19" s="183" t="s">
        <v>2799</v>
      </c>
      <c r="AA19" s="2245" t="s">
        <v>2800</v>
      </c>
      <c r="AB19" s="183" t="s">
        <v>2801</v>
      </c>
      <c r="AC19" s="2245" t="s">
        <v>2817</v>
      </c>
      <c r="AD19" s="183" t="s">
        <v>2818</v>
      </c>
      <c r="AE19" s="2245" t="s">
        <v>2819</v>
      </c>
      <c r="AF19" s="183" t="s">
        <v>2821</v>
      </c>
      <c r="AG19" s="2245" t="s">
        <v>2822</v>
      </c>
      <c r="AH19" s="183" t="s">
        <v>2823</v>
      </c>
      <c r="AI19" s="2245" t="s">
        <v>2824</v>
      </c>
      <c r="AJ19" s="183" t="s">
        <v>2825</v>
      </c>
      <c r="AK19" s="2245" t="s">
        <v>2826</v>
      </c>
      <c r="AL19" s="183" t="s">
        <v>2827</v>
      </c>
      <c r="AM19" s="2246" t="s">
        <v>2831</v>
      </c>
      <c r="AN19" s="183" t="s">
        <v>2832</v>
      </c>
      <c r="AO19" s="240" t="s">
        <v>2833</v>
      </c>
      <c r="AP19" s="240" t="s">
        <v>2834</v>
      </c>
      <c r="AQ19" s="164" t="s">
        <v>3011</v>
      </c>
      <c r="AR19" s="198" t="s">
        <v>3012</v>
      </c>
      <c r="AS19" s="198" t="s">
        <v>3013</v>
      </c>
      <c r="AT19" s="2384" t="str">
        <f t="shared" si="1"/>
        <v xml:space="preserve">* El número de Beneficiarios NO DEBE ser mayor que el Total. * Los Niños, Niñas, Adolescentes y Jóvenes de Programa SENAME NO DEBE ser mayor que el Total. * El total de personas pertenecientes a Pueblos Originarios NO DEBE ser mayor que el Total. * El número de personas Migrantes NO DEBE ser mayor que el Total. * El número de personas con Demencia NO DEBE ser mayor que el Total. </v>
      </c>
      <c r="AU19" s="1058"/>
      <c r="AV19" s="1058"/>
      <c r="AW19" s="1058"/>
      <c r="AX19" s="1058"/>
      <c r="AY19" s="1058"/>
      <c r="AZ19" s="1058"/>
      <c r="BA19" s="1058"/>
      <c r="BB19" s="1058"/>
      <c r="BC19" s="94"/>
      <c r="BD19" s="94"/>
      <c r="BE19" s="94"/>
      <c r="CB19" s="1031" t="str">
        <f t="shared" ref="CB19:CB22" si="10">IF(CH19=1,"* El número de Beneficiarios NO DEBE ser mayor que el Total. ","")</f>
        <v xml:space="preserve">* El número de Beneficiarios NO DEBE ser mayor que el Total. </v>
      </c>
      <c r="CC19" s="1164" t="str">
        <f t="shared" ref="CC19:CC22" si="11">IF(CI19=1,"* Los Niños, Niñas, Adolescentes y Jóvenes de Programa SENAME NO DEBE ser mayor que el Total. ","")</f>
        <v xml:space="preserve">* Los Niños, Niñas, Adolescentes y Jóvenes de Programa SENAME NO DEBE ser mayor que el Total. </v>
      </c>
      <c r="CD19" s="1164" t="str">
        <f t="shared" si="4"/>
        <v xml:space="preserve">* El total de personas pertenecientes a Pueblos Originarios NO DEBE ser mayor que el Total. </v>
      </c>
      <c r="CE19" s="1164" t="str">
        <f t="shared" si="5"/>
        <v xml:space="preserve">* El número de personas Migrantes NO DEBE ser mayor que el Total. </v>
      </c>
      <c r="CF19" s="1164" t="str">
        <f t="shared" si="6"/>
        <v xml:space="preserve">* El número de personas con Demencia NO DEBE ser mayor que el Total. </v>
      </c>
      <c r="CG19" s="1031" t="str">
        <f t="shared" si="7"/>
        <v/>
      </c>
      <c r="CH19" s="1163">
        <f t="shared" si="8"/>
        <v>1</v>
      </c>
      <c r="CI19" s="1163">
        <f t="shared" si="0"/>
        <v>1</v>
      </c>
      <c r="CJ19" s="1163">
        <f t="shared" si="0"/>
        <v>1</v>
      </c>
      <c r="CK19" s="1163">
        <f t="shared" si="0"/>
        <v>1</v>
      </c>
      <c r="CL19" s="1163">
        <f t="shared" si="0"/>
        <v>1</v>
      </c>
      <c r="CM19" s="1163">
        <f t="shared" si="9"/>
        <v>0</v>
      </c>
    </row>
    <row r="20" spans="1:91" ht="25.35" customHeight="1" x14ac:dyDescent="0.2">
      <c r="A20" s="2458" t="s">
        <v>3294</v>
      </c>
      <c r="B20" s="5103"/>
      <c r="C20" s="2419" t="s">
        <v>431</v>
      </c>
      <c r="D20" s="2889" t="s">
        <v>2777</v>
      </c>
      <c r="E20" s="2890" t="s">
        <v>2778</v>
      </c>
      <c r="F20" s="3497" t="s">
        <v>2779</v>
      </c>
      <c r="G20" s="2245" t="s">
        <v>2780</v>
      </c>
      <c r="H20" s="240" t="s">
        <v>2781</v>
      </c>
      <c r="I20" s="2245" t="s">
        <v>2782</v>
      </c>
      <c r="J20" s="240" t="s">
        <v>2783</v>
      </c>
      <c r="K20" s="2245" t="s">
        <v>2784</v>
      </c>
      <c r="L20" s="183" t="s">
        <v>2785</v>
      </c>
      <c r="M20" s="2245" t="s">
        <v>2786</v>
      </c>
      <c r="N20" s="183" t="s">
        <v>2787</v>
      </c>
      <c r="O20" s="2245" t="s">
        <v>2788</v>
      </c>
      <c r="P20" s="183" t="s">
        <v>2789</v>
      </c>
      <c r="Q20" s="2245" t="s">
        <v>2790</v>
      </c>
      <c r="R20" s="183" t="s">
        <v>2791</v>
      </c>
      <c r="S20" s="2245" t="s">
        <v>2792</v>
      </c>
      <c r="T20" s="183" t="s">
        <v>2793</v>
      </c>
      <c r="U20" s="2245" t="s">
        <v>2794</v>
      </c>
      <c r="V20" s="183" t="s">
        <v>2795</v>
      </c>
      <c r="W20" s="2245" t="s">
        <v>2796</v>
      </c>
      <c r="X20" s="183" t="s">
        <v>2797</v>
      </c>
      <c r="Y20" s="2245" t="s">
        <v>2798</v>
      </c>
      <c r="Z20" s="183" t="s">
        <v>2799</v>
      </c>
      <c r="AA20" s="2245" t="s">
        <v>2800</v>
      </c>
      <c r="AB20" s="183" t="s">
        <v>2801</v>
      </c>
      <c r="AC20" s="2245" t="s">
        <v>2817</v>
      </c>
      <c r="AD20" s="183" t="s">
        <v>2818</v>
      </c>
      <c r="AE20" s="2245" t="s">
        <v>2819</v>
      </c>
      <c r="AF20" s="183" t="s">
        <v>2821</v>
      </c>
      <c r="AG20" s="2245" t="s">
        <v>2822</v>
      </c>
      <c r="AH20" s="183" t="s">
        <v>2823</v>
      </c>
      <c r="AI20" s="2245" t="s">
        <v>2824</v>
      </c>
      <c r="AJ20" s="183" t="s">
        <v>2825</v>
      </c>
      <c r="AK20" s="2245" t="s">
        <v>2826</v>
      </c>
      <c r="AL20" s="183" t="s">
        <v>2827</v>
      </c>
      <c r="AM20" s="2246" t="s">
        <v>2831</v>
      </c>
      <c r="AN20" s="183" t="s">
        <v>2832</v>
      </c>
      <c r="AO20" s="240" t="s">
        <v>2833</v>
      </c>
      <c r="AP20" s="240" t="s">
        <v>2834</v>
      </c>
      <c r="AQ20" s="164" t="s">
        <v>3011</v>
      </c>
      <c r="AR20" s="198" t="s">
        <v>3012</v>
      </c>
      <c r="AS20" s="198" t="s">
        <v>3013</v>
      </c>
      <c r="AT20" s="2384" t="str">
        <f t="shared" si="1"/>
        <v xml:space="preserve">* El número de Beneficiarios NO DEBE ser mayor que el Total. * Los Niños, Niñas, Adolescentes y Jóvenes de Programa SENAME NO DEBE ser mayor que el Total. * El total de personas pertenecientes a Pueblos Originarios NO DEBE ser mayor que el Total. * El número de personas Migrantes NO DEBE ser mayor que el Total. * El número de personas con Demencia NO DEBE ser mayor que el Total. </v>
      </c>
      <c r="AU20" s="1058"/>
      <c r="AV20" s="1058"/>
      <c r="AW20" s="1058"/>
      <c r="AX20" s="1058"/>
      <c r="AY20" s="1058"/>
      <c r="AZ20" s="1058"/>
      <c r="BA20" s="1058"/>
      <c r="BB20" s="1058"/>
      <c r="BC20" s="94"/>
      <c r="BD20" s="94"/>
      <c r="BE20" s="94"/>
      <c r="CB20" s="1031" t="str">
        <f t="shared" si="10"/>
        <v xml:space="preserve">* El número de Beneficiarios NO DEBE ser mayor que el Total. </v>
      </c>
      <c r="CC20" s="1164" t="str">
        <f t="shared" si="11"/>
        <v xml:space="preserve">* Los Niños, Niñas, Adolescentes y Jóvenes de Programa SENAME NO DEBE ser mayor que el Total. </v>
      </c>
      <c r="CD20" s="1164" t="str">
        <f t="shared" si="4"/>
        <v xml:space="preserve">* El total de personas pertenecientes a Pueblos Originarios NO DEBE ser mayor que el Total. </v>
      </c>
      <c r="CE20" s="1164" t="str">
        <f t="shared" si="5"/>
        <v xml:space="preserve">* El número de personas Migrantes NO DEBE ser mayor que el Total. </v>
      </c>
      <c r="CF20" s="1164" t="str">
        <f t="shared" si="6"/>
        <v xml:space="preserve">* El número de personas con Demencia NO DEBE ser mayor que el Total. </v>
      </c>
      <c r="CG20" s="1031" t="str">
        <f t="shared" si="7"/>
        <v/>
      </c>
      <c r="CH20" s="1163">
        <f t="shared" si="8"/>
        <v>1</v>
      </c>
      <c r="CI20" s="1163">
        <f t="shared" si="0"/>
        <v>1</v>
      </c>
      <c r="CJ20" s="1163">
        <f t="shared" si="0"/>
        <v>1</v>
      </c>
      <c r="CK20" s="1163">
        <f t="shared" si="0"/>
        <v>1</v>
      </c>
      <c r="CL20" s="1163">
        <f t="shared" si="0"/>
        <v>1</v>
      </c>
      <c r="CM20" s="1163">
        <f t="shared" si="9"/>
        <v>0</v>
      </c>
    </row>
    <row r="21" spans="1:91" ht="16.350000000000001" customHeight="1" x14ac:dyDescent="0.2">
      <c r="A21" s="2458" t="s">
        <v>3295</v>
      </c>
      <c r="B21" s="5103"/>
      <c r="C21" s="2419" t="s">
        <v>1438</v>
      </c>
      <c r="D21" s="2889" t="s">
        <v>2777</v>
      </c>
      <c r="E21" s="2890" t="s">
        <v>2778</v>
      </c>
      <c r="F21" s="3497" t="s">
        <v>2779</v>
      </c>
      <c r="G21" s="2245" t="s">
        <v>2780</v>
      </c>
      <c r="H21" s="240" t="s">
        <v>2781</v>
      </c>
      <c r="I21" s="2245" t="s">
        <v>2782</v>
      </c>
      <c r="J21" s="240" t="s">
        <v>2783</v>
      </c>
      <c r="K21" s="2245" t="s">
        <v>2784</v>
      </c>
      <c r="L21" s="183" t="s">
        <v>2785</v>
      </c>
      <c r="M21" s="2245" t="s">
        <v>2786</v>
      </c>
      <c r="N21" s="183" t="s">
        <v>2787</v>
      </c>
      <c r="O21" s="2245" t="s">
        <v>2788</v>
      </c>
      <c r="P21" s="183" t="s">
        <v>2789</v>
      </c>
      <c r="Q21" s="2245" t="s">
        <v>2790</v>
      </c>
      <c r="R21" s="183" t="s">
        <v>2791</v>
      </c>
      <c r="S21" s="2245" t="s">
        <v>2792</v>
      </c>
      <c r="T21" s="183" t="s">
        <v>2793</v>
      </c>
      <c r="U21" s="2245" t="s">
        <v>2794</v>
      </c>
      <c r="V21" s="183" t="s">
        <v>2795</v>
      </c>
      <c r="W21" s="2245" t="s">
        <v>2796</v>
      </c>
      <c r="X21" s="183" t="s">
        <v>2797</v>
      </c>
      <c r="Y21" s="2245" t="s">
        <v>2798</v>
      </c>
      <c r="Z21" s="183" t="s">
        <v>2799</v>
      </c>
      <c r="AA21" s="2245" t="s">
        <v>2800</v>
      </c>
      <c r="AB21" s="183" t="s">
        <v>2801</v>
      </c>
      <c r="AC21" s="2245" t="s">
        <v>2817</v>
      </c>
      <c r="AD21" s="183" t="s">
        <v>2818</v>
      </c>
      <c r="AE21" s="2245" t="s">
        <v>2819</v>
      </c>
      <c r="AF21" s="183" t="s">
        <v>2821</v>
      </c>
      <c r="AG21" s="2245" t="s">
        <v>2822</v>
      </c>
      <c r="AH21" s="183" t="s">
        <v>2823</v>
      </c>
      <c r="AI21" s="2245" t="s">
        <v>2824</v>
      </c>
      <c r="AJ21" s="183" t="s">
        <v>2825</v>
      </c>
      <c r="AK21" s="2245" t="s">
        <v>2826</v>
      </c>
      <c r="AL21" s="183" t="s">
        <v>2827</v>
      </c>
      <c r="AM21" s="2246" t="s">
        <v>2831</v>
      </c>
      <c r="AN21" s="183" t="s">
        <v>2832</v>
      </c>
      <c r="AO21" s="240" t="s">
        <v>2833</v>
      </c>
      <c r="AP21" s="240" t="s">
        <v>2834</v>
      </c>
      <c r="AQ21" s="164" t="s">
        <v>3011</v>
      </c>
      <c r="AR21" s="198" t="s">
        <v>3012</v>
      </c>
      <c r="AS21" s="198" t="s">
        <v>3013</v>
      </c>
      <c r="AT21" s="2384" t="str">
        <f t="shared" si="1"/>
        <v xml:space="preserve">* El número de Beneficiarios NO DEBE ser mayor que el Total. * Los Niños, Niñas, Adolescentes y Jóvenes de Programa SENAME NO DEBE ser mayor que el Total. * El total de personas pertenecientes a Pueblos Originarios NO DEBE ser mayor que el Total. * El número de personas Migrantes NO DEBE ser mayor que el Total. * El número de personas con Demencia NO DEBE ser mayor que el Total. </v>
      </c>
      <c r="AU21" s="1058"/>
      <c r="AV21" s="1058"/>
      <c r="AW21" s="1058"/>
      <c r="AX21" s="1058"/>
      <c r="AY21" s="1058"/>
      <c r="AZ21" s="1058"/>
      <c r="BA21" s="1058"/>
      <c r="BB21" s="1058"/>
      <c r="BC21" s="94"/>
      <c r="BD21" s="94"/>
      <c r="BE21" s="94"/>
      <c r="CB21" s="1031" t="str">
        <f t="shared" si="10"/>
        <v xml:space="preserve">* El número de Beneficiarios NO DEBE ser mayor que el Total. </v>
      </c>
      <c r="CC21" s="1164" t="str">
        <f t="shared" si="11"/>
        <v xml:space="preserve">* Los Niños, Niñas, Adolescentes y Jóvenes de Programa SENAME NO DEBE ser mayor que el Total. </v>
      </c>
      <c r="CD21" s="1164" t="str">
        <f t="shared" si="4"/>
        <v xml:space="preserve">* El total de personas pertenecientes a Pueblos Originarios NO DEBE ser mayor que el Total. </v>
      </c>
      <c r="CE21" s="1164" t="str">
        <f t="shared" si="5"/>
        <v xml:space="preserve">* El número de personas Migrantes NO DEBE ser mayor que el Total. </v>
      </c>
      <c r="CF21" s="1164" t="str">
        <f t="shared" si="6"/>
        <v xml:space="preserve">* El número de personas con Demencia NO DEBE ser mayor que el Total. </v>
      </c>
      <c r="CG21" s="1031" t="str">
        <f t="shared" si="7"/>
        <v/>
      </c>
      <c r="CH21" s="1163">
        <f t="shared" si="8"/>
        <v>1</v>
      </c>
      <c r="CI21" s="1163">
        <f t="shared" si="0"/>
        <v>1</v>
      </c>
      <c r="CJ21" s="1163">
        <f t="shared" si="0"/>
        <v>1</v>
      </c>
      <c r="CK21" s="1163">
        <f t="shared" si="0"/>
        <v>1</v>
      </c>
      <c r="CL21" s="1163">
        <f t="shared" si="0"/>
        <v>1</v>
      </c>
      <c r="CM21" s="1163">
        <f t="shared" si="9"/>
        <v>0</v>
      </c>
    </row>
    <row r="22" spans="1:91" ht="33.75" customHeight="1" x14ac:dyDescent="0.2">
      <c r="A22" s="2458" t="s">
        <v>3296</v>
      </c>
      <c r="B22" s="5103"/>
      <c r="C22" s="2419" t="s">
        <v>432</v>
      </c>
      <c r="D22" s="2889" t="s">
        <v>2777</v>
      </c>
      <c r="E22" s="2888" t="s">
        <v>2778</v>
      </c>
      <c r="F22" s="3497" t="s">
        <v>2779</v>
      </c>
      <c r="G22" s="2245" t="s">
        <v>2780</v>
      </c>
      <c r="H22" s="240" t="s">
        <v>2781</v>
      </c>
      <c r="I22" s="2245" t="s">
        <v>2782</v>
      </c>
      <c r="J22" s="240" t="s">
        <v>2783</v>
      </c>
      <c r="K22" s="2245" t="s">
        <v>2784</v>
      </c>
      <c r="L22" s="183" t="s">
        <v>2785</v>
      </c>
      <c r="M22" s="2245" t="s">
        <v>2786</v>
      </c>
      <c r="N22" s="183" t="s">
        <v>2787</v>
      </c>
      <c r="O22" s="2245" t="s">
        <v>2788</v>
      </c>
      <c r="P22" s="183" t="s">
        <v>2789</v>
      </c>
      <c r="Q22" s="2245" t="s">
        <v>2790</v>
      </c>
      <c r="R22" s="183" t="s">
        <v>2791</v>
      </c>
      <c r="S22" s="2245" t="s">
        <v>2792</v>
      </c>
      <c r="T22" s="183" t="s">
        <v>2793</v>
      </c>
      <c r="U22" s="2245" t="s">
        <v>2794</v>
      </c>
      <c r="V22" s="183" t="s">
        <v>2795</v>
      </c>
      <c r="W22" s="2245" t="s">
        <v>2796</v>
      </c>
      <c r="X22" s="183" t="s">
        <v>2797</v>
      </c>
      <c r="Y22" s="2245" t="s">
        <v>2798</v>
      </c>
      <c r="Z22" s="183" t="s">
        <v>2799</v>
      </c>
      <c r="AA22" s="2245" t="s">
        <v>2800</v>
      </c>
      <c r="AB22" s="183" t="s">
        <v>2801</v>
      </c>
      <c r="AC22" s="2245" t="s">
        <v>2817</v>
      </c>
      <c r="AD22" s="183" t="s">
        <v>2818</v>
      </c>
      <c r="AE22" s="2245" t="s">
        <v>2819</v>
      </c>
      <c r="AF22" s="183" t="s">
        <v>2821</v>
      </c>
      <c r="AG22" s="2245" t="s">
        <v>2822</v>
      </c>
      <c r="AH22" s="183" t="s">
        <v>2823</v>
      </c>
      <c r="AI22" s="2245" t="s">
        <v>2824</v>
      </c>
      <c r="AJ22" s="183" t="s">
        <v>2825</v>
      </c>
      <c r="AK22" s="2245" t="s">
        <v>2826</v>
      </c>
      <c r="AL22" s="183" t="s">
        <v>2827</v>
      </c>
      <c r="AM22" s="2246" t="s">
        <v>2831</v>
      </c>
      <c r="AN22" s="183" t="s">
        <v>2832</v>
      </c>
      <c r="AO22" s="240" t="s">
        <v>2833</v>
      </c>
      <c r="AP22" s="240" t="s">
        <v>2834</v>
      </c>
      <c r="AQ22" s="105" t="s">
        <v>3011</v>
      </c>
      <c r="AR22" s="168" t="s">
        <v>3012</v>
      </c>
      <c r="AS22" s="168" t="s">
        <v>3013</v>
      </c>
      <c r="AT22" s="2384" t="str">
        <f t="shared" si="1"/>
        <v xml:space="preserve">* El número de Beneficiarios NO DEBE ser mayor que el Total. * Los Niños, Niñas, Adolescentes y Jóvenes de Programa SENAME NO DEBE ser mayor que el Total. * El total de personas pertenecientes a Pueblos Originarios NO DEBE ser mayor que el Total. * El número de personas Migrantes NO DEBE ser mayor que el Total. * El número de personas con Demencia NO DEBE ser mayor que el Total. </v>
      </c>
      <c r="AU22" s="1058"/>
      <c r="AV22" s="1058"/>
      <c r="AW22" s="1058"/>
      <c r="AX22" s="1058"/>
      <c r="AY22" s="1058"/>
      <c r="AZ22" s="1058"/>
      <c r="BA22" s="1058"/>
      <c r="BB22" s="1058"/>
      <c r="BC22" s="94"/>
      <c r="BD22" s="94"/>
      <c r="BE22" s="94"/>
      <c r="CB22" s="1031" t="str">
        <f t="shared" si="10"/>
        <v xml:space="preserve">* El número de Beneficiarios NO DEBE ser mayor que el Total. </v>
      </c>
      <c r="CC22" s="1164" t="str">
        <f t="shared" si="11"/>
        <v xml:space="preserve">* Los Niños, Niñas, Adolescentes y Jóvenes de Programa SENAME NO DEBE ser mayor que el Total. </v>
      </c>
      <c r="CD22" s="1164" t="str">
        <f t="shared" si="4"/>
        <v xml:space="preserve">* El total de personas pertenecientes a Pueblos Originarios NO DEBE ser mayor que el Total. </v>
      </c>
      <c r="CE22" s="1164" t="str">
        <f t="shared" si="5"/>
        <v xml:space="preserve">* El número de personas Migrantes NO DEBE ser mayor que el Total. </v>
      </c>
      <c r="CF22" s="1164" t="str">
        <f t="shared" si="6"/>
        <v xml:space="preserve">* El número de personas con Demencia NO DEBE ser mayor que el Total. </v>
      </c>
      <c r="CG22" s="1031" t="str">
        <f t="shared" si="7"/>
        <v/>
      </c>
      <c r="CH22" s="1163">
        <f t="shared" si="8"/>
        <v>1</v>
      </c>
      <c r="CI22" s="1163">
        <f t="shared" si="0"/>
        <v>1</v>
      </c>
      <c r="CJ22" s="1163">
        <f t="shared" si="0"/>
        <v>1</v>
      </c>
      <c r="CK22" s="1163">
        <f t="shared" si="0"/>
        <v>1</v>
      </c>
      <c r="CL22" s="1163">
        <f t="shared" si="0"/>
        <v>1</v>
      </c>
      <c r="CM22" s="1163">
        <f t="shared" si="9"/>
        <v>0</v>
      </c>
    </row>
    <row r="23" spans="1:91" ht="19.5" customHeight="1" x14ac:dyDescent="0.2">
      <c r="A23" s="2527"/>
      <c r="B23" s="5343"/>
      <c r="C23" s="2864" t="s">
        <v>42</v>
      </c>
      <c r="D23" s="3755">
        <f>SUM(E23+F23)</f>
        <v>0</v>
      </c>
      <c r="E23" s="3912">
        <f>SUM(G23+I23+K23+M23+O23+Q23+S23+U23+W23+Y23+AA23+AC23+AE23+AG23+AI23+AK23+AM23)</f>
        <v>0</v>
      </c>
      <c r="F23" s="3756">
        <f>SUM(H23+J23+L23+N23+P23+R23+T23+V23+X23+Z23+AB23+AD23+AF23+AH23+AJ23+AL23+AN23)</f>
        <v>0</v>
      </c>
      <c r="G23" s="2520">
        <f>SUM(G13:G22)</f>
        <v>0</v>
      </c>
      <c r="H23" s="2521">
        <f t="shared" ref="H23:AP23" si="12">SUM(H13:H22)</f>
        <v>0</v>
      </c>
      <c r="I23" s="2520">
        <f t="shared" si="12"/>
        <v>0</v>
      </c>
      <c r="J23" s="2521">
        <f t="shared" si="12"/>
        <v>0</v>
      </c>
      <c r="K23" s="2520">
        <f t="shared" si="12"/>
        <v>0</v>
      </c>
      <c r="L23" s="2568">
        <f t="shared" si="12"/>
        <v>0</v>
      </c>
      <c r="M23" s="2520">
        <f t="shared" si="12"/>
        <v>0</v>
      </c>
      <c r="N23" s="2568">
        <f t="shared" si="12"/>
        <v>0</v>
      </c>
      <c r="O23" s="2520">
        <f t="shared" si="12"/>
        <v>0</v>
      </c>
      <c r="P23" s="2568">
        <f t="shared" si="12"/>
        <v>0</v>
      </c>
      <c r="Q23" s="2520">
        <f t="shared" si="12"/>
        <v>0</v>
      </c>
      <c r="R23" s="2568">
        <f t="shared" si="12"/>
        <v>0</v>
      </c>
      <c r="S23" s="2520">
        <f t="shared" si="12"/>
        <v>0</v>
      </c>
      <c r="T23" s="2568">
        <f t="shared" si="12"/>
        <v>0</v>
      </c>
      <c r="U23" s="2520">
        <f t="shared" si="12"/>
        <v>0</v>
      </c>
      <c r="V23" s="2568">
        <f t="shared" si="12"/>
        <v>0</v>
      </c>
      <c r="W23" s="2520">
        <f t="shared" si="12"/>
        <v>0</v>
      </c>
      <c r="X23" s="2568">
        <f t="shared" si="12"/>
        <v>0</v>
      </c>
      <c r="Y23" s="2520">
        <f t="shared" si="12"/>
        <v>0</v>
      </c>
      <c r="Z23" s="2568">
        <f t="shared" si="12"/>
        <v>0</v>
      </c>
      <c r="AA23" s="2520">
        <f t="shared" si="12"/>
        <v>0</v>
      </c>
      <c r="AB23" s="2568">
        <f t="shared" si="12"/>
        <v>0</v>
      </c>
      <c r="AC23" s="2520">
        <f t="shared" si="12"/>
        <v>0</v>
      </c>
      <c r="AD23" s="2568">
        <f t="shared" si="12"/>
        <v>0</v>
      </c>
      <c r="AE23" s="2520">
        <f t="shared" si="12"/>
        <v>0</v>
      </c>
      <c r="AF23" s="2568">
        <f t="shared" si="12"/>
        <v>0</v>
      </c>
      <c r="AG23" s="2520">
        <f t="shared" si="12"/>
        <v>0</v>
      </c>
      <c r="AH23" s="2568">
        <f t="shared" si="12"/>
        <v>0</v>
      </c>
      <c r="AI23" s="2520">
        <f t="shared" si="12"/>
        <v>0</v>
      </c>
      <c r="AJ23" s="2568">
        <f t="shared" si="12"/>
        <v>0</v>
      </c>
      <c r="AK23" s="2520">
        <f t="shared" si="12"/>
        <v>0</v>
      </c>
      <c r="AL23" s="2568">
        <f t="shared" si="12"/>
        <v>0</v>
      </c>
      <c r="AM23" s="2519">
        <f t="shared" si="12"/>
        <v>0</v>
      </c>
      <c r="AN23" s="2568">
        <f t="shared" si="12"/>
        <v>0</v>
      </c>
      <c r="AO23" s="2521">
        <f t="shared" si="12"/>
        <v>0</v>
      </c>
      <c r="AP23" s="2521">
        <f t="shared" si="12"/>
        <v>0</v>
      </c>
      <c r="AQ23" s="4784">
        <f t="shared" ref="AQ23" si="13">SUM(AQ13:AQ22)</f>
        <v>0</v>
      </c>
      <c r="AR23" s="4784">
        <f>SUM(AR13:AR22)</f>
        <v>0</v>
      </c>
      <c r="AS23" s="4784">
        <f>SUM(AS13:AS22)</f>
        <v>0</v>
      </c>
      <c r="AT23" s="2384"/>
      <c r="AU23" s="94"/>
      <c r="AV23" s="94"/>
      <c r="AW23" s="94"/>
      <c r="AX23" s="94"/>
      <c r="AY23" s="94"/>
      <c r="AZ23" s="94"/>
      <c r="BA23" s="94"/>
      <c r="BB23" s="94"/>
      <c r="BC23" s="94"/>
      <c r="BD23" s="94"/>
      <c r="BE23" s="94"/>
      <c r="CB23" s="1031"/>
      <c r="CC23" s="1164"/>
      <c r="CD23" s="1164" t="str">
        <f t="shared" si="4"/>
        <v/>
      </c>
      <c r="CE23" s="1164" t="str">
        <f t="shared" si="5"/>
        <v/>
      </c>
      <c r="CF23" s="1164" t="str">
        <f t="shared" si="6"/>
        <v/>
      </c>
      <c r="CG23" s="1031" t="str">
        <f t="shared" si="7"/>
        <v/>
      </c>
      <c r="CH23" s="1163">
        <f t="shared" si="8"/>
        <v>0</v>
      </c>
      <c r="CI23" s="1163">
        <f t="shared" si="0"/>
        <v>0</v>
      </c>
      <c r="CJ23" s="1163">
        <f t="shared" si="0"/>
        <v>0</v>
      </c>
      <c r="CK23" s="1163">
        <f t="shared" si="0"/>
        <v>0</v>
      </c>
      <c r="CL23" s="1163">
        <f t="shared" si="0"/>
        <v>0</v>
      </c>
      <c r="CM23" s="1163">
        <f t="shared" si="9"/>
        <v>0</v>
      </c>
    </row>
    <row r="24" spans="1:91" ht="19.5" customHeight="1" x14ac:dyDescent="0.2">
      <c r="A24" s="2458" t="s">
        <v>3297</v>
      </c>
      <c r="B24" s="5739" t="s">
        <v>463</v>
      </c>
      <c r="C24" s="5740"/>
      <c r="D24" s="3913" t="s">
        <v>2777</v>
      </c>
      <c r="E24" s="3914" t="s">
        <v>2778</v>
      </c>
      <c r="F24" s="3756" t="s">
        <v>2779</v>
      </c>
      <c r="G24" s="2551" t="s">
        <v>2780</v>
      </c>
      <c r="H24" s="2556" t="s">
        <v>2781</v>
      </c>
      <c r="I24" s="2551" t="s">
        <v>2782</v>
      </c>
      <c r="J24" s="2556" t="s">
        <v>2783</v>
      </c>
      <c r="K24" s="2551" t="s">
        <v>2784</v>
      </c>
      <c r="L24" s="2552" t="s">
        <v>2785</v>
      </c>
      <c r="M24" s="2551" t="s">
        <v>2786</v>
      </c>
      <c r="N24" s="2552" t="s">
        <v>2787</v>
      </c>
      <c r="O24" s="2551" t="s">
        <v>2788</v>
      </c>
      <c r="P24" s="2552" t="s">
        <v>2789</v>
      </c>
      <c r="Q24" s="2551" t="s">
        <v>2790</v>
      </c>
      <c r="R24" s="2552" t="s">
        <v>2791</v>
      </c>
      <c r="S24" s="2551" t="s">
        <v>2792</v>
      </c>
      <c r="T24" s="2552" t="s">
        <v>2793</v>
      </c>
      <c r="U24" s="2551" t="s">
        <v>2794</v>
      </c>
      <c r="V24" s="2552" t="s">
        <v>2795</v>
      </c>
      <c r="W24" s="2551" t="s">
        <v>2796</v>
      </c>
      <c r="X24" s="2552" t="s">
        <v>2797</v>
      </c>
      <c r="Y24" s="2551" t="s">
        <v>2798</v>
      </c>
      <c r="Z24" s="2552" t="s">
        <v>2799</v>
      </c>
      <c r="AA24" s="2551" t="s">
        <v>2800</v>
      </c>
      <c r="AB24" s="2552" t="s">
        <v>2801</v>
      </c>
      <c r="AC24" s="2551" t="s">
        <v>2817</v>
      </c>
      <c r="AD24" s="2552" t="s">
        <v>2818</v>
      </c>
      <c r="AE24" s="2551" t="s">
        <v>2819</v>
      </c>
      <c r="AF24" s="2552" t="s">
        <v>2821</v>
      </c>
      <c r="AG24" s="2551" t="s">
        <v>2822</v>
      </c>
      <c r="AH24" s="2552" t="s">
        <v>2823</v>
      </c>
      <c r="AI24" s="2551" t="s">
        <v>2824</v>
      </c>
      <c r="AJ24" s="2552" t="s">
        <v>2825</v>
      </c>
      <c r="AK24" s="2551" t="s">
        <v>2826</v>
      </c>
      <c r="AL24" s="2552" t="s">
        <v>2827</v>
      </c>
      <c r="AM24" s="2554" t="s">
        <v>2831</v>
      </c>
      <c r="AN24" s="2552" t="s">
        <v>2832</v>
      </c>
      <c r="AO24" s="2556" t="s">
        <v>2833</v>
      </c>
      <c r="AP24" s="2556" t="s">
        <v>2834</v>
      </c>
      <c r="AQ24" s="2455" t="s">
        <v>3011</v>
      </c>
      <c r="AR24" s="2499" t="s">
        <v>3012</v>
      </c>
      <c r="AS24" s="2499" t="s">
        <v>3013</v>
      </c>
      <c r="AT24" s="2384" t="str">
        <f t="shared" si="1"/>
        <v xml:space="preserve">* El número de Beneficiarios NO DEBE ser mayor que el Total. * Los Niños, Niñas, Adolescentes y Jóvenes de Programa SENAME NO DEBE ser mayor que el Total. * El total de personas pertenecientes a Pueblos Originarios NO DEBE ser mayor que el Total. * El número de personas Migrantes NO DEBE ser mayor que el Total. * El número de personas con Demencia NO DEBE ser mayor que el Total. </v>
      </c>
      <c r="AU24" s="1058"/>
      <c r="AV24" s="1058"/>
      <c r="AW24" s="1058"/>
      <c r="AX24" s="1058"/>
      <c r="AY24" s="1058"/>
      <c r="AZ24" s="1058"/>
      <c r="BA24" s="1058"/>
      <c r="BB24" s="1058"/>
      <c r="BC24" s="94"/>
      <c r="BD24" s="94"/>
      <c r="BE24" s="94"/>
      <c r="CB24" s="1031" t="str">
        <f t="shared" ref="CB24:CB27" si="14">IF(CH24=1,"* El número de Beneficiarios NO DEBE ser mayor que el Total. ","")</f>
        <v xml:space="preserve">* El número de Beneficiarios NO DEBE ser mayor que el Total. </v>
      </c>
      <c r="CC24" s="1164" t="str">
        <f t="shared" ref="CC24:CC27" si="15">IF(CI24=1,"* Los Niños, Niñas, Adolescentes y Jóvenes de Programa SENAME NO DEBE ser mayor que el Total. ","")</f>
        <v xml:space="preserve">* Los Niños, Niñas, Adolescentes y Jóvenes de Programa SENAME NO DEBE ser mayor que el Total. </v>
      </c>
      <c r="CD24" s="1164" t="str">
        <f t="shared" si="4"/>
        <v xml:space="preserve">* El total de personas pertenecientes a Pueblos Originarios NO DEBE ser mayor que el Total. </v>
      </c>
      <c r="CE24" s="1164" t="str">
        <f t="shared" si="5"/>
        <v xml:space="preserve">* El número de personas Migrantes NO DEBE ser mayor que el Total. </v>
      </c>
      <c r="CF24" s="1164" t="str">
        <f t="shared" si="6"/>
        <v xml:space="preserve">* El número de personas con Demencia NO DEBE ser mayor que el Total. </v>
      </c>
      <c r="CG24" s="1031" t="str">
        <f t="shared" si="7"/>
        <v/>
      </c>
      <c r="CH24" s="1163">
        <f t="shared" si="8"/>
        <v>1</v>
      </c>
      <c r="CI24" s="1163">
        <f t="shared" si="0"/>
        <v>1</v>
      </c>
      <c r="CJ24" s="1163">
        <f t="shared" si="0"/>
        <v>1</v>
      </c>
      <c r="CK24" s="1163">
        <f t="shared" si="0"/>
        <v>1</v>
      </c>
      <c r="CL24" s="1163">
        <f t="shared" si="0"/>
        <v>1</v>
      </c>
      <c r="CM24" s="1163">
        <f t="shared" si="9"/>
        <v>0</v>
      </c>
    </row>
    <row r="25" spans="1:91" ht="19.5" customHeight="1" x14ac:dyDescent="0.2">
      <c r="A25" s="2458" t="s">
        <v>3298</v>
      </c>
      <c r="B25" s="2865" t="s">
        <v>433</v>
      </c>
      <c r="C25" s="2866" t="s">
        <v>280</v>
      </c>
      <c r="D25" s="3752" t="s">
        <v>2777</v>
      </c>
      <c r="E25" s="3753" t="s">
        <v>2778</v>
      </c>
      <c r="F25" s="3915" t="s">
        <v>2779</v>
      </c>
      <c r="G25" s="2472" t="s">
        <v>2780</v>
      </c>
      <c r="H25" s="2474" t="s">
        <v>2781</v>
      </c>
      <c r="I25" s="2472" t="s">
        <v>2782</v>
      </c>
      <c r="J25" s="2474" t="s">
        <v>2783</v>
      </c>
      <c r="K25" s="2472" t="s">
        <v>2784</v>
      </c>
      <c r="L25" s="2867" t="s">
        <v>2785</v>
      </c>
      <c r="M25" s="2472" t="s">
        <v>2786</v>
      </c>
      <c r="N25" s="2867" t="s">
        <v>2787</v>
      </c>
      <c r="O25" s="2472" t="s">
        <v>2788</v>
      </c>
      <c r="P25" s="2867" t="s">
        <v>2789</v>
      </c>
      <c r="Q25" s="2472" t="s">
        <v>2790</v>
      </c>
      <c r="R25" s="2867" t="s">
        <v>2791</v>
      </c>
      <c r="S25" s="2472" t="s">
        <v>2792</v>
      </c>
      <c r="T25" s="2867" t="s">
        <v>2793</v>
      </c>
      <c r="U25" s="2472" t="s">
        <v>2794</v>
      </c>
      <c r="V25" s="2867" t="s">
        <v>2795</v>
      </c>
      <c r="W25" s="2472" t="s">
        <v>2796</v>
      </c>
      <c r="X25" s="2867" t="s">
        <v>2797</v>
      </c>
      <c r="Y25" s="2472" t="s">
        <v>2798</v>
      </c>
      <c r="Z25" s="2867" t="s">
        <v>2799</v>
      </c>
      <c r="AA25" s="2472" t="s">
        <v>2800</v>
      </c>
      <c r="AB25" s="2867" t="s">
        <v>2801</v>
      </c>
      <c r="AC25" s="2472" t="s">
        <v>2817</v>
      </c>
      <c r="AD25" s="2867" t="s">
        <v>2818</v>
      </c>
      <c r="AE25" s="2472" t="s">
        <v>2819</v>
      </c>
      <c r="AF25" s="2867" t="s">
        <v>2821</v>
      </c>
      <c r="AG25" s="2472" t="s">
        <v>2822</v>
      </c>
      <c r="AH25" s="2867" t="s">
        <v>2823</v>
      </c>
      <c r="AI25" s="2472" t="s">
        <v>2824</v>
      </c>
      <c r="AJ25" s="2867" t="s">
        <v>2825</v>
      </c>
      <c r="AK25" s="2472" t="s">
        <v>2826</v>
      </c>
      <c r="AL25" s="2867" t="s">
        <v>2827</v>
      </c>
      <c r="AM25" s="2868" t="s">
        <v>2831</v>
      </c>
      <c r="AN25" s="2867" t="s">
        <v>2832</v>
      </c>
      <c r="AO25" s="2474" t="s">
        <v>2833</v>
      </c>
      <c r="AP25" s="2474" t="s">
        <v>2834</v>
      </c>
      <c r="AQ25" s="164" t="s">
        <v>3011</v>
      </c>
      <c r="AR25" s="198" t="s">
        <v>3012</v>
      </c>
      <c r="AS25" s="198" t="s">
        <v>3013</v>
      </c>
      <c r="AT25" s="2384" t="str">
        <f t="shared" si="1"/>
        <v xml:space="preserve">* El número de Beneficiarios NO DEBE ser mayor que el Total. * Los Niños, Niñas, Adolescentes y Jóvenes de Programa SENAME NO DEBE ser mayor que el Total. * El total de personas pertenecientes a Pueblos Originarios NO DEBE ser mayor que el Total. * El número de personas Migrantes NO DEBE ser mayor que el Total. * El número de personas con Demencia NO DEBE ser mayor que el Total. </v>
      </c>
      <c r="AU25" s="1058"/>
      <c r="AV25" s="1058"/>
      <c r="AW25" s="1058"/>
      <c r="AX25" s="1058"/>
      <c r="AY25" s="1058"/>
      <c r="AZ25" s="1058"/>
      <c r="BA25" s="1058"/>
      <c r="BB25" s="1058"/>
      <c r="BC25" s="94"/>
      <c r="BD25" s="94"/>
      <c r="BE25" s="94"/>
      <c r="CB25" s="1031" t="str">
        <f t="shared" si="14"/>
        <v xml:space="preserve">* El número de Beneficiarios NO DEBE ser mayor que el Total. </v>
      </c>
      <c r="CC25" s="1164" t="str">
        <f t="shared" si="15"/>
        <v xml:space="preserve">* Los Niños, Niñas, Adolescentes y Jóvenes de Programa SENAME NO DEBE ser mayor que el Total. </v>
      </c>
      <c r="CD25" s="1164" t="str">
        <f t="shared" si="4"/>
        <v xml:space="preserve">* El total de personas pertenecientes a Pueblos Originarios NO DEBE ser mayor que el Total. </v>
      </c>
      <c r="CE25" s="1164" t="str">
        <f t="shared" si="5"/>
        <v xml:space="preserve">* El número de personas Migrantes NO DEBE ser mayor que el Total. </v>
      </c>
      <c r="CF25" s="1164" t="str">
        <f t="shared" si="6"/>
        <v xml:space="preserve">* El número de personas con Demencia NO DEBE ser mayor que el Total. </v>
      </c>
      <c r="CG25" s="1031" t="str">
        <f t="shared" si="7"/>
        <v/>
      </c>
      <c r="CH25" s="1163">
        <f t="shared" si="8"/>
        <v>1</v>
      </c>
      <c r="CI25" s="1163">
        <f t="shared" si="0"/>
        <v>1</v>
      </c>
      <c r="CJ25" s="1163">
        <f t="shared" si="0"/>
        <v>1</v>
      </c>
      <c r="CK25" s="1163">
        <f t="shared" si="0"/>
        <v>1</v>
      </c>
      <c r="CL25" s="1163">
        <f t="shared" si="0"/>
        <v>1</v>
      </c>
      <c r="CM25" s="1163">
        <f t="shared" si="9"/>
        <v>0</v>
      </c>
    </row>
    <row r="26" spans="1:91" ht="19.5" customHeight="1" x14ac:dyDescent="0.2">
      <c r="A26" s="2458" t="s">
        <v>3299</v>
      </c>
      <c r="B26" s="5102" t="s">
        <v>434</v>
      </c>
      <c r="C26" s="2557" t="s">
        <v>280</v>
      </c>
      <c r="D26" s="2883" t="s">
        <v>2777</v>
      </c>
      <c r="E26" s="2884" t="s">
        <v>2778</v>
      </c>
      <c r="F26" s="3486" t="s">
        <v>2779</v>
      </c>
      <c r="G26" s="2483" t="s">
        <v>2780</v>
      </c>
      <c r="H26" s="2499" t="s">
        <v>2781</v>
      </c>
      <c r="I26" s="2483" t="s">
        <v>2782</v>
      </c>
      <c r="J26" s="2499" t="s">
        <v>2783</v>
      </c>
      <c r="K26" s="2483" t="s">
        <v>2784</v>
      </c>
      <c r="L26" s="2480" t="s">
        <v>2785</v>
      </c>
      <c r="M26" s="2483" t="s">
        <v>2786</v>
      </c>
      <c r="N26" s="2480" t="s">
        <v>2787</v>
      </c>
      <c r="O26" s="2483" t="s">
        <v>2788</v>
      </c>
      <c r="P26" s="2480" t="s">
        <v>2789</v>
      </c>
      <c r="Q26" s="2483" t="s">
        <v>2790</v>
      </c>
      <c r="R26" s="2480" t="s">
        <v>2791</v>
      </c>
      <c r="S26" s="2483" t="s">
        <v>2792</v>
      </c>
      <c r="T26" s="2480" t="s">
        <v>2793</v>
      </c>
      <c r="U26" s="2483" t="s">
        <v>2794</v>
      </c>
      <c r="V26" s="2480" t="s">
        <v>2795</v>
      </c>
      <c r="W26" s="2483" t="s">
        <v>2796</v>
      </c>
      <c r="X26" s="2480" t="s">
        <v>2797</v>
      </c>
      <c r="Y26" s="2483" t="s">
        <v>2798</v>
      </c>
      <c r="Z26" s="2480" t="s">
        <v>2799</v>
      </c>
      <c r="AA26" s="2483" t="s">
        <v>2800</v>
      </c>
      <c r="AB26" s="2480" t="s">
        <v>2801</v>
      </c>
      <c r="AC26" s="2483" t="s">
        <v>2817</v>
      </c>
      <c r="AD26" s="2480" t="s">
        <v>2818</v>
      </c>
      <c r="AE26" s="2483" t="s">
        <v>2819</v>
      </c>
      <c r="AF26" s="2480" t="s">
        <v>2821</v>
      </c>
      <c r="AG26" s="2483" t="s">
        <v>2822</v>
      </c>
      <c r="AH26" s="2480" t="s">
        <v>2823</v>
      </c>
      <c r="AI26" s="2483" t="s">
        <v>2824</v>
      </c>
      <c r="AJ26" s="2480" t="s">
        <v>2825</v>
      </c>
      <c r="AK26" s="2483" t="s">
        <v>2826</v>
      </c>
      <c r="AL26" s="2480" t="s">
        <v>2827</v>
      </c>
      <c r="AM26" s="2560" t="s">
        <v>2831</v>
      </c>
      <c r="AN26" s="2480" t="s">
        <v>2832</v>
      </c>
      <c r="AO26" s="2499" t="s">
        <v>2833</v>
      </c>
      <c r="AP26" s="2499" t="s">
        <v>2834</v>
      </c>
      <c r="AQ26" s="164" t="s">
        <v>3011</v>
      </c>
      <c r="AR26" s="198" t="s">
        <v>3012</v>
      </c>
      <c r="AS26" s="198" t="s">
        <v>3013</v>
      </c>
      <c r="AT26" s="2384" t="str">
        <f t="shared" si="1"/>
        <v xml:space="preserve">* El número de Beneficiarios NO DEBE ser mayor que el Total. * Los Niños, Niñas, Adolescentes y Jóvenes de Programa SENAME NO DEBE ser mayor que el Total. * El total de personas pertenecientes a Pueblos Originarios NO DEBE ser mayor que el Total. * El número de personas Migrantes NO DEBE ser mayor que el Total. * El número de personas con Demencia NO DEBE ser mayor que el Total. </v>
      </c>
      <c r="AU26" s="1058"/>
      <c r="AV26" s="1058"/>
      <c r="AW26" s="1058"/>
      <c r="AX26" s="1058"/>
      <c r="AY26" s="1058"/>
      <c r="AZ26" s="1058"/>
      <c r="BA26" s="1058"/>
      <c r="BB26" s="1058"/>
      <c r="BC26" s="94"/>
      <c r="BD26" s="94"/>
      <c r="BE26" s="94"/>
      <c r="CB26" s="1031" t="str">
        <f t="shared" si="14"/>
        <v xml:space="preserve">* El número de Beneficiarios NO DEBE ser mayor que el Total. </v>
      </c>
      <c r="CC26" s="1164" t="str">
        <f t="shared" si="15"/>
        <v xml:space="preserve">* Los Niños, Niñas, Adolescentes y Jóvenes de Programa SENAME NO DEBE ser mayor que el Total. </v>
      </c>
      <c r="CD26" s="1164" t="str">
        <f t="shared" si="4"/>
        <v xml:space="preserve">* El total de personas pertenecientes a Pueblos Originarios NO DEBE ser mayor que el Total. </v>
      </c>
      <c r="CE26" s="1164" t="str">
        <f t="shared" si="5"/>
        <v xml:space="preserve">* El número de personas Migrantes NO DEBE ser mayor que el Total. </v>
      </c>
      <c r="CF26" s="1164" t="str">
        <f t="shared" si="6"/>
        <v xml:space="preserve">* El número de personas con Demencia NO DEBE ser mayor que el Total. </v>
      </c>
      <c r="CG26" s="1031" t="str">
        <f t="shared" si="7"/>
        <v/>
      </c>
      <c r="CH26" s="1163">
        <f t="shared" si="8"/>
        <v>1</v>
      </c>
      <c r="CI26" s="1163">
        <f t="shared" si="0"/>
        <v>1</v>
      </c>
      <c r="CJ26" s="1163">
        <f t="shared" si="0"/>
        <v>1</v>
      </c>
      <c r="CK26" s="1163">
        <f t="shared" si="0"/>
        <v>1</v>
      </c>
      <c r="CL26" s="1163">
        <f t="shared" si="0"/>
        <v>1</v>
      </c>
      <c r="CM26" s="1163">
        <f t="shared" si="9"/>
        <v>0</v>
      </c>
    </row>
    <row r="27" spans="1:91" ht="19.5" customHeight="1" x14ac:dyDescent="0.2">
      <c r="A27" s="2458" t="s">
        <v>3300</v>
      </c>
      <c r="B27" s="5343"/>
      <c r="C27" s="2869" t="s">
        <v>435</v>
      </c>
      <c r="D27" s="2878" t="s">
        <v>2777</v>
      </c>
      <c r="E27" s="2909" t="s">
        <v>2778</v>
      </c>
      <c r="F27" s="3916" t="s">
        <v>2779</v>
      </c>
      <c r="G27" s="166" t="s">
        <v>2780</v>
      </c>
      <c r="H27" s="2719" t="s">
        <v>2781</v>
      </c>
      <c r="I27" s="166" t="s">
        <v>2782</v>
      </c>
      <c r="J27" s="125" t="s">
        <v>2783</v>
      </c>
      <c r="K27" s="166" t="s">
        <v>2784</v>
      </c>
      <c r="L27" s="125" t="s">
        <v>2785</v>
      </c>
      <c r="M27" s="166" t="s">
        <v>2786</v>
      </c>
      <c r="N27" s="125" t="s">
        <v>2787</v>
      </c>
      <c r="O27" s="166" t="s">
        <v>2788</v>
      </c>
      <c r="P27" s="168" t="s">
        <v>2789</v>
      </c>
      <c r="Q27" s="166" t="s">
        <v>2790</v>
      </c>
      <c r="R27" s="2719" t="s">
        <v>2791</v>
      </c>
      <c r="S27" s="2870" t="s">
        <v>2792</v>
      </c>
      <c r="T27" s="125" t="s">
        <v>2793</v>
      </c>
      <c r="U27" s="166" t="s">
        <v>2794</v>
      </c>
      <c r="V27" s="125" t="s">
        <v>2795</v>
      </c>
      <c r="W27" s="166" t="s">
        <v>2796</v>
      </c>
      <c r="X27" s="125" t="s">
        <v>2797</v>
      </c>
      <c r="Y27" s="166" t="s">
        <v>2798</v>
      </c>
      <c r="Z27" s="2719" t="s">
        <v>2799</v>
      </c>
      <c r="AA27" s="166" t="s">
        <v>2800</v>
      </c>
      <c r="AB27" s="2719" t="s">
        <v>2801</v>
      </c>
      <c r="AC27" s="166" t="s">
        <v>2817</v>
      </c>
      <c r="AD27" s="125" t="s">
        <v>2818</v>
      </c>
      <c r="AE27" s="166" t="s">
        <v>2819</v>
      </c>
      <c r="AF27" s="2719" t="s">
        <v>2821</v>
      </c>
      <c r="AG27" s="166" t="s">
        <v>2822</v>
      </c>
      <c r="AH27" s="2719" t="s">
        <v>2823</v>
      </c>
      <c r="AI27" s="166" t="s">
        <v>2824</v>
      </c>
      <c r="AJ27" s="125" t="s">
        <v>2825</v>
      </c>
      <c r="AK27" s="166" t="s">
        <v>2826</v>
      </c>
      <c r="AL27" s="125" t="s">
        <v>2827</v>
      </c>
      <c r="AM27" s="227" t="s">
        <v>2831</v>
      </c>
      <c r="AN27" s="125" t="s">
        <v>2832</v>
      </c>
      <c r="AO27" s="168" t="s">
        <v>2833</v>
      </c>
      <c r="AP27" s="168" t="s">
        <v>2834</v>
      </c>
      <c r="AQ27" s="105" t="s">
        <v>3011</v>
      </c>
      <c r="AR27" s="168" t="s">
        <v>3012</v>
      </c>
      <c r="AS27" s="168" t="s">
        <v>3013</v>
      </c>
      <c r="AT27" s="2384" t="str">
        <f t="shared" si="1"/>
        <v xml:space="preserve">* El número de Beneficiarios NO DEBE ser mayor que el Total. * Los Niños, Niñas, Adolescentes y Jóvenes de Programa SENAME NO DEBE ser mayor que el Total. * El total de personas pertenecientes a Pueblos Originarios NO DEBE ser mayor que el Total. * El número de personas Migrantes NO DEBE ser mayor que el Total. * El número de personas con Demencia NO DEBE ser mayor que el Total. </v>
      </c>
      <c r="AU27" s="1058"/>
      <c r="AV27" s="1058"/>
      <c r="AW27" s="1058"/>
      <c r="AX27" s="1058"/>
      <c r="AY27" s="1058"/>
      <c r="AZ27" s="1058"/>
      <c r="BA27" s="1058"/>
      <c r="BB27" s="1058"/>
      <c r="BC27" s="94"/>
      <c r="BD27" s="94"/>
      <c r="BE27" s="94"/>
      <c r="CB27" s="1031" t="str">
        <f t="shared" si="14"/>
        <v xml:space="preserve">* El número de Beneficiarios NO DEBE ser mayor que el Total. </v>
      </c>
      <c r="CC27" s="1164" t="str">
        <f t="shared" si="15"/>
        <v xml:space="preserve">* Los Niños, Niñas, Adolescentes y Jóvenes de Programa SENAME NO DEBE ser mayor que el Total. </v>
      </c>
      <c r="CD27" s="1164" t="str">
        <f t="shared" si="4"/>
        <v xml:space="preserve">* El total de personas pertenecientes a Pueblos Originarios NO DEBE ser mayor que el Total. </v>
      </c>
      <c r="CE27" s="1164" t="str">
        <f t="shared" si="5"/>
        <v xml:space="preserve">* El número de personas Migrantes NO DEBE ser mayor que el Total. </v>
      </c>
      <c r="CF27" s="1164" t="str">
        <f t="shared" si="6"/>
        <v xml:space="preserve">* El número de personas con Demencia NO DEBE ser mayor que el Total. </v>
      </c>
      <c r="CG27" s="1031" t="str">
        <f t="shared" si="7"/>
        <v/>
      </c>
      <c r="CH27" s="1163">
        <f t="shared" si="8"/>
        <v>1</v>
      </c>
      <c r="CI27" s="1163">
        <f t="shared" si="0"/>
        <v>1</v>
      </c>
      <c r="CJ27" s="1163">
        <f t="shared" si="0"/>
        <v>1</v>
      </c>
      <c r="CK27" s="1163">
        <f t="shared" si="0"/>
        <v>1</v>
      </c>
      <c r="CL27" s="1163">
        <f t="shared" si="0"/>
        <v>1</v>
      </c>
      <c r="CM27" s="1163">
        <f t="shared" si="9"/>
        <v>0</v>
      </c>
    </row>
    <row r="28" spans="1:91" ht="31.35" customHeight="1" x14ac:dyDescent="0.2">
      <c r="B28" s="177" t="s">
        <v>1655</v>
      </c>
      <c r="C28" s="86"/>
      <c r="D28" s="397"/>
      <c r="E28" s="86"/>
      <c r="F28" s="86"/>
      <c r="G28" s="86"/>
      <c r="H28" s="86"/>
      <c r="I28" s="86"/>
      <c r="J28" s="86"/>
      <c r="K28" s="86"/>
      <c r="L28" s="86"/>
      <c r="M28" s="86"/>
      <c r="N28" s="205"/>
      <c r="O28" s="205"/>
      <c r="P28" s="190"/>
      <c r="Q28" s="190"/>
      <c r="R28" s="190"/>
      <c r="S28" s="190"/>
      <c r="T28" s="190"/>
      <c r="U28" s="190"/>
      <c r="V28" s="190"/>
      <c r="W28" s="255"/>
      <c r="X28" s="190"/>
      <c r="Y28" s="190"/>
      <c r="Z28" s="190"/>
      <c r="AA28" s="190"/>
      <c r="AB28" s="190"/>
      <c r="AC28" s="190"/>
      <c r="AD28" s="190"/>
      <c r="AE28" s="190"/>
      <c r="AF28" s="190"/>
      <c r="AG28" s="190"/>
      <c r="AH28" s="190"/>
      <c r="AI28" s="190"/>
      <c r="AJ28" s="190"/>
      <c r="AK28" s="190"/>
      <c r="AL28" s="190"/>
      <c r="AM28" s="190"/>
      <c r="AN28" s="190"/>
      <c r="AO28" s="190"/>
      <c r="AP28" s="190"/>
      <c r="AQ28" s="881"/>
      <c r="AR28" s="94"/>
      <c r="AS28" s="94"/>
      <c r="AT28" s="94"/>
      <c r="AU28" s="94"/>
      <c r="AV28" s="94"/>
      <c r="AW28" s="94"/>
      <c r="AX28" s="94"/>
      <c r="AY28" s="94"/>
      <c r="AZ28" s="94"/>
      <c r="BA28" s="94"/>
      <c r="BB28" s="94"/>
      <c r="BC28" s="94"/>
      <c r="BD28" s="94"/>
      <c r="BE28" s="94"/>
      <c r="CH28" s="1020"/>
      <c r="CI28" s="1020"/>
      <c r="CJ28" s="1020"/>
      <c r="CK28" s="1020"/>
      <c r="CL28" s="1020"/>
      <c r="CM28" s="1020"/>
    </row>
    <row r="29" spans="1:91" ht="16.350000000000001" customHeight="1" x14ac:dyDescent="0.2">
      <c r="B29" s="5112" t="s">
        <v>177</v>
      </c>
      <c r="C29" s="5430" t="s">
        <v>2635</v>
      </c>
      <c r="D29" s="5743" t="s">
        <v>2636</v>
      </c>
      <c r="E29" s="5782"/>
      <c r="F29" s="5107" t="s">
        <v>436</v>
      </c>
      <c r="G29" s="5117"/>
      <c r="H29" s="5108"/>
      <c r="I29" s="5107" t="s">
        <v>350</v>
      </c>
      <c r="J29" s="5108"/>
      <c r="K29" s="5107" t="s">
        <v>351</v>
      </c>
      <c r="L29" s="5108"/>
      <c r="M29" s="5107" t="s">
        <v>352</v>
      </c>
      <c r="N29" s="5108"/>
      <c r="O29" s="5107" t="s">
        <v>319</v>
      </c>
      <c r="P29" s="5108"/>
      <c r="Q29" s="5107" t="s">
        <v>10</v>
      </c>
      <c r="R29" s="5108"/>
      <c r="S29" s="5105" t="s">
        <v>11</v>
      </c>
      <c r="T29" s="5106"/>
      <c r="U29" s="5137" t="s">
        <v>12</v>
      </c>
      <c r="V29" s="5137"/>
      <c r="W29" s="5105" t="s">
        <v>13</v>
      </c>
      <c r="X29" s="5106"/>
      <c r="Y29" s="5105" t="s">
        <v>14</v>
      </c>
      <c r="Z29" s="5106"/>
      <c r="AA29" s="5105" t="s">
        <v>15</v>
      </c>
      <c r="AB29" s="5106"/>
      <c r="AC29" s="5105" t="s">
        <v>16</v>
      </c>
      <c r="AD29" s="5106"/>
      <c r="AE29" s="5105" t="s">
        <v>17</v>
      </c>
      <c r="AF29" s="5106"/>
      <c r="AG29" s="5105" t="s">
        <v>18</v>
      </c>
      <c r="AH29" s="5106"/>
      <c r="AI29" s="5105" t="s">
        <v>19</v>
      </c>
      <c r="AJ29" s="5106"/>
      <c r="AK29" s="5105" t="s">
        <v>20</v>
      </c>
      <c r="AL29" s="5106"/>
      <c r="AM29" s="5105" t="s">
        <v>21</v>
      </c>
      <c r="AN29" s="5106"/>
      <c r="AO29" s="5105" t="s">
        <v>22</v>
      </c>
      <c r="AP29" s="5106"/>
      <c r="AQ29" s="973"/>
      <c r="AR29" s="398"/>
      <c r="AS29" s="1066"/>
      <c r="AT29" s="94"/>
      <c r="AU29" s="94"/>
      <c r="AV29" s="94"/>
      <c r="AW29" s="94"/>
      <c r="AX29" s="94"/>
      <c r="AY29" s="94"/>
      <c r="AZ29" s="94"/>
      <c r="BA29" s="94"/>
      <c r="BB29" s="94"/>
      <c r="BC29" s="94"/>
      <c r="BD29" s="94"/>
      <c r="BE29" s="94"/>
      <c r="BF29" s="94"/>
      <c r="BG29" s="94"/>
      <c r="BY29" s="80"/>
      <c r="BZ29" s="80"/>
      <c r="CH29" s="1020"/>
      <c r="CI29" s="1020"/>
      <c r="CJ29" s="1020"/>
      <c r="CK29" s="1020"/>
      <c r="CL29" s="1020"/>
      <c r="CM29" s="1020"/>
    </row>
    <row r="30" spans="1:91" ht="42" customHeight="1" x14ac:dyDescent="0.2">
      <c r="B30" s="5114"/>
      <c r="C30" s="5159"/>
      <c r="D30" s="5033" t="s">
        <v>1959</v>
      </c>
      <c r="E30" s="5034" t="s">
        <v>1960</v>
      </c>
      <c r="F30" s="253" t="s">
        <v>184</v>
      </c>
      <c r="G30" s="88" t="s">
        <v>24</v>
      </c>
      <c r="H30" s="131" t="s">
        <v>25</v>
      </c>
      <c r="I30" s="253" t="s">
        <v>24</v>
      </c>
      <c r="J30" s="131" t="s">
        <v>25</v>
      </c>
      <c r="K30" s="253" t="s">
        <v>24</v>
      </c>
      <c r="L30" s="131" t="s">
        <v>25</v>
      </c>
      <c r="M30" s="253" t="s">
        <v>24</v>
      </c>
      <c r="N30" s="131" t="s">
        <v>25</v>
      </c>
      <c r="O30" s="253" t="s">
        <v>24</v>
      </c>
      <c r="P30" s="131" t="s">
        <v>25</v>
      </c>
      <c r="Q30" s="253" t="s">
        <v>24</v>
      </c>
      <c r="R30" s="131" t="s">
        <v>25</v>
      </c>
      <c r="S30" s="253" t="s">
        <v>24</v>
      </c>
      <c r="T30" s="131" t="s">
        <v>25</v>
      </c>
      <c r="U30" s="253" t="s">
        <v>24</v>
      </c>
      <c r="V30" s="314" t="s">
        <v>25</v>
      </c>
      <c r="W30" s="253" t="s">
        <v>24</v>
      </c>
      <c r="X30" s="131" t="s">
        <v>25</v>
      </c>
      <c r="Y30" s="253" t="s">
        <v>24</v>
      </c>
      <c r="Z30" s="131" t="s">
        <v>25</v>
      </c>
      <c r="AA30" s="253" t="s">
        <v>24</v>
      </c>
      <c r="AB30" s="131" t="s">
        <v>25</v>
      </c>
      <c r="AC30" s="253" t="s">
        <v>24</v>
      </c>
      <c r="AD30" s="131" t="s">
        <v>25</v>
      </c>
      <c r="AE30" s="253" t="s">
        <v>24</v>
      </c>
      <c r="AF30" s="131" t="s">
        <v>25</v>
      </c>
      <c r="AG30" s="253" t="s">
        <v>24</v>
      </c>
      <c r="AH30" s="131" t="s">
        <v>25</v>
      </c>
      <c r="AI30" s="253" t="s">
        <v>24</v>
      </c>
      <c r="AJ30" s="131" t="s">
        <v>25</v>
      </c>
      <c r="AK30" s="253" t="s">
        <v>24</v>
      </c>
      <c r="AL30" s="131" t="s">
        <v>25</v>
      </c>
      <c r="AM30" s="253" t="s">
        <v>24</v>
      </c>
      <c r="AN30" s="131" t="s">
        <v>25</v>
      </c>
      <c r="AO30" s="253" t="s">
        <v>24</v>
      </c>
      <c r="AP30" s="131" t="s">
        <v>25</v>
      </c>
      <c r="AQ30" s="918"/>
      <c r="AR30" s="399"/>
      <c r="AS30" s="898"/>
      <c r="AT30" s="908"/>
      <c r="AU30" s="94"/>
      <c r="AV30" s="94"/>
      <c r="AW30" s="94"/>
      <c r="AX30" s="94"/>
      <c r="AY30" s="94"/>
      <c r="AZ30" s="94"/>
      <c r="BA30" s="94"/>
      <c r="BB30" s="94"/>
      <c r="BC30" s="94"/>
      <c r="BD30" s="94"/>
      <c r="BE30" s="94"/>
      <c r="BF30" s="94"/>
      <c r="BG30" s="94"/>
      <c r="BY30" s="80"/>
      <c r="BZ30" s="80"/>
      <c r="CH30" s="1020"/>
      <c r="CI30" s="1020"/>
      <c r="CJ30" s="1020"/>
      <c r="CK30" s="1020"/>
      <c r="CL30" s="1020"/>
      <c r="CM30" s="1020"/>
    </row>
    <row r="31" spans="1:91" ht="30.75" customHeight="1" x14ac:dyDescent="0.2">
      <c r="A31" s="2458" t="s">
        <v>3301</v>
      </c>
      <c r="B31" s="2649" t="s">
        <v>987</v>
      </c>
      <c r="C31" s="2556" t="s">
        <v>2777</v>
      </c>
      <c r="D31" s="2520" t="s">
        <v>2778</v>
      </c>
      <c r="E31" s="2612" t="s">
        <v>2779</v>
      </c>
      <c r="F31" s="2521" t="s">
        <v>2780</v>
      </c>
      <c r="G31" s="166" t="s">
        <v>2781</v>
      </c>
      <c r="H31" s="2719" t="s">
        <v>2782</v>
      </c>
      <c r="I31" s="166" t="s">
        <v>2783</v>
      </c>
      <c r="J31" s="125" t="s">
        <v>2784</v>
      </c>
      <c r="K31" s="166" t="s">
        <v>2785</v>
      </c>
      <c r="L31" s="125" t="s">
        <v>2786</v>
      </c>
      <c r="M31" s="166" t="s">
        <v>2787</v>
      </c>
      <c r="N31" s="125" t="s">
        <v>2788</v>
      </c>
      <c r="O31" s="166" t="s">
        <v>2789</v>
      </c>
      <c r="P31" s="168" t="s">
        <v>2790</v>
      </c>
      <c r="Q31" s="166" t="s">
        <v>2791</v>
      </c>
      <c r="R31" s="2719" t="s">
        <v>2792</v>
      </c>
      <c r="S31" s="2870" t="s">
        <v>2793</v>
      </c>
      <c r="T31" s="125" t="s">
        <v>2794</v>
      </c>
      <c r="U31" s="166" t="s">
        <v>2795</v>
      </c>
      <c r="V31" s="125" t="s">
        <v>2796</v>
      </c>
      <c r="W31" s="166" t="s">
        <v>2797</v>
      </c>
      <c r="X31" s="125" t="s">
        <v>2798</v>
      </c>
      <c r="Y31" s="166" t="s">
        <v>2799</v>
      </c>
      <c r="Z31" s="2719" t="s">
        <v>2800</v>
      </c>
      <c r="AA31" s="166" t="s">
        <v>2801</v>
      </c>
      <c r="AB31" s="2719" t="s">
        <v>2817</v>
      </c>
      <c r="AC31" s="166" t="s">
        <v>2818</v>
      </c>
      <c r="AD31" s="125" t="s">
        <v>2819</v>
      </c>
      <c r="AE31" s="166" t="s">
        <v>2821</v>
      </c>
      <c r="AF31" s="2719" t="s">
        <v>2822</v>
      </c>
      <c r="AG31" s="166" t="s">
        <v>2823</v>
      </c>
      <c r="AH31" s="2719" t="s">
        <v>2824</v>
      </c>
      <c r="AI31" s="166" t="s">
        <v>2825</v>
      </c>
      <c r="AJ31" s="125" t="s">
        <v>2826</v>
      </c>
      <c r="AK31" s="166" t="s">
        <v>2827</v>
      </c>
      <c r="AL31" s="125" t="s">
        <v>2831</v>
      </c>
      <c r="AM31" s="227" t="s">
        <v>2832</v>
      </c>
      <c r="AN31" s="125" t="s">
        <v>2833</v>
      </c>
      <c r="AO31" s="125" t="s">
        <v>2834</v>
      </c>
      <c r="AP31" s="125" t="s">
        <v>3011</v>
      </c>
      <c r="AQ31" s="219"/>
      <c r="AR31" s="290"/>
      <c r="AS31" s="1069"/>
      <c r="AT31" s="908"/>
      <c r="AU31" s="94"/>
      <c r="AV31" s="94"/>
      <c r="AW31" s="94"/>
      <c r="AX31" s="94"/>
      <c r="AY31" s="94"/>
      <c r="AZ31" s="94"/>
      <c r="BA31" s="94"/>
      <c r="BB31" s="94"/>
      <c r="BC31" s="94"/>
      <c r="BD31" s="94"/>
      <c r="BE31" s="94"/>
      <c r="BF31" s="94"/>
      <c r="BG31" s="94"/>
      <c r="BY31" s="80"/>
      <c r="BZ31" s="80"/>
      <c r="CH31" s="1020"/>
      <c r="CI31" s="1020"/>
      <c r="CJ31" s="1020"/>
      <c r="CK31" s="1020"/>
      <c r="CL31" s="1020"/>
      <c r="CM31" s="1020"/>
    </row>
    <row r="32" spans="1:91" ht="22.5" customHeight="1" x14ac:dyDescent="0.25">
      <c r="B32" s="177" t="s">
        <v>1715</v>
      </c>
      <c r="C32" s="2055"/>
      <c r="D32" s="2055"/>
      <c r="E32" s="2055"/>
      <c r="F32" s="190"/>
      <c r="G32" s="190"/>
      <c r="H32" s="190"/>
      <c r="I32" s="190"/>
      <c r="J32" s="190"/>
      <c r="K32" s="190"/>
      <c r="L32" s="190"/>
      <c r="M32" s="190"/>
      <c r="N32" s="190"/>
      <c r="O32" s="190"/>
      <c r="P32" s="190"/>
      <c r="Q32" s="190"/>
      <c r="R32" s="190"/>
      <c r="S32" s="190"/>
      <c r="T32" s="190"/>
      <c r="U32" s="190"/>
      <c r="V32" s="190"/>
      <c r="W32" s="190"/>
      <c r="X32" s="190"/>
      <c r="Y32" s="190"/>
      <c r="Z32" s="190"/>
      <c r="AA32" s="190"/>
      <c r="AB32" s="190"/>
      <c r="AC32" s="190"/>
      <c r="AD32" s="190"/>
      <c r="AE32" s="190"/>
      <c r="AF32" s="190"/>
      <c r="AG32" s="190"/>
      <c r="AH32" s="190"/>
      <c r="AI32" s="190"/>
      <c r="AJ32" s="190"/>
      <c r="AK32" s="190"/>
      <c r="AL32" s="190"/>
      <c r="AM32" s="190"/>
      <c r="AN32" s="190"/>
      <c r="AO32" s="190"/>
      <c r="AP32" s="190"/>
      <c r="AQ32" s="190"/>
      <c r="AR32" s="190"/>
      <c r="AS32" s="190"/>
      <c r="AT32" s="94"/>
      <c r="AU32" s="94"/>
      <c r="AV32" s="94"/>
      <c r="AW32" s="94"/>
      <c r="AX32" s="94"/>
      <c r="AY32" s="94"/>
      <c r="AZ32" s="94"/>
      <c r="BA32" s="94"/>
      <c r="BB32" s="94"/>
      <c r="BC32" s="94"/>
      <c r="BD32" s="94"/>
      <c r="BE32" s="94"/>
      <c r="CH32" s="1020"/>
      <c r="CI32" s="1020"/>
      <c r="CJ32" s="1020"/>
      <c r="CK32" s="1020"/>
      <c r="CL32" s="1020"/>
      <c r="CM32" s="1020"/>
    </row>
    <row r="33" spans="1:91" ht="23.25" customHeight="1" x14ac:dyDescent="0.2">
      <c r="B33" s="5741" t="s">
        <v>177</v>
      </c>
      <c r="C33" s="5741" t="s">
        <v>2637</v>
      </c>
      <c r="D33" s="5743" t="s">
        <v>436</v>
      </c>
      <c r="E33" s="5744"/>
      <c r="F33" s="5745"/>
      <c r="G33" s="5743" t="s">
        <v>821</v>
      </c>
      <c r="H33" s="5744"/>
      <c r="I33" s="5744"/>
      <c r="J33" s="5744"/>
      <c r="K33" s="5745"/>
      <c r="L33" s="190"/>
      <c r="M33" s="190"/>
      <c r="N33" s="190"/>
      <c r="O33" s="190"/>
      <c r="P33" s="190"/>
      <c r="Q33" s="190"/>
      <c r="R33" s="190"/>
      <c r="S33" s="190"/>
      <c r="T33" s="190"/>
      <c r="U33" s="190"/>
      <c r="V33" s="190"/>
      <c r="W33" s="190"/>
      <c r="X33" s="190"/>
      <c r="Y33" s="190"/>
      <c r="Z33" s="190"/>
      <c r="AA33" s="190"/>
      <c r="AB33" s="190"/>
      <c r="AC33" s="190"/>
      <c r="AD33" s="190"/>
      <c r="AE33" s="190"/>
      <c r="AF33" s="190"/>
      <c r="AG33" s="190"/>
      <c r="AH33" s="190"/>
      <c r="AI33" s="190"/>
      <c r="AJ33" s="190"/>
      <c r="AK33" s="190"/>
      <c r="AL33" s="190"/>
      <c r="AM33" s="190"/>
      <c r="AN33" s="190"/>
      <c r="AO33" s="190"/>
      <c r="AP33" s="190"/>
      <c r="AQ33" s="190"/>
      <c r="AR33" s="190"/>
      <c r="AS33" s="190"/>
      <c r="AT33" s="94"/>
      <c r="AU33" s="94"/>
      <c r="AV33" s="94"/>
      <c r="AW33" s="94"/>
      <c r="AX33" s="94"/>
      <c r="AY33" s="94"/>
      <c r="AZ33" s="94"/>
      <c r="BA33" s="94"/>
      <c r="BB33" s="94"/>
      <c r="BC33" s="94"/>
      <c r="BD33" s="94"/>
      <c r="BE33" s="94"/>
      <c r="CH33" s="1020"/>
      <c r="CI33" s="1020"/>
      <c r="CJ33" s="1020"/>
      <c r="CK33" s="1020"/>
      <c r="CL33" s="1020"/>
      <c r="CM33" s="1020"/>
    </row>
    <row r="34" spans="1:91" ht="45.75" customHeight="1" x14ac:dyDescent="0.2">
      <c r="B34" s="5742"/>
      <c r="C34" s="5742"/>
      <c r="D34" s="5035" t="s">
        <v>184</v>
      </c>
      <c r="E34" s="5036" t="s">
        <v>24</v>
      </c>
      <c r="F34" s="5037" t="s">
        <v>25</v>
      </c>
      <c r="G34" s="5035" t="s">
        <v>2638</v>
      </c>
      <c r="H34" s="5035" t="s">
        <v>2639</v>
      </c>
      <c r="I34" s="5035" t="s">
        <v>1713</v>
      </c>
      <c r="J34" s="5037" t="s">
        <v>1714</v>
      </c>
      <c r="K34" s="5038" t="s">
        <v>3939</v>
      </c>
      <c r="L34" s="190"/>
      <c r="M34" s="190"/>
      <c r="N34" s="190"/>
      <c r="O34" s="190"/>
      <c r="P34" s="190"/>
      <c r="Q34" s="190"/>
      <c r="R34" s="190"/>
      <c r="S34" s="190"/>
      <c r="T34" s="190"/>
      <c r="U34" s="190"/>
      <c r="V34" s="190"/>
      <c r="W34" s="190"/>
      <c r="X34" s="190"/>
      <c r="Y34" s="190"/>
      <c r="Z34" s="190"/>
      <c r="AA34" s="190"/>
      <c r="AB34" s="190"/>
      <c r="AC34" s="190"/>
      <c r="AD34" s="190"/>
      <c r="AE34" s="190"/>
      <c r="AF34" s="190"/>
      <c r="AG34" s="190"/>
      <c r="AH34" s="190"/>
      <c r="AI34" s="190"/>
      <c r="AJ34" s="190"/>
      <c r="AK34" s="190"/>
      <c r="AL34" s="190"/>
      <c r="AM34" s="190"/>
      <c r="AN34" s="190"/>
      <c r="AO34" s="190"/>
      <c r="AP34" s="190"/>
      <c r="AQ34" s="190"/>
      <c r="AR34" s="190"/>
      <c r="AS34" s="190"/>
      <c r="AT34" s="94"/>
      <c r="AU34" s="94"/>
      <c r="AV34" s="94"/>
      <c r="AW34" s="94"/>
      <c r="AX34" s="94"/>
      <c r="AY34" s="94"/>
      <c r="AZ34" s="94"/>
      <c r="BA34" s="94"/>
      <c r="BB34" s="94"/>
      <c r="BC34" s="94"/>
      <c r="BD34" s="94"/>
      <c r="BE34" s="94"/>
      <c r="CH34" s="1020"/>
      <c r="CI34" s="1020"/>
      <c r="CJ34" s="1020"/>
      <c r="CK34" s="1020"/>
      <c r="CL34" s="1020"/>
      <c r="CM34" s="1020"/>
    </row>
    <row r="35" spans="1:91" ht="24.75" customHeight="1" x14ac:dyDescent="0.2">
      <c r="A35" s="643" t="s">
        <v>3759</v>
      </c>
      <c r="B35" s="5039" t="s">
        <v>987</v>
      </c>
      <c r="C35" s="5040" t="s">
        <v>2777</v>
      </c>
      <c r="D35" s="1138" t="s">
        <v>2778</v>
      </c>
      <c r="E35" s="166" t="s">
        <v>2779</v>
      </c>
      <c r="F35" s="5041" t="s">
        <v>2780</v>
      </c>
      <c r="G35" s="166" t="s">
        <v>2781</v>
      </c>
      <c r="H35" s="5041" t="s">
        <v>2782</v>
      </c>
      <c r="I35" s="166" t="s">
        <v>2783</v>
      </c>
      <c r="J35" s="125" t="s">
        <v>2784</v>
      </c>
      <c r="K35" s="105" t="s">
        <v>2785</v>
      </c>
      <c r="L35" s="190"/>
      <c r="M35" s="190"/>
      <c r="N35" s="190"/>
      <c r="O35" s="190"/>
      <c r="P35" s="190"/>
      <c r="Q35" s="190"/>
      <c r="R35" s="190"/>
      <c r="S35" s="190"/>
      <c r="T35" s="190"/>
      <c r="U35" s="190"/>
      <c r="V35" s="190"/>
      <c r="W35" s="190"/>
      <c r="X35" s="190"/>
      <c r="Y35" s="190"/>
      <c r="Z35" s="190"/>
      <c r="AA35" s="190"/>
      <c r="AB35" s="190"/>
      <c r="AC35" s="190"/>
      <c r="AD35" s="190"/>
      <c r="AE35" s="190"/>
      <c r="AF35" s="190"/>
      <c r="AG35" s="190"/>
      <c r="AH35" s="190"/>
      <c r="AI35" s="190"/>
      <c r="AJ35" s="190"/>
      <c r="AK35" s="190"/>
      <c r="AL35" s="190"/>
      <c r="AM35" s="190"/>
      <c r="AN35" s="190"/>
      <c r="AO35" s="190"/>
      <c r="AP35" s="190"/>
      <c r="AQ35" s="190"/>
      <c r="AR35" s="190"/>
      <c r="AS35" s="190"/>
      <c r="AT35" s="94"/>
      <c r="AU35" s="94"/>
      <c r="AV35" s="94"/>
      <c r="AW35" s="94"/>
      <c r="AX35" s="94"/>
      <c r="AY35" s="94"/>
      <c r="AZ35" s="94"/>
      <c r="BA35" s="94"/>
      <c r="BB35" s="94"/>
      <c r="BC35" s="94"/>
      <c r="BD35" s="94"/>
      <c r="BE35" s="94"/>
      <c r="CH35" s="1020"/>
      <c r="CI35" s="1020"/>
      <c r="CJ35" s="1020"/>
      <c r="CK35" s="1020"/>
      <c r="CL35" s="1020"/>
      <c r="CM35" s="1020"/>
    </row>
    <row r="36" spans="1:91" ht="31.35" customHeight="1" x14ac:dyDescent="0.2">
      <c r="B36" s="324" t="s">
        <v>439</v>
      </c>
      <c r="C36" s="86"/>
      <c r="D36" s="86"/>
      <c r="E36" s="84"/>
      <c r="F36" s="84"/>
      <c r="G36" s="84"/>
      <c r="H36" s="84"/>
      <c r="I36" s="84"/>
      <c r="J36" s="84"/>
      <c r="K36" s="84"/>
      <c r="L36" s="84"/>
      <c r="M36" s="400"/>
      <c r="N36" s="190"/>
      <c r="O36" s="190"/>
      <c r="P36" s="190"/>
      <c r="Q36" s="190"/>
      <c r="R36" s="190"/>
      <c r="S36" s="190"/>
      <c r="T36" s="190"/>
      <c r="U36" s="190"/>
      <c r="V36" s="190"/>
      <c r="W36" s="255"/>
      <c r="X36" s="190"/>
      <c r="Y36" s="190"/>
      <c r="Z36" s="190"/>
      <c r="AA36" s="190"/>
      <c r="AB36" s="190"/>
      <c r="AC36" s="190"/>
      <c r="AD36" s="190"/>
      <c r="AE36" s="190"/>
      <c r="AF36" s="190"/>
      <c r="AG36" s="190"/>
      <c r="AH36" s="190"/>
      <c r="AI36" s="190"/>
      <c r="AJ36" s="190"/>
      <c r="AK36" s="190"/>
      <c r="AL36" s="190"/>
      <c r="AM36" s="190"/>
      <c r="AN36" s="190"/>
      <c r="AO36" s="190"/>
      <c r="AP36" s="190"/>
      <c r="AQ36" s="881"/>
      <c r="AR36" s="94"/>
      <c r="AS36" s="94"/>
      <c r="AT36" s="94"/>
      <c r="AU36" s="94"/>
      <c r="AV36" s="94"/>
      <c r="AW36" s="94"/>
      <c r="AX36" s="94"/>
      <c r="AY36" s="94"/>
      <c r="AZ36" s="94"/>
      <c r="BA36" s="94"/>
      <c r="BB36" s="94"/>
      <c r="BC36" s="94"/>
      <c r="BD36" s="94"/>
      <c r="BE36" s="94"/>
      <c r="CH36" s="1020"/>
      <c r="CI36" s="1020"/>
      <c r="CJ36" s="1020"/>
      <c r="CK36" s="1020"/>
      <c r="CL36" s="1020"/>
      <c r="CM36" s="1020"/>
    </row>
    <row r="37" spans="1:91" ht="16.350000000000001" customHeight="1" x14ac:dyDescent="0.2">
      <c r="B37" s="5134" t="s">
        <v>177</v>
      </c>
      <c r="C37" s="5112" t="s">
        <v>3</v>
      </c>
      <c r="D37" s="5112" t="s">
        <v>428</v>
      </c>
      <c r="E37" s="81"/>
      <c r="F37" s="81"/>
      <c r="G37" s="81"/>
      <c r="H37" s="81"/>
      <c r="I37" s="81"/>
      <c r="J37" s="81"/>
      <c r="K37" s="81"/>
      <c r="L37" s="81"/>
      <c r="M37" s="401"/>
      <c r="N37" s="402"/>
      <c r="O37" s="190"/>
      <c r="P37" s="190"/>
      <c r="Q37" s="190"/>
      <c r="R37" s="190"/>
      <c r="S37" s="190"/>
      <c r="T37" s="190"/>
      <c r="U37" s="190"/>
      <c r="V37" s="190"/>
      <c r="W37" s="255"/>
      <c r="X37" s="190"/>
      <c r="Y37" s="288"/>
      <c r="Z37" s="290"/>
      <c r="AA37" s="290"/>
      <c r="AB37" s="290"/>
      <c r="AC37" s="290"/>
      <c r="AD37" s="290"/>
      <c r="AE37" s="190"/>
      <c r="AF37" s="190"/>
      <c r="AG37" s="190"/>
      <c r="AH37" s="190"/>
      <c r="AI37" s="190"/>
      <c r="AJ37" s="190"/>
      <c r="AK37" s="190"/>
      <c r="AL37" s="190"/>
      <c r="AM37" s="190"/>
      <c r="AN37" s="190"/>
      <c r="AO37" s="190"/>
      <c r="AP37" s="190"/>
      <c r="AQ37" s="881"/>
      <c r="AR37" s="94"/>
      <c r="AS37" s="94"/>
      <c r="AT37" s="94"/>
      <c r="AU37" s="94"/>
      <c r="AV37" s="94"/>
      <c r="AW37" s="94"/>
      <c r="AX37" s="94"/>
      <c r="AY37" s="94"/>
      <c r="AZ37" s="94"/>
      <c r="BA37" s="94"/>
      <c r="BB37" s="94"/>
      <c r="BC37" s="94"/>
      <c r="BD37" s="94"/>
      <c r="BE37" s="94"/>
      <c r="CH37" s="1020"/>
      <c r="CI37" s="1020"/>
      <c r="CJ37" s="1020"/>
      <c r="CK37" s="1020"/>
      <c r="CL37" s="1020"/>
      <c r="CM37" s="1020"/>
    </row>
    <row r="38" spans="1:91" ht="16.350000000000001" customHeight="1" x14ac:dyDescent="0.2">
      <c r="B38" s="5136"/>
      <c r="C38" s="5114"/>
      <c r="D38" s="5114"/>
      <c r="E38" s="403"/>
      <c r="F38" s="81"/>
      <c r="G38" s="81"/>
      <c r="H38" s="81"/>
      <c r="I38" s="81"/>
      <c r="J38" s="81"/>
      <c r="K38" s="81"/>
      <c r="L38" s="81"/>
      <c r="M38" s="401"/>
      <c r="N38" s="402"/>
      <c r="O38" s="190"/>
      <c r="P38" s="190"/>
      <c r="Q38" s="190"/>
      <c r="R38" s="190"/>
      <c r="S38" s="190"/>
      <c r="T38" s="190"/>
      <c r="U38" s="190"/>
      <c r="V38" s="190"/>
      <c r="W38" s="255"/>
      <c r="X38" s="190"/>
      <c r="Y38" s="288"/>
      <c r="Z38" s="290"/>
      <c r="AA38" s="290"/>
      <c r="AB38" s="290"/>
      <c r="AC38" s="290"/>
      <c r="AD38" s="290"/>
      <c r="AE38" s="190"/>
      <c r="AF38" s="190"/>
      <c r="AG38" s="190"/>
      <c r="AH38" s="190"/>
      <c r="AI38" s="190"/>
      <c r="AJ38" s="190"/>
      <c r="AK38" s="190"/>
      <c r="AL38" s="190"/>
      <c r="AM38" s="190"/>
      <c r="AN38" s="190"/>
      <c r="AO38" s="190"/>
      <c r="AP38" s="190"/>
      <c r="AQ38" s="190"/>
      <c r="CH38" s="1020"/>
      <c r="CI38" s="1020"/>
      <c r="CJ38" s="1020"/>
      <c r="CK38" s="1020"/>
      <c r="CL38" s="1020"/>
      <c r="CM38" s="1020"/>
    </row>
    <row r="39" spans="1:91" ht="16.350000000000001" customHeight="1" x14ac:dyDescent="0.2">
      <c r="A39" s="2458" t="s">
        <v>3302</v>
      </c>
      <c r="B39" s="5102" t="s">
        <v>440</v>
      </c>
      <c r="C39" s="2866" t="s">
        <v>435</v>
      </c>
      <c r="D39" s="2471" t="s">
        <v>2777</v>
      </c>
      <c r="E39" s="403"/>
      <c r="F39" s="81"/>
      <c r="G39" s="81"/>
      <c r="H39" s="81"/>
      <c r="I39" s="190"/>
      <c r="J39" s="81"/>
      <c r="K39" s="81"/>
      <c r="L39" s="190"/>
      <c r="M39" s="401"/>
      <c r="N39" s="402"/>
      <c r="O39" s="190"/>
      <c r="P39" s="190"/>
      <c r="Q39" s="190"/>
      <c r="R39" s="190"/>
      <c r="S39" s="190"/>
      <c r="T39" s="190"/>
      <c r="U39" s="190"/>
      <c r="V39" s="190"/>
      <c r="W39" s="255"/>
      <c r="X39" s="190"/>
      <c r="Y39" s="288"/>
      <c r="Z39" s="290"/>
      <c r="AA39" s="290"/>
      <c r="AB39" s="290"/>
      <c r="AC39" s="290"/>
      <c r="AD39" s="290"/>
      <c r="AE39" s="190"/>
      <c r="AF39" s="190"/>
      <c r="AG39" s="190"/>
      <c r="AH39" s="190"/>
      <c r="AI39" s="190"/>
      <c r="AJ39" s="190"/>
      <c r="AK39" s="190"/>
      <c r="AL39" s="190"/>
      <c r="AM39" s="190"/>
      <c r="AN39" s="190"/>
      <c r="AO39" s="190"/>
      <c r="AP39" s="190"/>
      <c r="AQ39" s="190"/>
      <c r="CH39" s="1020"/>
      <c r="CI39" s="1020"/>
      <c r="CJ39" s="1020"/>
      <c r="CK39" s="1020"/>
      <c r="CL39" s="1020"/>
      <c r="CM39" s="1020"/>
    </row>
    <row r="40" spans="1:91" ht="16.350000000000001" customHeight="1" x14ac:dyDescent="0.2">
      <c r="A40" s="2458" t="s">
        <v>3303</v>
      </c>
      <c r="B40" s="5343"/>
      <c r="C40" s="2422" t="s">
        <v>441</v>
      </c>
      <c r="D40" s="164" t="s">
        <v>2777</v>
      </c>
      <c r="E40" s="403"/>
      <c r="F40" s="81"/>
      <c r="G40" s="81"/>
      <c r="H40" s="81"/>
      <c r="I40" s="81"/>
      <c r="J40" s="81"/>
      <c r="K40" s="81"/>
      <c r="L40" s="81"/>
      <c r="M40" s="401"/>
      <c r="N40" s="402"/>
      <c r="O40" s="190"/>
      <c r="P40" s="190"/>
      <c r="Q40" s="190"/>
      <c r="R40" s="190"/>
      <c r="S40" s="190"/>
      <c r="T40" s="190"/>
      <c r="U40" s="190"/>
      <c r="V40" s="190"/>
      <c r="W40" s="255"/>
      <c r="X40" s="190"/>
      <c r="Y40" s="288"/>
      <c r="Z40" s="290"/>
      <c r="AA40" s="290"/>
      <c r="AB40" s="290"/>
      <c r="AC40" s="290"/>
      <c r="AD40" s="290"/>
      <c r="AE40" s="190"/>
      <c r="AF40" s="190"/>
      <c r="AG40" s="190"/>
      <c r="AH40" s="190"/>
      <c r="AI40" s="190"/>
      <c r="AJ40" s="190"/>
      <c r="AK40" s="190"/>
      <c r="AL40" s="190"/>
      <c r="AM40" s="190"/>
      <c r="AN40" s="190"/>
      <c r="AO40" s="190"/>
      <c r="AP40" s="190"/>
      <c r="AQ40" s="190"/>
      <c r="CH40" s="1020"/>
      <c r="CI40" s="1020"/>
      <c r="CJ40" s="1020"/>
      <c r="CK40" s="1020"/>
      <c r="CL40" s="1020"/>
      <c r="CM40" s="1020"/>
    </row>
    <row r="41" spans="1:91" ht="16.350000000000001" customHeight="1" x14ac:dyDescent="0.2">
      <c r="A41" s="2458" t="s">
        <v>3304</v>
      </c>
      <c r="B41" s="5102" t="s">
        <v>442</v>
      </c>
      <c r="C41" s="2866" t="s">
        <v>435</v>
      </c>
      <c r="D41" s="2471" t="s">
        <v>2777</v>
      </c>
      <c r="E41" s="403"/>
      <c r="F41" s="81"/>
      <c r="G41" s="81"/>
      <c r="H41" s="81"/>
      <c r="I41" s="81"/>
      <c r="J41" s="81"/>
      <c r="K41" s="81"/>
      <c r="L41" s="81"/>
      <c r="M41" s="401"/>
      <c r="N41" s="402"/>
      <c r="O41" s="190"/>
      <c r="P41" s="190"/>
      <c r="Q41" s="190"/>
      <c r="R41" s="190"/>
      <c r="S41" s="190"/>
      <c r="T41" s="190"/>
      <c r="U41" s="190"/>
      <c r="V41" s="190"/>
      <c r="W41" s="255"/>
      <c r="X41" s="190"/>
      <c r="Y41" s="288"/>
      <c r="Z41" s="290"/>
      <c r="AA41" s="290"/>
      <c r="AB41" s="290"/>
      <c r="AC41" s="290"/>
      <c r="AD41" s="290"/>
      <c r="AE41" s="190"/>
      <c r="AF41" s="190"/>
      <c r="AG41" s="190"/>
      <c r="AH41" s="190"/>
      <c r="AI41" s="190"/>
      <c r="AJ41" s="190"/>
      <c r="AK41" s="190"/>
      <c r="AL41" s="190"/>
      <c r="AM41" s="190"/>
      <c r="AN41" s="190"/>
      <c r="AO41" s="190"/>
      <c r="AP41" s="190"/>
      <c r="AQ41" s="190"/>
      <c r="CH41" s="1020"/>
      <c r="CI41" s="1020"/>
      <c r="CJ41" s="1020"/>
      <c r="CK41" s="1020"/>
      <c r="CL41" s="1020"/>
      <c r="CM41" s="1020"/>
    </row>
    <row r="42" spans="1:91" ht="16.350000000000001" customHeight="1" x14ac:dyDescent="0.2">
      <c r="A42" s="2458" t="s">
        <v>3305</v>
      </c>
      <c r="B42" s="5343"/>
      <c r="C42" s="2423" t="s">
        <v>441</v>
      </c>
      <c r="D42" s="105" t="s">
        <v>2777</v>
      </c>
      <c r="E42" s="404"/>
      <c r="F42" s="81"/>
      <c r="G42" s="81"/>
      <c r="H42" s="81"/>
      <c r="I42" s="81"/>
      <c r="J42" s="81"/>
      <c r="K42" s="81"/>
      <c r="L42" s="81"/>
      <c r="M42" s="401"/>
      <c r="N42" s="402"/>
      <c r="O42" s="190"/>
      <c r="P42" s="190"/>
      <c r="Q42" s="190"/>
      <c r="R42" s="190"/>
      <c r="S42" s="190"/>
      <c r="T42" s="190"/>
      <c r="U42" s="190"/>
      <c r="V42" s="190"/>
      <c r="W42" s="255"/>
      <c r="X42" s="190"/>
      <c r="Y42" s="288"/>
      <c r="Z42" s="290"/>
      <c r="AA42" s="290"/>
      <c r="AB42" s="290"/>
      <c r="AC42" s="290"/>
      <c r="AD42" s="290"/>
      <c r="AE42" s="190"/>
      <c r="AF42" s="190"/>
      <c r="AG42" s="190"/>
      <c r="AH42" s="190"/>
      <c r="AI42" s="190"/>
      <c r="AJ42" s="190"/>
      <c r="AK42" s="190"/>
      <c r="AL42" s="190"/>
      <c r="AM42" s="190"/>
      <c r="AN42" s="190"/>
      <c r="AO42" s="190"/>
      <c r="AP42" s="190"/>
      <c r="AQ42" s="190"/>
      <c r="CH42" s="1020"/>
      <c r="CI42" s="1020"/>
      <c r="CJ42" s="1020"/>
      <c r="CK42" s="1020"/>
      <c r="CL42" s="1020"/>
      <c r="CM42" s="1020"/>
    </row>
    <row r="43" spans="1:91" ht="31.35" customHeight="1" x14ac:dyDescent="0.2">
      <c r="B43" s="308" t="s">
        <v>443</v>
      </c>
      <c r="C43" s="405"/>
      <c r="D43" s="405"/>
      <c r="E43" s="406"/>
      <c r="F43" s="406"/>
      <c r="G43" s="406"/>
      <c r="H43" s="406"/>
      <c r="I43" s="406"/>
      <c r="J43" s="406"/>
      <c r="K43" s="406"/>
      <c r="L43" s="406"/>
      <c r="M43" s="407"/>
      <c r="N43" s="408"/>
      <c r="O43" s="409"/>
      <c r="P43" s="390"/>
      <c r="Q43" s="390"/>
      <c r="R43" s="390"/>
      <c r="S43" s="390"/>
      <c r="T43" s="390"/>
      <c r="U43" s="390"/>
      <c r="V43" s="390"/>
      <c r="W43" s="410"/>
      <c r="X43" s="390"/>
      <c r="Y43" s="390"/>
      <c r="Z43" s="390"/>
      <c r="AA43" s="390"/>
      <c r="AB43" s="390"/>
      <c r="AC43" s="390"/>
      <c r="AD43" s="390"/>
      <c r="AE43" s="390"/>
      <c r="AF43" s="390"/>
      <c r="AG43" s="390"/>
      <c r="AH43" s="390"/>
      <c r="AI43" s="390"/>
      <c r="AJ43" s="390"/>
      <c r="AK43" s="390"/>
      <c r="AL43" s="390"/>
      <c r="AM43" s="390"/>
      <c r="AN43" s="390"/>
      <c r="AO43" s="298"/>
      <c r="AP43" s="922"/>
      <c r="AQ43" s="922"/>
      <c r="AR43" s="94"/>
      <c r="AS43" s="94"/>
      <c r="AT43" s="94"/>
      <c r="AU43" s="94"/>
      <c r="AV43" s="94"/>
      <c r="AW43" s="94"/>
      <c r="AX43" s="94"/>
      <c r="AY43" s="94"/>
      <c r="AZ43" s="94"/>
      <c r="BA43" s="94"/>
      <c r="BB43" s="94"/>
      <c r="BC43" s="94"/>
      <c r="CH43" s="1020"/>
      <c r="CI43" s="1020"/>
      <c r="CJ43" s="1020"/>
      <c r="CK43" s="1020"/>
      <c r="CL43" s="1020"/>
      <c r="CM43" s="1020"/>
    </row>
    <row r="44" spans="1:91" ht="16.350000000000001" customHeight="1" x14ac:dyDescent="0.2">
      <c r="B44" s="5746" t="s">
        <v>218</v>
      </c>
      <c r="C44" s="5747"/>
      <c r="D44" s="5752" t="s">
        <v>428</v>
      </c>
      <c r="E44" s="5753"/>
      <c r="F44" s="5706"/>
      <c r="G44" s="5107" t="s">
        <v>406</v>
      </c>
      <c r="H44" s="5117"/>
      <c r="I44" s="5117"/>
      <c r="J44" s="5117"/>
      <c r="K44" s="5117"/>
      <c r="L44" s="5117"/>
      <c r="M44" s="5117"/>
      <c r="N44" s="5117"/>
      <c r="O44" s="5117"/>
      <c r="P44" s="5117"/>
      <c r="Q44" s="5117"/>
      <c r="R44" s="5117"/>
      <c r="S44" s="5117"/>
      <c r="T44" s="5117"/>
      <c r="U44" s="5117"/>
      <c r="V44" s="5117"/>
      <c r="W44" s="5117"/>
      <c r="X44" s="5117"/>
      <c r="Y44" s="5117"/>
      <c r="Z44" s="5117"/>
      <c r="AA44" s="5117"/>
      <c r="AB44" s="5117"/>
      <c r="AC44" s="5117"/>
      <c r="AD44" s="5117"/>
      <c r="AE44" s="5117"/>
      <c r="AF44" s="5117"/>
      <c r="AG44" s="5117"/>
      <c r="AH44" s="5117"/>
      <c r="AI44" s="5117"/>
      <c r="AJ44" s="5117"/>
      <c r="AK44" s="5117"/>
      <c r="AL44" s="5117"/>
      <c r="AM44" s="5117"/>
      <c r="AN44" s="5108"/>
      <c r="AO44" s="5120" t="s">
        <v>1357</v>
      </c>
      <c r="AP44" s="891"/>
      <c r="AQ44" s="94"/>
      <c r="AR44" s="94"/>
      <c r="AS44" s="94"/>
      <c r="AT44" s="94"/>
      <c r="AU44" s="94"/>
      <c r="AV44" s="94"/>
      <c r="AW44" s="94"/>
      <c r="AX44" s="94"/>
      <c r="AY44" s="94"/>
      <c r="AZ44" s="94"/>
      <c r="BA44" s="94"/>
      <c r="BB44" s="94"/>
      <c r="BC44" s="94"/>
      <c r="CH44" s="1020"/>
      <c r="CI44" s="1020"/>
      <c r="CJ44" s="1020"/>
      <c r="CK44" s="1020"/>
      <c r="CL44" s="1020"/>
      <c r="CM44" s="1020"/>
    </row>
    <row r="45" spans="1:91" ht="16.350000000000001" customHeight="1" x14ac:dyDescent="0.2">
      <c r="B45" s="5748"/>
      <c r="C45" s="5749"/>
      <c r="D45" s="5754"/>
      <c r="E45" s="5755"/>
      <c r="F45" s="5708"/>
      <c r="G45" s="5107" t="s">
        <v>350</v>
      </c>
      <c r="H45" s="5108"/>
      <c r="I45" s="5117" t="s">
        <v>351</v>
      </c>
      <c r="J45" s="5108"/>
      <c r="K45" s="5758" t="s">
        <v>352</v>
      </c>
      <c r="L45" s="5760"/>
      <c r="M45" s="5107" t="s">
        <v>319</v>
      </c>
      <c r="N45" s="5108"/>
      <c r="O45" s="5107" t="s">
        <v>10</v>
      </c>
      <c r="P45" s="5108"/>
      <c r="Q45" s="5105" t="s">
        <v>11</v>
      </c>
      <c r="R45" s="5106"/>
      <c r="S45" s="5105" t="s">
        <v>12</v>
      </c>
      <c r="T45" s="5106"/>
      <c r="U45" s="5105" t="s">
        <v>13</v>
      </c>
      <c r="V45" s="5106"/>
      <c r="W45" s="5105" t="s">
        <v>14</v>
      </c>
      <c r="X45" s="5106"/>
      <c r="Y45" s="5105" t="s">
        <v>15</v>
      </c>
      <c r="Z45" s="5106"/>
      <c r="AA45" s="5105" t="s">
        <v>16</v>
      </c>
      <c r="AB45" s="5106"/>
      <c r="AC45" s="5105" t="s">
        <v>17</v>
      </c>
      <c r="AD45" s="5106"/>
      <c r="AE45" s="5105" t="s">
        <v>18</v>
      </c>
      <c r="AF45" s="5106"/>
      <c r="AG45" s="5105" t="s">
        <v>19</v>
      </c>
      <c r="AH45" s="5106"/>
      <c r="AI45" s="5105" t="s">
        <v>20</v>
      </c>
      <c r="AJ45" s="5106"/>
      <c r="AK45" s="5105" t="s">
        <v>21</v>
      </c>
      <c r="AL45" s="5106"/>
      <c r="AM45" s="5137" t="s">
        <v>22</v>
      </c>
      <c r="AN45" s="5106"/>
      <c r="AO45" s="5123"/>
      <c r="AP45" s="891"/>
      <c r="AQ45" s="94"/>
      <c r="AR45" s="94"/>
      <c r="AS45" s="94"/>
      <c r="AT45" s="94"/>
      <c r="AU45" s="94"/>
      <c r="AV45" s="94"/>
      <c r="AW45" s="94"/>
      <c r="AX45" s="94"/>
      <c r="AY45" s="94"/>
      <c r="AZ45" s="94"/>
      <c r="BA45" s="94"/>
      <c r="BB45" s="94"/>
      <c r="BC45" s="94"/>
      <c r="CH45" s="1020"/>
      <c r="CI45" s="1020"/>
      <c r="CJ45" s="1020"/>
      <c r="CK45" s="1020"/>
      <c r="CL45" s="1020"/>
      <c r="CM45" s="1020"/>
    </row>
    <row r="46" spans="1:91" ht="16.350000000000001" customHeight="1" x14ac:dyDescent="0.2">
      <c r="B46" s="5750"/>
      <c r="C46" s="5751"/>
      <c r="D46" s="662" t="s">
        <v>184</v>
      </c>
      <c r="E46" s="721" t="s">
        <v>24</v>
      </c>
      <c r="F46" s="976" t="s">
        <v>25</v>
      </c>
      <c r="G46" s="253" t="s">
        <v>24</v>
      </c>
      <c r="H46" s="131" t="s">
        <v>25</v>
      </c>
      <c r="I46" s="253" t="s">
        <v>24</v>
      </c>
      <c r="J46" s="131" t="s">
        <v>25</v>
      </c>
      <c r="K46" s="253" t="s">
        <v>24</v>
      </c>
      <c r="L46" s="131" t="s">
        <v>25</v>
      </c>
      <c r="M46" s="253" t="s">
        <v>24</v>
      </c>
      <c r="N46" s="131" t="s">
        <v>25</v>
      </c>
      <c r="O46" s="253" t="s">
        <v>24</v>
      </c>
      <c r="P46" s="131" t="s">
        <v>25</v>
      </c>
      <c r="Q46" s="253" t="s">
        <v>24</v>
      </c>
      <c r="R46" s="131" t="s">
        <v>25</v>
      </c>
      <c r="S46" s="253" t="s">
        <v>24</v>
      </c>
      <c r="T46" s="131" t="s">
        <v>25</v>
      </c>
      <c r="U46" s="253" t="s">
        <v>24</v>
      </c>
      <c r="V46" s="131" t="s">
        <v>25</v>
      </c>
      <c r="W46" s="253" t="s">
        <v>24</v>
      </c>
      <c r="X46" s="131" t="s">
        <v>25</v>
      </c>
      <c r="Y46" s="253" t="s">
        <v>24</v>
      </c>
      <c r="Z46" s="131" t="s">
        <v>25</v>
      </c>
      <c r="AA46" s="253" t="s">
        <v>24</v>
      </c>
      <c r="AB46" s="131" t="s">
        <v>25</v>
      </c>
      <c r="AC46" s="253" t="s">
        <v>24</v>
      </c>
      <c r="AD46" s="131" t="s">
        <v>25</v>
      </c>
      <c r="AE46" s="253" t="s">
        <v>24</v>
      </c>
      <c r="AF46" s="131" t="s">
        <v>25</v>
      </c>
      <c r="AG46" s="253" t="s">
        <v>24</v>
      </c>
      <c r="AH46" s="131" t="s">
        <v>25</v>
      </c>
      <c r="AI46" s="253" t="s">
        <v>24</v>
      </c>
      <c r="AJ46" s="131" t="s">
        <v>25</v>
      </c>
      <c r="AK46" s="253" t="s">
        <v>24</v>
      </c>
      <c r="AL46" s="131" t="s">
        <v>25</v>
      </c>
      <c r="AM46" s="133" t="s">
        <v>24</v>
      </c>
      <c r="AN46" s="131" t="s">
        <v>25</v>
      </c>
      <c r="AO46" s="5126"/>
      <c r="AP46" s="923"/>
      <c r="AQ46" s="94"/>
      <c r="AR46" s="94"/>
      <c r="AS46" s="94"/>
      <c r="AT46" s="94"/>
      <c r="AU46" s="94"/>
      <c r="AV46" s="94"/>
      <c r="AW46" s="94"/>
      <c r="AX46" s="94"/>
      <c r="AY46" s="94"/>
      <c r="AZ46" s="94"/>
      <c r="BA46" s="94"/>
      <c r="BB46" s="94"/>
      <c r="BC46" s="94"/>
      <c r="CH46" s="1020"/>
      <c r="CI46" s="1020"/>
      <c r="CJ46" s="1020"/>
      <c r="CK46" s="1020"/>
      <c r="CL46" s="1020"/>
      <c r="CM46" s="1020"/>
    </row>
    <row r="47" spans="1:91" ht="20.25" customHeight="1" x14ac:dyDescent="0.2">
      <c r="A47" s="2458" t="s">
        <v>3306</v>
      </c>
      <c r="B47" s="2871" t="s">
        <v>407</v>
      </c>
      <c r="C47" s="2872" t="s">
        <v>983</v>
      </c>
      <c r="D47" s="2758" t="s">
        <v>2777</v>
      </c>
      <c r="E47" s="2759" t="s">
        <v>2778</v>
      </c>
      <c r="F47" s="2879" t="s">
        <v>2779</v>
      </c>
      <c r="G47" s="2551" t="s">
        <v>2780</v>
      </c>
      <c r="H47" s="2552" t="s">
        <v>2781</v>
      </c>
      <c r="I47" s="2551" t="s">
        <v>2782</v>
      </c>
      <c r="J47" s="2552" t="s">
        <v>2783</v>
      </c>
      <c r="K47" s="2551" t="s">
        <v>2784</v>
      </c>
      <c r="L47" s="2552" t="s">
        <v>2785</v>
      </c>
      <c r="M47" s="2551" t="s">
        <v>2786</v>
      </c>
      <c r="N47" s="2552" t="s">
        <v>2787</v>
      </c>
      <c r="O47" s="2551" t="s">
        <v>2788</v>
      </c>
      <c r="P47" s="2552" t="s">
        <v>2789</v>
      </c>
      <c r="Q47" s="2554" t="s">
        <v>2790</v>
      </c>
      <c r="R47" s="2552" t="s">
        <v>2791</v>
      </c>
      <c r="S47" s="2554" t="s">
        <v>2792</v>
      </c>
      <c r="T47" s="2552" t="s">
        <v>2793</v>
      </c>
      <c r="U47" s="2554" t="s">
        <v>2794</v>
      </c>
      <c r="V47" s="2552" t="s">
        <v>2795</v>
      </c>
      <c r="W47" s="2554" t="s">
        <v>2796</v>
      </c>
      <c r="X47" s="2552" t="s">
        <v>2797</v>
      </c>
      <c r="Y47" s="2554" t="s">
        <v>2798</v>
      </c>
      <c r="Z47" s="2552" t="s">
        <v>2799</v>
      </c>
      <c r="AA47" s="2554" t="s">
        <v>2800</v>
      </c>
      <c r="AB47" s="2552" t="s">
        <v>2801</v>
      </c>
      <c r="AC47" s="2554" t="s">
        <v>2817</v>
      </c>
      <c r="AD47" s="2552" t="s">
        <v>2818</v>
      </c>
      <c r="AE47" s="2554" t="s">
        <v>2819</v>
      </c>
      <c r="AF47" s="2552" t="s">
        <v>2821</v>
      </c>
      <c r="AG47" s="2554" t="s">
        <v>2822</v>
      </c>
      <c r="AH47" s="2552" t="s">
        <v>2823</v>
      </c>
      <c r="AI47" s="2554" t="s">
        <v>2824</v>
      </c>
      <c r="AJ47" s="2552" t="s">
        <v>2825</v>
      </c>
      <c r="AK47" s="2554" t="s">
        <v>2826</v>
      </c>
      <c r="AL47" s="2552" t="s">
        <v>2827</v>
      </c>
      <c r="AM47" s="2873" t="s">
        <v>2831</v>
      </c>
      <c r="AN47" s="2552" t="s">
        <v>2832</v>
      </c>
      <c r="AO47" s="2874" t="s">
        <v>2833</v>
      </c>
      <c r="AP47" s="1165" t="str">
        <f>CB47&amp;CC47</f>
        <v xml:space="preserve">* El número de Beneficiarios NO DEBE ser mayor que el total. </v>
      </c>
      <c r="AQ47" s="1058"/>
      <c r="AR47" s="1058"/>
      <c r="AS47" s="1058"/>
      <c r="AT47" s="1058"/>
      <c r="AU47" s="1058"/>
      <c r="AV47" s="1058"/>
      <c r="AW47" s="1058"/>
      <c r="AX47" s="1058"/>
      <c r="AY47" s="1058"/>
      <c r="AZ47" s="1058"/>
      <c r="BA47" s="1058"/>
      <c r="BB47" s="94"/>
      <c r="BC47" s="94"/>
      <c r="CB47" s="1031" t="str">
        <f>IF(CH47=1,"* El número de Beneficiarios NO DEBE ser mayor que el total. ","")</f>
        <v xml:space="preserve">* El número de Beneficiarios NO DEBE ser mayor que el total. </v>
      </c>
      <c r="CC47" s="1164" t="str">
        <f>IF(CI47=1,"* No olvide digitar la columna Beneficiarios. ","")</f>
        <v/>
      </c>
      <c r="CD47" s="1031"/>
      <c r="CE47" s="1031"/>
      <c r="CF47" s="1031"/>
      <c r="CG47" s="1031"/>
      <c r="CH47" s="1163">
        <f>IF(D47&lt;AO47,1,0)</f>
        <v>1</v>
      </c>
      <c r="CI47" s="1163">
        <f>IF(AND(D47&lt;&gt;0,AO47=""),1,0)</f>
        <v>0</v>
      </c>
      <c r="CJ47" s="1020"/>
      <c r="CK47" s="1020"/>
      <c r="CL47" s="1020"/>
      <c r="CM47" s="1020"/>
    </row>
    <row r="48" spans="1:91" ht="20.25" customHeight="1" x14ac:dyDescent="0.2">
      <c r="A48" s="2458" t="s">
        <v>3307</v>
      </c>
      <c r="B48" s="2875" t="s">
        <v>408</v>
      </c>
      <c r="C48" s="2876" t="s">
        <v>983</v>
      </c>
      <c r="D48" s="2769" t="s">
        <v>2777</v>
      </c>
      <c r="E48" s="2770" t="s">
        <v>2778</v>
      </c>
      <c r="F48" s="2880" t="s">
        <v>2779</v>
      </c>
      <c r="G48" s="2717" t="s">
        <v>2780</v>
      </c>
      <c r="H48" s="2863" t="s">
        <v>2781</v>
      </c>
      <c r="I48" s="2717" t="s">
        <v>2782</v>
      </c>
      <c r="J48" s="2863" t="s">
        <v>2783</v>
      </c>
      <c r="K48" s="2717" t="s">
        <v>2784</v>
      </c>
      <c r="L48" s="2863" t="s">
        <v>2785</v>
      </c>
      <c r="M48" s="2717" t="s">
        <v>2786</v>
      </c>
      <c r="N48" s="2863" t="s">
        <v>2787</v>
      </c>
      <c r="O48" s="2717" t="s">
        <v>2788</v>
      </c>
      <c r="P48" s="2863" t="s">
        <v>2789</v>
      </c>
      <c r="Q48" s="2870" t="s">
        <v>2790</v>
      </c>
      <c r="R48" s="2863" t="s">
        <v>2791</v>
      </c>
      <c r="S48" s="2870" t="s">
        <v>2792</v>
      </c>
      <c r="T48" s="2863" t="s">
        <v>2793</v>
      </c>
      <c r="U48" s="2870" t="s">
        <v>2794</v>
      </c>
      <c r="V48" s="2863" t="s">
        <v>2795</v>
      </c>
      <c r="W48" s="2870" t="s">
        <v>2796</v>
      </c>
      <c r="X48" s="2863" t="s">
        <v>2797</v>
      </c>
      <c r="Y48" s="2870" t="s">
        <v>2798</v>
      </c>
      <c r="Z48" s="2863" t="s">
        <v>2799</v>
      </c>
      <c r="AA48" s="2870" t="s">
        <v>2800</v>
      </c>
      <c r="AB48" s="2863" t="s">
        <v>2801</v>
      </c>
      <c r="AC48" s="2870" t="s">
        <v>2817</v>
      </c>
      <c r="AD48" s="2863" t="s">
        <v>2818</v>
      </c>
      <c r="AE48" s="2870" t="s">
        <v>2819</v>
      </c>
      <c r="AF48" s="2863" t="s">
        <v>2821</v>
      </c>
      <c r="AG48" s="2870" t="s">
        <v>2822</v>
      </c>
      <c r="AH48" s="2863" t="s">
        <v>2823</v>
      </c>
      <c r="AI48" s="2870" t="s">
        <v>2824</v>
      </c>
      <c r="AJ48" s="2863" t="s">
        <v>2825</v>
      </c>
      <c r="AK48" s="2870" t="s">
        <v>2826</v>
      </c>
      <c r="AL48" s="2863" t="s">
        <v>2827</v>
      </c>
      <c r="AM48" s="2772" t="s">
        <v>2831</v>
      </c>
      <c r="AN48" s="2863" t="s">
        <v>2832</v>
      </c>
      <c r="AO48" s="2877" t="s">
        <v>2833</v>
      </c>
      <c r="AP48" s="1165" t="str">
        <f>CB48&amp;CC48</f>
        <v xml:space="preserve">* El número de Beneficiarios NO DEBE ser mayor que el total. </v>
      </c>
      <c r="AQ48" s="1058"/>
      <c r="AR48" s="1058"/>
      <c r="AS48" s="1058"/>
      <c r="AT48" s="1058"/>
      <c r="AU48" s="1058"/>
      <c r="AV48" s="1058"/>
      <c r="AW48" s="1058"/>
      <c r="AX48" s="1058"/>
      <c r="AY48" s="1058"/>
      <c r="AZ48" s="1058"/>
      <c r="BA48" s="1058"/>
      <c r="BB48" s="94"/>
      <c r="BC48" s="94"/>
      <c r="CB48" s="1031" t="str">
        <f>IF(CH48=1,"* El número de Beneficiarios NO DEBE ser mayor que el total. ","")</f>
        <v xml:space="preserve">* El número de Beneficiarios NO DEBE ser mayor que el total. </v>
      </c>
      <c r="CC48" s="1164" t="str">
        <f>IF(CI48=1,"* No olvide digitar la columna Beneficiarios. ","")</f>
        <v/>
      </c>
      <c r="CD48" s="1031"/>
      <c r="CE48" s="1031"/>
      <c r="CF48" s="1031"/>
      <c r="CG48" s="1031"/>
      <c r="CH48" s="1163">
        <f>IF(D48&lt;AO48,1,0)</f>
        <v>1</v>
      </c>
      <c r="CI48" s="1163">
        <f>IF(AND(D48&lt;&gt;0,AO48=""),1,0)</f>
        <v>0</v>
      </c>
      <c r="CJ48" s="1020"/>
      <c r="CK48" s="1020"/>
      <c r="CL48" s="1020"/>
      <c r="CM48" s="1020"/>
    </row>
    <row r="49" spans="1:91" ht="31.35" customHeight="1" x14ac:dyDescent="0.2">
      <c r="B49" s="5762" t="s">
        <v>444</v>
      </c>
      <c r="C49" s="5762"/>
      <c r="D49" s="5762"/>
      <c r="E49" s="5762"/>
      <c r="F49" s="5762"/>
      <c r="G49" s="5762"/>
      <c r="H49" s="5762"/>
      <c r="I49" s="5762"/>
      <c r="J49" s="5762"/>
      <c r="K49" s="5762"/>
      <c r="L49" s="5762"/>
      <c r="M49" s="5762"/>
      <c r="N49" s="5762"/>
      <c r="O49" s="413"/>
      <c r="P49" s="298"/>
      <c r="Q49" s="298"/>
      <c r="R49" s="298"/>
      <c r="S49" s="298"/>
      <c r="T49" s="298"/>
      <c r="U49" s="298"/>
      <c r="V49" s="298"/>
      <c r="W49" s="414"/>
      <c r="X49" s="298"/>
      <c r="Y49" s="298"/>
      <c r="Z49" s="298"/>
      <c r="AA49" s="298"/>
      <c r="AB49" s="298"/>
      <c r="AC49" s="298"/>
      <c r="AD49" s="298"/>
      <c r="AE49" s="298"/>
      <c r="AF49" s="298"/>
      <c r="AG49" s="298"/>
      <c r="AH49" s="298"/>
      <c r="AI49" s="298"/>
      <c r="AJ49" s="298"/>
      <c r="AK49" s="298"/>
      <c r="AL49" s="298"/>
      <c r="AM49" s="298"/>
      <c r="AN49" s="298"/>
      <c r="AO49" s="298"/>
      <c r="AP49" s="924"/>
      <c r="AQ49" s="922"/>
      <c r="AR49" s="94"/>
      <c r="AS49" s="94"/>
      <c r="AT49" s="94"/>
      <c r="AU49" s="94"/>
      <c r="AV49" s="94"/>
      <c r="AW49" s="94"/>
      <c r="AX49" s="94"/>
      <c r="AY49" s="94"/>
      <c r="AZ49" s="94"/>
      <c r="BA49" s="94"/>
      <c r="BB49" s="94"/>
      <c r="BC49" s="94"/>
      <c r="CH49" s="1020"/>
      <c r="CI49" s="1020"/>
      <c r="CJ49" s="1020"/>
      <c r="CK49" s="1020"/>
      <c r="CL49" s="1020"/>
      <c r="CM49" s="1020"/>
    </row>
    <row r="50" spans="1:91" ht="16.350000000000001" customHeight="1" x14ac:dyDescent="0.2">
      <c r="B50" s="5746" t="s">
        <v>177</v>
      </c>
      <c r="C50" s="5747"/>
      <c r="D50" s="5753" t="s">
        <v>428</v>
      </c>
      <c r="E50" s="5753"/>
      <c r="F50" s="5706"/>
      <c r="G50" s="5758" t="s">
        <v>406</v>
      </c>
      <c r="H50" s="5759"/>
      <c r="I50" s="5759"/>
      <c r="J50" s="5759"/>
      <c r="K50" s="5759"/>
      <c r="L50" s="5759"/>
      <c r="M50" s="5759"/>
      <c r="N50" s="5759"/>
      <c r="O50" s="5759"/>
      <c r="P50" s="5759"/>
      <c r="Q50" s="5759"/>
      <c r="R50" s="5759"/>
      <c r="S50" s="5759"/>
      <c r="T50" s="5759"/>
      <c r="U50" s="5759"/>
      <c r="V50" s="5759"/>
      <c r="W50" s="5759"/>
      <c r="X50" s="5759"/>
      <c r="Y50" s="5759"/>
      <c r="Z50" s="5759"/>
      <c r="AA50" s="5759"/>
      <c r="AB50" s="5759"/>
      <c r="AC50" s="5759"/>
      <c r="AD50" s="5759"/>
      <c r="AE50" s="5759"/>
      <c r="AF50" s="5759"/>
      <c r="AG50" s="5759"/>
      <c r="AH50" s="5759"/>
      <c r="AI50" s="5759"/>
      <c r="AJ50" s="5759"/>
      <c r="AK50" s="5759"/>
      <c r="AL50" s="5759"/>
      <c r="AM50" s="5759"/>
      <c r="AN50" s="5760"/>
      <c r="AO50" s="5120" t="s">
        <v>1357</v>
      </c>
      <c r="AP50" s="924"/>
      <c r="AQ50" s="925"/>
      <c r="AR50" s="94"/>
      <c r="AS50" s="94"/>
      <c r="AT50" s="94"/>
      <c r="AU50" s="94"/>
      <c r="AV50" s="94"/>
      <c r="AW50" s="94"/>
      <c r="AX50" s="94"/>
      <c r="AY50" s="94"/>
      <c r="AZ50" s="94"/>
      <c r="BA50" s="94"/>
      <c r="BB50" s="94"/>
      <c r="BC50" s="94"/>
      <c r="CH50" s="1020"/>
      <c r="CI50" s="1020"/>
      <c r="CJ50" s="1020"/>
      <c r="CK50" s="1020"/>
      <c r="CL50" s="1020"/>
      <c r="CM50" s="1020"/>
    </row>
    <row r="51" spans="1:91" ht="16.350000000000001" customHeight="1" x14ac:dyDescent="0.2">
      <c r="B51" s="5748"/>
      <c r="C51" s="5749"/>
      <c r="D51" s="5755"/>
      <c r="E51" s="5755"/>
      <c r="F51" s="5708"/>
      <c r="G51" s="5522" t="s">
        <v>350</v>
      </c>
      <c r="H51" s="5522"/>
      <c r="I51" s="5107" t="s">
        <v>351</v>
      </c>
      <c r="J51" s="5108"/>
      <c r="K51" s="5758" t="s">
        <v>352</v>
      </c>
      <c r="L51" s="5760"/>
      <c r="M51" s="5107" t="s">
        <v>319</v>
      </c>
      <c r="N51" s="5108"/>
      <c r="O51" s="5107" t="s">
        <v>10</v>
      </c>
      <c r="P51" s="5108"/>
      <c r="Q51" s="5105" t="s">
        <v>11</v>
      </c>
      <c r="R51" s="5106"/>
      <c r="S51" s="5105" t="s">
        <v>12</v>
      </c>
      <c r="T51" s="5106"/>
      <c r="U51" s="5105" t="s">
        <v>13</v>
      </c>
      <c r="V51" s="5106"/>
      <c r="W51" s="5105" t="s">
        <v>14</v>
      </c>
      <c r="X51" s="5106"/>
      <c r="Y51" s="5105" t="s">
        <v>15</v>
      </c>
      <c r="Z51" s="5106"/>
      <c r="AA51" s="5105" t="s">
        <v>16</v>
      </c>
      <c r="AB51" s="5106"/>
      <c r="AC51" s="5105" t="s">
        <v>17</v>
      </c>
      <c r="AD51" s="5106"/>
      <c r="AE51" s="5105" t="s">
        <v>18</v>
      </c>
      <c r="AF51" s="5106"/>
      <c r="AG51" s="5105" t="s">
        <v>19</v>
      </c>
      <c r="AH51" s="5106"/>
      <c r="AI51" s="5105" t="s">
        <v>20</v>
      </c>
      <c r="AJ51" s="5106"/>
      <c r="AK51" s="5105" t="s">
        <v>21</v>
      </c>
      <c r="AL51" s="5106"/>
      <c r="AM51" s="5105" t="s">
        <v>22</v>
      </c>
      <c r="AN51" s="5106"/>
      <c r="AO51" s="5123"/>
      <c r="AP51" s="924"/>
      <c r="AQ51" s="925"/>
      <c r="AR51" s="94"/>
      <c r="AS51" s="94"/>
      <c r="AT51" s="94"/>
      <c r="AU51" s="94"/>
      <c r="AV51" s="94"/>
      <c r="AW51" s="94"/>
      <c r="AX51" s="94"/>
      <c r="AY51" s="94"/>
      <c r="AZ51" s="94"/>
      <c r="BA51" s="94"/>
      <c r="BB51" s="94"/>
      <c r="BC51" s="94"/>
      <c r="CH51" s="1020"/>
      <c r="CI51" s="1020"/>
      <c r="CJ51" s="1020"/>
      <c r="CK51" s="1020"/>
      <c r="CL51" s="1020"/>
      <c r="CM51" s="1020"/>
    </row>
    <row r="52" spans="1:91" ht="16.350000000000001" customHeight="1" x14ac:dyDescent="0.2">
      <c r="B52" s="5750"/>
      <c r="C52" s="5751"/>
      <c r="D52" s="663" t="s">
        <v>184</v>
      </c>
      <c r="E52" s="722" t="s">
        <v>24</v>
      </c>
      <c r="F52" s="975" t="s">
        <v>25</v>
      </c>
      <c r="G52" s="341" t="s">
        <v>24</v>
      </c>
      <c r="H52" s="237" t="s">
        <v>25</v>
      </c>
      <c r="I52" s="341" t="s">
        <v>24</v>
      </c>
      <c r="J52" s="237" t="s">
        <v>25</v>
      </c>
      <c r="K52" s="341" t="s">
        <v>24</v>
      </c>
      <c r="L52" s="237" t="s">
        <v>25</v>
      </c>
      <c r="M52" s="341" t="s">
        <v>24</v>
      </c>
      <c r="N52" s="237" t="s">
        <v>25</v>
      </c>
      <c r="O52" s="341" t="s">
        <v>24</v>
      </c>
      <c r="P52" s="237" t="s">
        <v>25</v>
      </c>
      <c r="Q52" s="341" t="s">
        <v>24</v>
      </c>
      <c r="R52" s="237" t="s">
        <v>25</v>
      </c>
      <c r="S52" s="341" t="s">
        <v>24</v>
      </c>
      <c r="T52" s="237" t="s">
        <v>25</v>
      </c>
      <c r="U52" s="341" t="s">
        <v>24</v>
      </c>
      <c r="V52" s="237" t="s">
        <v>25</v>
      </c>
      <c r="W52" s="341" t="s">
        <v>24</v>
      </c>
      <c r="X52" s="237" t="s">
        <v>25</v>
      </c>
      <c r="Y52" s="341" t="s">
        <v>24</v>
      </c>
      <c r="Z52" s="237" t="s">
        <v>25</v>
      </c>
      <c r="AA52" s="341" t="s">
        <v>24</v>
      </c>
      <c r="AB52" s="237" t="s">
        <v>25</v>
      </c>
      <c r="AC52" s="341" t="s">
        <v>24</v>
      </c>
      <c r="AD52" s="237" t="s">
        <v>25</v>
      </c>
      <c r="AE52" s="341" t="s">
        <v>24</v>
      </c>
      <c r="AF52" s="237" t="s">
        <v>25</v>
      </c>
      <c r="AG52" s="341" t="s">
        <v>24</v>
      </c>
      <c r="AH52" s="237" t="s">
        <v>25</v>
      </c>
      <c r="AI52" s="341" t="s">
        <v>24</v>
      </c>
      <c r="AJ52" s="237" t="s">
        <v>25</v>
      </c>
      <c r="AK52" s="341" t="s">
        <v>24</v>
      </c>
      <c r="AL52" s="237" t="s">
        <v>25</v>
      </c>
      <c r="AM52" s="974" t="s">
        <v>24</v>
      </c>
      <c r="AN52" s="971" t="s">
        <v>25</v>
      </c>
      <c r="AO52" s="5126"/>
      <c r="AP52" s="924"/>
      <c r="AQ52" s="925"/>
      <c r="AR52" s="94"/>
      <c r="AS52" s="94"/>
      <c r="AT52" s="94"/>
      <c r="AU52" s="94"/>
      <c r="AV52" s="94"/>
      <c r="AW52" s="94"/>
      <c r="AX52" s="94"/>
      <c r="AY52" s="94"/>
      <c r="AZ52" s="94"/>
      <c r="BA52" s="94"/>
      <c r="BB52" s="94"/>
      <c r="BC52" s="94"/>
      <c r="CH52" s="1020"/>
      <c r="CI52" s="1020"/>
      <c r="CJ52" s="1020"/>
      <c r="CK52" s="1020"/>
      <c r="CL52" s="1020"/>
      <c r="CM52" s="1020"/>
    </row>
    <row r="53" spans="1:91" ht="16.350000000000001" customHeight="1" x14ac:dyDescent="0.2">
      <c r="A53" s="2458" t="s">
        <v>3308</v>
      </c>
      <c r="B53" s="5757" t="s">
        <v>445</v>
      </c>
      <c r="C53" s="2881" t="s">
        <v>29</v>
      </c>
      <c r="D53" s="2883" t="s">
        <v>2777</v>
      </c>
      <c r="E53" s="2884" t="s">
        <v>2778</v>
      </c>
      <c r="F53" s="2585" t="s">
        <v>2779</v>
      </c>
      <c r="G53" s="2452" t="s">
        <v>2780</v>
      </c>
      <c r="H53" s="2457" t="s">
        <v>2781</v>
      </c>
      <c r="I53" s="2483" t="s">
        <v>2782</v>
      </c>
      <c r="J53" s="2499" t="s">
        <v>2783</v>
      </c>
      <c r="K53" s="2483" t="s">
        <v>2784</v>
      </c>
      <c r="L53" s="2480" t="s">
        <v>2785</v>
      </c>
      <c r="M53" s="2483" t="s">
        <v>2786</v>
      </c>
      <c r="N53" s="2480" t="s">
        <v>2787</v>
      </c>
      <c r="O53" s="2483" t="s">
        <v>2788</v>
      </c>
      <c r="P53" s="2480" t="s">
        <v>2789</v>
      </c>
      <c r="Q53" s="2560" t="s">
        <v>2790</v>
      </c>
      <c r="R53" s="2480" t="s">
        <v>2791</v>
      </c>
      <c r="S53" s="2560" t="s">
        <v>2792</v>
      </c>
      <c r="T53" s="2480" t="s">
        <v>2793</v>
      </c>
      <c r="U53" s="2560" t="s">
        <v>2794</v>
      </c>
      <c r="V53" s="2480" t="s">
        <v>2795</v>
      </c>
      <c r="W53" s="2560" t="s">
        <v>2796</v>
      </c>
      <c r="X53" s="2480" t="s">
        <v>2797</v>
      </c>
      <c r="Y53" s="2560" t="s">
        <v>2798</v>
      </c>
      <c r="Z53" s="2480" t="s">
        <v>2799</v>
      </c>
      <c r="AA53" s="2560" t="s">
        <v>2800</v>
      </c>
      <c r="AB53" s="2480" t="s">
        <v>2801</v>
      </c>
      <c r="AC53" s="2560" t="s">
        <v>2817</v>
      </c>
      <c r="AD53" s="2480" t="s">
        <v>2818</v>
      </c>
      <c r="AE53" s="2560" t="s">
        <v>2819</v>
      </c>
      <c r="AF53" s="2480" t="s">
        <v>2821</v>
      </c>
      <c r="AG53" s="2560" t="s">
        <v>2822</v>
      </c>
      <c r="AH53" s="2480" t="s">
        <v>2823</v>
      </c>
      <c r="AI53" s="2560" t="s">
        <v>2824</v>
      </c>
      <c r="AJ53" s="2480" t="s">
        <v>2825</v>
      </c>
      <c r="AK53" s="2560" t="s">
        <v>2826</v>
      </c>
      <c r="AL53" s="2480" t="s">
        <v>2827</v>
      </c>
      <c r="AM53" s="2560" t="s">
        <v>2831</v>
      </c>
      <c r="AN53" s="2480" t="s">
        <v>2832</v>
      </c>
      <c r="AO53" s="2628" t="s">
        <v>2833</v>
      </c>
      <c r="AP53" s="1165" t="str">
        <f t="shared" ref="AP53:AP74" si="16">CB53&amp;CC53</f>
        <v xml:space="preserve">* El número de Beneficiarios NO DEBE ser mayor que el total. </v>
      </c>
      <c r="AQ53" s="1058"/>
      <c r="AR53" s="1058"/>
      <c r="AS53" s="1058"/>
      <c r="AT53" s="1058"/>
      <c r="AU53" s="1058"/>
      <c r="AV53" s="1058"/>
      <c r="AW53" s="1058"/>
      <c r="AX53" s="1058"/>
      <c r="AY53" s="1058"/>
      <c r="AZ53" s="1058"/>
      <c r="BA53" s="1058"/>
      <c r="BB53" s="94"/>
      <c r="BC53" s="94"/>
      <c r="CB53" s="1031" t="str">
        <f>IF(CH53=1,"* El número de Beneficiarios NO DEBE ser mayor que el total. ","")</f>
        <v xml:space="preserve">* El número de Beneficiarios NO DEBE ser mayor que el total. </v>
      </c>
      <c r="CC53" s="1164" t="str">
        <f>IF(CI53=1,"* No olvide digitar la columna Beneficiarios. ","")</f>
        <v/>
      </c>
      <c r="CH53" s="1163">
        <f>IF(D53&lt;AO53,1,0)</f>
        <v>1</v>
      </c>
      <c r="CI53" s="1163">
        <f>IF(AND(D53&lt;&gt;0,AO53=""),1,0)</f>
        <v>0</v>
      </c>
      <c r="CJ53" s="1020"/>
      <c r="CK53" s="1020"/>
      <c r="CL53" s="1020"/>
      <c r="CM53" s="1020"/>
    </row>
    <row r="54" spans="1:91" ht="16.350000000000001" customHeight="1" x14ac:dyDescent="0.2">
      <c r="A54" s="2458" t="s">
        <v>3309</v>
      </c>
      <c r="B54" s="5622"/>
      <c r="C54" s="2435" t="s">
        <v>435</v>
      </c>
      <c r="D54" s="2885" t="s">
        <v>2777</v>
      </c>
      <c r="E54" s="2886" t="s">
        <v>2778</v>
      </c>
      <c r="F54" s="2428" t="s">
        <v>2779</v>
      </c>
      <c r="G54" s="173" t="s">
        <v>2780</v>
      </c>
      <c r="H54" s="174" t="s">
        <v>2781</v>
      </c>
      <c r="I54" s="141" t="s">
        <v>2782</v>
      </c>
      <c r="J54" s="198" t="s">
        <v>2783</v>
      </c>
      <c r="K54" s="141" t="s">
        <v>2784</v>
      </c>
      <c r="L54" s="163" t="s">
        <v>2785</v>
      </c>
      <c r="M54" s="141" t="s">
        <v>2786</v>
      </c>
      <c r="N54" s="163" t="s">
        <v>2787</v>
      </c>
      <c r="O54" s="141" t="s">
        <v>2788</v>
      </c>
      <c r="P54" s="163" t="s">
        <v>2789</v>
      </c>
      <c r="Q54" s="224" t="s">
        <v>2790</v>
      </c>
      <c r="R54" s="163" t="s">
        <v>2791</v>
      </c>
      <c r="S54" s="224" t="s">
        <v>2792</v>
      </c>
      <c r="T54" s="163" t="s">
        <v>2793</v>
      </c>
      <c r="U54" s="224" t="s">
        <v>2794</v>
      </c>
      <c r="V54" s="163" t="s">
        <v>2795</v>
      </c>
      <c r="W54" s="224" t="s">
        <v>2796</v>
      </c>
      <c r="X54" s="163" t="s">
        <v>2797</v>
      </c>
      <c r="Y54" s="224" t="s">
        <v>2798</v>
      </c>
      <c r="Z54" s="163" t="s">
        <v>2799</v>
      </c>
      <c r="AA54" s="224" t="s">
        <v>2800</v>
      </c>
      <c r="AB54" s="163" t="s">
        <v>2801</v>
      </c>
      <c r="AC54" s="224" t="s">
        <v>2817</v>
      </c>
      <c r="AD54" s="163" t="s">
        <v>2818</v>
      </c>
      <c r="AE54" s="224" t="s">
        <v>2819</v>
      </c>
      <c r="AF54" s="163" t="s">
        <v>2821</v>
      </c>
      <c r="AG54" s="224" t="s">
        <v>2822</v>
      </c>
      <c r="AH54" s="163" t="s">
        <v>2823</v>
      </c>
      <c r="AI54" s="224" t="s">
        <v>2824</v>
      </c>
      <c r="AJ54" s="163" t="s">
        <v>2825</v>
      </c>
      <c r="AK54" s="224" t="s">
        <v>2826</v>
      </c>
      <c r="AL54" s="163" t="s">
        <v>2827</v>
      </c>
      <c r="AM54" s="224" t="s">
        <v>2831</v>
      </c>
      <c r="AN54" s="163" t="s">
        <v>2832</v>
      </c>
      <c r="AO54" s="285" t="s">
        <v>2833</v>
      </c>
      <c r="AP54" s="1165" t="str">
        <f t="shared" si="16"/>
        <v xml:space="preserve">* El número de Beneficiarios NO DEBE ser mayor que el total. </v>
      </c>
      <c r="AQ54" s="1058"/>
      <c r="AR54" s="1058"/>
      <c r="AS54" s="1058"/>
      <c r="AT54" s="1058"/>
      <c r="AU54" s="1058"/>
      <c r="AV54" s="1058"/>
      <c r="AW54" s="1058"/>
      <c r="AX54" s="1058"/>
      <c r="AY54" s="1058"/>
      <c r="AZ54" s="1058"/>
      <c r="BA54" s="1058"/>
      <c r="BB54" s="94"/>
      <c r="BC54" s="94"/>
      <c r="CB54" s="1031" t="str">
        <f t="shared" ref="CB54:CB74" si="17">IF(CH54=1,"* El número de Beneficiarios NO DEBE ser mayor que el total. ","")</f>
        <v xml:space="preserve">* El número de Beneficiarios NO DEBE ser mayor que el total. </v>
      </c>
      <c r="CC54" s="1164" t="str">
        <f t="shared" ref="CC54:CC74" si="18">IF(CI54=1,"* No olvide digitar la columna Beneficiarios. ","")</f>
        <v/>
      </c>
      <c r="CH54" s="1163">
        <f t="shared" ref="CH54:CH74" si="19">IF(D54&lt;AO54,1,0)</f>
        <v>1</v>
      </c>
      <c r="CI54" s="1163">
        <f t="shared" ref="CI54:CI74" si="20">IF(AND(D54&lt;&gt;0,AO54=""),1,0)</f>
        <v>0</v>
      </c>
      <c r="CJ54" s="1020"/>
      <c r="CK54" s="1020"/>
      <c r="CL54" s="1020"/>
      <c r="CM54" s="1020"/>
    </row>
    <row r="55" spans="1:91" ht="16.350000000000001" customHeight="1" x14ac:dyDescent="0.2">
      <c r="A55" s="2458" t="s">
        <v>3310</v>
      </c>
      <c r="B55" s="5622"/>
      <c r="C55" s="2435" t="s">
        <v>280</v>
      </c>
      <c r="D55" s="2885" t="s">
        <v>2777</v>
      </c>
      <c r="E55" s="2886" t="s">
        <v>2778</v>
      </c>
      <c r="F55" s="2428" t="s">
        <v>2779</v>
      </c>
      <c r="G55" s="173" t="s">
        <v>2780</v>
      </c>
      <c r="H55" s="174" t="s">
        <v>2781</v>
      </c>
      <c r="I55" s="141" t="s">
        <v>2782</v>
      </c>
      <c r="J55" s="198" t="s">
        <v>2783</v>
      </c>
      <c r="K55" s="141" t="s">
        <v>2784</v>
      </c>
      <c r="L55" s="163" t="s">
        <v>2785</v>
      </c>
      <c r="M55" s="141" t="s">
        <v>2786</v>
      </c>
      <c r="N55" s="163" t="s">
        <v>2787</v>
      </c>
      <c r="O55" s="141" t="s">
        <v>2788</v>
      </c>
      <c r="P55" s="163" t="s">
        <v>2789</v>
      </c>
      <c r="Q55" s="224" t="s">
        <v>2790</v>
      </c>
      <c r="R55" s="163" t="s">
        <v>2791</v>
      </c>
      <c r="S55" s="224" t="s">
        <v>2792</v>
      </c>
      <c r="T55" s="163" t="s">
        <v>2793</v>
      </c>
      <c r="U55" s="224" t="s">
        <v>2794</v>
      </c>
      <c r="V55" s="163" t="s">
        <v>2795</v>
      </c>
      <c r="W55" s="224" t="s">
        <v>2796</v>
      </c>
      <c r="X55" s="163" t="s">
        <v>2797</v>
      </c>
      <c r="Y55" s="224" t="s">
        <v>2798</v>
      </c>
      <c r="Z55" s="163" t="s">
        <v>2799</v>
      </c>
      <c r="AA55" s="224" t="s">
        <v>2800</v>
      </c>
      <c r="AB55" s="163" t="s">
        <v>2801</v>
      </c>
      <c r="AC55" s="224" t="s">
        <v>2817</v>
      </c>
      <c r="AD55" s="163" t="s">
        <v>2818</v>
      </c>
      <c r="AE55" s="224" t="s">
        <v>2819</v>
      </c>
      <c r="AF55" s="163" t="s">
        <v>2821</v>
      </c>
      <c r="AG55" s="224" t="s">
        <v>2822</v>
      </c>
      <c r="AH55" s="163" t="s">
        <v>2823</v>
      </c>
      <c r="AI55" s="224" t="s">
        <v>2824</v>
      </c>
      <c r="AJ55" s="163" t="s">
        <v>2825</v>
      </c>
      <c r="AK55" s="224" t="s">
        <v>2826</v>
      </c>
      <c r="AL55" s="163" t="s">
        <v>2827</v>
      </c>
      <c r="AM55" s="224" t="s">
        <v>2831</v>
      </c>
      <c r="AN55" s="163" t="s">
        <v>2832</v>
      </c>
      <c r="AO55" s="285" t="s">
        <v>2833</v>
      </c>
      <c r="AP55" s="1165" t="str">
        <f t="shared" si="16"/>
        <v xml:space="preserve">* El número de Beneficiarios NO DEBE ser mayor que el total. </v>
      </c>
      <c r="AQ55" s="1058"/>
      <c r="AR55" s="1058"/>
      <c r="AS55" s="1058"/>
      <c r="AT55" s="1058"/>
      <c r="AU55" s="1058"/>
      <c r="AV55" s="1058"/>
      <c r="AW55" s="1058"/>
      <c r="AX55" s="1058"/>
      <c r="AY55" s="1058"/>
      <c r="AZ55" s="1058"/>
      <c r="BA55" s="1058"/>
      <c r="BB55" s="94"/>
      <c r="BC55" s="94"/>
      <c r="CB55" s="1031" t="str">
        <f t="shared" si="17"/>
        <v xml:space="preserve">* El número de Beneficiarios NO DEBE ser mayor que el total. </v>
      </c>
      <c r="CC55" s="1164" t="str">
        <f t="shared" si="18"/>
        <v/>
      </c>
      <c r="CH55" s="1163">
        <f t="shared" si="19"/>
        <v>1</v>
      </c>
      <c r="CI55" s="1163">
        <f t="shared" si="20"/>
        <v>0</v>
      </c>
      <c r="CJ55" s="1020"/>
      <c r="CK55" s="1020"/>
      <c r="CL55" s="1020"/>
      <c r="CM55" s="1020"/>
    </row>
    <row r="56" spans="1:91" ht="16.350000000000001" customHeight="1" x14ac:dyDescent="0.2">
      <c r="A56" s="2458" t="s">
        <v>3311</v>
      </c>
      <c r="B56" s="5622"/>
      <c r="C56" s="2435" t="s">
        <v>438</v>
      </c>
      <c r="D56" s="2885" t="s">
        <v>2777</v>
      </c>
      <c r="E56" s="2886" t="s">
        <v>2778</v>
      </c>
      <c r="F56" s="2428" t="s">
        <v>2779</v>
      </c>
      <c r="G56" s="173" t="s">
        <v>2780</v>
      </c>
      <c r="H56" s="174" t="s">
        <v>2781</v>
      </c>
      <c r="I56" s="141" t="s">
        <v>2782</v>
      </c>
      <c r="J56" s="198" t="s">
        <v>2783</v>
      </c>
      <c r="K56" s="141" t="s">
        <v>2784</v>
      </c>
      <c r="L56" s="163" t="s">
        <v>2785</v>
      </c>
      <c r="M56" s="141" t="s">
        <v>2786</v>
      </c>
      <c r="N56" s="163" t="s">
        <v>2787</v>
      </c>
      <c r="O56" s="141" t="s">
        <v>2788</v>
      </c>
      <c r="P56" s="163" t="s">
        <v>2789</v>
      </c>
      <c r="Q56" s="224" t="s">
        <v>2790</v>
      </c>
      <c r="R56" s="163" t="s">
        <v>2791</v>
      </c>
      <c r="S56" s="224" t="s">
        <v>2792</v>
      </c>
      <c r="T56" s="163" t="s">
        <v>2793</v>
      </c>
      <c r="U56" s="224" t="s">
        <v>2794</v>
      </c>
      <c r="V56" s="163" t="s">
        <v>2795</v>
      </c>
      <c r="W56" s="224" t="s">
        <v>2796</v>
      </c>
      <c r="X56" s="163" t="s">
        <v>2797</v>
      </c>
      <c r="Y56" s="224" t="s">
        <v>2798</v>
      </c>
      <c r="Z56" s="163" t="s">
        <v>2799</v>
      </c>
      <c r="AA56" s="224" t="s">
        <v>2800</v>
      </c>
      <c r="AB56" s="163" t="s">
        <v>2801</v>
      </c>
      <c r="AC56" s="224" t="s">
        <v>2817</v>
      </c>
      <c r="AD56" s="163" t="s">
        <v>2818</v>
      </c>
      <c r="AE56" s="224" t="s">
        <v>2819</v>
      </c>
      <c r="AF56" s="163" t="s">
        <v>2821</v>
      </c>
      <c r="AG56" s="224" t="s">
        <v>2822</v>
      </c>
      <c r="AH56" s="163" t="s">
        <v>2823</v>
      </c>
      <c r="AI56" s="224" t="s">
        <v>2824</v>
      </c>
      <c r="AJ56" s="163" t="s">
        <v>2825</v>
      </c>
      <c r="AK56" s="224" t="s">
        <v>2826</v>
      </c>
      <c r="AL56" s="163" t="s">
        <v>2827</v>
      </c>
      <c r="AM56" s="224" t="s">
        <v>2831</v>
      </c>
      <c r="AN56" s="163" t="s">
        <v>2832</v>
      </c>
      <c r="AO56" s="285" t="s">
        <v>2833</v>
      </c>
      <c r="AP56" s="1165" t="str">
        <f t="shared" si="16"/>
        <v xml:space="preserve">* El número de Beneficiarios NO DEBE ser mayor que el total. </v>
      </c>
      <c r="AQ56" s="1058"/>
      <c r="AR56" s="1058"/>
      <c r="AS56" s="1058"/>
      <c r="AT56" s="1058"/>
      <c r="AU56" s="1058"/>
      <c r="AV56" s="1058"/>
      <c r="AW56" s="1058"/>
      <c r="AX56" s="1058"/>
      <c r="AY56" s="1058"/>
      <c r="AZ56" s="1058"/>
      <c r="BA56" s="1058"/>
      <c r="BB56" s="94"/>
      <c r="BC56" s="94"/>
      <c r="CB56" s="1031" t="str">
        <f t="shared" si="17"/>
        <v xml:space="preserve">* El número de Beneficiarios NO DEBE ser mayor que el total. </v>
      </c>
      <c r="CC56" s="1164" t="str">
        <f t="shared" si="18"/>
        <v/>
      </c>
      <c r="CH56" s="1163">
        <f t="shared" si="19"/>
        <v>1</v>
      </c>
      <c r="CI56" s="1163">
        <f t="shared" si="20"/>
        <v>0</v>
      </c>
      <c r="CJ56" s="1020"/>
      <c r="CK56" s="1020"/>
      <c r="CL56" s="1020"/>
      <c r="CM56" s="1020"/>
    </row>
    <row r="57" spans="1:91" ht="16.350000000000001" customHeight="1" x14ac:dyDescent="0.2">
      <c r="A57" s="2458" t="s">
        <v>3312</v>
      </c>
      <c r="B57" s="5622"/>
      <c r="C57" s="2435" t="s">
        <v>283</v>
      </c>
      <c r="D57" s="2885" t="s">
        <v>2777</v>
      </c>
      <c r="E57" s="2886" t="s">
        <v>2778</v>
      </c>
      <c r="F57" s="2428" t="s">
        <v>2779</v>
      </c>
      <c r="G57" s="173" t="s">
        <v>2780</v>
      </c>
      <c r="H57" s="174" t="s">
        <v>2781</v>
      </c>
      <c r="I57" s="141" t="s">
        <v>2782</v>
      </c>
      <c r="J57" s="198" t="s">
        <v>2783</v>
      </c>
      <c r="K57" s="141" t="s">
        <v>2784</v>
      </c>
      <c r="L57" s="163" t="s">
        <v>2785</v>
      </c>
      <c r="M57" s="141" t="s">
        <v>2786</v>
      </c>
      <c r="N57" s="163" t="s">
        <v>2787</v>
      </c>
      <c r="O57" s="141" t="s">
        <v>2788</v>
      </c>
      <c r="P57" s="163" t="s">
        <v>2789</v>
      </c>
      <c r="Q57" s="224" t="s">
        <v>2790</v>
      </c>
      <c r="R57" s="163" t="s">
        <v>2791</v>
      </c>
      <c r="S57" s="224" t="s">
        <v>2792</v>
      </c>
      <c r="T57" s="163" t="s">
        <v>2793</v>
      </c>
      <c r="U57" s="224" t="s">
        <v>2794</v>
      </c>
      <c r="V57" s="163" t="s">
        <v>2795</v>
      </c>
      <c r="W57" s="224" t="s">
        <v>2796</v>
      </c>
      <c r="X57" s="163" t="s">
        <v>2797</v>
      </c>
      <c r="Y57" s="224" t="s">
        <v>2798</v>
      </c>
      <c r="Z57" s="163" t="s">
        <v>2799</v>
      </c>
      <c r="AA57" s="224" t="s">
        <v>2800</v>
      </c>
      <c r="AB57" s="163" t="s">
        <v>2801</v>
      </c>
      <c r="AC57" s="224" t="s">
        <v>2817</v>
      </c>
      <c r="AD57" s="163" t="s">
        <v>2818</v>
      </c>
      <c r="AE57" s="224" t="s">
        <v>2819</v>
      </c>
      <c r="AF57" s="163" t="s">
        <v>2821</v>
      </c>
      <c r="AG57" s="224" t="s">
        <v>2822</v>
      </c>
      <c r="AH57" s="163" t="s">
        <v>2823</v>
      </c>
      <c r="AI57" s="224" t="s">
        <v>2824</v>
      </c>
      <c r="AJ57" s="163" t="s">
        <v>2825</v>
      </c>
      <c r="AK57" s="224" t="s">
        <v>2826</v>
      </c>
      <c r="AL57" s="163" t="s">
        <v>2827</v>
      </c>
      <c r="AM57" s="224" t="s">
        <v>2831</v>
      </c>
      <c r="AN57" s="163" t="s">
        <v>2832</v>
      </c>
      <c r="AO57" s="285" t="s">
        <v>2833</v>
      </c>
      <c r="AP57" s="1165" t="str">
        <f t="shared" si="16"/>
        <v xml:space="preserve">* El número de Beneficiarios NO DEBE ser mayor que el total. </v>
      </c>
      <c r="AQ57" s="1058"/>
      <c r="AR57" s="1058"/>
      <c r="AS57" s="1058"/>
      <c r="AT57" s="1058"/>
      <c r="AU57" s="1058"/>
      <c r="AV57" s="1058"/>
      <c r="AW57" s="1058"/>
      <c r="AX57" s="1058"/>
      <c r="AY57" s="1058"/>
      <c r="AZ57" s="1058"/>
      <c r="BA57" s="1058"/>
      <c r="BB57" s="94"/>
      <c r="BC57" s="94"/>
      <c r="CB57" s="1031" t="str">
        <f t="shared" si="17"/>
        <v xml:space="preserve">* El número de Beneficiarios NO DEBE ser mayor que el total. </v>
      </c>
      <c r="CC57" s="1164" t="str">
        <f t="shared" si="18"/>
        <v/>
      </c>
      <c r="CH57" s="1163">
        <f t="shared" si="19"/>
        <v>1</v>
      </c>
      <c r="CI57" s="1163">
        <f t="shared" si="20"/>
        <v>0</v>
      </c>
      <c r="CJ57" s="1020"/>
      <c r="CK57" s="1020"/>
      <c r="CL57" s="1020"/>
      <c r="CM57" s="1020"/>
    </row>
    <row r="58" spans="1:91" ht="16.350000000000001" customHeight="1" x14ac:dyDescent="0.2">
      <c r="A58" s="2458" t="s">
        <v>3313</v>
      </c>
      <c r="B58" s="5623"/>
      <c r="C58" s="2436" t="s">
        <v>285</v>
      </c>
      <c r="D58" s="2887" t="s">
        <v>2777</v>
      </c>
      <c r="E58" s="2888" t="s">
        <v>2778</v>
      </c>
      <c r="F58" s="2427" t="s">
        <v>2779</v>
      </c>
      <c r="G58" s="101" t="s">
        <v>2780</v>
      </c>
      <c r="H58" s="169" t="s">
        <v>2781</v>
      </c>
      <c r="I58" s="166" t="s">
        <v>2782</v>
      </c>
      <c r="J58" s="168" t="s">
        <v>2783</v>
      </c>
      <c r="K58" s="166" t="s">
        <v>2784</v>
      </c>
      <c r="L58" s="125" t="s">
        <v>2785</v>
      </c>
      <c r="M58" s="166" t="s">
        <v>2786</v>
      </c>
      <c r="N58" s="125" t="s">
        <v>2787</v>
      </c>
      <c r="O58" s="166" t="s">
        <v>2788</v>
      </c>
      <c r="P58" s="125" t="s">
        <v>2789</v>
      </c>
      <c r="Q58" s="227" t="s">
        <v>2790</v>
      </c>
      <c r="R58" s="125" t="s">
        <v>2791</v>
      </c>
      <c r="S58" s="227" t="s">
        <v>2792</v>
      </c>
      <c r="T58" s="125" t="s">
        <v>2793</v>
      </c>
      <c r="U58" s="227" t="s">
        <v>2794</v>
      </c>
      <c r="V58" s="125" t="s">
        <v>2795</v>
      </c>
      <c r="W58" s="227" t="s">
        <v>2796</v>
      </c>
      <c r="X58" s="125" t="s">
        <v>2797</v>
      </c>
      <c r="Y58" s="227" t="s">
        <v>2798</v>
      </c>
      <c r="Z58" s="125" t="s">
        <v>2799</v>
      </c>
      <c r="AA58" s="227" t="s">
        <v>2800</v>
      </c>
      <c r="AB58" s="125" t="s">
        <v>2801</v>
      </c>
      <c r="AC58" s="227" t="s">
        <v>2817</v>
      </c>
      <c r="AD58" s="125" t="s">
        <v>2818</v>
      </c>
      <c r="AE58" s="227" t="s">
        <v>2819</v>
      </c>
      <c r="AF58" s="125" t="s">
        <v>2821</v>
      </c>
      <c r="AG58" s="227" t="s">
        <v>2822</v>
      </c>
      <c r="AH58" s="125" t="s">
        <v>2823</v>
      </c>
      <c r="AI58" s="227" t="s">
        <v>2824</v>
      </c>
      <c r="AJ58" s="125" t="s">
        <v>2825</v>
      </c>
      <c r="AK58" s="227" t="s">
        <v>2826</v>
      </c>
      <c r="AL58" s="125" t="s">
        <v>2827</v>
      </c>
      <c r="AM58" s="227" t="s">
        <v>2831</v>
      </c>
      <c r="AN58" s="125" t="s">
        <v>2832</v>
      </c>
      <c r="AO58" s="287" t="s">
        <v>2833</v>
      </c>
      <c r="AP58" s="1165" t="str">
        <f t="shared" si="16"/>
        <v xml:space="preserve">* El número de Beneficiarios NO DEBE ser mayor que el total. </v>
      </c>
      <c r="AQ58" s="1058"/>
      <c r="AR58" s="1058"/>
      <c r="AS58" s="1058"/>
      <c r="AT58" s="1058"/>
      <c r="AU58" s="1058"/>
      <c r="AV58" s="1058"/>
      <c r="AW58" s="1058"/>
      <c r="AX58" s="1058"/>
      <c r="AY58" s="1058"/>
      <c r="AZ58" s="1058"/>
      <c r="BA58" s="1058"/>
      <c r="BB58" s="94"/>
      <c r="BC58" s="94"/>
      <c r="CB58" s="1031" t="str">
        <f t="shared" si="17"/>
        <v xml:space="preserve">* El número de Beneficiarios NO DEBE ser mayor que el total. </v>
      </c>
      <c r="CC58" s="1164" t="str">
        <f t="shared" si="18"/>
        <v/>
      </c>
      <c r="CH58" s="1163">
        <f t="shared" si="19"/>
        <v>1</v>
      </c>
      <c r="CI58" s="1163">
        <f t="shared" si="20"/>
        <v>0</v>
      </c>
      <c r="CJ58" s="1020"/>
      <c r="CK58" s="1020"/>
      <c r="CL58" s="1020"/>
      <c r="CM58" s="1020"/>
    </row>
    <row r="59" spans="1:91" ht="16.350000000000001" customHeight="1" x14ac:dyDescent="0.2">
      <c r="A59" s="2458" t="s">
        <v>3314</v>
      </c>
      <c r="B59" s="5757" t="s">
        <v>446</v>
      </c>
      <c r="C59" s="2881" t="s">
        <v>280</v>
      </c>
      <c r="D59" s="2883" t="s">
        <v>2777</v>
      </c>
      <c r="E59" s="2884" t="s">
        <v>2778</v>
      </c>
      <c r="F59" s="2585" t="s">
        <v>2779</v>
      </c>
      <c r="G59" s="2452" t="s">
        <v>2780</v>
      </c>
      <c r="H59" s="2457" t="s">
        <v>2781</v>
      </c>
      <c r="I59" s="2452" t="s">
        <v>2782</v>
      </c>
      <c r="J59" s="2457" t="s">
        <v>2783</v>
      </c>
      <c r="K59" s="2483" t="s">
        <v>2784</v>
      </c>
      <c r="L59" s="2480" t="s">
        <v>2785</v>
      </c>
      <c r="M59" s="2483" t="s">
        <v>2786</v>
      </c>
      <c r="N59" s="2480" t="s">
        <v>2787</v>
      </c>
      <c r="O59" s="2483" t="s">
        <v>2788</v>
      </c>
      <c r="P59" s="2480" t="s">
        <v>2789</v>
      </c>
      <c r="Q59" s="2882" t="s">
        <v>2790</v>
      </c>
      <c r="R59" s="2454" t="s">
        <v>2791</v>
      </c>
      <c r="S59" s="2882" t="s">
        <v>2792</v>
      </c>
      <c r="T59" s="2454" t="s">
        <v>2793</v>
      </c>
      <c r="U59" s="2882" t="s">
        <v>2794</v>
      </c>
      <c r="V59" s="2454" t="s">
        <v>2795</v>
      </c>
      <c r="W59" s="2882" t="s">
        <v>2796</v>
      </c>
      <c r="X59" s="2454" t="s">
        <v>2797</v>
      </c>
      <c r="Y59" s="2882" t="s">
        <v>2798</v>
      </c>
      <c r="Z59" s="2454" t="s">
        <v>2799</v>
      </c>
      <c r="AA59" s="2882" t="s">
        <v>2800</v>
      </c>
      <c r="AB59" s="2454" t="s">
        <v>2801</v>
      </c>
      <c r="AC59" s="2882" t="s">
        <v>2817</v>
      </c>
      <c r="AD59" s="2454" t="s">
        <v>2818</v>
      </c>
      <c r="AE59" s="2882" t="s">
        <v>2819</v>
      </c>
      <c r="AF59" s="2454" t="s">
        <v>2821</v>
      </c>
      <c r="AG59" s="2882" t="s">
        <v>2822</v>
      </c>
      <c r="AH59" s="2454" t="s">
        <v>2823</v>
      </c>
      <c r="AI59" s="2882" t="s">
        <v>2824</v>
      </c>
      <c r="AJ59" s="2454" t="s">
        <v>2825</v>
      </c>
      <c r="AK59" s="2452" t="s">
        <v>2826</v>
      </c>
      <c r="AL59" s="2454" t="s">
        <v>2827</v>
      </c>
      <c r="AM59" s="2882" t="s">
        <v>2831</v>
      </c>
      <c r="AN59" s="2454" t="s">
        <v>2832</v>
      </c>
      <c r="AO59" s="2628" t="s">
        <v>2833</v>
      </c>
      <c r="AP59" s="1165" t="str">
        <f t="shared" si="16"/>
        <v xml:space="preserve">* El número de Beneficiarios NO DEBE ser mayor que el total. </v>
      </c>
      <c r="AQ59" s="1058"/>
      <c r="AR59" s="1058"/>
      <c r="AS59" s="1058"/>
      <c r="AT59" s="1058"/>
      <c r="AU59" s="1058"/>
      <c r="AV59" s="1058"/>
      <c r="AW59" s="1058"/>
      <c r="AX59" s="1058"/>
      <c r="AY59" s="1058"/>
      <c r="AZ59" s="1058"/>
      <c r="BA59" s="1058"/>
      <c r="BB59" s="94"/>
      <c r="BC59" s="94"/>
      <c r="CB59" s="1031" t="str">
        <f t="shared" si="17"/>
        <v xml:space="preserve">* El número de Beneficiarios NO DEBE ser mayor que el total. </v>
      </c>
      <c r="CC59" s="1164" t="str">
        <f t="shared" si="18"/>
        <v/>
      </c>
      <c r="CH59" s="1163">
        <f t="shared" si="19"/>
        <v>1</v>
      </c>
      <c r="CI59" s="1163">
        <f t="shared" si="20"/>
        <v>0</v>
      </c>
      <c r="CJ59" s="1020"/>
      <c r="CK59" s="1020"/>
      <c r="CL59" s="1020"/>
      <c r="CM59" s="1020"/>
    </row>
    <row r="60" spans="1:91" ht="16.350000000000001" customHeight="1" x14ac:dyDescent="0.2">
      <c r="A60" s="2458" t="s">
        <v>3315</v>
      </c>
      <c r="B60" s="5623"/>
      <c r="C60" s="2436" t="s">
        <v>283</v>
      </c>
      <c r="D60" s="2887" t="s">
        <v>2777</v>
      </c>
      <c r="E60" s="2888" t="s">
        <v>2778</v>
      </c>
      <c r="F60" s="2427" t="s">
        <v>2779</v>
      </c>
      <c r="G60" s="101" t="s">
        <v>2780</v>
      </c>
      <c r="H60" s="169" t="s">
        <v>2781</v>
      </c>
      <c r="I60" s="101" t="s">
        <v>2782</v>
      </c>
      <c r="J60" s="169" t="s">
        <v>2783</v>
      </c>
      <c r="K60" s="166" t="s">
        <v>2784</v>
      </c>
      <c r="L60" s="125" t="s">
        <v>2785</v>
      </c>
      <c r="M60" s="166" t="s">
        <v>2786</v>
      </c>
      <c r="N60" s="125" t="s">
        <v>2787</v>
      </c>
      <c r="O60" s="166" t="s">
        <v>2788</v>
      </c>
      <c r="P60" s="125" t="s">
        <v>2789</v>
      </c>
      <c r="Q60" s="176" t="s">
        <v>2790</v>
      </c>
      <c r="R60" s="104" t="s">
        <v>2791</v>
      </c>
      <c r="S60" s="176" t="s">
        <v>2792</v>
      </c>
      <c r="T60" s="104" t="s">
        <v>2793</v>
      </c>
      <c r="U60" s="176" t="s">
        <v>2794</v>
      </c>
      <c r="V60" s="104" t="s">
        <v>2795</v>
      </c>
      <c r="W60" s="176" t="s">
        <v>2796</v>
      </c>
      <c r="X60" s="104" t="s">
        <v>2797</v>
      </c>
      <c r="Y60" s="176" t="s">
        <v>2798</v>
      </c>
      <c r="Z60" s="104" t="s">
        <v>2799</v>
      </c>
      <c r="AA60" s="176" t="s">
        <v>2800</v>
      </c>
      <c r="AB60" s="104" t="s">
        <v>2801</v>
      </c>
      <c r="AC60" s="176" t="s">
        <v>2817</v>
      </c>
      <c r="AD60" s="104" t="s">
        <v>2818</v>
      </c>
      <c r="AE60" s="176" t="s">
        <v>2819</v>
      </c>
      <c r="AF60" s="104" t="s">
        <v>2821</v>
      </c>
      <c r="AG60" s="176" t="s">
        <v>2822</v>
      </c>
      <c r="AH60" s="104" t="s">
        <v>2823</v>
      </c>
      <c r="AI60" s="176" t="s">
        <v>2824</v>
      </c>
      <c r="AJ60" s="104" t="s">
        <v>2825</v>
      </c>
      <c r="AK60" s="101" t="s">
        <v>2826</v>
      </c>
      <c r="AL60" s="104" t="s">
        <v>2827</v>
      </c>
      <c r="AM60" s="176" t="s">
        <v>2831</v>
      </c>
      <c r="AN60" s="104" t="s">
        <v>2832</v>
      </c>
      <c r="AO60" s="287" t="s">
        <v>2833</v>
      </c>
      <c r="AP60" s="1165" t="str">
        <f t="shared" si="16"/>
        <v xml:space="preserve">* El número de Beneficiarios NO DEBE ser mayor que el total. </v>
      </c>
      <c r="AQ60" s="1058"/>
      <c r="AR60" s="1058"/>
      <c r="AS60" s="1058"/>
      <c r="AT60" s="1058"/>
      <c r="AU60" s="1058"/>
      <c r="AV60" s="1058"/>
      <c r="AW60" s="1058"/>
      <c r="AX60" s="1058"/>
      <c r="AY60" s="1058"/>
      <c r="AZ60" s="1058"/>
      <c r="BA60" s="1058"/>
      <c r="BB60" s="94"/>
      <c r="BC60" s="94"/>
      <c r="CB60" s="1031" t="str">
        <f t="shared" si="17"/>
        <v xml:space="preserve">* El número de Beneficiarios NO DEBE ser mayor que el total. </v>
      </c>
      <c r="CC60" s="1164" t="str">
        <f t="shared" si="18"/>
        <v/>
      </c>
      <c r="CH60" s="1163">
        <f t="shared" si="19"/>
        <v>1</v>
      </c>
      <c r="CI60" s="1163">
        <f t="shared" si="20"/>
        <v>0</v>
      </c>
      <c r="CJ60" s="1020"/>
      <c r="CK60" s="1020"/>
      <c r="CL60" s="1020"/>
      <c r="CM60" s="1020"/>
    </row>
    <row r="61" spans="1:91" ht="16.350000000000001" customHeight="1" x14ac:dyDescent="0.2">
      <c r="A61" s="2458" t="s">
        <v>3316</v>
      </c>
      <c r="B61" s="5757" t="s">
        <v>447</v>
      </c>
      <c r="C61" s="2881" t="s">
        <v>29</v>
      </c>
      <c r="D61" s="2883" t="s">
        <v>2777</v>
      </c>
      <c r="E61" s="2884" t="s">
        <v>2778</v>
      </c>
      <c r="F61" s="2585" t="s">
        <v>2779</v>
      </c>
      <c r="G61" s="2452" t="s">
        <v>2780</v>
      </c>
      <c r="H61" s="2457" t="s">
        <v>2781</v>
      </c>
      <c r="I61" s="2452" t="s">
        <v>2782</v>
      </c>
      <c r="J61" s="2457" t="s">
        <v>2783</v>
      </c>
      <c r="K61" s="2483" t="s">
        <v>2784</v>
      </c>
      <c r="L61" s="2480" t="s">
        <v>2785</v>
      </c>
      <c r="M61" s="2483" t="s">
        <v>2786</v>
      </c>
      <c r="N61" s="2480" t="s">
        <v>2787</v>
      </c>
      <c r="O61" s="2483" t="s">
        <v>2788</v>
      </c>
      <c r="P61" s="2480" t="s">
        <v>2789</v>
      </c>
      <c r="Q61" s="2882" t="s">
        <v>2790</v>
      </c>
      <c r="R61" s="2454" t="s">
        <v>2791</v>
      </c>
      <c r="S61" s="2882" t="s">
        <v>2792</v>
      </c>
      <c r="T61" s="2454" t="s">
        <v>2793</v>
      </c>
      <c r="U61" s="2882" t="s">
        <v>2794</v>
      </c>
      <c r="V61" s="2454" t="s">
        <v>2795</v>
      </c>
      <c r="W61" s="2882" t="s">
        <v>2796</v>
      </c>
      <c r="X61" s="2454" t="s">
        <v>2797</v>
      </c>
      <c r="Y61" s="2882" t="s">
        <v>2798</v>
      </c>
      <c r="Z61" s="2454" t="s">
        <v>2799</v>
      </c>
      <c r="AA61" s="2882" t="s">
        <v>2800</v>
      </c>
      <c r="AB61" s="2454" t="s">
        <v>2801</v>
      </c>
      <c r="AC61" s="2882" t="s">
        <v>2817</v>
      </c>
      <c r="AD61" s="2454" t="s">
        <v>2818</v>
      </c>
      <c r="AE61" s="2882" t="s">
        <v>2819</v>
      </c>
      <c r="AF61" s="2454" t="s">
        <v>2821</v>
      </c>
      <c r="AG61" s="2882" t="s">
        <v>2822</v>
      </c>
      <c r="AH61" s="2454" t="s">
        <v>2823</v>
      </c>
      <c r="AI61" s="2882" t="s">
        <v>2824</v>
      </c>
      <c r="AJ61" s="2454" t="s">
        <v>2825</v>
      </c>
      <c r="AK61" s="2452" t="s">
        <v>2826</v>
      </c>
      <c r="AL61" s="2454" t="s">
        <v>2827</v>
      </c>
      <c r="AM61" s="2882" t="s">
        <v>2831</v>
      </c>
      <c r="AN61" s="2454" t="s">
        <v>2832</v>
      </c>
      <c r="AO61" s="2628" t="s">
        <v>2833</v>
      </c>
      <c r="AP61" s="1165" t="str">
        <f t="shared" si="16"/>
        <v xml:space="preserve">* El número de Beneficiarios NO DEBE ser mayor que el total. </v>
      </c>
      <c r="AQ61" s="1058"/>
      <c r="AR61" s="1058"/>
      <c r="AS61" s="1058"/>
      <c r="AT61" s="1058"/>
      <c r="AU61" s="1058"/>
      <c r="AV61" s="1058"/>
      <c r="AW61" s="1058"/>
      <c r="AX61" s="1058"/>
      <c r="AY61" s="1058"/>
      <c r="AZ61" s="1058"/>
      <c r="BA61" s="1058"/>
      <c r="BB61" s="94"/>
      <c r="BC61" s="94"/>
      <c r="CB61" s="1031" t="str">
        <f t="shared" si="17"/>
        <v xml:space="preserve">* El número de Beneficiarios NO DEBE ser mayor que el total. </v>
      </c>
      <c r="CC61" s="1164" t="str">
        <f t="shared" si="18"/>
        <v/>
      </c>
      <c r="CH61" s="1163">
        <f t="shared" si="19"/>
        <v>1</v>
      </c>
      <c r="CI61" s="1163">
        <f t="shared" si="20"/>
        <v>0</v>
      </c>
      <c r="CJ61" s="1020"/>
      <c r="CK61" s="1020"/>
      <c r="CL61" s="1020"/>
      <c r="CM61" s="1020"/>
    </row>
    <row r="62" spans="1:91" ht="16.350000000000001" customHeight="1" x14ac:dyDescent="0.2">
      <c r="A62" s="2458" t="s">
        <v>3317</v>
      </c>
      <c r="B62" s="5622"/>
      <c r="C62" s="2435" t="s">
        <v>435</v>
      </c>
      <c r="D62" s="2885" t="s">
        <v>2777</v>
      </c>
      <c r="E62" s="2886" t="s">
        <v>2778</v>
      </c>
      <c r="F62" s="2428" t="s">
        <v>2779</v>
      </c>
      <c r="G62" s="173" t="s">
        <v>2780</v>
      </c>
      <c r="H62" s="174" t="s">
        <v>2781</v>
      </c>
      <c r="I62" s="173" t="s">
        <v>2782</v>
      </c>
      <c r="J62" s="174" t="s">
        <v>2783</v>
      </c>
      <c r="K62" s="141" t="s">
        <v>2784</v>
      </c>
      <c r="L62" s="163" t="s">
        <v>2785</v>
      </c>
      <c r="M62" s="141" t="s">
        <v>2786</v>
      </c>
      <c r="N62" s="163" t="s">
        <v>2787</v>
      </c>
      <c r="O62" s="141" t="s">
        <v>2788</v>
      </c>
      <c r="P62" s="163" t="s">
        <v>2789</v>
      </c>
      <c r="Q62" s="175" t="s">
        <v>2790</v>
      </c>
      <c r="R62" s="162" t="s">
        <v>2791</v>
      </c>
      <c r="S62" s="175" t="s">
        <v>2792</v>
      </c>
      <c r="T62" s="162" t="s">
        <v>2793</v>
      </c>
      <c r="U62" s="175" t="s">
        <v>2794</v>
      </c>
      <c r="V62" s="162" t="s">
        <v>2795</v>
      </c>
      <c r="W62" s="175" t="s">
        <v>2796</v>
      </c>
      <c r="X62" s="162" t="s">
        <v>2797</v>
      </c>
      <c r="Y62" s="175" t="s">
        <v>2798</v>
      </c>
      <c r="Z62" s="162" t="s">
        <v>2799</v>
      </c>
      <c r="AA62" s="175" t="s">
        <v>2800</v>
      </c>
      <c r="AB62" s="162" t="s">
        <v>2801</v>
      </c>
      <c r="AC62" s="175" t="s">
        <v>2817</v>
      </c>
      <c r="AD62" s="162" t="s">
        <v>2818</v>
      </c>
      <c r="AE62" s="175" t="s">
        <v>2819</v>
      </c>
      <c r="AF62" s="162" t="s">
        <v>2821</v>
      </c>
      <c r="AG62" s="175" t="s">
        <v>2822</v>
      </c>
      <c r="AH62" s="162" t="s">
        <v>2823</v>
      </c>
      <c r="AI62" s="175" t="s">
        <v>2824</v>
      </c>
      <c r="AJ62" s="162" t="s">
        <v>2825</v>
      </c>
      <c r="AK62" s="173" t="s">
        <v>2826</v>
      </c>
      <c r="AL62" s="162" t="s">
        <v>2827</v>
      </c>
      <c r="AM62" s="175" t="s">
        <v>2831</v>
      </c>
      <c r="AN62" s="162" t="s">
        <v>2832</v>
      </c>
      <c r="AO62" s="285" t="s">
        <v>2833</v>
      </c>
      <c r="AP62" s="1165" t="str">
        <f t="shared" si="16"/>
        <v xml:space="preserve">* El número de Beneficiarios NO DEBE ser mayor que el total. </v>
      </c>
      <c r="AQ62" s="1058"/>
      <c r="AR62" s="1058"/>
      <c r="AS62" s="1058"/>
      <c r="AT62" s="1058"/>
      <c r="AU62" s="1058"/>
      <c r="AV62" s="1058"/>
      <c r="AW62" s="1058"/>
      <c r="AX62" s="1058"/>
      <c r="AY62" s="1058"/>
      <c r="AZ62" s="1058"/>
      <c r="BA62" s="1058"/>
      <c r="BB62" s="94"/>
      <c r="BC62" s="94"/>
      <c r="CB62" s="1031" t="str">
        <f t="shared" si="17"/>
        <v xml:space="preserve">* El número de Beneficiarios NO DEBE ser mayor que el total. </v>
      </c>
      <c r="CC62" s="1164" t="str">
        <f t="shared" si="18"/>
        <v/>
      </c>
      <c r="CH62" s="1163">
        <f t="shared" si="19"/>
        <v>1</v>
      </c>
      <c r="CI62" s="1163">
        <f t="shared" si="20"/>
        <v>0</v>
      </c>
      <c r="CJ62" s="1020"/>
      <c r="CK62" s="1020"/>
      <c r="CL62" s="1020"/>
      <c r="CM62" s="1020"/>
    </row>
    <row r="63" spans="1:91" ht="16.350000000000001" customHeight="1" x14ac:dyDescent="0.2">
      <c r="A63" s="2458" t="s">
        <v>3318</v>
      </c>
      <c r="B63" s="5622"/>
      <c r="C63" s="2435" t="s">
        <v>280</v>
      </c>
      <c r="D63" s="2885" t="s">
        <v>2777</v>
      </c>
      <c r="E63" s="2886" t="s">
        <v>2778</v>
      </c>
      <c r="F63" s="2428" t="s">
        <v>2779</v>
      </c>
      <c r="G63" s="173" t="s">
        <v>2780</v>
      </c>
      <c r="H63" s="174" t="s">
        <v>2781</v>
      </c>
      <c r="I63" s="173" t="s">
        <v>2782</v>
      </c>
      <c r="J63" s="174" t="s">
        <v>2783</v>
      </c>
      <c r="K63" s="141" t="s">
        <v>2784</v>
      </c>
      <c r="L63" s="163" t="s">
        <v>2785</v>
      </c>
      <c r="M63" s="141" t="s">
        <v>2786</v>
      </c>
      <c r="N63" s="163" t="s">
        <v>2787</v>
      </c>
      <c r="O63" s="141" t="s">
        <v>2788</v>
      </c>
      <c r="P63" s="163" t="s">
        <v>2789</v>
      </c>
      <c r="Q63" s="175" t="s">
        <v>2790</v>
      </c>
      <c r="R63" s="162" t="s">
        <v>2791</v>
      </c>
      <c r="S63" s="175" t="s">
        <v>2792</v>
      </c>
      <c r="T63" s="162" t="s">
        <v>2793</v>
      </c>
      <c r="U63" s="175" t="s">
        <v>2794</v>
      </c>
      <c r="V63" s="162" t="s">
        <v>2795</v>
      </c>
      <c r="W63" s="175" t="s">
        <v>2796</v>
      </c>
      <c r="X63" s="162" t="s">
        <v>2797</v>
      </c>
      <c r="Y63" s="175" t="s">
        <v>2798</v>
      </c>
      <c r="Z63" s="162" t="s">
        <v>2799</v>
      </c>
      <c r="AA63" s="175" t="s">
        <v>2800</v>
      </c>
      <c r="AB63" s="162" t="s">
        <v>2801</v>
      </c>
      <c r="AC63" s="175" t="s">
        <v>2817</v>
      </c>
      <c r="AD63" s="162" t="s">
        <v>2818</v>
      </c>
      <c r="AE63" s="175" t="s">
        <v>2819</v>
      </c>
      <c r="AF63" s="162" t="s">
        <v>2821</v>
      </c>
      <c r="AG63" s="175" t="s">
        <v>2822</v>
      </c>
      <c r="AH63" s="162" t="s">
        <v>2823</v>
      </c>
      <c r="AI63" s="175" t="s">
        <v>2824</v>
      </c>
      <c r="AJ63" s="162" t="s">
        <v>2825</v>
      </c>
      <c r="AK63" s="173" t="s">
        <v>2826</v>
      </c>
      <c r="AL63" s="162" t="s">
        <v>2827</v>
      </c>
      <c r="AM63" s="175" t="s">
        <v>2831</v>
      </c>
      <c r="AN63" s="162" t="s">
        <v>2832</v>
      </c>
      <c r="AO63" s="285" t="s">
        <v>2833</v>
      </c>
      <c r="AP63" s="1165" t="str">
        <f t="shared" si="16"/>
        <v xml:space="preserve">* El número de Beneficiarios NO DEBE ser mayor que el total. </v>
      </c>
      <c r="AQ63" s="1058"/>
      <c r="AR63" s="1058"/>
      <c r="AS63" s="1058"/>
      <c r="AT63" s="1058"/>
      <c r="AU63" s="1058"/>
      <c r="AV63" s="1058"/>
      <c r="AW63" s="1058"/>
      <c r="AX63" s="1058"/>
      <c r="AY63" s="1058"/>
      <c r="AZ63" s="1058"/>
      <c r="BA63" s="1058"/>
      <c r="BB63" s="94"/>
      <c r="BC63" s="94"/>
      <c r="CB63" s="1031" t="str">
        <f t="shared" si="17"/>
        <v xml:space="preserve">* El número de Beneficiarios NO DEBE ser mayor que el total. </v>
      </c>
      <c r="CC63" s="1164" t="str">
        <f t="shared" si="18"/>
        <v/>
      </c>
      <c r="CH63" s="1163">
        <f t="shared" si="19"/>
        <v>1</v>
      </c>
      <c r="CI63" s="1163">
        <f t="shared" si="20"/>
        <v>0</v>
      </c>
      <c r="CJ63" s="1020"/>
      <c r="CK63" s="1020"/>
      <c r="CL63" s="1020"/>
      <c r="CM63" s="1020"/>
    </row>
    <row r="64" spans="1:91" ht="16.350000000000001" customHeight="1" x14ac:dyDescent="0.2">
      <c r="A64" s="2458" t="s">
        <v>3319</v>
      </c>
      <c r="B64" s="5623"/>
      <c r="C64" s="2436" t="s">
        <v>283</v>
      </c>
      <c r="D64" s="2887" t="s">
        <v>2777</v>
      </c>
      <c r="E64" s="2888" t="s">
        <v>2778</v>
      </c>
      <c r="F64" s="2427" t="s">
        <v>2779</v>
      </c>
      <c r="G64" s="101" t="s">
        <v>2780</v>
      </c>
      <c r="H64" s="169" t="s">
        <v>2781</v>
      </c>
      <c r="I64" s="101" t="s">
        <v>2782</v>
      </c>
      <c r="J64" s="169" t="s">
        <v>2783</v>
      </c>
      <c r="K64" s="166" t="s">
        <v>2784</v>
      </c>
      <c r="L64" s="125" t="s">
        <v>2785</v>
      </c>
      <c r="M64" s="166" t="s">
        <v>2786</v>
      </c>
      <c r="N64" s="125" t="s">
        <v>2787</v>
      </c>
      <c r="O64" s="166" t="s">
        <v>2788</v>
      </c>
      <c r="P64" s="125" t="s">
        <v>2789</v>
      </c>
      <c r="Q64" s="176" t="s">
        <v>2790</v>
      </c>
      <c r="R64" s="104" t="s">
        <v>2791</v>
      </c>
      <c r="S64" s="176" t="s">
        <v>2792</v>
      </c>
      <c r="T64" s="104" t="s">
        <v>2793</v>
      </c>
      <c r="U64" s="176" t="s">
        <v>2794</v>
      </c>
      <c r="V64" s="104" t="s">
        <v>2795</v>
      </c>
      <c r="W64" s="176" t="s">
        <v>2796</v>
      </c>
      <c r="X64" s="104" t="s">
        <v>2797</v>
      </c>
      <c r="Y64" s="176" t="s">
        <v>2798</v>
      </c>
      <c r="Z64" s="104" t="s">
        <v>2799</v>
      </c>
      <c r="AA64" s="176" t="s">
        <v>2800</v>
      </c>
      <c r="AB64" s="104" t="s">
        <v>2801</v>
      </c>
      <c r="AC64" s="176" t="s">
        <v>2817</v>
      </c>
      <c r="AD64" s="104" t="s">
        <v>2818</v>
      </c>
      <c r="AE64" s="176" t="s">
        <v>2819</v>
      </c>
      <c r="AF64" s="104" t="s">
        <v>2821</v>
      </c>
      <c r="AG64" s="176" t="s">
        <v>2822</v>
      </c>
      <c r="AH64" s="104" t="s">
        <v>2823</v>
      </c>
      <c r="AI64" s="176" t="s">
        <v>2824</v>
      </c>
      <c r="AJ64" s="104" t="s">
        <v>2825</v>
      </c>
      <c r="AK64" s="101" t="s">
        <v>2826</v>
      </c>
      <c r="AL64" s="104" t="s">
        <v>2827</v>
      </c>
      <c r="AM64" s="176" t="s">
        <v>2831</v>
      </c>
      <c r="AN64" s="104" t="s">
        <v>2832</v>
      </c>
      <c r="AO64" s="287" t="s">
        <v>2833</v>
      </c>
      <c r="AP64" s="1165" t="str">
        <f t="shared" si="16"/>
        <v xml:space="preserve">* El número de Beneficiarios NO DEBE ser mayor que el total. </v>
      </c>
      <c r="AQ64" s="1058"/>
      <c r="AR64" s="1058"/>
      <c r="AS64" s="1058"/>
      <c r="AT64" s="1058"/>
      <c r="AU64" s="1058"/>
      <c r="AV64" s="1058"/>
      <c r="AW64" s="1058"/>
      <c r="AX64" s="1058"/>
      <c r="AY64" s="1058"/>
      <c r="AZ64" s="1058"/>
      <c r="BA64" s="1058"/>
      <c r="BB64" s="94"/>
      <c r="BC64" s="94"/>
      <c r="CB64" s="1031" t="str">
        <f t="shared" si="17"/>
        <v xml:space="preserve">* El número de Beneficiarios NO DEBE ser mayor que el total. </v>
      </c>
      <c r="CC64" s="1164" t="str">
        <f t="shared" si="18"/>
        <v/>
      </c>
      <c r="CH64" s="1163">
        <f t="shared" si="19"/>
        <v>1</v>
      </c>
      <c r="CI64" s="1163">
        <f t="shared" si="20"/>
        <v>0</v>
      </c>
      <c r="CJ64" s="1020"/>
      <c r="CK64" s="1020"/>
      <c r="CL64" s="1020"/>
      <c r="CM64" s="1020"/>
    </row>
    <row r="65" spans="1:91" ht="16.350000000000001" customHeight="1" x14ac:dyDescent="0.2">
      <c r="A65" s="2458" t="s">
        <v>3320</v>
      </c>
      <c r="B65" s="5757" t="s">
        <v>448</v>
      </c>
      <c r="C65" s="2881" t="s">
        <v>29</v>
      </c>
      <c r="D65" s="2883" t="s">
        <v>2777</v>
      </c>
      <c r="E65" s="2884" t="s">
        <v>2778</v>
      </c>
      <c r="F65" s="2585" t="s">
        <v>2779</v>
      </c>
      <c r="G65" s="2452" t="s">
        <v>2780</v>
      </c>
      <c r="H65" s="2457" t="s">
        <v>2781</v>
      </c>
      <c r="I65" s="2452" t="s">
        <v>2782</v>
      </c>
      <c r="J65" s="2454" t="s">
        <v>2783</v>
      </c>
      <c r="K65" s="2483" t="s">
        <v>2784</v>
      </c>
      <c r="L65" s="2480" t="s">
        <v>2785</v>
      </c>
      <c r="M65" s="2483" t="s">
        <v>2786</v>
      </c>
      <c r="N65" s="2480" t="s">
        <v>2787</v>
      </c>
      <c r="O65" s="2483" t="s">
        <v>2788</v>
      </c>
      <c r="P65" s="2480" t="s">
        <v>2789</v>
      </c>
      <c r="Q65" s="2483" t="s">
        <v>2790</v>
      </c>
      <c r="R65" s="2480" t="s">
        <v>2791</v>
      </c>
      <c r="S65" s="2483" t="s">
        <v>2792</v>
      </c>
      <c r="T65" s="2480" t="s">
        <v>2793</v>
      </c>
      <c r="U65" s="2483" t="s">
        <v>2794</v>
      </c>
      <c r="V65" s="2480" t="s">
        <v>2795</v>
      </c>
      <c r="W65" s="2483" t="s">
        <v>2796</v>
      </c>
      <c r="X65" s="2480" t="s">
        <v>2797</v>
      </c>
      <c r="Y65" s="2483" t="s">
        <v>2798</v>
      </c>
      <c r="Z65" s="2480" t="s">
        <v>2799</v>
      </c>
      <c r="AA65" s="2483" t="s">
        <v>2800</v>
      </c>
      <c r="AB65" s="2480" t="s">
        <v>2801</v>
      </c>
      <c r="AC65" s="2483" t="s">
        <v>2817</v>
      </c>
      <c r="AD65" s="2480" t="s">
        <v>2818</v>
      </c>
      <c r="AE65" s="2483" t="s">
        <v>2819</v>
      </c>
      <c r="AF65" s="2480" t="s">
        <v>2821</v>
      </c>
      <c r="AG65" s="2483" t="s">
        <v>2822</v>
      </c>
      <c r="AH65" s="2480" t="s">
        <v>2823</v>
      </c>
      <c r="AI65" s="2483" t="s">
        <v>2824</v>
      </c>
      <c r="AJ65" s="2480" t="s">
        <v>2825</v>
      </c>
      <c r="AK65" s="2483" t="s">
        <v>2826</v>
      </c>
      <c r="AL65" s="2480" t="s">
        <v>2827</v>
      </c>
      <c r="AM65" s="2483" t="s">
        <v>2831</v>
      </c>
      <c r="AN65" s="2480" t="s">
        <v>2832</v>
      </c>
      <c r="AO65" s="2628" t="s">
        <v>2833</v>
      </c>
      <c r="AP65" s="1165" t="str">
        <f t="shared" si="16"/>
        <v xml:space="preserve">* El número de Beneficiarios NO DEBE ser mayor que el total. </v>
      </c>
      <c r="AQ65" s="1058"/>
      <c r="AR65" s="1058"/>
      <c r="AS65" s="1058"/>
      <c r="AT65" s="1058"/>
      <c r="AU65" s="1058"/>
      <c r="AV65" s="1058"/>
      <c r="AW65" s="1058"/>
      <c r="AX65" s="1058"/>
      <c r="AY65" s="1058"/>
      <c r="AZ65" s="1058"/>
      <c r="BA65" s="1058"/>
      <c r="BB65" s="94"/>
      <c r="BC65" s="94"/>
      <c r="CB65" s="1031" t="str">
        <f t="shared" si="17"/>
        <v xml:space="preserve">* El número de Beneficiarios NO DEBE ser mayor que el total. </v>
      </c>
      <c r="CC65" s="1164" t="str">
        <f t="shared" si="18"/>
        <v/>
      </c>
      <c r="CH65" s="1163">
        <f t="shared" si="19"/>
        <v>1</v>
      </c>
      <c r="CI65" s="1163">
        <f t="shared" si="20"/>
        <v>0</v>
      </c>
      <c r="CJ65" s="1020"/>
      <c r="CK65" s="1020"/>
      <c r="CL65" s="1020"/>
      <c r="CM65" s="1020"/>
    </row>
    <row r="66" spans="1:91" ht="16.350000000000001" customHeight="1" x14ac:dyDescent="0.2">
      <c r="A66" s="2458" t="s">
        <v>3321</v>
      </c>
      <c r="B66" s="5623"/>
      <c r="C66" s="2435" t="s">
        <v>435</v>
      </c>
      <c r="D66" s="2889" t="s">
        <v>2777</v>
      </c>
      <c r="E66" s="2890" t="s">
        <v>2778</v>
      </c>
      <c r="F66" s="2427" t="s">
        <v>2779</v>
      </c>
      <c r="G66" s="101" t="s">
        <v>2780</v>
      </c>
      <c r="H66" s="169" t="s">
        <v>2781</v>
      </c>
      <c r="I66" s="101" t="s">
        <v>2782</v>
      </c>
      <c r="J66" s="104" t="s">
        <v>2783</v>
      </c>
      <c r="K66" s="166" t="s">
        <v>2784</v>
      </c>
      <c r="L66" s="125" t="s">
        <v>2785</v>
      </c>
      <c r="M66" s="166" t="s">
        <v>2786</v>
      </c>
      <c r="N66" s="125" t="s">
        <v>2787</v>
      </c>
      <c r="O66" s="166" t="s">
        <v>2788</v>
      </c>
      <c r="P66" s="125" t="s">
        <v>2789</v>
      </c>
      <c r="Q66" s="166" t="s">
        <v>2790</v>
      </c>
      <c r="R66" s="125" t="s">
        <v>2791</v>
      </c>
      <c r="S66" s="166" t="s">
        <v>2792</v>
      </c>
      <c r="T66" s="125" t="s">
        <v>2793</v>
      </c>
      <c r="U66" s="166" t="s">
        <v>2794</v>
      </c>
      <c r="V66" s="125" t="s">
        <v>2795</v>
      </c>
      <c r="W66" s="166" t="s">
        <v>2796</v>
      </c>
      <c r="X66" s="125" t="s">
        <v>2797</v>
      </c>
      <c r="Y66" s="166" t="s">
        <v>2798</v>
      </c>
      <c r="Z66" s="125" t="s">
        <v>2799</v>
      </c>
      <c r="AA66" s="166" t="s">
        <v>2800</v>
      </c>
      <c r="AB66" s="125" t="s">
        <v>2801</v>
      </c>
      <c r="AC66" s="166" t="s">
        <v>2817</v>
      </c>
      <c r="AD66" s="125" t="s">
        <v>2818</v>
      </c>
      <c r="AE66" s="166" t="s">
        <v>2819</v>
      </c>
      <c r="AF66" s="125" t="s">
        <v>2821</v>
      </c>
      <c r="AG66" s="166" t="s">
        <v>2822</v>
      </c>
      <c r="AH66" s="125" t="s">
        <v>2823</v>
      </c>
      <c r="AI66" s="166" t="s">
        <v>2824</v>
      </c>
      <c r="AJ66" s="125" t="s">
        <v>2825</v>
      </c>
      <c r="AK66" s="166" t="s">
        <v>2826</v>
      </c>
      <c r="AL66" s="125" t="s">
        <v>2827</v>
      </c>
      <c r="AM66" s="166" t="s">
        <v>2831</v>
      </c>
      <c r="AN66" s="125" t="s">
        <v>2832</v>
      </c>
      <c r="AO66" s="287" t="s">
        <v>2833</v>
      </c>
      <c r="AP66" s="1165" t="str">
        <f t="shared" si="16"/>
        <v xml:space="preserve">* El número de Beneficiarios NO DEBE ser mayor que el total. </v>
      </c>
      <c r="AQ66" s="1058"/>
      <c r="AR66" s="1058"/>
      <c r="AS66" s="1058"/>
      <c r="AT66" s="1058"/>
      <c r="AU66" s="1058"/>
      <c r="AV66" s="1058"/>
      <c r="AW66" s="1058"/>
      <c r="AX66" s="1058"/>
      <c r="AY66" s="1058"/>
      <c r="AZ66" s="1058"/>
      <c r="BA66" s="1058"/>
      <c r="BB66" s="94"/>
      <c r="BC66" s="94"/>
      <c r="CB66" s="1031" t="str">
        <f t="shared" si="17"/>
        <v xml:space="preserve">* El número de Beneficiarios NO DEBE ser mayor que el total. </v>
      </c>
      <c r="CC66" s="1164" t="str">
        <f t="shared" si="18"/>
        <v/>
      </c>
      <c r="CH66" s="1163">
        <f t="shared" si="19"/>
        <v>1</v>
      </c>
      <c r="CI66" s="1163">
        <f t="shared" si="20"/>
        <v>0</v>
      </c>
      <c r="CJ66" s="1020"/>
      <c r="CK66" s="1020"/>
      <c r="CL66" s="1020"/>
      <c r="CM66" s="1020"/>
    </row>
    <row r="67" spans="1:91" ht="16.350000000000001" customHeight="1" x14ac:dyDescent="0.2">
      <c r="A67" s="2458" t="s">
        <v>3322</v>
      </c>
      <c r="B67" s="5757" t="s">
        <v>449</v>
      </c>
      <c r="C67" s="2881" t="s">
        <v>29</v>
      </c>
      <c r="D67" s="2883" t="s">
        <v>2777</v>
      </c>
      <c r="E67" s="2884" t="s">
        <v>2778</v>
      </c>
      <c r="F67" s="2585" t="s">
        <v>2779</v>
      </c>
      <c r="G67" s="2452" t="s">
        <v>2780</v>
      </c>
      <c r="H67" s="2457" t="s">
        <v>2781</v>
      </c>
      <c r="I67" s="2452" t="s">
        <v>2782</v>
      </c>
      <c r="J67" s="2457" t="s">
        <v>2783</v>
      </c>
      <c r="K67" s="2483" t="s">
        <v>2784</v>
      </c>
      <c r="L67" s="2480" t="s">
        <v>2785</v>
      </c>
      <c r="M67" s="2483" t="s">
        <v>2786</v>
      </c>
      <c r="N67" s="2480" t="s">
        <v>2787</v>
      </c>
      <c r="O67" s="2483" t="s">
        <v>2788</v>
      </c>
      <c r="P67" s="2480" t="s">
        <v>2789</v>
      </c>
      <c r="Q67" s="2483" t="s">
        <v>2790</v>
      </c>
      <c r="R67" s="2480" t="s">
        <v>2791</v>
      </c>
      <c r="S67" s="2483" t="s">
        <v>2792</v>
      </c>
      <c r="T67" s="2480" t="s">
        <v>2793</v>
      </c>
      <c r="U67" s="2483" t="s">
        <v>2794</v>
      </c>
      <c r="V67" s="2480" t="s">
        <v>2795</v>
      </c>
      <c r="W67" s="2483" t="s">
        <v>2796</v>
      </c>
      <c r="X67" s="2480" t="s">
        <v>2797</v>
      </c>
      <c r="Y67" s="2483" t="s">
        <v>2798</v>
      </c>
      <c r="Z67" s="2480" t="s">
        <v>2799</v>
      </c>
      <c r="AA67" s="2483" t="s">
        <v>2800</v>
      </c>
      <c r="AB67" s="2480" t="s">
        <v>2801</v>
      </c>
      <c r="AC67" s="2483" t="s">
        <v>2817</v>
      </c>
      <c r="AD67" s="2480" t="s">
        <v>2818</v>
      </c>
      <c r="AE67" s="2483" t="s">
        <v>2819</v>
      </c>
      <c r="AF67" s="2480" t="s">
        <v>2821</v>
      </c>
      <c r="AG67" s="2483" t="s">
        <v>2822</v>
      </c>
      <c r="AH67" s="2480" t="s">
        <v>2823</v>
      </c>
      <c r="AI67" s="2483" t="s">
        <v>2824</v>
      </c>
      <c r="AJ67" s="2480" t="s">
        <v>2825</v>
      </c>
      <c r="AK67" s="2483" t="s">
        <v>2826</v>
      </c>
      <c r="AL67" s="2480" t="s">
        <v>2827</v>
      </c>
      <c r="AM67" s="2483" t="s">
        <v>2831</v>
      </c>
      <c r="AN67" s="2480" t="s">
        <v>2832</v>
      </c>
      <c r="AO67" s="2628" t="s">
        <v>2833</v>
      </c>
      <c r="AP67" s="1165" t="str">
        <f t="shared" si="16"/>
        <v xml:space="preserve">* El número de Beneficiarios NO DEBE ser mayor que el total. </v>
      </c>
      <c r="AQ67" s="1058"/>
      <c r="AR67" s="1058"/>
      <c r="AS67" s="1058"/>
      <c r="AT67" s="1058"/>
      <c r="AU67" s="1058"/>
      <c r="AV67" s="1058"/>
      <c r="AW67" s="1058"/>
      <c r="AX67" s="1058"/>
      <c r="AY67" s="1058"/>
      <c r="AZ67" s="1058"/>
      <c r="BA67" s="1058"/>
      <c r="BB67" s="94"/>
      <c r="BC67" s="94"/>
      <c r="CB67" s="1031" t="str">
        <f t="shared" si="17"/>
        <v xml:space="preserve">* El número de Beneficiarios NO DEBE ser mayor que el total. </v>
      </c>
      <c r="CC67" s="1164" t="str">
        <f t="shared" si="18"/>
        <v/>
      </c>
      <c r="CH67" s="1163">
        <f t="shared" si="19"/>
        <v>1</v>
      </c>
      <c r="CI67" s="1163">
        <f t="shared" si="20"/>
        <v>0</v>
      </c>
      <c r="CJ67" s="1020"/>
      <c r="CK67" s="1020"/>
      <c r="CL67" s="1020"/>
      <c r="CM67" s="1020"/>
    </row>
    <row r="68" spans="1:91" ht="16.350000000000001" customHeight="1" x14ac:dyDescent="0.2">
      <c r="A68" s="2458" t="s">
        <v>3323</v>
      </c>
      <c r="B68" s="5623"/>
      <c r="C68" s="2436" t="s">
        <v>435</v>
      </c>
      <c r="D68" s="2887" t="s">
        <v>2777</v>
      </c>
      <c r="E68" s="2888" t="s">
        <v>2778</v>
      </c>
      <c r="F68" s="2427" t="s">
        <v>2779</v>
      </c>
      <c r="G68" s="101" t="s">
        <v>2780</v>
      </c>
      <c r="H68" s="169" t="s">
        <v>2781</v>
      </c>
      <c r="I68" s="101" t="s">
        <v>2782</v>
      </c>
      <c r="J68" s="169" t="s">
        <v>2783</v>
      </c>
      <c r="K68" s="166" t="s">
        <v>2784</v>
      </c>
      <c r="L68" s="125" t="s">
        <v>2785</v>
      </c>
      <c r="M68" s="166" t="s">
        <v>2786</v>
      </c>
      <c r="N68" s="125" t="s">
        <v>2787</v>
      </c>
      <c r="O68" s="166" t="s">
        <v>2788</v>
      </c>
      <c r="P68" s="125" t="s">
        <v>2789</v>
      </c>
      <c r="Q68" s="166" t="s">
        <v>2790</v>
      </c>
      <c r="R68" s="125" t="s">
        <v>2791</v>
      </c>
      <c r="S68" s="166" t="s">
        <v>2792</v>
      </c>
      <c r="T68" s="125" t="s">
        <v>2793</v>
      </c>
      <c r="U68" s="166" t="s">
        <v>2794</v>
      </c>
      <c r="V68" s="125" t="s">
        <v>2795</v>
      </c>
      <c r="W68" s="166" t="s">
        <v>2796</v>
      </c>
      <c r="X68" s="125" t="s">
        <v>2797</v>
      </c>
      <c r="Y68" s="166" t="s">
        <v>2798</v>
      </c>
      <c r="Z68" s="125" t="s">
        <v>2799</v>
      </c>
      <c r="AA68" s="166" t="s">
        <v>2800</v>
      </c>
      <c r="AB68" s="125" t="s">
        <v>2801</v>
      </c>
      <c r="AC68" s="166" t="s">
        <v>2817</v>
      </c>
      <c r="AD68" s="125" t="s">
        <v>2818</v>
      </c>
      <c r="AE68" s="166" t="s">
        <v>2819</v>
      </c>
      <c r="AF68" s="125" t="s">
        <v>2821</v>
      </c>
      <c r="AG68" s="166" t="s">
        <v>2822</v>
      </c>
      <c r="AH68" s="125" t="s">
        <v>2823</v>
      </c>
      <c r="AI68" s="166" t="s">
        <v>2824</v>
      </c>
      <c r="AJ68" s="125" t="s">
        <v>2825</v>
      </c>
      <c r="AK68" s="166" t="s">
        <v>2826</v>
      </c>
      <c r="AL68" s="125" t="s">
        <v>2827</v>
      </c>
      <c r="AM68" s="166" t="s">
        <v>2831</v>
      </c>
      <c r="AN68" s="125" t="s">
        <v>2832</v>
      </c>
      <c r="AO68" s="287" t="s">
        <v>2833</v>
      </c>
      <c r="AP68" s="1165" t="str">
        <f t="shared" si="16"/>
        <v xml:space="preserve">* El número de Beneficiarios NO DEBE ser mayor que el total. </v>
      </c>
      <c r="AQ68" s="1058"/>
      <c r="AR68" s="1058"/>
      <c r="AS68" s="1058"/>
      <c r="AT68" s="1058"/>
      <c r="AU68" s="1058"/>
      <c r="AV68" s="1058"/>
      <c r="AW68" s="1058"/>
      <c r="AX68" s="1058"/>
      <c r="AY68" s="1058"/>
      <c r="AZ68" s="1058"/>
      <c r="BA68" s="1058"/>
      <c r="BB68" s="94"/>
      <c r="BC68" s="94"/>
      <c r="CB68" s="1031" t="str">
        <f t="shared" si="17"/>
        <v xml:space="preserve">* El número de Beneficiarios NO DEBE ser mayor que el total. </v>
      </c>
      <c r="CC68" s="1164" t="str">
        <f t="shared" si="18"/>
        <v/>
      </c>
      <c r="CH68" s="1163">
        <f t="shared" si="19"/>
        <v>1</v>
      </c>
      <c r="CI68" s="1163">
        <f t="shared" si="20"/>
        <v>0</v>
      </c>
      <c r="CJ68" s="1020"/>
      <c r="CK68" s="1020"/>
      <c r="CL68" s="1020"/>
      <c r="CM68" s="1020"/>
    </row>
    <row r="69" spans="1:91" ht="16.350000000000001" customHeight="1" x14ac:dyDescent="0.2">
      <c r="A69" s="2458" t="s">
        <v>3324</v>
      </c>
      <c r="B69" s="5757" t="s">
        <v>450</v>
      </c>
      <c r="C69" s="2881" t="s">
        <v>29</v>
      </c>
      <c r="D69" s="2883" t="s">
        <v>2777</v>
      </c>
      <c r="E69" s="2884" t="s">
        <v>2778</v>
      </c>
      <c r="F69" s="2585" t="s">
        <v>2779</v>
      </c>
      <c r="G69" s="2452" t="s">
        <v>2780</v>
      </c>
      <c r="H69" s="2457" t="s">
        <v>2781</v>
      </c>
      <c r="I69" s="2452" t="s">
        <v>2782</v>
      </c>
      <c r="J69" s="2457" t="s">
        <v>2783</v>
      </c>
      <c r="K69" s="2483" t="s">
        <v>2784</v>
      </c>
      <c r="L69" s="2480" t="s">
        <v>2785</v>
      </c>
      <c r="M69" s="2483" t="s">
        <v>2786</v>
      </c>
      <c r="N69" s="2480" t="s">
        <v>2787</v>
      </c>
      <c r="O69" s="2483" t="s">
        <v>2788</v>
      </c>
      <c r="P69" s="2480" t="s">
        <v>2789</v>
      </c>
      <c r="Q69" s="2483" t="s">
        <v>2790</v>
      </c>
      <c r="R69" s="2480" t="s">
        <v>2791</v>
      </c>
      <c r="S69" s="2483" t="s">
        <v>2792</v>
      </c>
      <c r="T69" s="2480" t="s">
        <v>2793</v>
      </c>
      <c r="U69" s="2483" t="s">
        <v>2794</v>
      </c>
      <c r="V69" s="2480" t="s">
        <v>2795</v>
      </c>
      <c r="W69" s="2483" t="s">
        <v>2796</v>
      </c>
      <c r="X69" s="2480" t="s">
        <v>2797</v>
      </c>
      <c r="Y69" s="2483" t="s">
        <v>2798</v>
      </c>
      <c r="Z69" s="2480" t="s">
        <v>2799</v>
      </c>
      <c r="AA69" s="2483" t="s">
        <v>2800</v>
      </c>
      <c r="AB69" s="2480" t="s">
        <v>2801</v>
      </c>
      <c r="AC69" s="2483" t="s">
        <v>2817</v>
      </c>
      <c r="AD69" s="2480" t="s">
        <v>2818</v>
      </c>
      <c r="AE69" s="2483" t="s">
        <v>2819</v>
      </c>
      <c r="AF69" s="2480" t="s">
        <v>2821</v>
      </c>
      <c r="AG69" s="2483" t="s">
        <v>2822</v>
      </c>
      <c r="AH69" s="2480" t="s">
        <v>2823</v>
      </c>
      <c r="AI69" s="2483" t="s">
        <v>2824</v>
      </c>
      <c r="AJ69" s="2480" t="s">
        <v>2825</v>
      </c>
      <c r="AK69" s="2483" t="s">
        <v>2826</v>
      </c>
      <c r="AL69" s="2480" t="s">
        <v>2827</v>
      </c>
      <c r="AM69" s="2483" t="s">
        <v>2831</v>
      </c>
      <c r="AN69" s="2480" t="s">
        <v>2832</v>
      </c>
      <c r="AO69" s="2628" t="s">
        <v>2833</v>
      </c>
      <c r="AP69" s="1165" t="str">
        <f t="shared" si="16"/>
        <v xml:space="preserve">* El número de Beneficiarios NO DEBE ser mayor que el total. </v>
      </c>
      <c r="AQ69" s="1058"/>
      <c r="AR69" s="1058"/>
      <c r="AS69" s="1058"/>
      <c r="AT69" s="1058"/>
      <c r="AU69" s="1058"/>
      <c r="AV69" s="1058"/>
      <c r="AW69" s="1058"/>
      <c r="AX69" s="1058"/>
      <c r="AY69" s="1058"/>
      <c r="AZ69" s="1058"/>
      <c r="BA69" s="1058"/>
      <c r="BB69" s="94"/>
      <c r="BC69" s="94"/>
      <c r="CB69" s="1031" t="str">
        <f t="shared" si="17"/>
        <v xml:space="preserve">* El número de Beneficiarios NO DEBE ser mayor que el total. </v>
      </c>
      <c r="CC69" s="1164" t="str">
        <f t="shared" si="18"/>
        <v/>
      </c>
      <c r="CH69" s="1163">
        <f t="shared" si="19"/>
        <v>1</v>
      </c>
      <c r="CI69" s="1163">
        <f t="shared" si="20"/>
        <v>0</v>
      </c>
      <c r="CJ69" s="1020"/>
      <c r="CK69" s="1020"/>
      <c r="CL69" s="1020"/>
      <c r="CM69" s="1020"/>
    </row>
    <row r="70" spans="1:91" ht="16.350000000000001" customHeight="1" x14ac:dyDescent="0.2">
      <c r="A70" s="2458" t="s">
        <v>3325</v>
      </c>
      <c r="B70" s="5622"/>
      <c r="C70" s="2435" t="s">
        <v>435</v>
      </c>
      <c r="D70" s="2885" t="s">
        <v>2777</v>
      </c>
      <c r="E70" s="2886" t="s">
        <v>2778</v>
      </c>
      <c r="F70" s="2428" t="s">
        <v>2779</v>
      </c>
      <c r="G70" s="173" t="s">
        <v>2780</v>
      </c>
      <c r="H70" s="174" t="s">
        <v>2781</v>
      </c>
      <c r="I70" s="173" t="s">
        <v>2782</v>
      </c>
      <c r="J70" s="174" t="s">
        <v>2783</v>
      </c>
      <c r="K70" s="141" t="s">
        <v>2784</v>
      </c>
      <c r="L70" s="163" t="s">
        <v>2785</v>
      </c>
      <c r="M70" s="141" t="s">
        <v>2786</v>
      </c>
      <c r="N70" s="163" t="s">
        <v>2787</v>
      </c>
      <c r="O70" s="141" t="s">
        <v>2788</v>
      </c>
      <c r="P70" s="163" t="s">
        <v>2789</v>
      </c>
      <c r="Q70" s="141" t="s">
        <v>2790</v>
      </c>
      <c r="R70" s="163" t="s">
        <v>2791</v>
      </c>
      <c r="S70" s="141" t="s">
        <v>2792</v>
      </c>
      <c r="T70" s="163" t="s">
        <v>2793</v>
      </c>
      <c r="U70" s="141" t="s">
        <v>2794</v>
      </c>
      <c r="V70" s="163" t="s">
        <v>2795</v>
      </c>
      <c r="W70" s="141" t="s">
        <v>2796</v>
      </c>
      <c r="X70" s="163" t="s">
        <v>2797</v>
      </c>
      <c r="Y70" s="141" t="s">
        <v>2798</v>
      </c>
      <c r="Z70" s="163" t="s">
        <v>2799</v>
      </c>
      <c r="AA70" s="141" t="s">
        <v>2800</v>
      </c>
      <c r="AB70" s="163" t="s">
        <v>2801</v>
      </c>
      <c r="AC70" s="141" t="s">
        <v>2817</v>
      </c>
      <c r="AD70" s="163" t="s">
        <v>2818</v>
      </c>
      <c r="AE70" s="141" t="s">
        <v>2819</v>
      </c>
      <c r="AF70" s="163" t="s">
        <v>2821</v>
      </c>
      <c r="AG70" s="141" t="s">
        <v>2822</v>
      </c>
      <c r="AH70" s="163" t="s">
        <v>2823</v>
      </c>
      <c r="AI70" s="141" t="s">
        <v>2824</v>
      </c>
      <c r="AJ70" s="163" t="s">
        <v>2825</v>
      </c>
      <c r="AK70" s="141" t="s">
        <v>2826</v>
      </c>
      <c r="AL70" s="163" t="s">
        <v>2827</v>
      </c>
      <c r="AM70" s="141" t="s">
        <v>2831</v>
      </c>
      <c r="AN70" s="163" t="s">
        <v>2832</v>
      </c>
      <c r="AO70" s="285" t="s">
        <v>2833</v>
      </c>
      <c r="AP70" s="1165" t="str">
        <f t="shared" si="16"/>
        <v xml:space="preserve">* El número de Beneficiarios NO DEBE ser mayor que el total. </v>
      </c>
      <c r="AQ70" s="1058"/>
      <c r="AR70" s="1058"/>
      <c r="AS70" s="1058"/>
      <c r="AT70" s="1058"/>
      <c r="AU70" s="1058"/>
      <c r="AV70" s="1058"/>
      <c r="AW70" s="1058"/>
      <c r="AX70" s="1058"/>
      <c r="AY70" s="1058"/>
      <c r="AZ70" s="1058"/>
      <c r="BA70" s="1058"/>
      <c r="BB70" s="94"/>
      <c r="BC70" s="94"/>
      <c r="CB70" s="1031" t="str">
        <f t="shared" si="17"/>
        <v xml:space="preserve">* El número de Beneficiarios NO DEBE ser mayor que el total. </v>
      </c>
      <c r="CC70" s="1164" t="str">
        <f t="shared" si="18"/>
        <v/>
      </c>
      <c r="CH70" s="1163">
        <f t="shared" si="19"/>
        <v>1</v>
      </c>
      <c r="CI70" s="1163">
        <f t="shared" si="20"/>
        <v>0</v>
      </c>
      <c r="CJ70" s="1020"/>
      <c r="CK70" s="1020"/>
      <c r="CL70" s="1020"/>
      <c r="CM70" s="1020"/>
    </row>
    <row r="71" spans="1:91" ht="16.350000000000001" customHeight="1" x14ac:dyDescent="0.2">
      <c r="A71" s="2458" t="s">
        <v>3326</v>
      </c>
      <c r="B71" s="5622"/>
      <c r="C71" s="2435" t="s">
        <v>280</v>
      </c>
      <c r="D71" s="2885" t="s">
        <v>2777</v>
      </c>
      <c r="E71" s="2886" t="s">
        <v>2778</v>
      </c>
      <c r="F71" s="2428" t="s">
        <v>2779</v>
      </c>
      <c r="G71" s="173" t="s">
        <v>2780</v>
      </c>
      <c r="H71" s="174" t="s">
        <v>2781</v>
      </c>
      <c r="I71" s="173" t="s">
        <v>2782</v>
      </c>
      <c r="J71" s="174" t="s">
        <v>2783</v>
      </c>
      <c r="K71" s="141" t="s">
        <v>2784</v>
      </c>
      <c r="L71" s="163" t="s">
        <v>2785</v>
      </c>
      <c r="M71" s="141" t="s">
        <v>2786</v>
      </c>
      <c r="N71" s="163" t="s">
        <v>2787</v>
      </c>
      <c r="O71" s="141" t="s">
        <v>2788</v>
      </c>
      <c r="P71" s="163" t="s">
        <v>2789</v>
      </c>
      <c r="Q71" s="141" t="s">
        <v>2790</v>
      </c>
      <c r="R71" s="163" t="s">
        <v>2791</v>
      </c>
      <c r="S71" s="141" t="s">
        <v>2792</v>
      </c>
      <c r="T71" s="163" t="s">
        <v>2793</v>
      </c>
      <c r="U71" s="141" t="s">
        <v>2794</v>
      </c>
      <c r="V71" s="163" t="s">
        <v>2795</v>
      </c>
      <c r="W71" s="141" t="s">
        <v>2796</v>
      </c>
      <c r="X71" s="163" t="s">
        <v>2797</v>
      </c>
      <c r="Y71" s="141" t="s">
        <v>2798</v>
      </c>
      <c r="Z71" s="163" t="s">
        <v>2799</v>
      </c>
      <c r="AA71" s="141" t="s">
        <v>2800</v>
      </c>
      <c r="AB71" s="163" t="s">
        <v>2801</v>
      </c>
      <c r="AC71" s="141" t="s">
        <v>2817</v>
      </c>
      <c r="AD71" s="163" t="s">
        <v>2818</v>
      </c>
      <c r="AE71" s="141" t="s">
        <v>2819</v>
      </c>
      <c r="AF71" s="163" t="s">
        <v>2821</v>
      </c>
      <c r="AG71" s="141" t="s">
        <v>2822</v>
      </c>
      <c r="AH71" s="163" t="s">
        <v>2823</v>
      </c>
      <c r="AI71" s="141" t="s">
        <v>2824</v>
      </c>
      <c r="AJ71" s="163" t="s">
        <v>2825</v>
      </c>
      <c r="AK71" s="141" t="s">
        <v>2826</v>
      </c>
      <c r="AL71" s="163" t="s">
        <v>2827</v>
      </c>
      <c r="AM71" s="141" t="s">
        <v>2831</v>
      </c>
      <c r="AN71" s="163" t="s">
        <v>2832</v>
      </c>
      <c r="AO71" s="285" t="s">
        <v>2833</v>
      </c>
      <c r="AP71" s="1165" t="str">
        <f t="shared" si="16"/>
        <v xml:space="preserve">* El número de Beneficiarios NO DEBE ser mayor que el total. </v>
      </c>
      <c r="AQ71" s="1058"/>
      <c r="AR71" s="1058"/>
      <c r="AS71" s="1058"/>
      <c r="AT71" s="1058"/>
      <c r="AU71" s="1058"/>
      <c r="AV71" s="1058"/>
      <c r="AW71" s="1058"/>
      <c r="AX71" s="1058"/>
      <c r="AY71" s="1058"/>
      <c r="AZ71" s="1058"/>
      <c r="BA71" s="1058"/>
      <c r="BB71" s="94"/>
      <c r="BC71" s="94"/>
      <c r="CB71" s="1031" t="str">
        <f t="shared" si="17"/>
        <v xml:space="preserve">* El número de Beneficiarios NO DEBE ser mayor que el total. </v>
      </c>
      <c r="CC71" s="1164" t="str">
        <f t="shared" si="18"/>
        <v/>
      </c>
      <c r="CH71" s="1163">
        <f t="shared" si="19"/>
        <v>1</v>
      </c>
      <c r="CI71" s="1163">
        <f t="shared" si="20"/>
        <v>0</v>
      </c>
      <c r="CJ71" s="1020"/>
      <c r="CK71" s="1020"/>
      <c r="CL71" s="1020"/>
      <c r="CM71" s="1020"/>
    </row>
    <row r="72" spans="1:91" ht="16.350000000000001" customHeight="1" x14ac:dyDescent="0.2">
      <c r="A72" s="2458" t="s">
        <v>3327</v>
      </c>
      <c r="B72" s="5622"/>
      <c r="C72" s="2435" t="s">
        <v>438</v>
      </c>
      <c r="D72" s="2885" t="s">
        <v>2777</v>
      </c>
      <c r="E72" s="2886" t="s">
        <v>2778</v>
      </c>
      <c r="F72" s="2428" t="s">
        <v>2779</v>
      </c>
      <c r="G72" s="173" t="s">
        <v>2780</v>
      </c>
      <c r="H72" s="174" t="s">
        <v>2781</v>
      </c>
      <c r="I72" s="173" t="s">
        <v>2782</v>
      </c>
      <c r="J72" s="174" t="s">
        <v>2783</v>
      </c>
      <c r="K72" s="141" t="s">
        <v>2784</v>
      </c>
      <c r="L72" s="163" t="s">
        <v>2785</v>
      </c>
      <c r="M72" s="141" t="s">
        <v>2786</v>
      </c>
      <c r="N72" s="163" t="s">
        <v>2787</v>
      </c>
      <c r="O72" s="141" t="s">
        <v>2788</v>
      </c>
      <c r="P72" s="163" t="s">
        <v>2789</v>
      </c>
      <c r="Q72" s="141" t="s">
        <v>2790</v>
      </c>
      <c r="R72" s="163" t="s">
        <v>2791</v>
      </c>
      <c r="S72" s="141" t="s">
        <v>2792</v>
      </c>
      <c r="T72" s="163" t="s">
        <v>2793</v>
      </c>
      <c r="U72" s="141" t="s">
        <v>2794</v>
      </c>
      <c r="V72" s="163" t="s">
        <v>2795</v>
      </c>
      <c r="W72" s="141" t="s">
        <v>2796</v>
      </c>
      <c r="X72" s="163" t="s">
        <v>2797</v>
      </c>
      <c r="Y72" s="141" t="s">
        <v>2798</v>
      </c>
      <c r="Z72" s="163" t="s">
        <v>2799</v>
      </c>
      <c r="AA72" s="141" t="s">
        <v>2800</v>
      </c>
      <c r="AB72" s="163" t="s">
        <v>2801</v>
      </c>
      <c r="AC72" s="141" t="s">
        <v>2817</v>
      </c>
      <c r="AD72" s="163" t="s">
        <v>2818</v>
      </c>
      <c r="AE72" s="141" t="s">
        <v>2819</v>
      </c>
      <c r="AF72" s="163" t="s">
        <v>2821</v>
      </c>
      <c r="AG72" s="141" t="s">
        <v>2822</v>
      </c>
      <c r="AH72" s="163" t="s">
        <v>2823</v>
      </c>
      <c r="AI72" s="141" t="s">
        <v>2824</v>
      </c>
      <c r="AJ72" s="163" t="s">
        <v>2825</v>
      </c>
      <c r="AK72" s="141" t="s">
        <v>2826</v>
      </c>
      <c r="AL72" s="163" t="s">
        <v>2827</v>
      </c>
      <c r="AM72" s="141" t="s">
        <v>2831</v>
      </c>
      <c r="AN72" s="163" t="s">
        <v>2832</v>
      </c>
      <c r="AO72" s="285" t="s">
        <v>2833</v>
      </c>
      <c r="AP72" s="1165" t="str">
        <f t="shared" si="16"/>
        <v xml:space="preserve">* El número de Beneficiarios NO DEBE ser mayor que el total. </v>
      </c>
      <c r="AQ72" s="1058"/>
      <c r="AR72" s="1058"/>
      <c r="AS72" s="1058"/>
      <c r="AT72" s="1058"/>
      <c r="AU72" s="1058"/>
      <c r="AV72" s="1058"/>
      <c r="AW72" s="1058"/>
      <c r="AX72" s="1058"/>
      <c r="AY72" s="1058"/>
      <c r="AZ72" s="1058"/>
      <c r="BA72" s="1058"/>
      <c r="BB72" s="94"/>
      <c r="BC72" s="94"/>
      <c r="CB72" s="1031" t="str">
        <f t="shared" si="17"/>
        <v xml:space="preserve">* El número de Beneficiarios NO DEBE ser mayor que el total. </v>
      </c>
      <c r="CC72" s="1164" t="str">
        <f t="shared" si="18"/>
        <v/>
      </c>
      <c r="CH72" s="1163">
        <f t="shared" si="19"/>
        <v>1</v>
      </c>
      <c r="CI72" s="1163">
        <f t="shared" si="20"/>
        <v>0</v>
      </c>
      <c r="CJ72" s="1020"/>
      <c r="CK72" s="1020"/>
      <c r="CL72" s="1020"/>
      <c r="CM72" s="1020"/>
    </row>
    <row r="73" spans="1:91" ht="16.350000000000001" customHeight="1" x14ac:dyDescent="0.2">
      <c r="A73" s="2458" t="s">
        <v>3328</v>
      </c>
      <c r="B73" s="5622"/>
      <c r="C73" s="2435" t="s">
        <v>283</v>
      </c>
      <c r="D73" s="2885" t="s">
        <v>2777</v>
      </c>
      <c r="E73" s="2886" t="s">
        <v>2778</v>
      </c>
      <c r="F73" s="2428" t="s">
        <v>2779</v>
      </c>
      <c r="G73" s="173" t="s">
        <v>2780</v>
      </c>
      <c r="H73" s="174" t="s">
        <v>2781</v>
      </c>
      <c r="I73" s="173" t="s">
        <v>2782</v>
      </c>
      <c r="J73" s="174" t="s">
        <v>2783</v>
      </c>
      <c r="K73" s="141" t="s">
        <v>2784</v>
      </c>
      <c r="L73" s="163" t="s">
        <v>2785</v>
      </c>
      <c r="M73" s="141" t="s">
        <v>2786</v>
      </c>
      <c r="N73" s="163" t="s">
        <v>2787</v>
      </c>
      <c r="O73" s="141" t="s">
        <v>2788</v>
      </c>
      <c r="P73" s="163" t="s">
        <v>2789</v>
      </c>
      <c r="Q73" s="141" t="s">
        <v>2790</v>
      </c>
      <c r="R73" s="163" t="s">
        <v>2791</v>
      </c>
      <c r="S73" s="141" t="s">
        <v>2792</v>
      </c>
      <c r="T73" s="163" t="s">
        <v>2793</v>
      </c>
      <c r="U73" s="141" t="s">
        <v>2794</v>
      </c>
      <c r="V73" s="163" t="s">
        <v>2795</v>
      </c>
      <c r="W73" s="141" t="s">
        <v>2796</v>
      </c>
      <c r="X73" s="163" t="s">
        <v>2797</v>
      </c>
      <c r="Y73" s="141" t="s">
        <v>2798</v>
      </c>
      <c r="Z73" s="163" t="s">
        <v>2799</v>
      </c>
      <c r="AA73" s="141" t="s">
        <v>2800</v>
      </c>
      <c r="AB73" s="163" t="s">
        <v>2801</v>
      </c>
      <c r="AC73" s="141" t="s">
        <v>2817</v>
      </c>
      <c r="AD73" s="163" t="s">
        <v>2818</v>
      </c>
      <c r="AE73" s="141" t="s">
        <v>2819</v>
      </c>
      <c r="AF73" s="163" t="s">
        <v>2821</v>
      </c>
      <c r="AG73" s="141" t="s">
        <v>2822</v>
      </c>
      <c r="AH73" s="163" t="s">
        <v>2823</v>
      </c>
      <c r="AI73" s="141" t="s">
        <v>2824</v>
      </c>
      <c r="AJ73" s="163" t="s">
        <v>2825</v>
      </c>
      <c r="AK73" s="141" t="s">
        <v>2826</v>
      </c>
      <c r="AL73" s="163" t="s">
        <v>2827</v>
      </c>
      <c r="AM73" s="141" t="s">
        <v>2831</v>
      </c>
      <c r="AN73" s="163" t="s">
        <v>2832</v>
      </c>
      <c r="AO73" s="285" t="s">
        <v>2833</v>
      </c>
      <c r="AP73" s="1165" t="str">
        <f t="shared" si="16"/>
        <v xml:space="preserve">* El número de Beneficiarios NO DEBE ser mayor que el total. </v>
      </c>
      <c r="AQ73" s="1058"/>
      <c r="AR73" s="1058"/>
      <c r="AS73" s="1058"/>
      <c r="AT73" s="1058"/>
      <c r="AU73" s="1058"/>
      <c r="AV73" s="1058"/>
      <c r="AW73" s="1058"/>
      <c r="AX73" s="1058"/>
      <c r="AY73" s="1058"/>
      <c r="AZ73" s="1058"/>
      <c r="BA73" s="1058"/>
      <c r="BB73" s="94"/>
      <c r="BC73" s="94"/>
      <c r="CB73" s="1031" t="str">
        <f t="shared" si="17"/>
        <v xml:space="preserve">* El número de Beneficiarios NO DEBE ser mayor que el total. </v>
      </c>
      <c r="CC73" s="1164" t="str">
        <f t="shared" si="18"/>
        <v/>
      </c>
      <c r="CH73" s="1163">
        <f t="shared" si="19"/>
        <v>1</v>
      </c>
      <c r="CI73" s="1163">
        <f t="shared" si="20"/>
        <v>0</v>
      </c>
      <c r="CJ73" s="1020"/>
      <c r="CK73" s="1020"/>
      <c r="CL73" s="1020"/>
      <c r="CM73" s="1020"/>
    </row>
    <row r="74" spans="1:91" ht="16.350000000000001" customHeight="1" x14ac:dyDescent="0.2">
      <c r="A74" s="2458" t="s">
        <v>3329</v>
      </c>
      <c r="B74" s="5623"/>
      <c r="C74" s="2436" t="s">
        <v>285</v>
      </c>
      <c r="D74" s="2887" t="s">
        <v>2777</v>
      </c>
      <c r="E74" s="2888" t="s">
        <v>2778</v>
      </c>
      <c r="F74" s="2427" t="s">
        <v>2779</v>
      </c>
      <c r="G74" s="101" t="s">
        <v>2780</v>
      </c>
      <c r="H74" s="169" t="s">
        <v>2781</v>
      </c>
      <c r="I74" s="101" t="s">
        <v>2782</v>
      </c>
      <c r="J74" s="169" t="s">
        <v>2783</v>
      </c>
      <c r="K74" s="166" t="s">
        <v>2784</v>
      </c>
      <c r="L74" s="125" t="s">
        <v>2785</v>
      </c>
      <c r="M74" s="166" t="s">
        <v>2786</v>
      </c>
      <c r="N74" s="125" t="s">
        <v>2787</v>
      </c>
      <c r="O74" s="166" t="s">
        <v>2788</v>
      </c>
      <c r="P74" s="125" t="s">
        <v>2789</v>
      </c>
      <c r="Q74" s="166" t="s">
        <v>2790</v>
      </c>
      <c r="R74" s="125" t="s">
        <v>2791</v>
      </c>
      <c r="S74" s="166" t="s">
        <v>2792</v>
      </c>
      <c r="T74" s="125" t="s">
        <v>2793</v>
      </c>
      <c r="U74" s="166" t="s">
        <v>2794</v>
      </c>
      <c r="V74" s="125" t="s">
        <v>2795</v>
      </c>
      <c r="W74" s="166" t="s">
        <v>2796</v>
      </c>
      <c r="X74" s="125" t="s">
        <v>2797</v>
      </c>
      <c r="Y74" s="166" t="s">
        <v>2798</v>
      </c>
      <c r="Z74" s="125" t="s">
        <v>2799</v>
      </c>
      <c r="AA74" s="166" t="s">
        <v>2800</v>
      </c>
      <c r="AB74" s="125" t="s">
        <v>2801</v>
      </c>
      <c r="AC74" s="166" t="s">
        <v>2817</v>
      </c>
      <c r="AD74" s="125" t="s">
        <v>2818</v>
      </c>
      <c r="AE74" s="166" t="s">
        <v>2819</v>
      </c>
      <c r="AF74" s="125" t="s">
        <v>2821</v>
      </c>
      <c r="AG74" s="166" t="s">
        <v>2822</v>
      </c>
      <c r="AH74" s="125" t="s">
        <v>2823</v>
      </c>
      <c r="AI74" s="166" t="s">
        <v>2824</v>
      </c>
      <c r="AJ74" s="125" t="s">
        <v>2825</v>
      </c>
      <c r="AK74" s="166" t="s">
        <v>2826</v>
      </c>
      <c r="AL74" s="125" t="s">
        <v>2827</v>
      </c>
      <c r="AM74" s="166" t="s">
        <v>2831</v>
      </c>
      <c r="AN74" s="125" t="s">
        <v>2832</v>
      </c>
      <c r="AO74" s="287" t="s">
        <v>2833</v>
      </c>
      <c r="AP74" s="1165" t="str">
        <f t="shared" si="16"/>
        <v xml:space="preserve">* El número de Beneficiarios NO DEBE ser mayor que el total. </v>
      </c>
      <c r="AQ74" s="1058"/>
      <c r="AR74" s="1058"/>
      <c r="AS74" s="1058"/>
      <c r="AT74" s="1058"/>
      <c r="AU74" s="1058"/>
      <c r="AV74" s="1058"/>
      <c r="AW74" s="1058"/>
      <c r="AX74" s="1058"/>
      <c r="AY74" s="1058"/>
      <c r="AZ74" s="1058"/>
      <c r="BA74" s="1058"/>
      <c r="BB74" s="94"/>
      <c r="BC74" s="94"/>
      <c r="CB74" s="1031" t="str">
        <f t="shared" si="17"/>
        <v xml:space="preserve">* El número de Beneficiarios NO DEBE ser mayor que el total. </v>
      </c>
      <c r="CC74" s="1164" t="str">
        <f t="shared" si="18"/>
        <v/>
      </c>
      <c r="CH74" s="1163">
        <f t="shared" si="19"/>
        <v>1</v>
      </c>
      <c r="CI74" s="1163">
        <f t="shared" si="20"/>
        <v>0</v>
      </c>
      <c r="CJ74" s="1020"/>
      <c r="CK74" s="1020"/>
      <c r="CL74" s="1020"/>
      <c r="CM74" s="1020"/>
    </row>
    <row r="75" spans="1:91" ht="31.35" customHeight="1" x14ac:dyDescent="0.2">
      <c r="B75" s="415" t="s">
        <v>451</v>
      </c>
      <c r="C75" s="416"/>
      <c r="D75" s="416"/>
      <c r="E75" s="417"/>
      <c r="F75" s="417"/>
      <c r="G75" s="417"/>
      <c r="H75" s="418"/>
      <c r="I75" s="418"/>
      <c r="J75" s="418"/>
      <c r="K75" s="418"/>
      <c r="L75" s="419"/>
      <c r="M75" s="419"/>
      <c r="N75" s="298"/>
      <c r="O75" s="414"/>
      <c r="P75" s="298"/>
      <c r="Q75" s="298"/>
      <c r="R75" s="298"/>
      <c r="S75" s="298"/>
      <c r="T75" s="298"/>
      <c r="U75" s="298"/>
      <c r="V75" s="298"/>
      <c r="W75" s="414"/>
      <c r="X75" s="298"/>
      <c r="Y75" s="298"/>
      <c r="Z75" s="298"/>
      <c r="AA75" s="298"/>
      <c r="AB75" s="298"/>
      <c r="AC75" s="298"/>
      <c r="AD75" s="298"/>
      <c r="AE75" s="298"/>
      <c r="AF75" s="298"/>
      <c r="AG75" s="298"/>
      <c r="AH75" s="298"/>
      <c r="AI75" s="298"/>
      <c r="AJ75" s="298"/>
      <c r="AK75" s="298"/>
      <c r="AL75" s="298"/>
      <c r="AM75" s="298"/>
      <c r="AN75" s="298"/>
      <c r="AO75" s="298"/>
      <c r="AP75" s="922"/>
      <c r="AQ75" s="922"/>
      <c r="AR75" s="94"/>
      <c r="AS75" s="94"/>
      <c r="AT75" s="94"/>
      <c r="AU75" s="94"/>
      <c r="AV75" s="94"/>
      <c r="AW75" s="94"/>
      <c r="AX75" s="94"/>
      <c r="AY75" s="94"/>
      <c r="AZ75" s="94"/>
      <c r="BA75" s="94"/>
      <c r="BB75" s="94"/>
      <c r="BC75" s="94"/>
      <c r="CH75" s="1020"/>
      <c r="CI75" s="1020"/>
      <c r="CJ75" s="1020"/>
      <c r="CK75" s="1020"/>
      <c r="CL75" s="1020"/>
      <c r="CM75" s="1020"/>
    </row>
    <row r="76" spans="1:91" ht="31.35" customHeight="1" x14ac:dyDescent="0.2">
      <c r="B76" s="5763" t="s">
        <v>452</v>
      </c>
      <c r="C76" s="5763"/>
      <c r="D76" s="5761" t="s">
        <v>453</v>
      </c>
      <c r="E76" s="5761"/>
      <c r="F76" s="5761" t="s">
        <v>454</v>
      </c>
      <c r="G76" s="5769"/>
      <c r="H76" s="5760" t="s">
        <v>455</v>
      </c>
      <c r="I76" s="5761"/>
      <c r="J76" s="5760" t="s">
        <v>456</v>
      </c>
      <c r="K76" s="5761"/>
      <c r="L76" s="299"/>
      <c r="M76" s="298"/>
      <c r="N76" s="298"/>
      <c r="O76" s="298"/>
      <c r="P76" s="298"/>
      <c r="Q76" s="298"/>
      <c r="R76" s="298"/>
      <c r="S76" s="298"/>
      <c r="T76" s="298"/>
      <c r="U76" s="298"/>
      <c r="V76" s="298"/>
      <c r="W76" s="298"/>
      <c r="X76" s="298"/>
      <c r="Y76" s="420"/>
      <c r="Z76" s="289"/>
      <c r="AA76" s="289"/>
      <c r="AB76" s="289"/>
      <c r="AC76" s="289"/>
      <c r="AD76" s="289"/>
      <c r="AE76" s="298"/>
      <c r="AF76" s="298"/>
      <c r="AG76" s="298"/>
      <c r="AH76" s="298"/>
      <c r="AI76" s="298"/>
      <c r="AJ76" s="298"/>
      <c r="AK76" s="298"/>
      <c r="AL76" s="298"/>
      <c r="AM76" s="298"/>
      <c r="AN76" s="298"/>
      <c r="AO76" s="298"/>
      <c r="AP76" s="922"/>
      <c r="AQ76" s="922"/>
      <c r="AR76" s="94"/>
      <c r="AS76" s="94"/>
      <c r="AT76" s="94"/>
      <c r="AU76" s="94"/>
      <c r="AV76" s="94"/>
      <c r="AW76" s="94"/>
      <c r="AX76" s="94"/>
      <c r="AY76" s="94"/>
      <c r="AZ76" s="94"/>
      <c r="BA76" s="94"/>
      <c r="BB76" s="94"/>
      <c r="BC76" s="94"/>
      <c r="CH76" s="1020"/>
      <c r="CI76" s="1020"/>
      <c r="CJ76" s="1020"/>
      <c r="CK76" s="1020"/>
      <c r="CL76" s="1020"/>
      <c r="CM76" s="1020"/>
    </row>
    <row r="77" spans="1:91" ht="31.35" customHeight="1" x14ac:dyDescent="0.2">
      <c r="B77" s="5764"/>
      <c r="C77" s="5764"/>
      <c r="D77" s="421" t="s">
        <v>457</v>
      </c>
      <c r="E77" s="422" t="s">
        <v>458</v>
      </c>
      <c r="F77" s="421" t="s">
        <v>457</v>
      </c>
      <c r="G77" s="423" t="s">
        <v>458</v>
      </c>
      <c r="H77" s="424" t="s">
        <v>457</v>
      </c>
      <c r="I77" s="422" t="s">
        <v>458</v>
      </c>
      <c r="J77" s="424" t="s">
        <v>457</v>
      </c>
      <c r="K77" s="422" t="s">
        <v>458</v>
      </c>
      <c r="L77" s="136"/>
      <c r="M77" s="298"/>
      <c r="N77" s="298"/>
      <c r="O77" s="298"/>
      <c r="P77" s="298"/>
      <c r="Q77" s="298"/>
      <c r="R77" s="298"/>
      <c r="S77" s="298"/>
      <c r="T77" s="298"/>
      <c r="U77" s="298"/>
      <c r="V77" s="298"/>
      <c r="W77" s="298"/>
      <c r="X77" s="298"/>
      <c r="Y77" s="420"/>
      <c r="Z77" s="289"/>
      <c r="AA77" s="289"/>
      <c r="AB77" s="289"/>
      <c r="AC77" s="289"/>
      <c r="AD77" s="289"/>
      <c r="AE77" s="298"/>
      <c r="AF77" s="298"/>
      <c r="AG77" s="298"/>
      <c r="AH77" s="298"/>
      <c r="AI77" s="298"/>
      <c r="AJ77" s="298"/>
      <c r="AK77" s="298"/>
      <c r="AL77" s="298"/>
      <c r="AM77" s="298"/>
      <c r="AN77" s="298"/>
      <c r="AO77" s="298"/>
      <c r="AP77" s="922"/>
      <c r="AQ77" s="922"/>
      <c r="AR77" s="94"/>
      <c r="AS77" s="94"/>
      <c r="AT77" s="94"/>
      <c r="AU77" s="94"/>
      <c r="AV77" s="94"/>
      <c r="AW77" s="94"/>
      <c r="AX77" s="94"/>
      <c r="AY77" s="94"/>
      <c r="AZ77" s="94"/>
      <c r="BA77" s="94"/>
      <c r="BB77" s="94"/>
      <c r="BC77" s="94"/>
      <c r="CH77" s="1020"/>
      <c r="CI77" s="1020"/>
      <c r="CJ77" s="1020"/>
      <c r="CK77" s="1020"/>
      <c r="CL77" s="1020"/>
      <c r="CM77" s="1020"/>
    </row>
    <row r="78" spans="1:91" ht="16.350000000000001" customHeight="1" x14ac:dyDescent="0.2">
      <c r="A78" s="2458" t="s">
        <v>3330</v>
      </c>
      <c r="B78" s="5756" t="s">
        <v>459</v>
      </c>
      <c r="C78" s="5756"/>
      <c r="D78" s="2891" t="s">
        <v>2777</v>
      </c>
      <c r="E78" s="2892" t="s">
        <v>2778</v>
      </c>
      <c r="F78" s="2891" t="s">
        <v>2779</v>
      </c>
      <c r="G78" s="2893" t="s">
        <v>2780</v>
      </c>
      <c r="H78" s="2894" t="s">
        <v>2781</v>
      </c>
      <c r="I78" s="2892" t="s">
        <v>2782</v>
      </c>
      <c r="J78" s="2894" t="s">
        <v>2783</v>
      </c>
      <c r="K78" s="2892" t="s">
        <v>2784</v>
      </c>
      <c r="L78" s="136"/>
      <c r="M78" s="298"/>
      <c r="N78" s="298"/>
      <c r="O78" s="298"/>
      <c r="P78" s="298"/>
      <c r="Q78" s="298"/>
      <c r="R78" s="298"/>
      <c r="S78" s="298"/>
      <c r="T78" s="298"/>
      <c r="U78" s="298"/>
      <c r="V78" s="298"/>
      <c r="W78" s="298"/>
      <c r="X78" s="298"/>
      <c r="Y78" s="420"/>
      <c r="Z78" s="289"/>
      <c r="AA78" s="289"/>
      <c r="AB78" s="289"/>
      <c r="AC78" s="289"/>
      <c r="AD78" s="289"/>
      <c r="AE78" s="298"/>
      <c r="AF78" s="298"/>
      <c r="AG78" s="298"/>
      <c r="AH78" s="298"/>
      <c r="AI78" s="298"/>
      <c r="AJ78" s="298"/>
      <c r="AK78" s="298"/>
      <c r="AL78" s="298"/>
      <c r="AM78" s="298"/>
      <c r="AN78" s="298"/>
      <c r="AO78" s="298"/>
      <c r="AP78" s="922"/>
      <c r="AQ78" s="922"/>
      <c r="AR78" s="94"/>
      <c r="AS78" s="94"/>
      <c r="AT78" s="94"/>
      <c r="AU78" s="94"/>
      <c r="AV78" s="94"/>
      <c r="AW78" s="94"/>
      <c r="AX78" s="94"/>
      <c r="AY78" s="94"/>
      <c r="AZ78" s="94"/>
      <c r="BA78" s="94"/>
      <c r="BB78" s="94"/>
      <c r="BC78" s="94"/>
      <c r="CH78" s="1020"/>
      <c r="CI78" s="1020"/>
      <c r="CJ78" s="1020"/>
      <c r="CK78" s="1020"/>
      <c r="CL78" s="1020"/>
      <c r="CM78" s="1020"/>
    </row>
    <row r="79" spans="1:91" ht="16.350000000000001" customHeight="1" x14ac:dyDescent="0.2">
      <c r="A79" s="2458" t="s">
        <v>3331</v>
      </c>
      <c r="B79" s="5767" t="s">
        <v>460</v>
      </c>
      <c r="C79" s="5767"/>
      <c r="D79" s="425" t="s">
        <v>2777</v>
      </c>
      <c r="E79" s="426" t="s">
        <v>2778</v>
      </c>
      <c r="F79" s="425" t="s">
        <v>2779</v>
      </c>
      <c r="G79" s="427" t="s">
        <v>2780</v>
      </c>
      <c r="H79" s="428" t="s">
        <v>2781</v>
      </c>
      <c r="I79" s="426" t="s">
        <v>2782</v>
      </c>
      <c r="J79" s="428" t="s">
        <v>2783</v>
      </c>
      <c r="K79" s="426" t="s">
        <v>2784</v>
      </c>
      <c r="L79" s="136"/>
      <c r="M79" s="298"/>
      <c r="N79" s="298"/>
      <c r="O79" s="298"/>
      <c r="P79" s="298"/>
      <c r="Q79" s="298"/>
      <c r="R79" s="298"/>
      <c r="S79" s="298"/>
      <c r="T79" s="298"/>
      <c r="U79" s="298"/>
      <c r="V79" s="298"/>
      <c r="W79" s="298"/>
      <c r="X79" s="298"/>
      <c r="Y79" s="420"/>
      <c r="Z79" s="289"/>
      <c r="AA79" s="289"/>
      <c r="AB79" s="289"/>
      <c r="AC79" s="289"/>
      <c r="AD79" s="289"/>
      <c r="AE79" s="298"/>
      <c r="AF79" s="298"/>
      <c r="AG79" s="298"/>
      <c r="AH79" s="298"/>
      <c r="AI79" s="298"/>
      <c r="AJ79" s="298"/>
      <c r="AK79" s="298"/>
      <c r="AL79" s="298"/>
      <c r="AM79" s="298"/>
      <c r="AN79" s="298"/>
      <c r="AO79" s="298"/>
      <c r="AP79" s="922"/>
      <c r="AQ79" s="922"/>
      <c r="AR79" s="94"/>
      <c r="AS79" s="94"/>
      <c r="AT79" s="94"/>
      <c r="AU79" s="94"/>
      <c r="AV79" s="94"/>
      <c r="AW79" s="94"/>
      <c r="AX79" s="94"/>
      <c r="AY79" s="94"/>
      <c r="AZ79" s="94"/>
      <c r="BA79" s="94"/>
      <c r="BB79" s="94"/>
      <c r="BC79" s="94"/>
      <c r="CH79" s="1020"/>
      <c r="CI79" s="1020"/>
      <c r="CJ79" s="1020"/>
      <c r="CK79" s="1020"/>
      <c r="CL79" s="1020"/>
      <c r="CM79" s="1020"/>
    </row>
    <row r="80" spans="1:91" ht="16.350000000000001" customHeight="1" x14ac:dyDescent="0.2">
      <c r="A80" s="2458" t="s">
        <v>3332</v>
      </c>
      <c r="B80" s="5767" t="s">
        <v>461</v>
      </c>
      <c r="C80" s="5767"/>
      <c r="D80" s="425" t="s">
        <v>2777</v>
      </c>
      <c r="E80" s="426" t="s">
        <v>2778</v>
      </c>
      <c r="F80" s="425" t="s">
        <v>2779</v>
      </c>
      <c r="G80" s="427" t="s">
        <v>2780</v>
      </c>
      <c r="H80" s="428" t="s">
        <v>2781</v>
      </c>
      <c r="I80" s="426" t="s">
        <v>2782</v>
      </c>
      <c r="J80" s="428" t="s">
        <v>2783</v>
      </c>
      <c r="K80" s="426" t="s">
        <v>2784</v>
      </c>
      <c r="L80" s="136"/>
      <c r="M80" s="298"/>
      <c r="N80" s="298"/>
      <c r="O80" s="298"/>
      <c r="P80" s="298"/>
      <c r="Q80" s="298"/>
      <c r="R80" s="298"/>
      <c r="S80" s="298"/>
      <c r="T80" s="298"/>
      <c r="U80" s="298"/>
      <c r="V80" s="298"/>
      <c r="W80" s="298"/>
      <c r="X80" s="298"/>
      <c r="Y80" s="420"/>
      <c r="Z80" s="289"/>
      <c r="AA80" s="289"/>
      <c r="AB80" s="289"/>
      <c r="AC80" s="289"/>
      <c r="AD80" s="289"/>
      <c r="AE80" s="298"/>
      <c r="AF80" s="298"/>
      <c r="AG80" s="298"/>
      <c r="AH80" s="298"/>
      <c r="AI80" s="298"/>
      <c r="AJ80" s="298"/>
      <c r="AK80" s="298"/>
      <c r="AL80" s="298"/>
      <c r="AM80" s="298"/>
      <c r="AN80" s="298"/>
      <c r="AO80" s="298"/>
      <c r="AP80" s="922"/>
      <c r="AQ80" s="922"/>
      <c r="AR80" s="94"/>
      <c r="AS80" s="94"/>
      <c r="AT80" s="94"/>
      <c r="AU80" s="94"/>
      <c r="AV80" s="94"/>
      <c r="AW80" s="94"/>
      <c r="AX80" s="94"/>
      <c r="AY80" s="94"/>
      <c r="AZ80" s="94"/>
      <c r="BA80" s="94"/>
      <c r="BB80" s="94"/>
      <c r="BC80" s="94"/>
      <c r="CH80" s="1020"/>
      <c r="CI80" s="1020"/>
      <c r="CJ80" s="1020"/>
      <c r="CK80" s="1020"/>
      <c r="CL80" s="1020"/>
      <c r="CM80" s="1020"/>
    </row>
    <row r="81" spans="1:91" ht="16.350000000000001" customHeight="1" x14ac:dyDescent="0.2">
      <c r="A81" s="2458" t="s">
        <v>3333</v>
      </c>
      <c r="B81" s="5768" t="s">
        <v>462</v>
      </c>
      <c r="C81" s="5768"/>
      <c r="D81" s="166" t="s">
        <v>2777</v>
      </c>
      <c r="E81" s="104" t="s">
        <v>2778</v>
      </c>
      <c r="F81" s="166" t="s">
        <v>2779</v>
      </c>
      <c r="G81" s="429" t="s">
        <v>2780</v>
      </c>
      <c r="H81" s="126" t="s">
        <v>2781</v>
      </c>
      <c r="I81" s="104" t="s">
        <v>2782</v>
      </c>
      <c r="J81" s="126" t="s">
        <v>2783</v>
      </c>
      <c r="K81" s="104" t="s">
        <v>2784</v>
      </c>
      <c r="L81" s="136"/>
      <c r="M81" s="298"/>
      <c r="N81" s="298"/>
      <c r="O81" s="298"/>
      <c r="P81" s="298"/>
      <c r="Q81" s="298"/>
      <c r="R81" s="298"/>
      <c r="S81" s="298"/>
      <c r="T81" s="298"/>
      <c r="U81" s="298"/>
      <c r="V81" s="298"/>
      <c r="W81" s="298"/>
      <c r="X81" s="298"/>
      <c r="Y81" s="420"/>
      <c r="Z81" s="289"/>
      <c r="AA81" s="289"/>
      <c r="AB81" s="289"/>
      <c r="AC81" s="289"/>
      <c r="AD81" s="289"/>
      <c r="AE81" s="298"/>
      <c r="AF81" s="298"/>
      <c r="AG81" s="298"/>
      <c r="AH81" s="298"/>
      <c r="AI81" s="298"/>
      <c r="AJ81" s="298"/>
      <c r="AK81" s="298"/>
      <c r="AL81" s="298"/>
      <c r="AM81" s="298"/>
      <c r="AN81" s="298"/>
      <c r="AO81" s="298"/>
      <c r="AP81" s="922"/>
      <c r="AQ81" s="922"/>
      <c r="AR81" s="94"/>
      <c r="AS81" s="94"/>
      <c r="AT81" s="94"/>
      <c r="AU81" s="94"/>
      <c r="AV81" s="94"/>
      <c r="AW81" s="94"/>
      <c r="AX81" s="94"/>
      <c r="AY81" s="94"/>
      <c r="AZ81" s="94"/>
      <c r="BA81" s="94"/>
      <c r="BB81" s="94"/>
      <c r="BC81" s="94"/>
      <c r="CH81" s="1020"/>
      <c r="CI81" s="1020"/>
      <c r="CJ81" s="1020"/>
      <c r="CK81" s="1020"/>
      <c r="CL81" s="1020"/>
      <c r="CM81" s="1020"/>
    </row>
    <row r="82" spans="1:91" ht="31.35" customHeight="1" x14ac:dyDescent="0.2">
      <c r="B82" s="959" t="s">
        <v>467</v>
      </c>
      <c r="C82" s="430"/>
      <c r="D82" s="430"/>
      <c r="E82" s="430"/>
      <c r="F82" s="431"/>
      <c r="G82" s="431"/>
      <c r="H82" s="431"/>
      <c r="I82" s="431"/>
      <c r="J82" s="431"/>
      <c r="K82" s="431"/>
      <c r="L82" s="432"/>
      <c r="M82" s="431"/>
      <c r="N82" s="413"/>
      <c r="O82" s="413"/>
      <c r="P82" s="298"/>
      <c r="Q82" s="298"/>
      <c r="R82" s="298"/>
      <c r="S82" s="298"/>
      <c r="T82" s="298"/>
      <c r="U82" s="298"/>
      <c r="V82" s="298"/>
      <c r="W82" s="420"/>
      <c r="X82" s="433"/>
      <c r="Y82" s="300"/>
      <c r="Z82" s="300"/>
      <c r="AA82" s="300"/>
      <c r="AB82" s="300"/>
      <c r="AC82" s="300"/>
      <c r="AD82" s="300"/>
      <c r="AE82" s="298"/>
      <c r="AF82" s="298"/>
      <c r="AG82" s="298"/>
      <c r="AH82" s="298"/>
      <c r="AI82" s="300"/>
      <c r="AJ82" s="300"/>
      <c r="AK82" s="300"/>
      <c r="AL82" s="300"/>
      <c r="AM82" s="298"/>
      <c r="AN82" s="298"/>
      <c r="AO82" s="298"/>
      <c r="AP82" s="298"/>
      <c r="AQ82" s="298"/>
      <c r="CH82" s="1020"/>
      <c r="CI82" s="1020"/>
      <c r="CJ82" s="1020"/>
      <c r="CK82" s="1020"/>
      <c r="CL82" s="1020"/>
      <c r="CM82" s="1020"/>
    </row>
    <row r="83" spans="1:91" ht="24.6" customHeight="1" x14ac:dyDescent="0.2">
      <c r="B83" s="5763" t="s">
        <v>148</v>
      </c>
      <c r="C83" s="5763" t="s">
        <v>468</v>
      </c>
      <c r="D83" s="5765" t="s">
        <v>893</v>
      </c>
      <c r="E83" s="5706" t="s">
        <v>1236</v>
      </c>
      <c r="F83" s="919"/>
      <c r="G83" s="434"/>
      <c r="H83" s="435"/>
      <c r="I83" s="435"/>
      <c r="J83" s="298"/>
      <c r="K83" s="298"/>
      <c r="L83" s="298"/>
      <c r="M83" s="298"/>
      <c r="N83" s="298"/>
      <c r="O83" s="298"/>
      <c r="P83" s="298"/>
      <c r="Q83" s="298"/>
      <c r="R83" s="414"/>
      <c r="S83" s="298"/>
      <c r="T83" s="298"/>
      <c r="U83" s="298"/>
      <c r="V83" s="327"/>
      <c r="W83" s="436"/>
      <c r="X83" s="436"/>
      <c r="Y83" s="332"/>
      <c r="Z83" s="332"/>
      <c r="AA83" s="307"/>
      <c r="AB83" s="307"/>
      <c r="AC83" s="307"/>
      <c r="AD83" s="298"/>
      <c r="AE83" s="298"/>
      <c r="AF83" s="298"/>
      <c r="AG83" s="298"/>
      <c r="AH83" s="327"/>
      <c r="AI83" s="436"/>
      <c r="AJ83" s="436"/>
      <c r="AK83" s="436"/>
      <c r="AL83" s="321"/>
      <c r="CH83" s="1020"/>
      <c r="CI83" s="1020"/>
      <c r="CJ83" s="1020"/>
      <c r="CK83" s="1020"/>
      <c r="CL83" s="1020"/>
      <c r="CM83" s="1020"/>
    </row>
    <row r="84" spans="1:91" ht="15" x14ac:dyDescent="0.2">
      <c r="B84" s="5764"/>
      <c r="C84" s="5764"/>
      <c r="D84" s="5766"/>
      <c r="E84" s="5708"/>
      <c r="F84" s="190"/>
      <c r="G84" s="298"/>
      <c r="H84" s="298"/>
      <c r="I84" s="437"/>
      <c r="J84" s="419"/>
      <c r="K84" s="419"/>
      <c r="L84" s="298"/>
      <c r="M84" s="298"/>
      <c r="N84" s="298"/>
      <c r="O84" s="298"/>
      <c r="P84" s="298"/>
      <c r="Q84" s="298"/>
      <c r="R84" s="298"/>
      <c r="S84" s="298"/>
      <c r="T84" s="414"/>
      <c r="U84" s="298"/>
      <c r="V84" s="298"/>
      <c r="W84" s="300"/>
      <c r="X84" s="436"/>
      <c r="Y84" s="436"/>
      <c r="Z84" s="436"/>
      <c r="AA84" s="436"/>
      <c r="AB84" s="436"/>
      <c r="AC84" s="300"/>
      <c r="AD84" s="298"/>
      <c r="AE84" s="298"/>
      <c r="AF84" s="298"/>
      <c r="AG84" s="298"/>
      <c r="AH84" s="298"/>
      <c r="AI84" s="300"/>
      <c r="AJ84" s="436"/>
      <c r="AK84" s="436"/>
      <c r="AL84" s="321"/>
      <c r="CH84" s="1020"/>
      <c r="CI84" s="1020"/>
      <c r="CJ84" s="1020"/>
      <c r="CK84" s="1020"/>
      <c r="CL84" s="1020"/>
      <c r="CM84" s="1020"/>
    </row>
    <row r="85" spans="1:91" ht="16.350000000000001" customHeight="1" x14ac:dyDescent="0.2">
      <c r="A85" s="2458" t="s">
        <v>3334</v>
      </c>
      <c r="B85" s="2895" t="s">
        <v>464</v>
      </c>
      <c r="C85" s="2897" t="s">
        <v>2777</v>
      </c>
      <c r="D85" s="2898" t="s">
        <v>2778</v>
      </c>
      <c r="E85" s="2899" t="s">
        <v>2779</v>
      </c>
      <c r="F85" s="190"/>
      <c r="G85" s="298"/>
      <c r="H85" s="298"/>
      <c r="I85" s="437"/>
      <c r="J85" s="419"/>
      <c r="K85" s="419"/>
      <c r="L85" s="298"/>
      <c r="M85" s="298"/>
      <c r="N85" s="298"/>
      <c r="O85" s="298"/>
      <c r="P85" s="298"/>
      <c r="Q85" s="298"/>
      <c r="R85" s="298"/>
      <c r="S85" s="298"/>
      <c r="T85" s="414"/>
      <c r="U85" s="298"/>
      <c r="V85" s="298"/>
      <c r="W85" s="300"/>
      <c r="X85" s="436"/>
      <c r="Y85" s="436"/>
      <c r="Z85" s="436"/>
      <c r="AA85" s="436"/>
      <c r="AB85" s="436"/>
      <c r="AC85" s="300"/>
      <c r="AD85" s="298"/>
      <c r="AE85" s="298"/>
      <c r="AF85" s="298"/>
      <c r="AG85" s="298"/>
      <c r="AH85" s="298"/>
      <c r="AI85" s="300"/>
      <c r="AJ85" s="436"/>
      <c r="AK85" s="436"/>
      <c r="AL85" s="321"/>
      <c r="CH85" s="1020"/>
      <c r="CI85" s="1020"/>
      <c r="CJ85" s="1020"/>
      <c r="CK85" s="1020"/>
      <c r="CL85" s="1020"/>
      <c r="CM85" s="1020"/>
    </row>
    <row r="86" spans="1:91" ht="27.75" customHeight="1" x14ac:dyDescent="0.2">
      <c r="A86" s="2549" t="s">
        <v>3335</v>
      </c>
      <c r="B86" s="438" t="s">
        <v>465</v>
      </c>
      <c r="C86" s="2900" t="s">
        <v>2777</v>
      </c>
      <c r="D86" s="2901" t="s">
        <v>2778</v>
      </c>
      <c r="E86" s="2902" t="s">
        <v>2779</v>
      </c>
      <c r="F86" s="190"/>
      <c r="G86" s="298"/>
      <c r="H86" s="298"/>
      <c r="I86" s="437"/>
      <c r="J86" s="419"/>
      <c r="K86" s="419"/>
      <c r="L86" s="298"/>
      <c r="M86" s="298"/>
      <c r="N86" s="298"/>
      <c r="O86" s="298"/>
      <c r="P86" s="298"/>
      <c r="Q86" s="298"/>
      <c r="R86" s="298"/>
      <c r="S86" s="298"/>
      <c r="T86" s="414"/>
      <c r="U86" s="298"/>
      <c r="V86" s="298"/>
      <c r="W86" s="300"/>
      <c r="X86" s="436"/>
      <c r="Y86" s="436"/>
      <c r="Z86" s="436"/>
      <c r="AA86" s="436"/>
      <c r="AB86" s="436"/>
      <c r="AC86" s="300"/>
      <c r="AD86" s="298"/>
      <c r="AE86" s="298"/>
      <c r="AF86" s="298"/>
      <c r="AG86" s="298"/>
      <c r="AH86" s="298"/>
      <c r="AI86" s="300"/>
      <c r="AJ86" s="436"/>
      <c r="AK86" s="436"/>
      <c r="AL86" s="321"/>
      <c r="CH86" s="1020"/>
      <c r="CI86" s="1020"/>
      <c r="CJ86" s="1020"/>
      <c r="CK86" s="1020"/>
      <c r="CL86" s="1020"/>
      <c r="CM86" s="1020"/>
    </row>
    <row r="87" spans="1:91" ht="27.75" customHeight="1" x14ac:dyDescent="0.2">
      <c r="A87" s="2549" t="s">
        <v>3336</v>
      </c>
      <c r="B87" s="438" t="s">
        <v>466</v>
      </c>
      <c r="C87" s="2900" t="s">
        <v>2777</v>
      </c>
      <c r="D87" s="2901" t="s">
        <v>2778</v>
      </c>
      <c r="E87" s="2902" t="s">
        <v>2779</v>
      </c>
      <c r="F87" s="190"/>
      <c r="G87" s="298"/>
      <c r="H87" s="298"/>
      <c r="I87" s="437"/>
      <c r="J87" s="419"/>
      <c r="K87" s="419"/>
      <c r="L87" s="298"/>
      <c r="M87" s="298"/>
      <c r="N87" s="298"/>
      <c r="O87" s="298"/>
      <c r="P87" s="298"/>
      <c r="Q87" s="298"/>
      <c r="R87" s="298"/>
      <c r="S87" s="298"/>
      <c r="T87" s="414"/>
      <c r="U87" s="298"/>
      <c r="V87" s="298"/>
      <c r="W87" s="300"/>
      <c r="X87" s="436"/>
      <c r="Y87" s="436"/>
      <c r="Z87" s="436"/>
      <c r="AA87" s="436"/>
      <c r="AB87" s="436"/>
      <c r="AC87" s="300"/>
      <c r="AD87" s="298"/>
      <c r="AE87" s="298"/>
      <c r="AF87" s="298"/>
      <c r="AG87" s="298"/>
      <c r="AH87" s="298"/>
      <c r="AI87" s="300"/>
      <c r="AJ87" s="436"/>
      <c r="AK87" s="436"/>
      <c r="AL87" s="321"/>
      <c r="CH87" s="1020"/>
      <c r="CI87" s="1020"/>
      <c r="CJ87" s="1020"/>
      <c r="CK87" s="1020"/>
      <c r="CL87" s="1020"/>
      <c r="CM87" s="1020"/>
    </row>
    <row r="88" spans="1:91" ht="18" customHeight="1" x14ac:dyDescent="0.2">
      <c r="A88" s="2549" t="s">
        <v>3337</v>
      </c>
      <c r="B88" s="440" t="s">
        <v>984</v>
      </c>
      <c r="C88" s="2900" t="s">
        <v>2777</v>
      </c>
      <c r="D88" s="2901" t="s">
        <v>2778</v>
      </c>
      <c r="E88" s="2902" t="s">
        <v>2779</v>
      </c>
      <c r="F88" s="190"/>
      <c r="G88" s="298"/>
      <c r="H88" s="298"/>
      <c r="I88" s="437"/>
      <c r="J88" s="419"/>
      <c r="K88" s="419"/>
      <c r="L88" s="298"/>
      <c r="M88" s="298"/>
      <c r="N88" s="298"/>
      <c r="O88" s="298"/>
      <c r="P88" s="298"/>
      <c r="Q88" s="298"/>
      <c r="R88" s="298"/>
      <c r="S88" s="298"/>
      <c r="T88" s="414"/>
      <c r="U88" s="298"/>
      <c r="V88" s="298"/>
      <c r="W88" s="300"/>
      <c r="X88" s="436"/>
      <c r="Y88" s="436"/>
      <c r="Z88" s="436"/>
      <c r="AA88" s="436"/>
      <c r="AB88" s="436"/>
      <c r="AC88" s="300"/>
      <c r="AD88" s="298"/>
      <c r="AE88" s="298"/>
      <c r="AF88" s="298"/>
      <c r="AG88" s="298"/>
      <c r="AH88" s="298"/>
      <c r="AI88" s="300"/>
      <c r="AJ88" s="436"/>
      <c r="AK88" s="436"/>
      <c r="AL88" s="321"/>
      <c r="CH88" s="1020"/>
      <c r="CI88" s="1020"/>
      <c r="CJ88" s="1020"/>
      <c r="CK88" s="1020"/>
      <c r="CL88" s="1020"/>
      <c r="CM88" s="1020"/>
    </row>
    <row r="89" spans="1:91" ht="27.75" customHeight="1" x14ac:dyDescent="0.2">
      <c r="A89" s="2549" t="s">
        <v>3338</v>
      </c>
      <c r="B89" s="2439" t="s">
        <v>1247</v>
      </c>
      <c r="C89" s="2900" t="s">
        <v>2777</v>
      </c>
      <c r="D89" s="2901" t="s">
        <v>2778</v>
      </c>
      <c r="E89" s="2902" t="s">
        <v>2779</v>
      </c>
      <c r="F89" s="190"/>
      <c r="G89" s="298"/>
      <c r="H89" s="298"/>
      <c r="I89" s="437"/>
      <c r="J89" s="419"/>
      <c r="K89" s="419"/>
      <c r="L89" s="298"/>
      <c r="M89" s="298"/>
      <c r="N89" s="298"/>
      <c r="O89" s="298"/>
      <c r="P89" s="298"/>
      <c r="Q89" s="298"/>
      <c r="R89" s="298"/>
      <c r="S89" s="298"/>
      <c r="T89" s="414"/>
      <c r="U89" s="298"/>
      <c r="V89" s="298"/>
      <c r="W89" s="300"/>
      <c r="X89" s="436"/>
      <c r="Y89" s="436"/>
      <c r="Z89" s="436"/>
      <c r="AA89" s="436"/>
      <c r="AB89" s="436"/>
      <c r="AC89" s="300"/>
      <c r="AD89" s="298"/>
      <c r="AE89" s="298"/>
      <c r="AF89" s="298"/>
      <c r="AG89" s="298"/>
      <c r="AH89" s="298"/>
      <c r="AI89" s="300"/>
      <c r="AJ89" s="436"/>
      <c r="AK89" s="436"/>
      <c r="AL89" s="321"/>
      <c r="CH89" s="1020"/>
      <c r="CI89" s="1020"/>
      <c r="CJ89" s="1020"/>
      <c r="CK89" s="1020"/>
      <c r="CL89" s="1020"/>
      <c r="CM89" s="1020"/>
    </row>
    <row r="90" spans="1:91" ht="27.75" customHeight="1" x14ac:dyDescent="0.2">
      <c r="A90" s="2549" t="s">
        <v>3339</v>
      </c>
      <c r="B90" s="2439" t="s">
        <v>1248</v>
      </c>
      <c r="C90" s="2903" t="s">
        <v>2777</v>
      </c>
      <c r="D90" s="2901" t="s">
        <v>2778</v>
      </c>
      <c r="E90" s="2902" t="s">
        <v>2779</v>
      </c>
      <c r="F90" s="190"/>
      <c r="G90" s="298"/>
      <c r="H90" s="298"/>
      <c r="I90" s="437"/>
      <c r="J90" s="419"/>
      <c r="K90" s="419"/>
      <c r="L90" s="298"/>
      <c r="M90" s="298"/>
      <c r="N90" s="298"/>
      <c r="O90" s="298"/>
      <c r="P90" s="298"/>
      <c r="Q90" s="298"/>
      <c r="R90" s="298"/>
      <c r="S90" s="298"/>
      <c r="T90" s="414"/>
      <c r="U90" s="298"/>
      <c r="V90" s="298"/>
      <c r="W90" s="300"/>
      <c r="X90" s="436"/>
      <c r="Y90" s="436"/>
      <c r="Z90" s="436"/>
      <c r="AA90" s="436"/>
      <c r="AB90" s="436"/>
      <c r="AC90" s="300"/>
      <c r="AD90" s="298"/>
      <c r="AE90" s="298"/>
      <c r="AF90" s="298"/>
      <c r="AG90" s="298"/>
      <c r="AH90" s="298"/>
      <c r="AI90" s="300"/>
      <c r="AJ90" s="436"/>
      <c r="AK90" s="441"/>
      <c r="AL90" s="442"/>
      <c r="CH90" s="1020"/>
      <c r="CI90" s="1020"/>
      <c r="CJ90" s="1020"/>
      <c r="CK90" s="1020"/>
      <c r="CL90" s="1020"/>
      <c r="CM90" s="1020"/>
    </row>
    <row r="91" spans="1:91" ht="27.75" customHeight="1" x14ac:dyDescent="0.2">
      <c r="A91" s="2549" t="s">
        <v>3340</v>
      </c>
      <c r="B91" s="2896" t="s">
        <v>1249</v>
      </c>
      <c r="C91" s="2904" t="s">
        <v>2777</v>
      </c>
      <c r="D91" s="2905" t="s">
        <v>2778</v>
      </c>
      <c r="E91" s="2906" t="s">
        <v>2779</v>
      </c>
      <c r="F91" s="190"/>
      <c r="G91" s="298"/>
      <c r="H91" s="298"/>
      <c r="I91" s="437"/>
      <c r="J91" s="419"/>
      <c r="K91" s="419"/>
      <c r="L91" s="298"/>
      <c r="M91" s="298"/>
      <c r="N91" s="298"/>
      <c r="O91" s="298"/>
      <c r="P91" s="298"/>
      <c r="Q91" s="298"/>
      <c r="R91" s="298"/>
      <c r="S91" s="298"/>
      <c r="T91" s="414"/>
      <c r="U91" s="298"/>
      <c r="V91" s="298"/>
      <c r="W91" s="300"/>
      <c r="X91" s="436"/>
      <c r="Y91" s="436"/>
      <c r="Z91" s="436"/>
      <c r="AA91" s="436"/>
      <c r="AB91" s="436"/>
      <c r="AC91" s="300"/>
      <c r="AD91" s="298"/>
      <c r="AE91" s="298"/>
      <c r="AF91" s="298"/>
      <c r="AG91" s="298"/>
      <c r="AH91" s="298"/>
      <c r="AI91" s="300"/>
      <c r="AJ91" s="444"/>
      <c r="AK91" s="436"/>
      <c r="AL91" s="321"/>
      <c r="AM91" s="321"/>
      <c r="AN91" s="321"/>
      <c r="AO91" s="321"/>
      <c r="AP91" s="321"/>
      <c r="AQ91" s="321"/>
      <c r="AR91" s="321"/>
      <c r="CH91" s="1020"/>
      <c r="CI91" s="1020"/>
      <c r="CJ91" s="1020"/>
      <c r="CK91" s="1020"/>
      <c r="CL91" s="1020"/>
      <c r="CM91" s="1020"/>
    </row>
    <row r="92" spans="1:91" ht="31.35" customHeight="1" x14ac:dyDescent="0.2">
      <c r="B92" s="445" t="s">
        <v>469</v>
      </c>
      <c r="C92" s="419"/>
      <c r="D92" s="419"/>
      <c r="E92" s="419"/>
      <c r="F92" s="84"/>
      <c r="G92" s="419"/>
      <c r="H92" s="419"/>
      <c r="I92" s="298"/>
      <c r="J92" s="298"/>
      <c r="K92" s="298"/>
      <c r="L92" s="437"/>
      <c r="M92" s="298"/>
      <c r="N92" s="298"/>
      <c r="O92" s="298"/>
      <c r="P92" s="298"/>
      <c r="Q92" s="298"/>
      <c r="R92" s="298"/>
      <c r="S92" s="298"/>
      <c r="T92" s="298"/>
      <c r="U92" s="298"/>
      <c r="V92" s="298"/>
      <c r="W92" s="420"/>
      <c r="X92" s="300"/>
      <c r="Y92" s="300"/>
      <c r="Z92" s="300"/>
      <c r="AA92" s="300"/>
      <c r="AB92" s="300"/>
      <c r="AC92" s="300"/>
      <c r="AD92" s="298"/>
      <c r="AE92" s="298"/>
      <c r="AF92" s="298"/>
      <c r="AG92" s="298"/>
      <c r="AH92" s="298"/>
      <c r="AI92" s="298"/>
      <c r="AJ92" s="298"/>
      <c r="AK92" s="300"/>
      <c r="AL92" s="300"/>
      <c r="AM92" s="300"/>
      <c r="AN92" s="300"/>
      <c r="AO92" s="300"/>
      <c r="AP92" s="300"/>
      <c r="AQ92" s="300"/>
      <c r="AR92" s="321"/>
      <c r="CH92" s="1020"/>
      <c r="CI92" s="1020"/>
      <c r="CJ92" s="1020"/>
      <c r="CK92" s="1020"/>
      <c r="CL92" s="1020"/>
      <c r="CM92" s="1020"/>
    </row>
    <row r="93" spans="1:91" ht="16.350000000000001" customHeight="1" x14ac:dyDescent="0.2">
      <c r="B93" s="5763" t="s">
        <v>470</v>
      </c>
      <c r="C93" s="5763" t="s">
        <v>471</v>
      </c>
      <c r="D93" s="5758" t="s">
        <v>894</v>
      </c>
      <c r="E93" s="5760"/>
      <c r="F93" s="190"/>
      <c r="G93" s="298"/>
      <c r="H93" s="298"/>
      <c r="I93" s="298"/>
      <c r="J93" s="298"/>
      <c r="K93" s="437"/>
      <c r="L93" s="446"/>
      <c r="M93" s="419"/>
      <c r="N93" s="298"/>
      <c r="O93" s="298"/>
      <c r="P93" s="298"/>
      <c r="Q93" s="298"/>
      <c r="R93" s="298"/>
      <c r="S93" s="298"/>
      <c r="T93" s="298"/>
      <c r="U93" s="298"/>
      <c r="V93" s="414"/>
      <c r="W93" s="300"/>
      <c r="X93" s="300"/>
      <c r="Y93" s="300"/>
      <c r="Z93" s="289"/>
      <c r="AA93" s="289"/>
      <c r="AB93" s="289"/>
      <c r="AC93" s="289"/>
      <c r="AD93" s="447"/>
      <c r="AE93" s="300"/>
      <c r="AF93" s="298"/>
      <c r="AG93" s="298"/>
      <c r="AH93" s="298"/>
      <c r="AI93" s="298"/>
      <c r="AJ93" s="298"/>
      <c r="AK93" s="300"/>
      <c r="AL93" s="289"/>
      <c r="AM93" s="289"/>
      <c r="AN93" s="289"/>
      <c r="AO93" s="289"/>
      <c r="AP93" s="289"/>
      <c r="AQ93" s="289"/>
      <c r="AR93" s="321"/>
      <c r="CH93" s="1020"/>
      <c r="CI93" s="1020"/>
      <c r="CJ93" s="1020"/>
      <c r="CK93" s="1020"/>
      <c r="CL93" s="1020"/>
      <c r="CM93" s="1020"/>
    </row>
    <row r="94" spans="1:91" ht="27.75" customHeight="1" x14ac:dyDescent="0.2">
      <c r="B94" s="5764"/>
      <c r="C94" s="5764"/>
      <c r="D94" s="421" t="s">
        <v>985</v>
      </c>
      <c r="E94" s="980" t="s">
        <v>986</v>
      </c>
      <c r="F94" s="190"/>
      <c r="G94" s="298"/>
      <c r="H94" s="298"/>
      <c r="I94" s="298"/>
      <c r="J94" s="298"/>
      <c r="K94" s="437"/>
      <c r="L94" s="446"/>
      <c r="M94" s="419"/>
      <c r="N94" s="298"/>
      <c r="O94" s="298"/>
      <c r="P94" s="298"/>
      <c r="Q94" s="298"/>
      <c r="R94" s="298"/>
      <c r="S94" s="298"/>
      <c r="T94" s="298"/>
      <c r="U94" s="298"/>
      <c r="V94" s="414"/>
      <c r="W94" s="300"/>
      <c r="X94" s="300"/>
      <c r="Y94" s="300"/>
      <c r="Z94" s="289"/>
      <c r="AA94" s="289"/>
      <c r="AB94" s="289"/>
      <c r="AC94" s="289"/>
      <c r="AD94" s="447"/>
      <c r="AE94" s="300"/>
      <c r="AF94" s="298"/>
      <c r="AG94" s="298"/>
      <c r="AH94" s="298"/>
      <c r="AI94" s="298"/>
      <c r="AJ94" s="298"/>
      <c r="AK94" s="300"/>
      <c r="AL94" s="289"/>
      <c r="AM94" s="289"/>
      <c r="AN94" s="289"/>
      <c r="AO94" s="289"/>
      <c r="AP94" s="289"/>
      <c r="AQ94" s="289"/>
      <c r="AR94" s="321"/>
      <c r="CH94" s="1020"/>
      <c r="CI94" s="1020"/>
      <c r="CJ94" s="1020"/>
      <c r="CK94" s="1020"/>
      <c r="CL94" s="1020"/>
      <c r="CM94" s="1020"/>
    </row>
    <row r="95" spans="1:91" ht="16.350000000000001" customHeight="1" x14ac:dyDescent="0.2">
      <c r="A95" s="2458" t="s">
        <v>3341</v>
      </c>
      <c r="B95" s="2881" t="s">
        <v>472</v>
      </c>
      <c r="C95" s="2455" t="s">
        <v>2777</v>
      </c>
      <c r="D95" s="2483" t="s">
        <v>2778</v>
      </c>
      <c r="E95" s="2499" t="s">
        <v>2779</v>
      </c>
      <c r="F95" s="190"/>
      <c r="G95" s="298"/>
      <c r="H95" s="298"/>
      <c r="I95" s="298"/>
      <c r="J95" s="298"/>
      <c r="K95" s="437"/>
      <c r="L95" s="448"/>
      <c r="M95" s="419"/>
      <c r="N95" s="298"/>
      <c r="O95" s="298"/>
      <c r="P95" s="298"/>
      <c r="Q95" s="298"/>
      <c r="R95" s="298"/>
      <c r="S95" s="298"/>
      <c r="T95" s="298"/>
      <c r="U95" s="298"/>
      <c r="V95" s="414"/>
      <c r="W95" s="300"/>
      <c r="X95" s="300"/>
      <c r="Y95" s="300"/>
      <c r="Z95" s="289"/>
      <c r="AA95" s="289"/>
      <c r="AB95" s="289"/>
      <c r="AC95" s="289"/>
      <c r="AD95" s="447"/>
      <c r="AE95" s="300"/>
      <c r="AF95" s="298"/>
      <c r="AG95" s="298"/>
      <c r="AH95" s="298"/>
      <c r="AI95" s="298"/>
      <c r="AJ95" s="298"/>
      <c r="AK95" s="300"/>
      <c r="AL95" s="289"/>
      <c r="AM95" s="289"/>
      <c r="AN95" s="289"/>
      <c r="AO95" s="289"/>
      <c r="AP95" s="289"/>
      <c r="AQ95" s="289"/>
      <c r="AR95" s="321"/>
      <c r="CH95" s="1020"/>
      <c r="CI95" s="1020"/>
      <c r="CJ95" s="1020"/>
      <c r="CK95" s="1020"/>
      <c r="CL95" s="1020"/>
      <c r="CM95" s="1020"/>
    </row>
    <row r="96" spans="1:91" ht="16.350000000000001" customHeight="1" x14ac:dyDescent="0.2">
      <c r="A96" s="2458" t="s">
        <v>3342</v>
      </c>
      <c r="B96" s="2435" t="s">
        <v>473</v>
      </c>
      <c r="C96" s="164" t="s">
        <v>2777</v>
      </c>
      <c r="D96" s="141" t="s">
        <v>2778</v>
      </c>
      <c r="E96" s="198" t="s">
        <v>2779</v>
      </c>
      <c r="F96" s="190"/>
      <c r="G96" s="298"/>
      <c r="H96" s="298"/>
      <c r="I96" s="298"/>
      <c r="J96" s="298"/>
      <c r="K96" s="437"/>
      <c r="L96" s="448"/>
      <c r="M96" s="419"/>
      <c r="N96" s="298"/>
      <c r="O96" s="298"/>
      <c r="P96" s="298"/>
      <c r="Q96" s="298"/>
      <c r="R96" s="298"/>
      <c r="S96" s="298"/>
      <c r="T96" s="298"/>
      <c r="U96" s="298"/>
      <c r="V96" s="414"/>
      <c r="W96" s="300"/>
      <c r="X96" s="300"/>
      <c r="Y96" s="300"/>
      <c r="Z96" s="289"/>
      <c r="AA96" s="289"/>
      <c r="AB96" s="289"/>
      <c r="AC96" s="289"/>
      <c r="AD96" s="447"/>
      <c r="AE96" s="300"/>
      <c r="AF96" s="298"/>
      <c r="AG96" s="298"/>
      <c r="AH96" s="298"/>
      <c r="AI96" s="298"/>
      <c r="AJ96" s="298"/>
      <c r="AK96" s="300"/>
      <c r="AL96" s="289"/>
      <c r="AM96" s="289"/>
      <c r="AN96" s="289"/>
      <c r="AO96" s="289"/>
      <c r="AP96" s="289"/>
      <c r="AQ96" s="289"/>
      <c r="AR96" s="321"/>
      <c r="CH96" s="1020"/>
      <c r="CI96" s="1020"/>
      <c r="CJ96" s="1020"/>
      <c r="CK96" s="1020"/>
      <c r="CL96" s="1020"/>
      <c r="CM96" s="1020"/>
    </row>
    <row r="97" spans="1:91" ht="16.350000000000001" customHeight="1" x14ac:dyDescent="0.2">
      <c r="A97" s="2458" t="s">
        <v>3343</v>
      </c>
      <c r="B97" s="2435" t="s">
        <v>474</v>
      </c>
      <c r="C97" s="164" t="s">
        <v>2777</v>
      </c>
      <c r="D97" s="141" t="s">
        <v>2778</v>
      </c>
      <c r="E97" s="198" t="s">
        <v>2779</v>
      </c>
      <c r="F97" s="190"/>
      <c r="G97" s="298"/>
      <c r="H97" s="298"/>
      <c r="I97" s="298"/>
      <c r="J97" s="298"/>
      <c r="K97" s="298"/>
      <c r="L97" s="449"/>
      <c r="M97" s="419"/>
      <c r="N97" s="298"/>
      <c r="O97" s="298"/>
      <c r="P97" s="298"/>
      <c r="Q97" s="298"/>
      <c r="R97" s="298"/>
      <c r="S97" s="298"/>
      <c r="T97" s="298"/>
      <c r="U97" s="298"/>
      <c r="V97" s="414"/>
      <c r="W97" s="300"/>
      <c r="X97" s="300"/>
      <c r="Y97" s="300"/>
      <c r="Z97" s="289"/>
      <c r="AA97" s="289"/>
      <c r="AB97" s="289"/>
      <c r="AC97" s="289"/>
      <c r="AD97" s="447"/>
      <c r="AE97" s="300"/>
      <c r="AF97" s="298"/>
      <c r="AG97" s="298"/>
      <c r="AH97" s="298"/>
      <c r="AI97" s="298"/>
      <c r="AJ97" s="298"/>
      <c r="AK97" s="300"/>
      <c r="AL97" s="289"/>
      <c r="AM97" s="289"/>
      <c r="AN97" s="289"/>
      <c r="AO97" s="289"/>
      <c r="AP97" s="289"/>
      <c r="AQ97" s="289"/>
      <c r="AR97" s="321"/>
      <c r="CH97" s="1020"/>
      <c r="CI97" s="1020"/>
      <c r="CJ97" s="1020"/>
      <c r="CK97" s="1020"/>
      <c r="CL97" s="1020"/>
      <c r="CM97" s="1020"/>
    </row>
    <row r="98" spans="1:91" ht="16.350000000000001" customHeight="1" x14ac:dyDescent="0.2">
      <c r="A98" s="2458" t="s">
        <v>3344</v>
      </c>
      <c r="B98" s="2435" t="s">
        <v>3345</v>
      </c>
      <c r="C98" s="164" t="s">
        <v>2777</v>
      </c>
      <c r="D98" s="141" t="s">
        <v>2778</v>
      </c>
      <c r="E98" s="198" t="s">
        <v>2779</v>
      </c>
      <c r="F98" s="190"/>
      <c r="G98" s="298"/>
      <c r="H98" s="298"/>
      <c r="I98" s="298"/>
      <c r="J98" s="298"/>
      <c r="K98" s="298"/>
      <c r="L98" s="449"/>
      <c r="M98" s="419"/>
      <c r="N98" s="298"/>
      <c r="O98" s="298"/>
      <c r="P98" s="298"/>
      <c r="Q98" s="298"/>
      <c r="R98" s="298"/>
      <c r="S98" s="298"/>
      <c r="T98" s="298"/>
      <c r="U98" s="298"/>
      <c r="V98" s="414"/>
      <c r="W98" s="300"/>
      <c r="X98" s="300"/>
      <c r="Y98" s="300"/>
      <c r="Z98" s="289"/>
      <c r="AA98" s="289"/>
      <c r="AB98" s="289"/>
      <c r="AC98" s="289"/>
      <c r="AD98" s="447"/>
      <c r="AE98" s="300"/>
      <c r="AF98" s="298"/>
      <c r="AG98" s="298"/>
      <c r="AH98" s="298"/>
      <c r="AI98" s="298"/>
      <c r="AJ98" s="298"/>
      <c r="AK98" s="300"/>
      <c r="AL98" s="289"/>
      <c r="AM98" s="289"/>
      <c r="AN98" s="289"/>
      <c r="AO98" s="289"/>
      <c r="AP98" s="289"/>
      <c r="AQ98" s="289"/>
      <c r="AR98" s="321"/>
      <c r="CH98" s="1020"/>
      <c r="CI98" s="1020"/>
      <c r="CJ98" s="1020"/>
      <c r="CK98" s="1020"/>
      <c r="CL98" s="1020"/>
      <c r="CM98" s="1020"/>
    </row>
    <row r="99" spans="1:91" ht="16.350000000000001" customHeight="1" x14ac:dyDescent="0.2">
      <c r="A99" s="2458" t="s">
        <v>3346</v>
      </c>
      <c r="B99" s="2435" t="s">
        <v>475</v>
      </c>
      <c r="C99" s="164" t="s">
        <v>2777</v>
      </c>
      <c r="D99" s="141" t="s">
        <v>2778</v>
      </c>
      <c r="E99" s="198" t="s">
        <v>2779</v>
      </c>
      <c r="F99" s="190"/>
      <c r="G99" s="298"/>
      <c r="H99" s="298"/>
      <c r="I99" s="298"/>
      <c r="J99" s="298"/>
      <c r="K99" s="298"/>
      <c r="L99" s="449"/>
      <c r="M99" s="419"/>
      <c r="N99" s="298"/>
      <c r="O99" s="298"/>
      <c r="P99" s="298"/>
      <c r="Q99" s="298"/>
      <c r="R99" s="298"/>
      <c r="S99" s="298"/>
      <c r="T99" s="298"/>
      <c r="U99" s="298"/>
      <c r="V99" s="414"/>
      <c r="W99" s="300"/>
      <c r="X99" s="300"/>
      <c r="Y99" s="300"/>
      <c r="Z99" s="289"/>
      <c r="AA99" s="289"/>
      <c r="AB99" s="289"/>
      <c r="AC99" s="289"/>
      <c r="AD99" s="447"/>
      <c r="AE99" s="300"/>
      <c r="AF99" s="298"/>
      <c r="AG99" s="298"/>
      <c r="AH99" s="298"/>
      <c r="AI99" s="298"/>
      <c r="AJ99" s="298"/>
      <c r="AK99" s="300"/>
      <c r="AL99" s="289"/>
      <c r="AM99" s="289"/>
      <c r="AN99" s="289"/>
      <c r="AO99" s="289"/>
      <c r="AP99" s="289"/>
      <c r="AQ99" s="289"/>
      <c r="AR99" s="321"/>
      <c r="CH99" s="1020"/>
      <c r="CI99" s="1020"/>
      <c r="CJ99" s="1020"/>
      <c r="CK99" s="1020"/>
      <c r="CL99" s="1020"/>
      <c r="CM99" s="1020"/>
    </row>
    <row r="100" spans="1:91" ht="16.350000000000001" customHeight="1" x14ac:dyDescent="0.2">
      <c r="A100" s="2527"/>
      <c r="B100" s="979" t="s">
        <v>42</v>
      </c>
      <c r="C100" s="450">
        <f>SUM(C95:C99)</f>
        <v>0</v>
      </c>
      <c r="D100" s="669">
        <f>SUM(D95:D99)</f>
        <v>0</v>
      </c>
      <c r="E100" s="668">
        <f>SUM(E95:E99)</f>
        <v>0</v>
      </c>
      <c r="F100" s="190"/>
      <c r="G100" s="298"/>
      <c r="H100" s="298"/>
      <c r="I100" s="298"/>
      <c r="J100" s="298"/>
      <c r="K100" s="298"/>
      <c r="L100" s="449"/>
      <c r="M100" s="419"/>
      <c r="N100" s="298"/>
      <c r="O100" s="298"/>
      <c r="P100" s="298"/>
      <c r="Q100" s="298"/>
      <c r="R100" s="298"/>
      <c r="S100" s="298"/>
      <c r="T100" s="298"/>
      <c r="U100" s="298"/>
      <c r="V100" s="414"/>
      <c r="W100" s="300"/>
      <c r="X100" s="300"/>
      <c r="Y100" s="300"/>
      <c r="Z100" s="289"/>
      <c r="AA100" s="289"/>
      <c r="AB100" s="289"/>
      <c r="AC100" s="289"/>
      <c r="AD100" s="447"/>
      <c r="AE100" s="300"/>
      <c r="AF100" s="298"/>
      <c r="AG100" s="298"/>
      <c r="AH100" s="298"/>
      <c r="AI100" s="298"/>
      <c r="AJ100" s="298"/>
      <c r="AK100" s="300"/>
      <c r="AL100" s="289"/>
      <c r="AM100" s="289"/>
      <c r="AN100" s="289"/>
      <c r="AO100" s="289"/>
      <c r="AP100" s="289"/>
      <c r="AQ100" s="289"/>
      <c r="AR100" s="321"/>
      <c r="CH100" s="1020"/>
      <c r="CI100" s="1020"/>
      <c r="CJ100" s="1020"/>
      <c r="CK100" s="1020"/>
      <c r="CL100" s="1020"/>
      <c r="CM100" s="1020"/>
    </row>
    <row r="101" spans="1:91" ht="31.35" customHeight="1" x14ac:dyDescent="0.2">
      <c r="B101" s="451" t="s">
        <v>1517</v>
      </c>
      <c r="C101" s="154"/>
      <c r="D101" s="154"/>
      <c r="E101" s="154"/>
      <c r="F101" s="309"/>
      <c r="G101" s="309"/>
      <c r="H101" s="452"/>
      <c r="I101" s="452"/>
      <c r="J101" s="452"/>
      <c r="K101" s="390"/>
      <c r="L101" s="391"/>
      <c r="M101" s="390"/>
      <c r="N101" s="390"/>
      <c r="O101" s="298"/>
      <c r="P101" s="298"/>
      <c r="Q101" s="298"/>
      <c r="R101" s="298"/>
      <c r="S101" s="298"/>
      <c r="T101" s="298"/>
      <c r="U101" s="298"/>
      <c r="V101" s="420"/>
      <c r="W101" s="300"/>
      <c r="X101" s="300"/>
      <c r="Y101" s="300"/>
      <c r="Z101" s="300"/>
      <c r="AA101" s="300"/>
      <c r="AB101" s="300"/>
      <c r="AC101" s="453"/>
      <c r="AD101" s="300"/>
      <c r="AE101" s="298"/>
      <c r="AF101" s="298"/>
      <c r="AG101" s="298"/>
      <c r="AH101" s="298"/>
      <c r="AI101" s="298"/>
      <c r="AJ101" s="300"/>
      <c r="AK101" s="300"/>
      <c r="AL101" s="300"/>
      <c r="AM101" s="300"/>
      <c r="AN101" s="300"/>
      <c r="AO101" s="300"/>
      <c r="AP101" s="300"/>
      <c r="AQ101" s="321"/>
      <c r="CH101" s="1020"/>
      <c r="CI101" s="1020"/>
      <c r="CJ101" s="1020"/>
      <c r="CK101" s="1020"/>
      <c r="CL101" s="1020"/>
      <c r="CM101" s="1020"/>
    </row>
    <row r="102" spans="1:91" ht="16.350000000000001" customHeight="1" x14ac:dyDescent="0.2">
      <c r="B102" s="5134" t="s">
        <v>177</v>
      </c>
      <c r="C102" s="5118" t="s">
        <v>428</v>
      </c>
      <c r="D102" s="5119"/>
      <c r="E102" s="5120"/>
      <c r="F102" s="5125" t="s">
        <v>429</v>
      </c>
      <c r="G102" s="5598"/>
      <c r="H102" s="5598"/>
      <c r="I102" s="5598"/>
      <c r="J102" s="5598"/>
      <c r="K102" s="5598"/>
      <c r="L102" s="5598"/>
      <c r="M102" s="5598"/>
      <c r="N102" s="5598"/>
      <c r="O102" s="454"/>
      <c r="P102" s="298"/>
      <c r="Q102" s="298"/>
      <c r="R102" s="298"/>
      <c r="S102" s="298"/>
      <c r="T102" s="298"/>
      <c r="U102" s="298"/>
      <c r="V102" s="298"/>
      <c r="W102" s="414"/>
      <c r="X102" s="298"/>
      <c r="Y102" s="298"/>
      <c r="Z102" s="298"/>
      <c r="AA102" s="298"/>
      <c r="AB102" s="298"/>
      <c r="AC102" s="298"/>
      <c r="AD102" s="298"/>
      <c r="AE102" s="298"/>
      <c r="AF102" s="298"/>
      <c r="AG102" s="298"/>
      <c r="AH102" s="298"/>
      <c r="AI102" s="298"/>
      <c r="AJ102" s="298"/>
      <c r="AK102" s="300"/>
      <c r="AL102" s="300"/>
      <c r="AM102" s="300"/>
      <c r="AN102" s="300"/>
      <c r="AO102" s="300"/>
      <c r="AP102" s="300"/>
      <c r="AQ102" s="300"/>
      <c r="AR102" s="321"/>
      <c r="CH102" s="1020"/>
      <c r="CI102" s="1020"/>
      <c r="CJ102" s="1020"/>
      <c r="CK102" s="1020"/>
      <c r="CL102" s="1020"/>
      <c r="CM102" s="1020"/>
    </row>
    <row r="103" spans="1:91" ht="16.350000000000001" customHeight="1" x14ac:dyDescent="0.2">
      <c r="B103" s="5135"/>
      <c r="C103" s="5125"/>
      <c r="D103" s="5598"/>
      <c r="E103" s="5126"/>
      <c r="F103" s="5107" t="s">
        <v>350</v>
      </c>
      <c r="G103" s="5108"/>
      <c r="H103" s="5107" t="s">
        <v>351</v>
      </c>
      <c r="I103" s="5108"/>
      <c r="J103" s="5107" t="s">
        <v>352</v>
      </c>
      <c r="K103" s="5108"/>
      <c r="L103" s="5107" t="s">
        <v>319</v>
      </c>
      <c r="M103" s="5108"/>
      <c r="N103" s="5107" t="s">
        <v>10</v>
      </c>
      <c r="O103" s="5108"/>
      <c r="P103" s="298"/>
      <c r="Q103" s="298"/>
      <c r="R103" s="298"/>
      <c r="S103" s="298"/>
      <c r="T103" s="298"/>
      <c r="U103" s="298"/>
      <c r="V103" s="298"/>
      <c r="W103" s="298"/>
      <c r="X103" s="414"/>
      <c r="Y103" s="298"/>
      <c r="Z103" s="298"/>
      <c r="AA103" s="298"/>
      <c r="AB103" s="298"/>
      <c r="AC103" s="298"/>
      <c r="AD103" s="298"/>
      <c r="AE103" s="298"/>
      <c r="AF103" s="298"/>
      <c r="AG103" s="298"/>
      <c r="AH103" s="298"/>
      <c r="AI103" s="298"/>
      <c r="AJ103" s="298"/>
      <c r="AK103" s="300"/>
      <c r="AL103" s="300"/>
      <c r="AM103" s="300"/>
      <c r="AN103" s="300"/>
      <c r="AO103" s="300"/>
      <c r="AP103" s="300"/>
      <c r="AQ103" s="300"/>
      <c r="AR103" s="321"/>
      <c r="CH103" s="1020"/>
      <c r="CI103" s="1020"/>
      <c r="CJ103" s="1020"/>
      <c r="CK103" s="1020"/>
      <c r="CL103" s="1020"/>
      <c r="CM103" s="1020"/>
    </row>
    <row r="104" spans="1:91" ht="16.350000000000001" customHeight="1" x14ac:dyDescent="0.2">
      <c r="B104" s="5136"/>
      <c r="C104" s="91" t="s">
        <v>184</v>
      </c>
      <c r="D104" s="89" t="s">
        <v>24</v>
      </c>
      <c r="E104" s="235" t="s">
        <v>25</v>
      </c>
      <c r="F104" s="253" t="s">
        <v>24</v>
      </c>
      <c r="G104" s="131" t="s">
        <v>25</v>
      </c>
      <c r="H104" s="253" t="s">
        <v>24</v>
      </c>
      <c r="I104" s="131" t="s">
        <v>25</v>
      </c>
      <c r="J104" s="253" t="s">
        <v>24</v>
      </c>
      <c r="K104" s="131" t="s">
        <v>25</v>
      </c>
      <c r="L104" s="253" t="s">
        <v>24</v>
      </c>
      <c r="M104" s="131" t="s">
        <v>25</v>
      </c>
      <c r="N104" s="253" t="s">
        <v>24</v>
      </c>
      <c r="O104" s="131" t="s">
        <v>25</v>
      </c>
      <c r="P104" s="920"/>
      <c r="Q104" s="298"/>
      <c r="R104" s="449"/>
      <c r="S104" s="298"/>
      <c r="T104" s="298"/>
      <c r="U104" s="298"/>
      <c r="V104" s="298"/>
      <c r="W104" s="298"/>
      <c r="X104" s="298"/>
      <c r="Y104" s="298"/>
      <c r="Z104" s="298"/>
      <c r="AA104" s="298"/>
      <c r="AB104" s="414"/>
      <c r="AC104" s="298"/>
      <c r="AD104" s="298"/>
      <c r="AE104" s="298"/>
      <c r="AF104" s="298"/>
      <c r="AG104" s="298"/>
      <c r="AH104" s="298"/>
      <c r="AI104" s="298"/>
      <c r="AJ104" s="298"/>
      <c r="AK104" s="298"/>
      <c r="AL104" s="298"/>
      <c r="AM104" s="298"/>
      <c r="AN104" s="298"/>
      <c r="AO104" s="298"/>
      <c r="AP104" s="298"/>
      <c r="AQ104" s="298"/>
      <c r="CH104" s="1020"/>
      <c r="CI104" s="1020"/>
      <c r="CJ104" s="1020"/>
      <c r="CK104" s="1020"/>
      <c r="CL104" s="1020"/>
      <c r="CM104" s="1020"/>
    </row>
    <row r="105" spans="1:91" ht="16.350000000000001" customHeight="1" x14ac:dyDescent="0.2">
      <c r="A105" s="2458" t="s">
        <v>3347</v>
      </c>
      <c r="B105" s="2557" t="s">
        <v>476</v>
      </c>
      <c r="C105" s="2883" t="s">
        <v>2777</v>
      </c>
      <c r="D105" s="2884" t="s">
        <v>2778</v>
      </c>
      <c r="E105" s="2585" t="s">
        <v>2779</v>
      </c>
      <c r="F105" s="2898" t="s">
        <v>2780</v>
      </c>
      <c r="G105" s="2899" t="s">
        <v>2781</v>
      </c>
      <c r="H105" s="2898" t="s">
        <v>2782</v>
      </c>
      <c r="I105" s="2899" t="s">
        <v>2783</v>
      </c>
      <c r="J105" s="2898" t="s">
        <v>2784</v>
      </c>
      <c r="K105" s="2907" t="s">
        <v>2785</v>
      </c>
      <c r="L105" s="2898" t="s">
        <v>2786</v>
      </c>
      <c r="M105" s="2907" t="s">
        <v>2787</v>
      </c>
      <c r="N105" s="2908" t="s">
        <v>2788</v>
      </c>
      <c r="O105" s="2907" t="s">
        <v>2789</v>
      </c>
      <c r="P105" s="921"/>
      <c r="Q105" s="298"/>
      <c r="R105" s="449"/>
      <c r="S105" s="298"/>
      <c r="T105" s="298"/>
      <c r="U105" s="298"/>
      <c r="V105" s="298"/>
      <c r="W105" s="298"/>
      <c r="X105" s="298"/>
      <c r="Y105" s="298"/>
      <c r="Z105" s="298"/>
      <c r="AA105" s="298"/>
      <c r="AB105" s="414"/>
      <c r="AC105" s="298"/>
      <c r="AD105" s="298"/>
      <c r="AE105" s="298"/>
      <c r="AF105" s="298"/>
      <c r="AG105" s="298"/>
      <c r="AH105" s="298"/>
      <c r="AI105" s="298"/>
      <c r="AJ105" s="298"/>
      <c r="AK105" s="298"/>
      <c r="AL105" s="298"/>
      <c r="AM105" s="298"/>
      <c r="AN105" s="298"/>
      <c r="AO105" s="298"/>
      <c r="AP105" s="298"/>
      <c r="AQ105" s="298"/>
      <c r="CH105" s="1020"/>
      <c r="CI105" s="1020"/>
      <c r="CJ105" s="1020"/>
      <c r="CK105" s="1020"/>
      <c r="CL105" s="1020"/>
      <c r="CM105" s="1020"/>
    </row>
    <row r="106" spans="1:91" ht="25.35" customHeight="1" x14ac:dyDescent="0.2">
      <c r="A106" s="2458" t="s">
        <v>3348</v>
      </c>
      <c r="B106" s="2859" t="s">
        <v>477</v>
      </c>
      <c r="C106" s="2878" t="s">
        <v>2777</v>
      </c>
      <c r="D106" s="2909" t="s">
        <v>2778</v>
      </c>
      <c r="E106" s="2910" t="s">
        <v>2779</v>
      </c>
      <c r="F106" s="2911" t="s">
        <v>2780</v>
      </c>
      <c r="G106" s="2912" t="s">
        <v>2781</v>
      </c>
      <c r="H106" s="2911" t="s">
        <v>2782</v>
      </c>
      <c r="I106" s="2913" t="s">
        <v>2783</v>
      </c>
      <c r="J106" s="2911" t="s">
        <v>2784</v>
      </c>
      <c r="K106" s="2912" t="s">
        <v>2785</v>
      </c>
      <c r="L106" s="2911" t="s">
        <v>2786</v>
      </c>
      <c r="M106" s="2912" t="s">
        <v>2787</v>
      </c>
      <c r="N106" s="2914" t="s">
        <v>2788</v>
      </c>
      <c r="O106" s="2913" t="s">
        <v>2789</v>
      </c>
      <c r="P106" s="921"/>
      <c r="Q106" s="298"/>
      <c r="R106" s="449"/>
      <c r="S106" s="298"/>
      <c r="T106" s="298"/>
      <c r="U106" s="298"/>
      <c r="V106" s="298"/>
      <c r="W106" s="298"/>
      <c r="X106" s="298"/>
      <c r="Y106" s="298"/>
      <c r="Z106" s="298"/>
      <c r="AA106" s="298"/>
      <c r="AB106" s="414"/>
      <c r="AC106" s="298"/>
      <c r="AD106" s="298"/>
      <c r="AE106" s="298"/>
      <c r="AF106" s="298"/>
      <c r="AG106" s="298"/>
      <c r="AH106" s="298"/>
      <c r="AI106" s="298"/>
      <c r="AJ106" s="298"/>
      <c r="AK106" s="298"/>
      <c r="AL106" s="298"/>
      <c r="AM106" s="298"/>
      <c r="AN106" s="298"/>
      <c r="AO106" s="298"/>
      <c r="AP106" s="298"/>
      <c r="AQ106" s="298"/>
      <c r="CH106" s="1020"/>
      <c r="CI106" s="1020"/>
      <c r="CJ106" s="1020"/>
      <c r="CK106" s="1020"/>
      <c r="CL106" s="1020"/>
      <c r="CM106" s="1020"/>
    </row>
    <row r="107" spans="1:91" ht="21" customHeight="1" x14ac:dyDescent="0.25">
      <c r="B107" s="451" t="s">
        <v>1518</v>
      </c>
      <c r="C107" s="1233"/>
      <c r="D107" s="1233"/>
      <c r="E107" s="1233"/>
      <c r="F107" s="1233"/>
      <c r="G107" s="1233"/>
      <c r="H107" s="1233"/>
      <c r="I107" s="1233"/>
      <c r="J107" s="1233"/>
      <c r="K107" s="1233"/>
      <c r="L107" s="1233"/>
      <c r="M107" s="1233"/>
      <c r="N107" s="1233"/>
      <c r="O107" s="1233"/>
      <c r="P107" s="1233"/>
      <c r="Q107" s="1233"/>
      <c r="R107" s="1233"/>
      <c r="S107" s="1233"/>
      <c r="T107" s="1233"/>
      <c r="U107" s="1233"/>
      <c r="V107" s="1233"/>
      <c r="W107" s="1233"/>
      <c r="X107" s="1233"/>
      <c r="Y107" s="1233"/>
      <c r="Z107" s="1233"/>
      <c r="AA107" s="1233"/>
      <c r="AB107" s="1233"/>
      <c r="AC107" s="1233"/>
      <c r="AD107" s="1233"/>
      <c r="AE107" s="1233"/>
      <c r="AF107" s="1233"/>
      <c r="AG107" s="1233"/>
      <c r="AH107" s="1233"/>
      <c r="AI107" s="1233"/>
      <c r="AJ107" s="1233"/>
      <c r="AK107" s="1233"/>
      <c r="AL107" s="1233"/>
      <c r="AM107"/>
    </row>
    <row r="108" spans="1:91" ht="20.25" customHeight="1" x14ac:dyDescent="0.2">
      <c r="B108" s="5724" t="s">
        <v>177</v>
      </c>
      <c r="C108" s="5727" t="s">
        <v>428</v>
      </c>
      <c r="D108" s="5728"/>
      <c r="E108" s="5729"/>
      <c r="F108" s="5584" t="s">
        <v>429</v>
      </c>
      <c r="G108" s="5730"/>
      <c r="H108" s="5730"/>
      <c r="I108" s="5730"/>
      <c r="J108" s="5730"/>
      <c r="K108" s="5730"/>
      <c r="L108" s="5730"/>
      <c r="M108" s="5730"/>
      <c r="N108" s="5730"/>
      <c r="O108" s="5730"/>
      <c r="P108" s="5730"/>
      <c r="Q108" s="5730"/>
      <c r="R108" s="5730"/>
      <c r="S108" s="5730"/>
      <c r="T108" s="5730"/>
      <c r="U108" s="5730"/>
      <c r="V108" s="5730"/>
      <c r="W108" s="5730"/>
      <c r="X108" s="5730"/>
      <c r="Y108" s="5730"/>
      <c r="Z108" s="5730"/>
      <c r="AA108" s="5730"/>
      <c r="AB108" s="5730"/>
      <c r="AC108" s="5730"/>
      <c r="AD108" s="5730"/>
      <c r="AE108" s="5730"/>
      <c r="AF108" s="5730"/>
      <c r="AG108" s="5730"/>
      <c r="AH108" s="5730"/>
      <c r="AI108" s="5730"/>
      <c r="AJ108" s="5730"/>
      <c r="AK108" s="5730"/>
      <c r="AL108" s="5730"/>
      <c r="AM108" s="5585"/>
      <c r="AN108" s="5718" t="s">
        <v>1483</v>
      </c>
    </row>
    <row r="109" spans="1:91" ht="20.25" customHeight="1" x14ac:dyDescent="0.2">
      <c r="B109" s="5725"/>
      <c r="C109" s="5519"/>
      <c r="D109" s="5675"/>
      <c r="E109" s="5520"/>
      <c r="F109" s="5584" t="s">
        <v>350</v>
      </c>
      <c r="G109" s="5731"/>
      <c r="H109" s="5584" t="s">
        <v>351</v>
      </c>
      <c r="I109" s="5731"/>
      <c r="J109" s="5584" t="s">
        <v>352</v>
      </c>
      <c r="K109" s="5731"/>
      <c r="L109" s="5584" t="s">
        <v>319</v>
      </c>
      <c r="M109" s="5731"/>
      <c r="N109" s="5584" t="s">
        <v>10</v>
      </c>
      <c r="O109" s="5731"/>
      <c r="P109" s="5459" t="s">
        <v>11</v>
      </c>
      <c r="Q109" s="5732"/>
      <c r="R109" s="5459" t="s">
        <v>12</v>
      </c>
      <c r="S109" s="5732"/>
      <c r="T109" s="5459" t="s">
        <v>13</v>
      </c>
      <c r="U109" s="5732"/>
      <c r="V109" s="5459" t="s">
        <v>14</v>
      </c>
      <c r="W109" s="5732"/>
      <c r="X109" s="5459" t="s">
        <v>15</v>
      </c>
      <c r="Y109" s="5732"/>
      <c r="Z109" s="5459" t="s">
        <v>16</v>
      </c>
      <c r="AA109" s="5732"/>
      <c r="AB109" s="5459" t="s">
        <v>17</v>
      </c>
      <c r="AC109" s="5732"/>
      <c r="AD109" s="5459" t="s">
        <v>18</v>
      </c>
      <c r="AE109" s="5732"/>
      <c r="AF109" s="5459" t="s">
        <v>19</v>
      </c>
      <c r="AG109" s="5732"/>
      <c r="AH109" s="5459" t="s">
        <v>20</v>
      </c>
      <c r="AI109" s="5732"/>
      <c r="AJ109" s="5459" t="s">
        <v>21</v>
      </c>
      <c r="AK109" s="5732"/>
      <c r="AL109" s="5459" t="s">
        <v>22</v>
      </c>
      <c r="AM109" s="5461"/>
      <c r="AN109" s="5123"/>
    </row>
    <row r="110" spans="1:91" ht="25.5" customHeight="1" x14ac:dyDescent="0.2">
      <c r="B110" s="5726"/>
      <c r="C110" s="780" t="s">
        <v>184</v>
      </c>
      <c r="D110" s="1177" t="s">
        <v>24</v>
      </c>
      <c r="E110" s="784" t="s">
        <v>25</v>
      </c>
      <c r="F110" s="1187" t="s">
        <v>24</v>
      </c>
      <c r="G110" s="1241" t="s">
        <v>25</v>
      </c>
      <c r="H110" s="1187" t="s">
        <v>24</v>
      </c>
      <c r="I110" s="1241" t="s">
        <v>25</v>
      </c>
      <c r="J110" s="1187" t="s">
        <v>24</v>
      </c>
      <c r="K110" s="1241" t="s">
        <v>25</v>
      </c>
      <c r="L110" s="1187" t="s">
        <v>24</v>
      </c>
      <c r="M110" s="1241" t="s">
        <v>25</v>
      </c>
      <c r="N110" s="1187" t="s">
        <v>24</v>
      </c>
      <c r="O110" s="1241" t="s">
        <v>25</v>
      </c>
      <c r="P110" s="1187" t="s">
        <v>24</v>
      </c>
      <c r="Q110" s="1242" t="s">
        <v>25</v>
      </c>
      <c r="R110" s="1187" t="s">
        <v>24</v>
      </c>
      <c r="S110" s="1242" t="s">
        <v>25</v>
      </c>
      <c r="T110" s="1187" t="s">
        <v>24</v>
      </c>
      <c r="U110" s="1242" t="s">
        <v>25</v>
      </c>
      <c r="V110" s="1187" t="s">
        <v>24</v>
      </c>
      <c r="W110" s="1242" t="s">
        <v>25</v>
      </c>
      <c r="X110" s="1187" t="s">
        <v>24</v>
      </c>
      <c r="Y110" s="1242" t="s">
        <v>25</v>
      </c>
      <c r="Z110" s="1187" t="s">
        <v>24</v>
      </c>
      <c r="AA110" s="1242" t="s">
        <v>25</v>
      </c>
      <c r="AB110" s="1187" t="s">
        <v>24</v>
      </c>
      <c r="AC110" s="1242" t="s">
        <v>25</v>
      </c>
      <c r="AD110" s="1187" t="s">
        <v>24</v>
      </c>
      <c r="AE110" s="1242" t="s">
        <v>25</v>
      </c>
      <c r="AF110" s="1187" t="s">
        <v>24</v>
      </c>
      <c r="AG110" s="1242" t="s">
        <v>25</v>
      </c>
      <c r="AH110" s="1187" t="s">
        <v>24</v>
      </c>
      <c r="AI110" s="1242" t="s">
        <v>25</v>
      </c>
      <c r="AJ110" s="1187" t="s">
        <v>24</v>
      </c>
      <c r="AK110" s="1242" t="s">
        <v>25</v>
      </c>
      <c r="AL110" s="1187" t="s">
        <v>24</v>
      </c>
      <c r="AM110" s="1260" t="s">
        <v>25</v>
      </c>
      <c r="AN110" s="5126"/>
    </row>
    <row r="111" spans="1:91" ht="22.5" customHeight="1" x14ac:dyDescent="0.2">
      <c r="A111" s="2458" t="s">
        <v>3349</v>
      </c>
      <c r="B111" s="2915" t="s">
        <v>1511</v>
      </c>
      <c r="C111" s="2916" t="s">
        <v>2777</v>
      </c>
      <c r="D111" s="2917" t="s">
        <v>2778</v>
      </c>
      <c r="E111" s="2918" t="s">
        <v>2779</v>
      </c>
      <c r="F111" s="2919" t="s">
        <v>2780</v>
      </c>
      <c r="G111" s="2920" t="s">
        <v>2781</v>
      </c>
      <c r="H111" s="2919" t="s">
        <v>2782</v>
      </c>
      <c r="I111" s="2920" t="s">
        <v>2783</v>
      </c>
      <c r="J111" s="2919" t="s">
        <v>2784</v>
      </c>
      <c r="K111" s="2921" t="s">
        <v>2785</v>
      </c>
      <c r="L111" s="2919" t="s">
        <v>2786</v>
      </c>
      <c r="M111" s="2921" t="s">
        <v>2787</v>
      </c>
      <c r="N111" s="2922" t="s">
        <v>2788</v>
      </c>
      <c r="O111" s="2921" t="s">
        <v>2789</v>
      </c>
      <c r="P111" s="2922" t="s">
        <v>2790</v>
      </c>
      <c r="Q111" s="2921" t="s">
        <v>2791</v>
      </c>
      <c r="R111" s="2922" t="s">
        <v>2792</v>
      </c>
      <c r="S111" s="2921" t="s">
        <v>2793</v>
      </c>
      <c r="T111" s="2922" t="s">
        <v>2794</v>
      </c>
      <c r="U111" s="2921" t="s">
        <v>2795</v>
      </c>
      <c r="V111" s="2922" t="s">
        <v>2796</v>
      </c>
      <c r="W111" s="2921" t="s">
        <v>2797</v>
      </c>
      <c r="X111" s="2922" t="s">
        <v>2798</v>
      </c>
      <c r="Y111" s="2921" t="s">
        <v>2799</v>
      </c>
      <c r="Z111" s="2922" t="s">
        <v>2800</v>
      </c>
      <c r="AA111" s="2921" t="s">
        <v>2801</v>
      </c>
      <c r="AB111" s="2922" t="s">
        <v>2817</v>
      </c>
      <c r="AC111" s="2921" t="s">
        <v>2818</v>
      </c>
      <c r="AD111" s="2922" t="s">
        <v>2819</v>
      </c>
      <c r="AE111" s="2921" t="s">
        <v>2821</v>
      </c>
      <c r="AF111" s="2922" t="s">
        <v>2822</v>
      </c>
      <c r="AG111" s="2921" t="s">
        <v>2823</v>
      </c>
      <c r="AH111" s="2922" t="s">
        <v>2824</v>
      </c>
      <c r="AI111" s="2921" t="s">
        <v>2825</v>
      </c>
      <c r="AJ111" s="2922" t="s">
        <v>2826</v>
      </c>
      <c r="AK111" s="2921" t="s">
        <v>2827</v>
      </c>
      <c r="AL111" s="2922" t="s">
        <v>2831</v>
      </c>
      <c r="AM111" s="2923" t="s">
        <v>2832</v>
      </c>
      <c r="AN111" s="2920" t="s">
        <v>2833</v>
      </c>
    </row>
    <row r="112" spans="1:91" ht="27" customHeight="1" x14ac:dyDescent="0.25">
      <c r="B112" s="1234" t="s">
        <v>2640</v>
      </c>
      <c r="C112"/>
      <c r="D112"/>
      <c r="E112"/>
      <c r="F112"/>
    </row>
    <row r="113" spans="1:44" ht="21.75" customHeight="1" x14ac:dyDescent="0.2">
      <c r="B113" s="5719" t="s">
        <v>1512</v>
      </c>
      <c r="C113" s="5720" t="s">
        <v>1608</v>
      </c>
      <c r="D113" s="5721"/>
      <c r="E113" s="5722"/>
      <c r="F113" s="5723" t="s">
        <v>1513</v>
      </c>
    </row>
    <row r="114" spans="1:44" ht="30.75" customHeight="1" x14ac:dyDescent="0.2">
      <c r="B114" s="5530"/>
      <c r="C114" s="780" t="s">
        <v>1514</v>
      </c>
      <c r="D114" s="780" t="s">
        <v>1515</v>
      </c>
      <c r="E114" s="1235" t="s">
        <v>1516</v>
      </c>
      <c r="F114" s="5458"/>
    </row>
    <row r="115" spans="1:44" ht="22.5" customHeight="1" x14ac:dyDescent="0.25">
      <c r="A115" s="2458" t="s">
        <v>3350</v>
      </c>
      <c r="B115" s="2924" t="s">
        <v>42</v>
      </c>
      <c r="C115" s="2919" t="s">
        <v>2777</v>
      </c>
      <c r="D115" s="2919" t="s">
        <v>2778</v>
      </c>
      <c r="E115" s="2925" t="s">
        <v>2779</v>
      </c>
      <c r="F115" s="2926" t="s">
        <v>2780</v>
      </c>
    </row>
    <row r="116" spans="1:44" ht="21.75" customHeight="1" x14ac:dyDescent="0.2">
      <c r="B116" s="2254" t="s">
        <v>2607</v>
      </c>
      <c r="C116" s="327"/>
      <c r="D116" s="327"/>
      <c r="E116" s="243"/>
      <c r="F116" s="643"/>
      <c r="G116" s="643"/>
      <c r="H116" s="643"/>
      <c r="I116" s="1307"/>
      <c r="J116" s="1307"/>
      <c r="K116" s="1308"/>
    </row>
    <row r="117" spans="1:44" x14ac:dyDescent="0.2">
      <c r="B117" s="5134" t="s">
        <v>177</v>
      </c>
      <c r="C117" s="5118" t="s">
        <v>428</v>
      </c>
      <c r="D117" s="5119"/>
      <c r="E117" s="5120"/>
      <c r="F117" s="5774"/>
      <c r="G117" s="5775"/>
      <c r="H117" s="5775"/>
      <c r="I117" s="5775"/>
      <c r="J117" s="5775"/>
      <c r="K117" s="5776"/>
    </row>
    <row r="118" spans="1:44" x14ac:dyDescent="0.2">
      <c r="B118" s="5135"/>
      <c r="C118" s="5771"/>
      <c r="D118" s="5772"/>
      <c r="E118" s="5773"/>
      <c r="F118" s="5774" t="s">
        <v>1600</v>
      </c>
      <c r="G118" s="5776"/>
      <c r="H118" s="5774" t="s">
        <v>2641</v>
      </c>
      <c r="I118" s="5776"/>
      <c r="J118" s="5774" t="s">
        <v>2642</v>
      </c>
      <c r="K118" s="5776"/>
    </row>
    <row r="119" spans="1:44" x14ac:dyDescent="0.2">
      <c r="B119" s="5770"/>
      <c r="C119" s="1318" t="s">
        <v>184</v>
      </c>
      <c r="D119" s="1319" t="s">
        <v>24</v>
      </c>
      <c r="E119" s="1594" t="s">
        <v>25</v>
      </c>
      <c r="F119" s="1323" t="s">
        <v>24</v>
      </c>
      <c r="G119" s="1328" t="s">
        <v>25</v>
      </c>
      <c r="H119" s="1323" t="s">
        <v>24</v>
      </c>
      <c r="I119" s="1328" t="s">
        <v>25</v>
      </c>
      <c r="J119" s="1323" t="s">
        <v>24</v>
      </c>
      <c r="K119" s="1328" t="s">
        <v>25</v>
      </c>
    </row>
    <row r="120" spans="1:44" ht="27" customHeight="1" x14ac:dyDescent="0.2">
      <c r="A120" s="2458" t="s">
        <v>3351</v>
      </c>
      <c r="B120" s="2559" t="s">
        <v>3352</v>
      </c>
      <c r="C120" s="2928" t="s">
        <v>2777</v>
      </c>
      <c r="D120" s="2929" t="s">
        <v>2778</v>
      </c>
      <c r="E120" s="2930" t="s">
        <v>2779</v>
      </c>
      <c r="F120" s="2931" t="s">
        <v>2780</v>
      </c>
      <c r="G120" s="2932" t="s">
        <v>2781</v>
      </c>
      <c r="H120" s="2931" t="s">
        <v>2782</v>
      </c>
      <c r="I120" s="2932" t="s">
        <v>2783</v>
      </c>
      <c r="J120" s="2931" t="s">
        <v>2784</v>
      </c>
      <c r="K120" s="2933" t="s">
        <v>2785</v>
      </c>
    </row>
    <row r="121" spans="1:44" ht="26.25" customHeight="1" x14ac:dyDescent="0.2">
      <c r="A121" s="2458" t="s">
        <v>3353</v>
      </c>
      <c r="B121" s="2927" t="s">
        <v>3354</v>
      </c>
      <c r="C121" s="2934" t="s">
        <v>2777</v>
      </c>
      <c r="D121" s="2935" t="s">
        <v>2778</v>
      </c>
      <c r="E121" s="2936" t="s">
        <v>2779</v>
      </c>
      <c r="F121" s="2937" t="s">
        <v>2780</v>
      </c>
      <c r="G121" s="2938" t="s">
        <v>2781</v>
      </c>
      <c r="H121" s="2937" t="s">
        <v>2782</v>
      </c>
      <c r="I121" s="2938" t="s">
        <v>2783</v>
      </c>
      <c r="J121" s="2937" t="s">
        <v>2784</v>
      </c>
      <c r="K121" s="2939" t="s">
        <v>2785</v>
      </c>
    </row>
    <row r="122" spans="1:44" ht="41.25" customHeight="1" x14ac:dyDescent="0.2">
      <c r="A122" s="2458" t="s">
        <v>3355</v>
      </c>
      <c r="B122" s="788" t="s">
        <v>3356</v>
      </c>
      <c r="C122" s="2940" t="s">
        <v>2777</v>
      </c>
      <c r="D122" s="2941" t="s">
        <v>2778</v>
      </c>
      <c r="E122" s="2841" t="s">
        <v>2779</v>
      </c>
      <c r="F122" s="2942" t="s">
        <v>2780</v>
      </c>
      <c r="G122" s="2943" t="s">
        <v>2781</v>
      </c>
      <c r="H122" s="2942" t="s">
        <v>2782</v>
      </c>
      <c r="I122" s="2944" t="s">
        <v>2783</v>
      </c>
      <c r="J122" s="2942" t="s">
        <v>2784</v>
      </c>
      <c r="K122" s="2943" t="s">
        <v>2785</v>
      </c>
    </row>
    <row r="123" spans="1:44" ht="24" customHeight="1" x14ac:dyDescent="0.25">
      <c r="B123" s="2255" t="s">
        <v>2643</v>
      </c>
      <c r="C123" s="1229"/>
      <c r="D123" s="1230"/>
      <c r="E123" s="1230"/>
      <c r="F123" s="983"/>
      <c r="G123" s="1231"/>
      <c r="H123" s="1232"/>
      <c r="I123" s="1232"/>
      <c r="J123"/>
    </row>
    <row r="124" spans="1:44" ht="33" customHeight="1" x14ac:dyDescent="0.2">
      <c r="B124" s="5778" t="s">
        <v>177</v>
      </c>
      <c r="C124" s="5777" t="s">
        <v>42</v>
      </c>
      <c r="D124" s="5727" t="s">
        <v>1579</v>
      </c>
      <c r="E124" s="5729"/>
      <c r="F124" s="5727" t="s">
        <v>1573</v>
      </c>
      <c r="G124" s="5729"/>
      <c r="H124" s="5679" t="s">
        <v>1601</v>
      </c>
      <c r="I124" s="5654"/>
      <c r="J124" s="5680"/>
    </row>
    <row r="125" spans="1:44" ht="34.5" customHeight="1" x14ac:dyDescent="0.2">
      <c r="B125" s="5648"/>
      <c r="C125" s="5726"/>
      <c r="D125" s="1187" t="s">
        <v>24</v>
      </c>
      <c r="E125" s="785" t="s">
        <v>25</v>
      </c>
      <c r="F125" s="1189" t="s">
        <v>1574</v>
      </c>
      <c r="G125" s="1188" t="s">
        <v>1575</v>
      </c>
      <c r="H125" s="1189" t="s">
        <v>1576</v>
      </c>
      <c r="I125" s="773" t="s">
        <v>1577</v>
      </c>
      <c r="J125" s="1188" t="s">
        <v>1578</v>
      </c>
    </row>
    <row r="126" spans="1:44" ht="22.5" customHeight="1" x14ac:dyDescent="0.2">
      <c r="A126" s="2458" t="s">
        <v>3357</v>
      </c>
      <c r="B126" s="2945" t="s">
        <v>3358</v>
      </c>
      <c r="C126" s="2947" t="s">
        <v>2777</v>
      </c>
      <c r="D126" s="2946" t="s">
        <v>2778</v>
      </c>
      <c r="E126" s="2921" t="s">
        <v>2779</v>
      </c>
      <c r="F126" s="2946" t="s">
        <v>2780</v>
      </c>
      <c r="G126" s="2920" t="s">
        <v>2781</v>
      </c>
      <c r="H126" s="2946" t="s">
        <v>2782</v>
      </c>
      <c r="I126" s="2946" t="s">
        <v>2783</v>
      </c>
      <c r="J126" s="2920" t="s">
        <v>2784</v>
      </c>
    </row>
    <row r="127" spans="1:44" ht="30" customHeight="1" x14ac:dyDescent="0.25">
      <c r="B127" s="5042" t="s">
        <v>2608</v>
      </c>
      <c r="C127" s="2055"/>
      <c r="D127" s="2055"/>
      <c r="E127" s="2055"/>
      <c r="F127" s="2055"/>
      <c r="G127" s="2055"/>
      <c r="H127" s="2055"/>
      <c r="I127" s="2055"/>
      <c r="J127" s="2055"/>
      <c r="K127" s="243"/>
      <c r="L127" s="243"/>
      <c r="M127" s="243"/>
      <c r="N127" s="243"/>
      <c r="O127" s="243"/>
      <c r="P127" s="243"/>
      <c r="Q127" s="243"/>
      <c r="R127" s="243"/>
      <c r="S127" s="243"/>
      <c r="T127" s="243"/>
      <c r="U127" s="243"/>
      <c r="V127" s="243"/>
      <c r="W127" s="243"/>
      <c r="X127" s="243"/>
      <c r="Y127" s="243"/>
      <c r="Z127" s="243"/>
      <c r="AA127" s="243"/>
      <c r="AB127" s="243"/>
      <c r="AC127" s="243"/>
      <c r="AD127" s="243"/>
      <c r="AE127" s="243"/>
      <c r="AF127" s="243"/>
      <c r="AG127" s="243"/>
      <c r="AH127" s="243"/>
      <c r="AI127" s="243"/>
      <c r="AJ127" s="243"/>
      <c r="AK127" s="243"/>
      <c r="AL127" s="243"/>
      <c r="AM127" s="243"/>
      <c r="AN127" s="243"/>
      <c r="AO127" s="243"/>
      <c r="AP127" s="243"/>
      <c r="AQ127" s="243"/>
      <c r="AR127" s="243"/>
    </row>
    <row r="128" spans="1:44" x14ac:dyDescent="0.2">
      <c r="B128" s="5736" t="s">
        <v>177</v>
      </c>
      <c r="C128" s="5736" t="s">
        <v>3</v>
      </c>
      <c r="D128" s="5398" t="s">
        <v>428</v>
      </c>
      <c r="E128" s="5737"/>
      <c r="F128" s="5400"/>
      <c r="G128" s="5413" t="s">
        <v>429</v>
      </c>
      <c r="H128" s="5426"/>
      <c r="I128" s="5426"/>
      <c r="J128" s="5426"/>
      <c r="K128" s="5426"/>
      <c r="L128" s="5426"/>
      <c r="M128" s="5426"/>
      <c r="N128" s="5426"/>
      <c r="O128" s="5426"/>
      <c r="P128" s="5426"/>
      <c r="Q128" s="5426"/>
      <c r="R128" s="5426"/>
      <c r="S128" s="5426"/>
      <c r="T128" s="5426"/>
      <c r="U128" s="5426"/>
      <c r="V128" s="5426"/>
      <c r="W128" s="5426"/>
      <c r="X128" s="5426"/>
      <c r="Y128" s="5426"/>
      <c r="Z128" s="5426"/>
      <c r="AA128" s="5426"/>
      <c r="AB128" s="5426"/>
      <c r="AC128" s="5426"/>
      <c r="AD128" s="5426"/>
      <c r="AE128" s="5426"/>
      <c r="AF128" s="5426"/>
      <c r="AG128" s="5426"/>
      <c r="AH128" s="5426"/>
      <c r="AI128" s="5426"/>
      <c r="AJ128" s="5426"/>
      <c r="AK128" s="5426"/>
      <c r="AL128" s="5426"/>
      <c r="AM128" s="5426"/>
      <c r="AN128" s="5541"/>
      <c r="AO128" s="5400" t="s">
        <v>1357</v>
      </c>
      <c r="AP128" s="5400" t="s">
        <v>1483</v>
      </c>
      <c r="AQ128" s="5400" t="s">
        <v>2644</v>
      </c>
      <c r="AR128" s="5400" t="s">
        <v>1358</v>
      </c>
    </row>
    <row r="129" spans="1:91" x14ac:dyDescent="0.2">
      <c r="B129" s="5135"/>
      <c r="C129" s="5135"/>
      <c r="D129" s="5125"/>
      <c r="E129" s="5598"/>
      <c r="F129" s="5126"/>
      <c r="G129" s="5413" t="s">
        <v>350</v>
      </c>
      <c r="H129" s="5541"/>
      <c r="I129" s="5413" t="s">
        <v>351</v>
      </c>
      <c r="J129" s="5541"/>
      <c r="K129" s="5413" t="s">
        <v>352</v>
      </c>
      <c r="L129" s="5541"/>
      <c r="M129" s="5413" t="s">
        <v>319</v>
      </c>
      <c r="N129" s="5541"/>
      <c r="O129" s="5413" t="s">
        <v>10</v>
      </c>
      <c r="P129" s="5541"/>
      <c r="Q129" s="5404" t="s">
        <v>11</v>
      </c>
      <c r="R129" s="5738"/>
      <c r="S129" s="5404" t="s">
        <v>12</v>
      </c>
      <c r="T129" s="5738"/>
      <c r="U129" s="5404" t="s">
        <v>13</v>
      </c>
      <c r="V129" s="5738"/>
      <c r="W129" s="5404" t="s">
        <v>14</v>
      </c>
      <c r="X129" s="5738"/>
      <c r="Y129" s="5404" t="s">
        <v>15</v>
      </c>
      <c r="Z129" s="5738"/>
      <c r="AA129" s="5404" t="s">
        <v>16</v>
      </c>
      <c r="AB129" s="5738"/>
      <c r="AC129" s="5404" t="s">
        <v>17</v>
      </c>
      <c r="AD129" s="5738"/>
      <c r="AE129" s="5404" t="s">
        <v>18</v>
      </c>
      <c r="AF129" s="5738"/>
      <c r="AG129" s="5404" t="s">
        <v>19</v>
      </c>
      <c r="AH129" s="5738"/>
      <c r="AI129" s="5404" t="s">
        <v>20</v>
      </c>
      <c r="AJ129" s="5738"/>
      <c r="AK129" s="5404" t="s">
        <v>21</v>
      </c>
      <c r="AL129" s="5738"/>
      <c r="AM129" s="5404" t="s">
        <v>22</v>
      </c>
      <c r="AN129" s="5738"/>
      <c r="AO129" s="5123"/>
      <c r="AP129" s="5123"/>
      <c r="AQ129" s="5123"/>
      <c r="AR129" s="5123"/>
    </row>
    <row r="130" spans="1:91" x14ac:dyDescent="0.2">
      <c r="B130" s="5136"/>
      <c r="C130" s="5136"/>
      <c r="D130" s="5043" t="s">
        <v>184</v>
      </c>
      <c r="E130" s="5044" t="s">
        <v>24</v>
      </c>
      <c r="F130" s="4744" t="s">
        <v>25</v>
      </c>
      <c r="G130" s="5043" t="s">
        <v>24</v>
      </c>
      <c r="H130" s="4744" t="s">
        <v>25</v>
      </c>
      <c r="I130" s="5043" t="s">
        <v>24</v>
      </c>
      <c r="J130" s="4744" t="s">
        <v>25</v>
      </c>
      <c r="K130" s="5043" t="s">
        <v>24</v>
      </c>
      <c r="L130" s="4744" t="s">
        <v>25</v>
      </c>
      <c r="M130" s="4789" t="s">
        <v>24</v>
      </c>
      <c r="N130" s="4737" t="s">
        <v>25</v>
      </c>
      <c r="O130" s="4789" t="s">
        <v>24</v>
      </c>
      <c r="P130" s="4737" t="s">
        <v>25</v>
      </c>
      <c r="Q130" s="4789" t="s">
        <v>24</v>
      </c>
      <c r="R130" s="4737" t="s">
        <v>25</v>
      </c>
      <c r="S130" s="4789" t="s">
        <v>24</v>
      </c>
      <c r="T130" s="4737" t="s">
        <v>25</v>
      </c>
      <c r="U130" s="4789" t="s">
        <v>24</v>
      </c>
      <c r="V130" s="4737" t="s">
        <v>25</v>
      </c>
      <c r="W130" s="4789" t="s">
        <v>24</v>
      </c>
      <c r="X130" s="4737" t="s">
        <v>25</v>
      </c>
      <c r="Y130" s="4789" t="s">
        <v>24</v>
      </c>
      <c r="Z130" s="4737" t="s">
        <v>25</v>
      </c>
      <c r="AA130" s="4789" t="s">
        <v>24</v>
      </c>
      <c r="AB130" s="4737" t="s">
        <v>25</v>
      </c>
      <c r="AC130" s="4789" t="s">
        <v>24</v>
      </c>
      <c r="AD130" s="4737" t="s">
        <v>25</v>
      </c>
      <c r="AE130" s="4789" t="s">
        <v>24</v>
      </c>
      <c r="AF130" s="4737" t="s">
        <v>25</v>
      </c>
      <c r="AG130" s="4789" t="s">
        <v>24</v>
      </c>
      <c r="AH130" s="4737" t="s">
        <v>25</v>
      </c>
      <c r="AI130" s="4789" t="s">
        <v>24</v>
      </c>
      <c r="AJ130" s="4737" t="s">
        <v>25</v>
      </c>
      <c r="AK130" s="4789" t="s">
        <v>24</v>
      </c>
      <c r="AL130" s="4737" t="s">
        <v>25</v>
      </c>
      <c r="AM130" s="4789" t="s">
        <v>24</v>
      </c>
      <c r="AN130" s="4737" t="s">
        <v>25</v>
      </c>
      <c r="AO130" s="5126"/>
      <c r="AP130" s="5126"/>
      <c r="AQ130" s="5126"/>
      <c r="AR130" s="5126"/>
    </row>
    <row r="131" spans="1:91" ht="15.95" customHeight="1" x14ac:dyDescent="0.2">
      <c r="A131" s="4633" t="s">
        <v>3760</v>
      </c>
      <c r="B131" s="5779" t="s">
        <v>1711</v>
      </c>
      <c r="C131" s="5045" t="s">
        <v>29</v>
      </c>
      <c r="D131" s="2883" t="s">
        <v>2777</v>
      </c>
      <c r="E131" s="2884" t="s">
        <v>2778</v>
      </c>
      <c r="F131" s="4750" t="s">
        <v>2779</v>
      </c>
      <c r="G131" s="2898" t="s">
        <v>2780</v>
      </c>
      <c r="H131" s="2899" t="s">
        <v>2781</v>
      </c>
      <c r="I131" s="2898" t="s">
        <v>2782</v>
      </c>
      <c r="J131" s="2899" t="s">
        <v>2783</v>
      </c>
      <c r="K131" s="2898" t="s">
        <v>2784</v>
      </c>
      <c r="L131" s="2907" t="s">
        <v>2785</v>
      </c>
      <c r="M131" s="2907" t="s">
        <v>2786</v>
      </c>
      <c r="N131" s="2907" t="s">
        <v>2787</v>
      </c>
      <c r="O131" s="2907" t="s">
        <v>2788</v>
      </c>
      <c r="P131" s="2907" t="s">
        <v>2789</v>
      </c>
      <c r="Q131" s="2907" t="s">
        <v>2790</v>
      </c>
      <c r="R131" s="2907" t="s">
        <v>2791</v>
      </c>
      <c r="S131" s="2907" t="s">
        <v>2792</v>
      </c>
      <c r="T131" s="2907" t="s">
        <v>2793</v>
      </c>
      <c r="U131" s="2907" t="s">
        <v>2794</v>
      </c>
      <c r="V131" s="2907" t="s">
        <v>2795</v>
      </c>
      <c r="W131" s="2907" t="s">
        <v>2796</v>
      </c>
      <c r="X131" s="2907" t="s">
        <v>2797</v>
      </c>
      <c r="Y131" s="2907" t="s">
        <v>2798</v>
      </c>
      <c r="Z131" s="2907" t="s">
        <v>2799</v>
      </c>
      <c r="AA131" s="2907" t="s">
        <v>2800</v>
      </c>
      <c r="AB131" s="2907" t="s">
        <v>2801</v>
      </c>
      <c r="AC131" s="2907" t="s">
        <v>2817</v>
      </c>
      <c r="AD131" s="2907" t="s">
        <v>2818</v>
      </c>
      <c r="AE131" s="2907" t="s">
        <v>2819</v>
      </c>
      <c r="AF131" s="2907" t="s">
        <v>2821</v>
      </c>
      <c r="AG131" s="2907" t="s">
        <v>2822</v>
      </c>
      <c r="AH131" s="2907" t="s">
        <v>2823</v>
      </c>
      <c r="AI131" s="2907" t="s">
        <v>2824</v>
      </c>
      <c r="AJ131" s="2907" t="s">
        <v>2825</v>
      </c>
      <c r="AK131" s="2907" t="s">
        <v>2826</v>
      </c>
      <c r="AL131" s="2907" t="s">
        <v>2827</v>
      </c>
      <c r="AM131" s="2907" t="s">
        <v>2831</v>
      </c>
      <c r="AN131" s="2907" t="s">
        <v>2832</v>
      </c>
      <c r="AO131" s="2907" t="s">
        <v>2833</v>
      </c>
      <c r="AP131" s="2907" t="s">
        <v>2834</v>
      </c>
      <c r="AQ131" s="2907" t="s">
        <v>3011</v>
      </c>
      <c r="AR131" s="2907" t="s">
        <v>3012</v>
      </c>
      <c r="AS131" s="2384" t="str">
        <f>CONCATENATE(CG131,CB131,CC131,CD131,CE131,CF131)</f>
        <v xml:space="preserve">* El número de Beneficiarios NO DEBE ser mayor que el Total. * Los Niños, Niñas, Adolescentes y Jóvenes de Programa SENAME NO DEBE ser mayor que el Total. * El número de personas pertenecientes a Pueblos Originarios NO DEBE ser mayor que el Total. * El número de personas Migrantes NO DEBE ser mayor que el Total. </v>
      </c>
      <c r="CB131" s="1031" t="str">
        <f>IF(CH131=1,"* El número de Beneficiarios NO DEBE ser mayor que el Total. ","")</f>
        <v xml:space="preserve">* El número de Beneficiarios NO DEBE ser mayor que el Total. </v>
      </c>
      <c r="CC131" s="1164" t="str">
        <f>IF(CI131=1,"* Los Niños, Niñas, Adolescentes y Jóvenes de Programa SENAME NO DEBE ser mayor que el Total. ","")</f>
        <v xml:space="preserve">* Los Niños, Niñas, Adolescentes y Jóvenes de Programa SENAME NO DEBE ser mayor que el Total. </v>
      </c>
      <c r="CD131" s="1164" t="str">
        <f>IF(CJ131=1,"* El número de personas pertenecientes a Pueblos Originarios NO DEBE ser mayor que el Total. ","")</f>
        <v xml:space="preserve">* El número de personas pertenecientes a Pueblos Originarios NO DEBE ser mayor que el Total. </v>
      </c>
      <c r="CE131" s="1164" t="str">
        <f>IF(CK131=1,"* El número de personas Migrantes NO DEBE ser mayor que el Total. ","")</f>
        <v xml:space="preserve">* El número de personas Migrantes NO DEBE ser mayor que el Total. </v>
      </c>
      <c r="CF131" s="1164"/>
      <c r="CG131" s="1031" t="str">
        <f>IF(CM131=1,"* No olvide digitar la columna Beneficiarios y/o Niños, Niñas, Adolescentes y Jóvenes de Programa SENAME y/o Pueblos Originarios y/o Migrantes y/o Demencia (Digite CEROS si no tiene). ","")</f>
        <v/>
      </c>
      <c r="CH131" s="1163">
        <f>IF($D131&lt;AO131,1,0)</f>
        <v>1</v>
      </c>
      <c r="CI131" s="1163">
        <f t="shared" ref="CI131" si="21">IF($D131&lt;AP131,1,0)</f>
        <v>1</v>
      </c>
      <c r="CJ131" s="1163">
        <f t="shared" ref="CJ131" si="22">IF($D131&lt;AQ131,1,0)</f>
        <v>1</v>
      </c>
      <c r="CK131" s="1163">
        <f t="shared" ref="CK131" si="23">IF($D131&lt;AR131,1,0)</f>
        <v>1</v>
      </c>
      <c r="CL131" s="1163"/>
      <c r="CM131" s="1163">
        <f>IF(AND(D131&lt;&gt;0,OR(AO131="",AP131="",AQ131="",AR131="")),1,0)</f>
        <v>0</v>
      </c>
    </row>
    <row r="132" spans="1:91" ht="15.95" customHeight="1" x14ac:dyDescent="0.2">
      <c r="A132" s="4633" t="s">
        <v>3761</v>
      </c>
      <c r="B132" s="5113"/>
      <c r="C132" s="4742" t="s">
        <v>280</v>
      </c>
      <c r="D132" s="2885" t="s">
        <v>2777</v>
      </c>
      <c r="E132" s="2886" t="s">
        <v>2778</v>
      </c>
      <c r="F132" s="4749" t="s">
        <v>2779</v>
      </c>
      <c r="G132" s="2901" t="s">
        <v>2780</v>
      </c>
      <c r="H132" s="2902" t="s">
        <v>2781</v>
      </c>
      <c r="I132" s="2901" t="s">
        <v>2782</v>
      </c>
      <c r="J132" s="2902" t="s">
        <v>2783</v>
      </c>
      <c r="K132" s="2901" t="s">
        <v>2784</v>
      </c>
      <c r="L132" s="3323" t="s">
        <v>2785</v>
      </c>
      <c r="M132" s="3323" t="s">
        <v>2786</v>
      </c>
      <c r="N132" s="3323" t="s">
        <v>2787</v>
      </c>
      <c r="O132" s="3323" t="s">
        <v>2788</v>
      </c>
      <c r="P132" s="3323" t="s">
        <v>2789</v>
      </c>
      <c r="Q132" s="3323" t="s">
        <v>2790</v>
      </c>
      <c r="R132" s="3323" t="s">
        <v>2791</v>
      </c>
      <c r="S132" s="3323" t="s">
        <v>2792</v>
      </c>
      <c r="T132" s="3323" t="s">
        <v>2793</v>
      </c>
      <c r="U132" s="3323" t="s">
        <v>2794</v>
      </c>
      <c r="V132" s="3323" t="s">
        <v>2795</v>
      </c>
      <c r="W132" s="3323" t="s">
        <v>2796</v>
      </c>
      <c r="X132" s="3323" t="s">
        <v>2797</v>
      </c>
      <c r="Y132" s="3323" t="s">
        <v>2798</v>
      </c>
      <c r="Z132" s="3323" t="s">
        <v>2799</v>
      </c>
      <c r="AA132" s="3323" t="s">
        <v>2800</v>
      </c>
      <c r="AB132" s="3323" t="s">
        <v>2801</v>
      </c>
      <c r="AC132" s="3323" t="s">
        <v>2817</v>
      </c>
      <c r="AD132" s="3323" t="s">
        <v>2818</v>
      </c>
      <c r="AE132" s="3323" t="s">
        <v>2819</v>
      </c>
      <c r="AF132" s="3323" t="s">
        <v>2821</v>
      </c>
      <c r="AG132" s="3323" t="s">
        <v>2822</v>
      </c>
      <c r="AH132" s="3323" t="s">
        <v>2823</v>
      </c>
      <c r="AI132" s="3323" t="s">
        <v>2824</v>
      </c>
      <c r="AJ132" s="3323" t="s">
        <v>2825</v>
      </c>
      <c r="AK132" s="3323" t="s">
        <v>2826</v>
      </c>
      <c r="AL132" s="3323" t="s">
        <v>2827</v>
      </c>
      <c r="AM132" s="3323" t="s">
        <v>2831</v>
      </c>
      <c r="AN132" s="3323" t="s">
        <v>2832</v>
      </c>
      <c r="AO132" s="3323" t="s">
        <v>2833</v>
      </c>
      <c r="AP132" s="3323" t="s">
        <v>2834</v>
      </c>
      <c r="AQ132" s="3323" t="s">
        <v>3011</v>
      </c>
      <c r="AR132" s="3323" t="s">
        <v>3012</v>
      </c>
      <c r="AS132" s="2384" t="str">
        <f t="shared" ref="AS132:AS143" si="24">CONCATENATE(CG132,CB132,CC132,CD132,CE132,CF132)</f>
        <v xml:space="preserve">* El número de Beneficiarios NO DEBE ser mayor que el Total. * Los Niños, Niñas, Adolescentes y Jóvenes de Programa SENAME NO DEBE ser mayor que el Total. * El número de personas pertenecientes a Pueblos Originarios NO DEBE ser mayor que el Total. * El número de personas Migrantes NO DEBE ser mayor que el Total. </v>
      </c>
      <c r="CB132" s="1031" t="str">
        <f t="shared" ref="CB132:CB142" si="25">IF(CH132=1,"* El número de Beneficiarios NO DEBE ser mayor que el Total. ","")</f>
        <v xml:space="preserve">* El número de Beneficiarios NO DEBE ser mayor que el Total. </v>
      </c>
      <c r="CC132" s="1164" t="str">
        <f t="shared" ref="CC132:CC142" si="26">IF(CI132=1,"* Los Niños, Niñas, Adolescentes y Jóvenes de Programa SENAME NO DEBE ser mayor que el Total. ","")</f>
        <v xml:space="preserve">* Los Niños, Niñas, Adolescentes y Jóvenes de Programa SENAME NO DEBE ser mayor que el Total. </v>
      </c>
      <c r="CD132" s="1164" t="str">
        <f t="shared" ref="CD132:CD142" si="27">IF(CJ132=1,"* El número de personas pertenecientes a Pueblos Originarios NO DEBE ser mayor que el Total. ","")</f>
        <v xml:space="preserve">* El número de personas pertenecientes a Pueblos Originarios NO DEBE ser mayor que el Total. </v>
      </c>
      <c r="CE132" s="1164" t="str">
        <f t="shared" ref="CE132:CE142" si="28">IF(CK132=1,"* El número de personas Migrantes NO DEBE ser mayor que el Total. ","")</f>
        <v xml:space="preserve">* El número de personas Migrantes NO DEBE ser mayor que el Total. </v>
      </c>
      <c r="CF132" s="1164"/>
      <c r="CG132" s="1031" t="str">
        <f t="shared" ref="CG132:CG142" si="29">IF(CM132=1,"* No olvide digitar la columna Beneficiarios y/o Niños, Niñas, Adolescentes y Jóvenes de Programa SENAME y/o Pueblos Originarios y/o Migrantes y/o Demencia (Digite CEROS si no tiene). ","")</f>
        <v/>
      </c>
      <c r="CH132" s="1163">
        <f t="shared" ref="CH132:CH142" si="30">IF($D132&lt;AO132,1,0)</f>
        <v>1</v>
      </c>
      <c r="CI132" s="1163">
        <f t="shared" ref="CI132:CI143" si="31">IF($D132&lt;AP132,1,0)</f>
        <v>1</v>
      </c>
      <c r="CJ132" s="1163">
        <f t="shared" ref="CJ132:CJ143" si="32">IF($D132&lt;AQ132,1,0)</f>
        <v>1</v>
      </c>
      <c r="CK132" s="1163">
        <f t="shared" ref="CK132:CK143" si="33">IF($D132&lt;AR132,1,0)</f>
        <v>1</v>
      </c>
      <c r="CL132" s="1163"/>
      <c r="CM132" s="1163">
        <f t="shared" ref="CM132:CM143" si="34">IF(AND(D132&lt;&gt;0,OR(AO132="",AP132="",AQ132="",AR132="")),1,0)</f>
        <v>0</v>
      </c>
    </row>
    <row r="133" spans="1:91" ht="15.95" customHeight="1" x14ac:dyDescent="0.2">
      <c r="A133" s="4633" t="s">
        <v>3762</v>
      </c>
      <c r="B133" s="5113"/>
      <c r="C133" s="4742" t="s">
        <v>41</v>
      </c>
      <c r="D133" s="2885" t="s">
        <v>2777</v>
      </c>
      <c r="E133" s="2886" t="s">
        <v>2778</v>
      </c>
      <c r="F133" s="4749" t="s">
        <v>2779</v>
      </c>
      <c r="G133" s="2901" t="s">
        <v>2780</v>
      </c>
      <c r="H133" s="2902" t="s">
        <v>2781</v>
      </c>
      <c r="I133" s="2901" t="s">
        <v>2782</v>
      </c>
      <c r="J133" s="2902" t="s">
        <v>2783</v>
      </c>
      <c r="K133" s="2901" t="s">
        <v>2784</v>
      </c>
      <c r="L133" s="3323" t="s">
        <v>2785</v>
      </c>
      <c r="M133" s="3323" t="s">
        <v>2786</v>
      </c>
      <c r="N133" s="3323" t="s">
        <v>2787</v>
      </c>
      <c r="O133" s="3323" t="s">
        <v>2788</v>
      </c>
      <c r="P133" s="3323" t="s">
        <v>2789</v>
      </c>
      <c r="Q133" s="3323" t="s">
        <v>2790</v>
      </c>
      <c r="R133" s="3323" t="s">
        <v>2791</v>
      </c>
      <c r="S133" s="3323" t="s">
        <v>2792</v>
      </c>
      <c r="T133" s="3323" t="s">
        <v>2793</v>
      </c>
      <c r="U133" s="3323" t="s">
        <v>2794</v>
      </c>
      <c r="V133" s="3323" t="s">
        <v>2795</v>
      </c>
      <c r="W133" s="3323" t="s">
        <v>2796</v>
      </c>
      <c r="X133" s="3323" t="s">
        <v>2797</v>
      </c>
      <c r="Y133" s="3323" t="s">
        <v>2798</v>
      </c>
      <c r="Z133" s="3323" t="s">
        <v>2799</v>
      </c>
      <c r="AA133" s="3323" t="s">
        <v>2800</v>
      </c>
      <c r="AB133" s="3323" t="s">
        <v>2801</v>
      </c>
      <c r="AC133" s="3323" t="s">
        <v>2817</v>
      </c>
      <c r="AD133" s="3323" t="s">
        <v>2818</v>
      </c>
      <c r="AE133" s="3323" t="s">
        <v>2819</v>
      </c>
      <c r="AF133" s="3323" t="s">
        <v>2821</v>
      </c>
      <c r="AG133" s="3323" t="s">
        <v>2822</v>
      </c>
      <c r="AH133" s="3323" t="s">
        <v>2823</v>
      </c>
      <c r="AI133" s="3323" t="s">
        <v>2824</v>
      </c>
      <c r="AJ133" s="3323" t="s">
        <v>2825</v>
      </c>
      <c r="AK133" s="3323" t="s">
        <v>2826</v>
      </c>
      <c r="AL133" s="3323" t="s">
        <v>2827</v>
      </c>
      <c r="AM133" s="3323" t="s">
        <v>2831</v>
      </c>
      <c r="AN133" s="3323" t="s">
        <v>2832</v>
      </c>
      <c r="AO133" s="3323" t="s">
        <v>2833</v>
      </c>
      <c r="AP133" s="3323" t="s">
        <v>2834</v>
      </c>
      <c r="AQ133" s="3323" t="s">
        <v>3011</v>
      </c>
      <c r="AR133" s="3323" t="s">
        <v>3012</v>
      </c>
      <c r="AS133" s="2384" t="str">
        <f t="shared" si="24"/>
        <v xml:space="preserve">* El número de Beneficiarios NO DEBE ser mayor que el Total. * Los Niños, Niñas, Adolescentes y Jóvenes de Programa SENAME NO DEBE ser mayor que el Total. * El número de personas pertenecientes a Pueblos Originarios NO DEBE ser mayor que el Total. * El número de personas Migrantes NO DEBE ser mayor que el Total. </v>
      </c>
      <c r="CB133" s="1031" t="str">
        <f t="shared" si="25"/>
        <v xml:space="preserve">* El número de Beneficiarios NO DEBE ser mayor que el Total. </v>
      </c>
      <c r="CC133" s="1164" t="str">
        <f t="shared" si="26"/>
        <v xml:space="preserve">* Los Niños, Niñas, Adolescentes y Jóvenes de Programa SENAME NO DEBE ser mayor que el Total. </v>
      </c>
      <c r="CD133" s="1164" t="str">
        <f t="shared" si="27"/>
        <v xml:space="preserve">* El número de personas pertenecientes a Pueblos Originarios NO DEBE ser mayor que el Total. </v>
      </c>
      <c r="CE133" s="1164" t="str">
        <f t="shared" si="28"/>
        <v xml:space="preserve">* El número de personas Migrantes NO DEBE ser mayor que el Total. </v>
      </c>
      <c r="CF133" s="1164"/>
      <c r="CG133" s="1031" t="str">
        <f t="shared" si="29"/>
        <v/>
      </c>
      <c r="CH133" s="1163">
        <f t="shared" si="30"/>
        <v>1</v>
      </c>
      <c r="CI133" s="1163">
        <f t="shared" si="31"/>
        <v>1</v>
      </c>
      <c r="CJ133" s="1163">
        <f t="shared" si="32"/>
        <v>1</v>
      </c>
      <c r="CK133" s="1163">
        <f t="shared" si="33"/>
        <v>1</v>
      </c>
      <c r="CL133" s="1163"/>
      <c r="CM133" s="1163">
        <f t="shared" si="34"/>
        <v>0</v>
      </c>
    </row>
    <row r="134" spans="1:91" ht="15.95" customHeight="1" x14ac:dyDescent="0.2">
      <c r="A134" s="4633" t="s">
        <v>3763</v>
      </c>
      <c r="B134" s="5113"/>
      <c r="C134" s="4742" t="s">
        <v>30</v>
      </c>
      <c r="D134" s="2885" t="s">
        <v>2777</v>
      </c>
      <c r="E134" s="2886" t="s">
        <v>2778</v>
      </c>
      <c r="F134" s="4749" t="s">
        <v>2779</v>
      </c>
      <c r="G134" s="2901" t="s">
        <v>2780</v>
      </c>
      <c r="H134" s="2902" t="s">
        <v>2781</v>
      </c>
      <c r="I134" s="2901" t="s">
        <v>2782</v>
      </c>
      <c r="J134" s="2902" t="s">
        <v>2783</v>
      </c>
      <c r="K134" s="2901" t="s">
        <v>2784</v>
      </c>
      <c r="L134" s="3323" t="s">
        <v>2785</v>
      </c>
      <c r="M134" s="3323" t="s">
        <v>2786</v>
      </c>
      <c r="N134" s="3323" t="s">
        <v>2787</v>
      </c>
      <c r="O134" s="3323" t="s">
        <v>2788</v>
      </c>
      <c r="P134" s="3323" t="s">
        <v>2789</v>
      </c>
      <c r="Q134" s="3323" t="s">
        <v>2790</v>
      </c>
      <c r="R134" s="3323" t="s">
        <v>2791</v>
      </c>
      <c r="S134" s="3323" t="s">
        <v>2792</v>
      </c>
      <c r="T134" s="3323" t="s">
        <v>2793</v>
      </c>
      <c r="U134" s="3323" t="s">
        <v>2794</v>
      </c>
      <c r="V134" s="3323" t="s">
        <v>2795</v>
      </c>
      <c r="W134" s="3323" t="s">
        <v>2796</v>
      </c>
      <c r="X134" s="3323" t="s">
        <v>2797</v>
      </c>
      <c r="Y134" s="3323" t="s">
        <v>2798</v>
      </c>
      <c r="Z134" s="3323" t="s">
        <v>2799</v>
      </c>
      <c r="AA134" s="3323" t="s">
        <v>2800</v>
      </c>
      <c r="AB134" s="3323" t="s">
        <v>2801</v>
      </c>
      <c r="AC134" s="3323" t="s">
        <v>2817</v>
      </c>
      <c r="AD134" s="3323" t="s">
        <v>2818</v>
      </c>
      <c r="AE134" s="3323" t="s">
        <v>2819</v>
      </c>
      <c r="AF134" s="3323" t="s">
        <v>2821</v>
      </c>
      <c r="AG134" s="3323" t="s">
        <v>2822</v>
      </c>
      <c r="AH134" s="3323" t="s">
        <v>2823</v>
      </c>
      <c r="AI134" s="3323" t="s">
        <v>2824</v>
      </c>
      <c r="AJ134" s="3323" t="s">
        <v>2825</v>
      </c>
      <c r="AK134" s="3323" t="s">
        <v>2826</v>
      </c>
      <c r="AL134" s="3323" t="s">
        <v>2827</v>
      </c>
      <c r="AM134" s="3323" t="s">
        <v>2831</v>
      </c>
      <c r="AN134" s="3323" t="s">
        <v>2832</v>
      </c>
      <c r="AO134" s="3323" t="s">
        <v>2833</v>
      </c>
      <c r="AP134" s="3323" t="s">
        <v>2834</v>
      </c>
      <c r="AQ134" s="3323" t="s">
        <v>3011</v>
      </c>
      <c r="AR134" s="3323" t="s">
        <v>3012</v>
      </c>
      <c r="AS134" s="2384" t="str">
        <f t="shared" si="24"/>
        <v xml:space="preserve">* El número de Beneficiarios NO DEBE ser mayor que el Total. * Los Niños, Niñas, Adolescentes y Jóvenes de Programa SENAME NO DEBE ser mayor que el Total. * El número de personas pertenecientes a Pueblos Originarios NO DEBE ser mayor que el Total. * El número de personas Migrantes NO DEBE ser mayor que el Total. </v>
      </c>
      <c r="CB134" s="1031" t="str">
        <f t="shared" si="25"/>
        <v xml:space="preserve">* El número de Beneficiarios NO DEBE ser mayor que el Total. </v>
      </c>
      <c r="CC134" s="1164" t="str">
        <f t="shared" si="26"/>
        <v xml:space="preserve">* Los Niños, Niñas, Adolescentes y Jóvenes de Programa SENAME NO DEBE ser mayor que el Total. </v>
      </c>
      <c r="CD134" s="1164" t="str">
        <f t="shared" si="27"/>
        <v xml:space="preserve">* El número de personas pertenecientes a Pueblos Originarios NO DEBE ser mayor que el Total. </v>
      </c>
      <c r="CE134" s="1164" t="str">
        <f t="shared" si="28"/>
        <v xml:space="preserve">* El número de personas Migrantes NO DEBE ser mayor que el Total. </v>
      </c>
      <c r="CF134" s="1164"/>
      <c r="CG134" s="1031" t="str">
        <f t="shared" si="29"/>
        <v/>
      </c>
      <c r="CH134" s="1163">
        <f t="shared" si="30"/>
        <v>1</v>
      </c>
      <c r="CI134" s="1163">
        <f t="shared" si="31"/>
        <v>1</v>
      </c>
      <c r="CJ134" s="1163">
        <f t="shared" si="32"/>
        <v>1</v>
      </c>
      <c r="CK134" s="1163">
        <f t="shared" si="33"/>
        <v>1</v>
      </c>
      <c r="CL134" s="1163"/>
      <c r="CM134" s="1163">
        <f t="shared" si="34"/>
        <v>0</v>
      </c>
    </row>
    <row r="135" spans="1:91" ht="15.95" customHeight="1" x14ac:dyDescent="0.2">
      <c r="A135" s="4633" t="s">
        <v>3764</v>
      </c>
      <c r="B135" s="5113"/>
      <c r="C135" s="4742" t="s">
        <v>283</v>
      </c>
      <c r="D135" s="2885" t="s">
        <v>2777</v>
      </c>
      <c r="E135" s="2886" t="s">
        <v>2778</v>
      </c>
      <c r="F135" s="4749" t="s">
        <v>2779</v>
      </c>
      <c r="G135" s="2901" t="s">
        <v>2780</v>
      </c>
      <c r="H135" s="2902" t="s">
        <v>2781</v>
      </c>
      <c r="I135" s="2901" t="s">
        <v>2782</v>
      </c>
      <c r="J135" s="2902" t="s">
        <v>2783</v>
      </c>
      <c r="K135" s="2901" t="s">
        <v>2784</v>
      </c>
      <c r="L135" s="3323" t="s">
        <v>2785</v>
      </c>
      <c r="M135" s="3323" t="s">
        <v>2786</v>
      </c>
      <c r="N135" s="3323" t="s">
        <v>2787</v>
      </c>
      <c r="O135" s="3323" t="s">
        <v>2788</v>
      </c>
      <c r="P135" s="3323" t="s">
        <v>2789</v>
      </c>
      <c r="Q135" s="3323" t="s">
        <v>2790</v>
      </c>
      <c r="R135" s="3323" t="s">
        <v>2791</v>
      </c>
      <c r="S135" s="3323" t="s">
        <v>2792</v>
      </c>
      <c r="T135" s="3323" t="s">
        <v>2793</v>
      </c>
      <c r="U135" s="3323" t="s">
        <v>2794</v>
      </c>
      <c r="V135" s="3323" t="s">
        <v>2795</v>
      </c>
      <c r="W135" s="3323" t="s">
        <v>2796</v>
      </c>
      <c r="X135" s="3323" t="s">
        <v>2797</v>
      </c>
      <c r="Y135" s="3323" t="s">
        <v>2798</v>
      </c>
      <c r="Z135" s="3323" t="s">
        <v>2799</v>
      </c>
      <c r="AA135" s="3323" t="s">
        <v>2800</v>
      </c>
      <c r="AB135" s="3323" t="s">
        <v>2801</v>
      </c>
      <c r="AC135" s="3323" t="s">
        <v>2817</v>
      </c>
      <c r="AD135" s="3323" t="s">
        <v>2818</v>
      </c>
      <c r="AE135" s="3323" t="s">
        <v>2819</v>
      </c>
      <c r="AF135" s="3323" t="s">
        <v>2821</v>
      </c>
      <c r="AG135" s="3323" t="s">
        <v>2822</v>
      </c>
      <c r="AH135" s="3323" t="s">
        <v>2823</v>
      </c>
      <c r="AI135" s="3323" t="s">
        <v>2824</v>
      </c>
      <c r="AJ135" s="3323" t="s">
        <v>2825</v>
      </c>
      <c r="AK135" s="3323" t="s">
        <v>2826</v>
      </c>
      <c r="AL135" s="3323" t="s">
        <v>2827</v>
      </c>
      <c r="AM135" s="3323" t="s">
        <v>2831</v>
      </c>
      <c r="AN135" s="3323" t="s">
        <v>2832</v>
      </c>
      <c r="AO135" s="3323" t="s">
        <v>2833</v>
      </c>
      <c r="AP135" s="3323" t="s">
        <v>2834</v>
      </c>
      <c r="AQ135" s="3323" t="s">
        <v>3011</v>
      </c>
      <c r="AR135" s="3323" t="s">
        <v>3012</v>
      </c>
      <c r="AS135" s="2384" t="str">
        <f t="shared" si="24"/>
        <v xml:space="preserve">* El número de Beneficiarios NO DEBE ser mayor que el Total. * Los Niños, Niñas, Adolescentes y Jóvenes de Programa SENAME NO DEBE ser mayor que el Total. * El número de personas pertenecientes a Pueblos Originarios NO DEBE ser mayor que el Total. * El número de personas Migrantes NO DEBE ser mayor que el Total. </v>
      </c>
      <c r="CB135" s="1031" t="str">
        <f t="shared" si="25"/>
        <v xml:space="preserve">* El número de Beneficiarios NO DEBE ser mayor que el Total. </v>
      </c>
      <c r="CC135" s="1164" t="str">
        <f t="shared" si="26"/>
        <v xml:space="preserve">* Los Niños, Niñas, Adolescentes y Jóvenes de Programa SENAME NO DEBE ser mayor que el Total. </v>
      </c>
      <c r="CD135" s="1164" t="str">
        <f t="shared" si="27"/>
        <v xml:space="preserve">* El número de personas pertenecientes a Pueblos Originarios NO DEBE ser mayor que el Total. </v>
      </c>
      <c r="CE135" s="1164" t="str">
        <f t="shared" si="28"/>
        <v xml:space="preserve">* El número de personas Migrantes NO DEBE ser mayor que el Total. </v>
      </c>
      <c r="CF135" s="1164"/>
      <c r="CG135" s="1031" t="str">
        <f t="shared" si="29"/>
        <v/>
      </c>
      <c r="CH135" s="1163">
        <f t="shared" si="30"/>
        <v>1</v>
      </c>
      <c r="CI135" s="1163">
        <f t="shared" si="31"/>
        <v>1</v>
      </c>
      <c r="CJ135" s="1163">
        <f t="shared" si="32"/>
        <v>1</v>
      </c>
      <c r="CK135" s="1163">
        <f t="shared" si="33"/>
        <v>1</v>
      </c>
      <c r="CL135" s="1163"/>
      <c r="CM135" s="1163">
        <f t="shared" si="34"/>
        <v>0</v>
      </c>
    </row>
    <row r="136" spans="1:91" ht="15.95" customHeight="1" x14ac:dyDescent="0.2">
      <c r="A136" s="4633" t="s">
        <v>3765</v>
      </c>
      <c r="B136" s="5113"/>
      <c r="C136" s="4742" t="s">
        <v>285</v>
      </c>
      <c r="D136" s="2885" t="s">
        <v>2777</v>
      </c>
      <c r="E136" s="2886" t="s">
        <v>2778</v>
      </c>
      <c r="F136" s="4749" t="s">
        <v>2779</v>
      </c>
      <c r="G136" s="2901" t="s">
        <v>2780</v>
      </c>
      <c r="H136" s="2902" t="s">
        <v>2781</v>
      </c>
      <c r="I136" s="2901" t="s">
        <v>2782</v>
      </c>
      <c r="J136" s="2902" t="s">
        <v>2783</v>
      </c>
      <c r="K136" s="2901" t="s">
        <v>2784</v>
      </c>
      <c r="L136" s="3323" t="s">
        <v>2785</v>
      </c>
      <c r="M136" s="3323" t="s">
        <v>2786</v>
      </c>
      <c r="N136" s="3323" t="s">
        <v>2787</v>
      </c>
      <c r="O136" s="3323" t="s">
        <v>2788</v>
      </c>
      <c r="P136" s="3323" t="s">
        <v>2789</v>
      </c>
      <c r="Q136" s="3323" t="s">
        <v>2790</v>
      </c>
      <c r="R136" s="3323" t="s">
        <v>2791</v>
      </c>
      <c r="S136" s="3323" t="s">
        <v>2792</v>
      </c>
      <c r="T136" s="3323" t="s">
        <v>2793</v>
      </c>
      <c r="U136" s="3323" t="s">
        <v>2794</v>
      </c>
      <c r="V136" s="3323" t="s">
        <v>2795</v>
      </c>
      <c r="W136" s="3323" t="s">
        <v>2796</v>
      </c>
      <c r="X136" s="3323" t="s">
        <v>2797</v>
      </c>
      <c r="Y136" s="3323" t="s">
        <v>2798</v>
      </c>
      <c r="Z136" s="3323" t="s">
        <v>2799</v>
      </c>
      <c r="AA136" s="3323" t="s">
        <v>2800</v>
      </c>
      <c r="AB136" s="3323" t="s">
        <v>2801</v>
      </c>
      <c r="AC136" s="3323" t="s">
        <v>2817</v>
      </c>
      <c r="AD136" s="3323" t="s">
        <v>2818</v>
      </c>
      <c r="AE136" s="3323" t="s">
        <v>2819</v>
      </c>
      <c r="AF136" s="3323" t="s">
        <v>2821</v>
      </c>
      <c r="AG136" s="3323" t="s">
        <v>2822</v>
      </c>
      <c r="AH136" s="3323" t="s">
        <v>2823</v>
      </c>
      <c r="AI136" s="3323" t="s">
        <v>2824</v>
      </c>
      <c r="AJ136" s="3323" t="s">
        <v>2825</v>
      </c>
      <c r="AK136" s="3323" t="s">
        <v>2826</v>
      </c>
      <c r="AL136" s="3323" t="s">
        <v>2827</v>
      </c>
      <c r="AM136" s="3323" t="s">
        <v>2831</v>
      </c>
      <c r="AN136" s="3323" t="s">
        <v>2832</v>
      </c>
      <c r="AO136" s="3323" t="s">
        <v>2833</v>
      </c>
      <c r="AP136" s="3323" t="s">
        <v>2834</v>
      </c>
      <c r="AQ136" s="3323" t="s">
        <v>3011</v>
      </c>
      <c r="AR136" s="3323" t="s">
        <v>3012</v>
      </c>
      <c r="AS136" s="2384" t="str">
        <f t="shared" si="24"/>
        <v xml:space="preserve">* El número de Beneficiarios NO DEBE ser mayor que el Total. * Los Niños, Niñas, Adolescentes y Jóvenes de Programa SENAME NO DEBE ser mayor que el Total. * El número de personas pertenecientes a Pueblos Originarios NO DEBE ser mayor que el Total. * El número de personas Migrantes NO DEBE ser mayor que el Total. </v>
      </c>
      <c r="CB136" s="1031" t="str">
        <f t="shared" si="25"/>
        <v xml:space="preserve">* El número de Beneficiarios NO DEBE ser mayor que el Total. </v>
      </c>
      <c r="CC136" s="1164" t="str">
        <f t="shared" si="26"/>
        <v xml:space="preserve">* Los Niños, Niñas, Adolescentes y Jóvenes de Programa SENAME NO DEBE ser mayor que el Total. </v>
      </c>
      <c r="CD136" s="1164" t="str">
        <f t="shared" si="27"/>
        <v xml:space="preserve">* El número de personas pertenecientes a Pueblos Originarios NO DEBE ser mayor que el Total. </v>
      </c>
      <c r="CE136" s="1164" t="str">
        <f t="shared" si="28"/>
        <v xml:space="preserve">* El número de personas Migrantes NO DEBE ser mayor que el Total. </v>
      </c>
      <c r="CF136" s="1164"/>
      <c r="CG136" s="1031" t="str">
        <f t="shared" si="29"/>
        <v/>
      </c>
      <c r="CH136" s="1163">
        <f t="shared" si="30"/>
        <v>1</v>
      </c>
      <c r="CI136" s="1163">
        <f t="shared" si="31"/>
        <v>1</v>
      </c>
      <c r="CJ136" s="1163">
        <f t="shared" si="32"/>
        <v>1</v>
      </c>
      <c r="CK136" s="1163">
        <f t="shared" si="33"/>
        <v>1</v>
      </c>
      <c r="CL136" s="1163"/>
      <c r="CM136" s="1163">
        <f t="shared" si="34"/>
        <v>0</v>
      </c>
    </row>
    <row r="137" spans="1:91" ht="15.95" customHeight="1" x14ac:dyDescent="0.2">
      <c r="A137" s="4633" t="s">
        <v>3766</v>
      </c>
      <c r="B137" s="5113"/>
      <c r="C137" s="4742" t="s">
        <v>282</v>
      </c>
      <c r="D137" s="2885" t="s">
        <v>2777</v>
      </c>
      <c r="E137" s="2886" t="s">
        <v>2778</v>
      </c>
      <c r="F137" s="4749" t="s">
        <v>2779</v>
      </c>
      <c r="G137" s="2901" t="s">
        <v>2780</v>
      </c>
      <c r="H137" s="2902" t="s">
        <v>2781</v>
      </c>
      <c r="I137" s="2901" t="s">
        <v>2782</v>
      </c>
      <c r="J137" s="2902" t="s">
        <v>2783</v>
      </c>
      <c r="K137" s="2901" t="s">
        <v>2784</v>
      </c>
      <c r="L137" s="3323" t="s">
        <v>2785</v>
      </c>
      <c r="M137" s="3323" t="s">
        <v>2786</v>
      </c>
      <c r="N137" s="3323" t="s">
        <v>2787</v>
      </c>
      <c r="O137" s="3323" t="s">
        <v>2788</v>
      </c>
      <c r="P137" s="3323" t="s">
        <v>2789</v>
      </c>
      <c r="Q137" s="3323" t="s">
        <v>2790</v>
      </c>
      <c r="R137" s="3323" t="s">
        <v>2791</v>
      </c>
      <c r="S137" s="3323" t="s">
        <v>2792</v>
      </c>
      <c r="T137" s="3323" t="s">
        <v>2793</v>
      </c>
      <c r="U137" s="3323" t="s">
        <v>2794</v>
      </c>
      <c r="V137" s="3323" t="s">
        <v>2795</v>
      </c>
      <c r="W137" s="3323" t="s">
        <v>2796</v>
      </c>
      <c r="X137" s="3323" t="s">
        <v>2797</v>
      </c>
      <c r="Y137" s="3323" t="s">
        <v>2798</v>
      </c>
      <c r="Z137" s="3323" t="s">
        <v>2799</v>
      </c>
      <c r="AA137" s="3323" t="s">
        <v>2800</v>
      </c>
      <c r="AB137" s="3323" t="s">
        <v>2801</v>
      </c>
      <c r="AC137" s="3323" t="s">
        <v>2817</v>
      </c>
      <c r="AD137" s="3323" t="s">
        <v>2818</v>
      </c>
      <c r="AE137" s="3323" t="s">
        <v>2819</v>
      </c>
      <c r="AF137" s="3323" t="s">
        <v>2821</v>
      </c>
      <c r="AG137" s="3323" t="s">
        <v>2822</v>
      </c>
      <c r="AH137" s="3323" t="s">
        <v>2823</v>
      </c>
      <c r="AI137" s="3323" t="s">
        <v>2824</v>
      </c>
      <c r="AJ137" s="3323" t="s">
        <v>2825</v>
      </c>
      <c r="AK137" s="3323" t="s">
        <v>2826</v>
      </c>
      <c r="AL137" s="3323" t="s">
        <v>2827</v>
      </c>
      <c r="AM137" s="3323" t="s">
        <v>2831</v>
      </c>
      <c r="AN137" s="3323" t="s">
        <v>2832</v>
      </c>
      <c r="AO137" s="3323" t="s">
        <v>2833</v>
      </c>
      <c r="AP137" s="3323" t="s">
        <v>2834</v>
      </c>
      <c r="AQ137" s="3323" t="s">
        <v>3011</v>
      </c>
      <c r="AR137" s="3323" t="s">
        <v>3012</v>
      </c>
      <c r="AS137" s="2384" t="str">
        <f t="shared" si="24"/>
        <v xml:space="preserve">* El número de Beneficiarios NO DEBE ser mayor que el Total. * Los Niños, Niñas, Adolescentes y Jóvenes de Programa SENAME NO DEBE ser mayor que el Total. * El número de personas pertenecientes a Pueblos Originarios NO DEBE ser mayor que el Total. * El número de personas Migrantes NO DEBE ser mayor que el Total. </v>
      </c>
      <c r="CB137" s="1031" t="str">
        <f t="shared" si="25"/>
        <v xml:space="preserve">* El número de Beneficiarios NO DEBE ser mayor que el Total. </v>
      </c>
      <c r="CC137" s="1164" t="str">
        <f t="shared" si="26"/>
        <v xml:space="preserve">* Los Niños, Niñas, Adolescentes y Jóvenes de Programa SENAME NO DEBE ser mayor que el Total. </v>
      </c>
      <c r="CD137" s="1164" t="str">
        <f t="shared" si="27"/>
        <v xml:space="preserve">* El número de personas pertenecientes a Pueblos Originarios NO DEBE ser mayor que el Total. </v>
      </c>
      <c r="CE137" s="1164" t="str">
        <f t="shared" si="28"/>
        <v xml:space="preserve">* El número de personas Migrantes NO DEBE ser mayor que el Total. </v>
      </c>
      <c r="CF137" s="1164"/>
      <c r="CG137" s="1031" t="str">
        <f t="shared" si="29"/>
        <v/>
      </c>
      <c r="CH137" s="1163">
        <f t="shared" si="30"/>
        <v>1</v>
      </c>
      <c r="CI137" s="1163">
        <f t="shared" si="31"/>
        <v>1</v>
      </c>
      <c r="CJ137" s="1163">
        <f t="shared" si="32"/>
        <v>1</v>
      </c>
      <c r="CK137" s="1163">
        <f t="shared" si="33"/>
        <v>1</v>
      </c>
      <c r="CL137" s="1163"/>
      <c r="CM137" s="1163">
        <f t="shared" si="34"/>
        <v>0</v>
      </c>
    </row>
    <row r="138" spans="1:91" ht="23.25" customHeight="1" x14ac:dyDescent="0.2">
      <c r="A138" s="4633" t="s">
        <v>3767</v>
      </c>
      <c r="B138" s="5113"/>
      <c r="C138" s="4742" t="s">
        <v>431</v>
      </c>
      <c r="D138" s="2885" t="s">
        <v>2777</v>
      </c>
      <c r="E138" s="2886" t="s">
        <v>2778</v>
      </c>
      <c r="F138" s="4749" t="s">
        <v>2779</v>
      </c>
      <c r="G138" s="2901" t="s">
        <v>2780</v>
      </c>
      <c r="H138" s="2902" t="s">
        <v>2781</v>
      </c>
      <c r="I138" s="2901" t="s">
        <v>2782</v>
      </c>
      <c r="J138" s="2902" t="s">
        <v>2783</v>
      </c>
      <c r="K138" s="2901" t="s">
        <v>2784</v>
      </c>
      <c r="L138" s="3323" t="s">
        <v>2785</v>
      </c>
      <c r="M138" s="3323" t="s">
        <v>2786</v>
      </c>
      <c r="N138" s="3323" t="s">
        <v>2787</v>
      </c>
      <c r="O138" s="3323" t="s">
        <v>2788</v>
      </c>
      <c r="P138" s="3323" t="s">
        <v>2789</v>
      </c>
      <c r="Q138" s="3323" t="s">
        <v>2790</v>
      </c>
      <c r="R138" s="3323" t="s">
        <v>2791</v>
      </c>
      <c r="S138" s="3323" t="s">
        <v>2792</v>
      </c>
      <c r="T138" s="3323" t="s">
        <v>2793</v>
      </c>
      <c r="U138" s="3323" t="s">
        <v>2794</v>
      </c>
      <c r="V138" s="3323" t="s">
        <v>2795</v>
      </c>
      <c r="W138" s="3323" t="s">
        <v>2796</v>
      </c>
      <c r="X138" s="3323" t="s">
        <v>2797</v>
      </c>
      <c r="Y138" s="3323" t="s">
        <v>2798</v>
      </c>
      <c r="Z138" s="3323" t="s">
        <v>2799</v>
      </c>
      <c r="AA138" s="3323" t="s">
        <v>2800</v>
      </c>
      <c r="AB138" s="3323" t="s">
        <v>2801</v>
      </c>
      <c r="AC138" s="3323" t="s">
        <v>2817</v>
      </c>
      <c r="AD138" s="3323" t="s">
        <v>2818</v>
      </c>
      <c r="AE138" s="3323" t="s">
        <v>2819</v>
      </c>
      <c r="AF138" s="3323" t="s">
        <v>2821</v>
      </c>
      <c r="AG138" s="3323" t="s">
        <v>2822</v>
      </c>
      <c r="AH138" s="3323" t="s">
        <v>2823</v>
      </c>
      <c r="AI138" s="3323" t="s">
        <v>2824</v>
      </c>
      <c r="AJ138" s="3323" t="s">
        <v>2825</v>
      </c>
      <c r="AK138" s="3323" t="s">
        <v>2826</v>
      </c>
      <c r="AL138" s="3323" t="s">
        <v>2827</v>
      </c>
      <c r="AM138" s="3323" t="s">
        <v>2831</v>
      </c>
      <c r="AN138" s="3323" t="s">
        <v>2832</v>
      </c>
      <c r="AO138" s="3323" t="s">
        <v>2833</v>
      </c>
      <c r="AP138" s="3323" t="s">
        <v>2834</v>
      </c>
      <c r="AQ138" s="3323" t="s">
        <v>3011</v>
      </c>
      <c r="AR138" s="3323" t="s">
        <v>3012</v>
      </c>
      <c r="AS138" s="2384" t="str">
        <f t="shared" si="24"/>
        <v xml:space="preserve">* El número de Beneficiarios NO DEBE ser mayor que el Total. * Los Niños, Niñas, Adolescentes y Jóvenes de Programa SENAME NO DEBE ser mayor que el Total. * El número de personas pertenecientes a Pueblos Originarios NO DEBE ser mayor que el Total. * El número de personas Migrantes NO DEBE ser mayor que el Total. </v>
      </c>
      <c r="CB138" s="1031" t="str">
        <f t="shared" si="25"/>
        <v xml:space="preserve">* El número de Beneficiarios NO DEBE ser mayor que el Total. </v>
      </c>
      <c r="CC138" s="1164" t="str">
        <f t="shared" si="26"/>
        <v xml:space="preserve">* Los Niños, Niñas, Adolescentes y Jóvenes de Programa SENAME NO DEBE ser mayor que el Total. </v>
      </c>
      <c r="CD138" s="1164" t="str">
        <f t="shared" si="27"/>
        <v xml:space="preserve">* El número de personas pertenecientes a Pueblos Originarios NO DEBE ser mayor que el Total. </v>
      </c>
      <c r="CE138" s="1164" t="str">
        <f t="shared" si="28"/>
        <v xml:space="preserve">* El número de personas Migrantes NO DEBE ser mayor que el Total. </v>
      </c>
      <c r="CF138" s="1164"/>
      <c r="CG138" s="1031" t="str">
        <f t="shared" si="29"/>
        <v/>
      </c>
      <c r="CH138" s="1163">
        <f t="shared" si="30"/>
        <v>1</v>
      </c>
      <c r="CI138" s="1163">
        <f t="shared" si="31"/>
        <v>1</v>
      </c>
      <c r="CJ138" s="1163">
        <f t="shared" si="32"/>
        <v>1</v>
      </c>
      <c r="CK138" s="1163">
        <f t="shared" si="33"/>
        <v>1</v>
      </c>
      <c r="CL138" s="1163"/>
      <c r="CM138" s="1163">
        <f t="shared" si="34"/>
        <v>0</v>
      </c>
    </row>
    <row r="139" spans="1:91" ht="15.95" customHeight="1" x14ac:dyDescent="0.2">
      <c r="A139" s="4633" t="s">
        <v>3768</v>
      </c>
      <c r="B139" s="5113"/>
      <c r="C139" s="4742" t="s">
        <v>1438</v>
      </c>
      <c r="D139" s="2885" t="s">
        <v>2777</v>
      </c>
      <c r="E139" s="2886" t="s">
        <v>2778</v>
      </c>
      <c r="F139" s="4749" t="s">
        <v>2779</v>
      </c>
      <c r="G139" s="2901" t="s">
        <v>2780</v>
      </c>
      <c r="H139" s="2902" t="s">
        <v>2781</v>
      </c>
      <c r="I139" s="2901" t="s">
        <v>2782</v>
      </c>
      <c r="J139" s="2902" t="s">
        <v>2783</v>
      </c>
      <c r="K139" s="2901" t="s">
        <v>2784</v>
      </c>
      <c r="L139" s="3323" t="s">
        <v>2785</v>
      </c>
      <c r="M139" s="3323" t="s">
        <v>2786</v>
      </c>
      <c r="N139" s="3323" t="s">
        <v>2787</v>
      </c>
      <c r="O139" s="3323" t="s">
        <v>2788</v>
      </c>
      <c r="P139" s="3323" t="s">
        <v>2789</v>
      </c>
      <c r="Q139" s="3323" t="s">
        <v>2790</v>
      </c>
      <c r="R139" s="3323" t="s">
        <v>2791</v>
      </c>
      <c r="S139" s="3323" t="s">
        <v>2792</v>
      </c>
      <c r="T139" s="3323" t="s">
        <v>2793</v>
      </c>
      <c r="U139" s="3323" t="s">
        <v>2794</v>
      </c>
      <c r="V139" s="3323" t="s">
        <v>2795</v>
      </c>
      <c r="W139" s="3323" t="s">
        <v>2796</v>
      </c>
      <c r="X139" s="3323" t="s">
        <v>2797</v>
      </c>
      <c r="Y139" s="3323" t="s">
        <v>2798</v>
      </c>
      <c r="Z139" s="3323" t="s">
        <v>2799</v>
      </c>
      <c r="AA139" s="3323" t="s">
        <v>2800</v>
      </c>
      <c r="AB139" s="3323" t="s">
        <v>2801</v>
      </c>
      <c r="AC139" s="3323" t="s">
        <v>2817</v>
      </c>
      <c r="AD139" s="3323" t="s">
        <v>2818</v>
      </c>
      <c r="AE139" s="3323" t="s">
        <v>2819</v>
      </c>
      <c r="AF139" s="3323" t="s">
        <v>2821</v>
      </c>
      <c r="AG139" s="3323" t="s">
        <v>2822</v>
      </c>
      <c r="AH139" s="3323" t="s">
        <v>2823</v>
      </c>
      <c r="AI139" s="3323" t="s">
        <v>2824</v>
      </c>
      <c r="AJ139" s="3323" t="s">
        <v>2825</v>
      </c>
      <c r="AK139" s="3323" t="s">
        <v>2826</v>
      </c>
      <c r="AL139" s="3323" t="s">
        <v>2827</v>
      </c>
      <c r="AM139" s="3323" t="s">
        <v>2831</v>
      </c>
      <c r="AN139" s="3323" t="s">
        <v>2832</v>
      </c>
      <c r="AO139" s="3323" t="s">
        <v>2833</v>
      </c>
      <c r="AP139" s="3323" t="s">
        <v>2834</v>
      </c>
      <c r="AQ139" s="3323" t="s">
        <v>3011</v>
      </c>
      <c r="AR139" s="3323" t="s">
        <v>3012</v>
      </c>
      <c r="AS139" s="2384" t="str">
        <f t="shared" si="24"/>
        <v xml:space="preserve">* El número de Beneficiarios NO DEBE ser mayor que el Total. * Los Niños, Niñas, Adolescentes y Jóvenes de Programa SENAME NO DEBE ser mayor que el Total. * El número de personas pertenecientes a Pueblos Originarios NO DEBE ser mayor que el Total. * El número de personas Migrantes NO DEBE ser mayor que el Total. </v>
      </c>
      <c r="CB139" s="1031" t="str">
        <f t="shared" si="25"/>
        <v xml:space="preserve">* El número de Beneficiarios NO DEBE ser mayor que el Total. </v>
      </c>
      <c r="CC139" s="1164" t="str">
        <f t="shared" si="26"/>
        <v xml:space="preserve">* Los Niños, Niñas, Adolescentes y Jóvenes de Programa SENAME NO DEBE ser mayor que el Total. </v>
      </c>
      <c r="CD139" s="1164" t="str">
        <f t="shared" si="27"/>
        <v xml:space="preserve">* El número de personas pertenecientes a Pueblos Originarios NO DEBE ser mayor que el Total. </v>
      </c>
      <c r="CE139" s="1164" t="str">
        <f t="shared" si="28"/>
        <v xml:space="preserve">* El número de personas Migrantes NO DEBE ser mayor que el Total. </v>
      </c>
      <c r="CF139" s="1164"/>
      <c r="CG139" s="1031" t="str">
        <f t="shared" si="29"/>
        <v/>
      </c>
      <c r="CH139" s="1163">
        <f t="shared" si="30"/>
        <v>1</v>
      </c>
      <c r="CI139" s="1163">
        <f t="shared" si="31"/>
        <v>1</v>
      </c>
      <c r="CJ139" s="1163">
        <f t="shared" si="32"/>
        <v>1</v>
      </c>
      <c r="CK139" s="1163">
        <f t="shared" si="33"/>
        <v>1</v>
      </c>
      <c r="CL139" s="1163"/>
      <c r="CM139" s="1163">
        <f t="shared" si="34"/>
        <v>0</v>
      </c>
    </row>
    <row r="140" spans="1:91" ht="32.25" customHeight="1" x14ac:dyDescent="0.2">
      <c r="A140" s="4633" t="s">
        <v>3769</v>
      </c>
      <c r="B140" s="5113"/>
      <c r="C140" s="4742" t="s">
        <v>432</v>
      </c>
      <c r="D140" s="2887" t="s">
        <v>2777</v>
      </c>
      <c r="E140" s="2888" t="s">
        <v>2778</v>
      </c>
      <c r="F140" s="4748" t="s">
        <v>2779</v>
      </c>
      <c r="G140" s="2905" t="s">
        <v>2780</v>
      </c>
      <c r="H140" s="2906" t="s">
        <v>2781</v>
      </c>
      <c r="I140" s="2905" t="s">
        <v>2782</v>
      </c>
      <c r="J140" s="2906" t="s">
        <v>2783</v>
      </c>
      <c r="K140" s="2905" t="s">
        <v>2784</v>
      </c>
      <c r="L140" s="3316" t="s">
        <v>2785</v>
      </c>
      <c r="M140" s="3316" t="s">
        <v>2786</v>
      </c>
      <c r="N140" s="3316" t="s">
        <v>2787</v>
      </c>
      <c r="O140" s="3316" t="s">
        <v>2788</v>
      </c>
      <c r="P140" s="3316" t="s">
        <v>2789</v>
      </c>
      <c r="Q140" s="3316" t="s">
        <v>2790</v>
      </c>
      <c r="R140" s="3316" t="s">
        <v>2791</v>
      </c>
      <c r="S140" s="3316" t="s">
        <v>2792</v>
      </c>
      <c r="T140" s="3316" t="s">
        <v>2793</v>
      </c>
      <c r="U140" s="3316" t="s">
        <v>2794</v>
      </c>
      <c r="V140" s="3316" t="s">
        <v>2795</v>
      </c>
      <c r="W140" s="3316" t="s">
        <v>2796</v>
      </c>
      <c r="X140" s="3316" t="s">
        <v>2797</v>
      </c>
      <c r="Y140" s="3316" t="s">
        <v>2798</v>
      </c>
      <c r="Z140" s="3316" t="s">
        <v>2799</v>
      </c>
      <c r="AA140" s="3316" t="s">
        <v>2800</v>
      </c>
      <c r="AB140" s="3316" t="s">
        <v>2801</v>
      </c>
      <c r="AC140" s="3316" t="s">
        <v>2817</v>
      </c>
      <c r="AD140" s="3316" t="s">
        <v>2818</v>
      </c>
      <c r="AE140" s="3316" t="s">
        <v>2819</v>
      </c>
      <c r="AF140" s="3316" t="s">
        <v>2821</v>
      </c>
      <c r="AG140" s="3316" t="s">
        <v>2822</v>
      </c>
      <c r="AH140" s="3316" t="s">
        <v>2823</v>
      </c>
      <c r="AI140" s="3316" t="s">
        <v>2824</v>
      </c>
      <c r="AJ140" s="3316" t="s">
        <v>2825</v>
      </c>
      <c r="AK140" s="3316" t="s">
        <v>2826</v>
      </c>
      <c r="AL140" s="3316" t="s">
        <v>2827</v>
      </c>
      <c r="AM140" s="3316" t="s">
        <v>2831</v>
      </c>
      <c r="AN140" s="3316" t="s">
        <v>2832</v>
      </c>
      <c r="AO140" s="3316" t="s">
        <v>2833</v>
      </c>
      <c r="AP140" s="3316" t="s">
        <v>2834</v>
      </c>
      <c r="AQ140" s="3316" t="s">
        <v>3011</v>
      </c>
      <c r="AR140" s="3316" t="s">
        <v>3012</v>
      </c>
      <c r="AS140" s="2384" t="str">
        <f t="shared" si="24"/>
        <v xml:space="preserve">* El número de Beneficiarios NO DEBE ser mayor que el Total. * Los Niños, Niñas, Adolescentes y Jóvenes de Programa SENAME NO DEBE ser mayor que el Total. * El número de personas pertenecientes a Pueblos Originarios NO DEBE ser mayor que el Total. * El número de personas Migrantes NO DEBE ser mayor que el Total. </v>
      </c>
      <c r="CB140" s="1031" t="str">
        <f t="shared" si="25"/>
        <v xml:space="preserve">* El número de Beneficiarios NO DEBE ser mayor que el Total. </v>
      </c>
      <c r="CC140" s="1164" t="str">
        <f t="shared" si="26"/>
        <v xml:space="preserve">* Los Niños, Niñas, Adolescentes y Jóvenes de Programa SENAME NO DEBE ser mayor que el Total. </v>
      </c>
      <c r="CD140" s="1164" t="str">
        <f t="shared" si="27"/>
        <v xml:space="preserve">* El número de personas pertenecientes a Pueblos Originarios NO DEBE ser mayor que el Total. </v>
      </c>
      <c r="CE140" s="1164" t="str">
        <f t="shared" si="28"/>
        <v xml:space="preserve">* El número de personas Migrantes NO DEBE ser mayor que el Total. </v>
      </c>
      <c r="CF140" s="1164"/>
      <c r="CG140" s="1031" t="str">
        <f t="shared" si="29"/>
        <v/>
      </c>
      <c r="CH140" s="1163">
        <f t="shared" si="30"/>
        <v>1</v>
      </c>
      <c r="CI140" s="1163">
        <f t="shared" si="31"/>
        <v>1</v>
      </c>
      <c r="CJ140" s="1163">
        <f t="shared" si="32"/>
        <v>1</v>
      </c>
      <c r="CK140" s="1163">
        <f t="shared" si="33"/>
        <v>1</v>
      </c>
      <c r="CL140" s="1163"/>
      <c r="CM140" s="1163">
        <f t="shared" si="34"/>
        <v>0</v>
      </c>
    </row>
    <row r="141" spans="1:91" ht="18.75" customHeight="1" x14ac:dyDescent="0.2">
      <c r="A141" s="2527"/>
      <c r="B141" s="5114"/>
      <c r="C141" s="5046" t="s">
        <v>42</v>
      </c>
      <c r="D141" s="1464">
        <f t="shared" ref="D141" si="35">SUM(E141+F141)</f>
        <v>0</v>
      </c>
      <c r="E141" s="1465">
        <f>SUM(G141+I141+K141+M141+O141+Q141+S141+U141+W141+Y141+AA141+AC141+AE141+AG141+AI141+AK141+AM141)</f>
        <v>0</v>
      </c>
      <c r="F141" s="5047">
        <f t="shared" ref="F141" si="36">SUM(H141+J141+L141+N141+P141+R141+T141+V141+X141+Z141+AB141+AD141+AF141+AH141+AJ141+AL141+AN141)</f>
        <v>0</v>
      </c>
      <c r="G141" s="1138">
        <f>SUM(G131:G140)</f>
        <v>0</v>
      </c>
      <c r="H141" s="5048">
        <f t="shared" ref="H141:AR141" si="37">SUM(H131:H140)</f>
        <v>0</v>
      </c>
      <c r="I141" s="1138">
        <f t="shared" si="37"/>
        <v>0</v>
      </c>
      <c r="J141" s="5048">
        <f t="shared" si="37"/>
        <v>0</v>
      </c>
      <c r="K141" s="1138">
        <f t="shared" si="37"/>
        <v>0</v>
      </c>
      <c r="L141" s="1139">
        <f t="shared" si="37"/>
        <v>0</v>
      </c>
      <c r="M141" s="1138">
        <f t="shared" si="37"/>
        <v>0</v>
      </c>
      <c r="N141" s="1139">
        <f t="shared" si="37"/>
        <v>0</v>
      </c>
      <c r="O141" s="1138">
        <f t="shared" si="37"/>
        <v>0</v>
      </c>
      <c r="P141" s="1139">
        <f t="shared" si="37"/>
        <v>0</v>
      </c>
      <c r="Q141" s="1138">
        <f t="shared" si="37"/>
        <v>0</v>
      </c>
      <c r="R141" s="1139">
        <f t="shared" si="37"/>
        <v>0</v>
      </c>
      <c r="S141" s="1138">
        <f t="shared" si="37"/>
        <v>0</v>
      </c>
      <c r="T141" s="1139">
        <f t="shared" si="37"/>
        <v>0</v>
      </c>
      <c r="U141" s="1138">
        <f t="shared" si="37"/>
        <v>0</v>
      </c>
      <c r="V141" s="1139">
        <f t="shared" si="37"/>
        <v>0</v>
      </c>
      <c r="W141" s="1138">
        <f t="shared" si="37"/>
        <v>0</v>
      </c>
      <c r="X141" s="1139">
        <f t="shared" si="37"/>
        <v>0</v>
      </c>
      <c r="Y141" s="1138">
        <f t="shared" si="37"/>
        <v>0</v>
      </c>
      <c r="Z141" s="1139">
        <f t="shared" si="37"/>
        <v>0</v>
      </c>
      <c r="AA141" s="1138">
        <f t="shared" si="37"/>
        <v>0</v>
      </c>
      <c r="AB141" s="1139">
        <f t="shared" si="37"/>
        <v>0</v>
      </c>
      <c r="AC141" s="1138">
        <f t="shared" si="37"/>
        <v>0</v>
      </c>
      <c r="AD141" s="1139">
        <f t="shared" si="37"/>
        <v>0</v>
      </c>
      <c r="AE141" s="1138">
        <f t="shared" si="37"/>
        <v>0</v>
      </c>
      <c r="AF141" s="1139">
        <f t="shared" si="37"/>
        <v>0</v>
      </c>
      <c r="AG141" s="1138">
        <f t="shared" si="37"/>
        <v>0</v>
      </c>
      <c r="AH141" s="1139">
        <f t="shared" si="37"/>
        <v>0</v>
      </c>
      <c r="AI141" s="1138">
        <f t="shared" si="37"/>
        <v>0</v>
      </c>
      <c r="AJ141" s="1139">
        <f t="shared" si="37"/>
        <v>0</v>
      </c>
      <c r="AK141" s="1138">
        <f t="shared" si="37"/>
        <v>0</v>
      </c>
      <c r="AL141" s="1139">
        <f t="shared" si="37"/>
        <v>0</v>
      </c>
      <c r="AM141" s="1401">
        <f t="shared" si="37"/>
        <v>0</v>
      </c>
      <c r="AN141" s="1139">
        <f t="shared" si="37"/>
        <v>0</v>
      </c>
      <c r="AO141" s="5048">
        <f t="shared" si="37"/>
        <v>0</v>
      </c>
      <c r="AP141" s="5048">
        <f t="shared" si="37"/>
        <v>0</v>
      </c>
      <c r="AQ141" s="5048">
        <f t="shared" si="37"/>
        <v>0</v>
      </c>
      <c r="AR141" s="5048">
        <f t="shared" si="37"/>
        <v>0</v>
      </c>
      <c r="AS141" s="2384"/>
      <c r="CB141" s="1031" t="str">
        <f t="shared" si="25"/>
        <v/>
      </c>
      <c r="CC141" s="1164" t="str">
        <f t="shared" si="26"/>
        <v/>
      </c>
      <c r="CD141" s="1164" t="str">
        <f t="shared" si="27"/>
        <v/>
      </c>
      <c r="CE141" s="1164" t="str">
        <f t="shared" si="28"/>
        <v/>
      </c>
      <c r="CF141" s="1164"/>
      <c r="CG141" s="1031" t="str">
        <f t="shared" si="29"/>
        <v/>
      </c>
      <c r="CH141" s="1163">
        <f t="shared" si="30"/>
        <v>0</v>
      </c>
      <c r="CI141" s="1163">
        <f t="shared" si="31"/>
        <v>0</v>
      </c>
      <c r="CJ141" s="1163">
        <f t="shared" si="32"/>
        <v>0</v>
      </c>
      <c r="CK141" s="1163">
        <f t="shared" si="33"/>
        <v>0</v>
      </c>
      <c r="CL141" s="1163"/>
      <c r="CM141" s="1163">
        <f t="shared" si="34"/>
        <v>0</v>
      </c>
    </row>
    <row r="142" spans="1:91" ht="15.95" customHeight="1" x14ac:dyDescent="0.2">
      <c r="A142" s="4633" t="s">
        <v>3770</v>
      </c>
      <c r="B142" s="5780" t="s">
        <v>463</v>
      </c>
      <c r="C142" s="5781"/>
      <c r="D142" s="2887" t="s">
        <v>2777</v>
      </c>
      <c r="E142" s="2888" t="s">
        <v>2778</v>
      </c>
      <c r="F142" s="4748" t="s">
        <v>2779</v>
      </c>
      <c r="G142" s="2905" t="s">
        <v>2780</v>
      </c>
      <c r="H142" s="2906" t="s">
        <v>2781</v>
      </c>
      <c r="I142" s="2905" t="s">
        <v>2782</v>
      </c>
      <c r="J142" s="2906" t="s">
        <v>2783</v>
      </c>
      <c r="K142" s="2905" t="s">
        <v>2784</v>
      </c>
      <c r="L142" s="3316" t="s">
        <v>2785</v>
      </c>
      <c r="M142" s="3316" t="s">
        <v>2786</v>
      </c>
      <c r="N142" s="3316" t="s">
        <v>2787</v>
      </c>
      <c r="O142" s="3316" t="s">
        <v>2788</v>
      </c>
      <c r="P142" s="3316" t="s">
        <v>2789</v>
      </c>
      <c r="Q142" s="3316" t="s">
        <v>2790</v>
      </c>
      <c r="R142" s="3316" t="s">
        <v>2791</v>
      </c>
      <c r="S142" s="3316" t="s">
        <v>2792</v>
      </c>
      <c r="T142" s="3316" t="s">
        <v>2793</v>
      </c>
      <c r="U142" s="3316" t="s">
        <v>2794</v>
      </c>
      <c r="V142" s="3316" t="s">
        <v>2795</v>
      </c>
      <c r="W142" s="3316" t="s">
        <v>2796</v>
      </c>
      <c r="X142" s="3316" t="s">
        <v>2797</v>
      </c>
      <c r="Y142" s="3316" t="s">
        <v>2798</v>
      </c>
      <c r="Z142" s="3316" t="s">
        <v>2799</v>
      </c>
      <c r="AA142" s="3316" t="s">
        <v>2800</v>
      </c>
      <c r="AB142" s="3316" t="s">
        <v>2801</v>
      </c>
      <c r="AC142" s="3316" t="s">
        <v>2817</v>
      </c>
      <c r="AD142" s="3316" t="s">
        <v>2818</v>
      </c>
      <c r="AE142" s="3316" t="s">
        <v>2819</v>
      </c>
      <c r="AF142" s="3316" t="s">
        <v>2821</v>
      </c>
      <c r="AG142" s="3316" t="s">
        <v>2822</v>
      </c>
      <c r="AH142" s="3316" t="s">
        <v>2823</v>
      </c>
      <c r="AI142" s="3316" t="s">
        <v>2824</v>
      </c>
      <c r="AJ142" s="3316" t="s">
        <v>2825</v>
      </c>
      <c r="AK142" s="3316" t="s">
        <v>2826</v>
      </c>
      <c r="AL142" s="3316" t="s">
        <v>2827</v>
      </c>
      <c r="AM142" s="3316" t="s">
        <v>2831</v>
      </c>
      <c r="AN142" s="3316" t="s">
        <v>2832</v>
      </c>
      <c r="AO142" s="3316" t="s">
        <v>2833</v>
      </c>
      <c r="AP142" s="3316" t="s">
        <v>2834</v>
      </c>
      <c r="AQ142" s="3316" t="s">
        <v>3011</v>
      </c>
      <c r="AR142" s="3316" t="s">
        <v>3012</v>
      </c>
      <c r="AS142" s="2384" t="str">
        <f t="shared" si="24"/>
        <v xml:space="preserve">* El número de Beneficiarios NO DEBE ser mayor que el Total. * Los Niños, Niñas, Adolescentes y Jóvenes de Programa SENAME NO DEBE ser mayor que el Total. * El número de personas pertenecientes a Pueblos Originarios NO DEBE ser mayor que el Total. * El número de personas Migrantes NO DEBE ser mayor que el Total. </v>
      </c>
      <c r="CB142" s="1031" t="str">
        <f t="shared" si="25"/>
        <v xml:space="preserve">* El número de Beneficiarios NO DEBE ser mayor que el Total. </v>
      </c>
      <c r="CC142" s="1164" t="str">
        <f t="shared" si="26"/>
        <v xml:space="preserve">* Los Niños, Niñas, Adolescentes y Jóvenes de Programa SENAME NO DEBE ser mayor que el Total. </v>
      </c>
      <c r="CD142" s="1164" t="str">
        <f t="shared" si="27"/>
        <v xml:space="preserve">* El número de personas pertenecientes a Pueblos Originarios NO DEBE ser mayor que el Total. </v>
      </c>
      <c r="CE142" s="1164" t="str">
        <f t="shared" si="28"/>
        <v xml:space="preserve">* El número de personas Migrantes NO DEBE ser mayor que el Total. </v>
      </c>
      <c r="CF142" s="1164"/>
      <c r="CG142" s="1031" t="str">
        <f t="shared" si="29"/>
        <v/>
      </c>
      <c r="CH142" s="1163">
        <f t="shared" si="30"/>
        <v>1</v>
      </c>
      <c r="CI142" s="1163">
        <f t="shared" si="31"/>
        <v>1</v>
      </c>
      <c r="CJ142" s="1163">
        <f t="shared" si="32"/>
        <v>1</v>
      </c>
      <c r="CK142" s="1163">
        <f t="shared" si="33"/>
        <v>1</v>
      </c>
      <c r="CL142" s="1163"/>
      <c r="CM142" s="1163">
        <f t="shared" si="34"/>
        <v>0</v>
      </c>
    </row>
    <row r="143" spans="1:91" ht="20.100000000000001" customHeight="1" x14ac:dyDescent="0.2">
      <c r="A143" s="4633" t="s">
        <v>3771</v>
      </c>
      <c r="B143" s="5780" t="s">
        <v>1712</v>
      </c>
      <c r="C143" s="5781"/>
      <c r="D143" s="2887" t="s">
        <v>2777</v>
      </c>
      <c r="E143" s="2888" t="s">
        <v>2778</v>
      </c>
      <c r="F143" s="4748" t="s">
        <v>2779</v>
      </c>
      <c r="G143" s="2905" t="s">
        <v>2780</v>
      </c>
      <c r="H143" s="2906" t="s">
        <v>2781</v>
      </c>
      <c r="I143" s="2905" t="s">
        <v>2782</v>
      </c>
      <c r="J143" s="2906" t="s">
        <v>2783</v>
      </c>
      <c r="K143" s="2905" t="s">
        <v>2784</v>
      </c>
      <c r="L143" s="3316" t="s">
        <v>2785</v>
      </c>
      <c r="M143" s="3316" t="s">
        <v>2786</v>
      </c>
      <c r="N143" s="3316" t="s">
        <v>2787</v>
      </c>
      <c r="O143" s="3316" t="s">
        <v>2788</v>
      </c>
      <c r="P143" s="3316" t="s">
        <v>2789</v>
      </c>
      <c r="Q143" s="3316" t="s">
        <v>2790</v>
      </c>
      <c r="R143" s="3316" t="s">
        <v>2791</v>
      </c>
      <c r="S143" s="3316" t="s">
        <v>2792</v>
      </c>
      <c r="T143" s="3316" t="s">
        <v>2793</v>
      </c>
      <c r="U143" s="3316" t="s">
        <v>2794</v>
      </c>
      <c r="V143" s="3316" t="s">
        <v>2795</v>
      </c>
      <c r="W143" s="3316" t="s">
        <v>2796</v>
      </c>
      <c r="X143" s="3316" t="s">
        <v>2797</v>
      </c>
      <c r="Y143" s="3316" t="s">
        <v>2798</v>
      </c>
      <c r="Z143" s="3316" t="s">
        <v>2799</v>
      </c>
      <c r="AA143" s="3316" t="s">
        <v>2800</v>
      </c>
      <c r="AB143" s="3316" t="s">
        <v>2801</v>
      </c>
      <c r="AC143" s="3316" t="s">
        <v>2817</v>
      </c>
      <c r="AD143" s="3316" t="s">
        <v>2818</v>
      </c>
      <c r="AE143" s="3316" t="s">
        <v>2819</v>
      </c>
      <c r="AF143" s="3316" t="s">
        <v>2821</v>
      </c>
      <c r="AG143" s="3316" t="s">
        <v>2822</v>
      </c>
      <c r="AH143" s="3316" t="s">
        <v>2823</v>
      </c>
      <c r="AI143" s="3316" t="s">
        <v>2824</v>
      </c>
      <c r="AJ143" s="3316" t="s">
        <v>2825</v>
      </c>
      <c r="AK143" s="3316" t="s">
        <v>2826</v>
      </c>
      <c r="AL143" s="3316" t="s">
        <v>2827</v>
      </c>
      <c r="AM143" s="3316" t="s">
        <v>2831</v>
      </c>
      <c r="AN143" s="3316" t="s">
        <v>2832</v>
      </c>
      <c r="AO143" s="3316" t="s">
        <v>2833</v>
      </c>
      <c r="AP143" s="3316" t="s">
        <v>2834</v>
      </c>
      <c r="AQ143" s="3316" t="s">
        <v>3011</v>
      </c>
      <c r="AR143" s="3316" t="s">
        <v>3012</v>
      </c>
      <c r="AS143" s="2384" t="str">
        <f t="shared" si="24"/>
        <v xml:space="preserve">* El número de Beneficiarios NO DEBE ser mayor que el Total. * Los Niños, Niñas, Adolescentes y Jóvenes de Programa SENAME NO DEBE ser mayor que el Total. * El número de personas pertenecientes a Pueblos Originarios NO DEBE ser mayor que el Total. * El número de personas Migrantes NO DEBE ser mayor que el Total. </v>
      </c>
      <c r="CB143" s="1031" t="str">
        <f>IF(CH143=1,"* El número de Beneficiarios NO DEBE ser mayor que el Total. ","")</f>
        <v xml:space="preserve">* El número de Beneficiarios NO DEBE ser mayor que el Total. </v>
      </c>
      <c r="CC143" s="1164" t="str">
        <f>IF(CI143=1,"* Los Niños, Niñas, Adolescentes y Jóvenes de Programa SENAME NO DEBE ser mayor que el Total. ","")</f>
        <v xml:space="preserve">* Los Niños, Niñas, Adolescentes y Jóvenes de Programa SENAME NO DEBE ser mayor que el Total. </v>
      </c>
      <c r="CD143" s="1164" t="str">
        <f>IF(CJ143=1,"* El número de personas pertenecientes a Pueblos Originarios NO DEBE ser mayor que el Total. ","")</f>
        <v xml:space="preserve">* El número de personas pertenecientes a Pueblos Originarios NO DEBE ser mayor que el Total. </v>
      </c>
      <c r="CE143" s="1164" t="str">
        <f>IF(CK143=1,"* El número de personas Migrantes NO DEBE ser mayor que el Total. ","")</f>
        <v xml:space="preserve">* El número de personas Migrantes NO DEBE ser mayor que el Total. </v>
      </c>
      <c r="CF143" s="1164"/>
      <c r="CG143" s="1031" t="str">
        <f>IF(CM143=1,"* No olvide digitar la columna Beneficiarios y/o Niños, Niñas, Adolescentes y Jóvenes de Programa SENAME y/o Pueblos Originarios y/o Migrantes y/o Demencia (Digite CEROS si no tiene). ","")</f>
        <v/>
      </c>
      <c r="CH143" s="1163">
        <f>IF($D143&lt;AO143,1,0)</f>
        <v>1</v>
      </c>
      <c r="CI143" s="1163">
        <f t="shared" si="31"/>
        <v>1</v>
      </c>
      <c r="CJ143" s="1163">
        <f t="shared" si="32"/>
        <v>1</v>
      </c>
      <c r="CK143" s="1163">
        <f t="shared" si="33"/>
        <v>1</v>
      </c>
      <c r="CL143" s="1163"/>
      <c r="CM143" s="1163">
        <f t="shared" si="34"/>
        <v>0</v>
      </c>
    </row>
    <row r="144" spans="1:91" ht="24" customHeight="1" x14ac:dyDescent="0.25">
      <c r="B144" s="177" t="s">
        <v>2236</v>
      </c>
      <c r="C144" s="2055"/>
      <c r="D144" s="2055"/>
      <c r="E144" s="2055"/>
      <c r="F144" s="190"/>
      <c r="G144" s="243"/>
      <c r="H144" s="243"/>
      <c r="I144" s="243"/>
      <c r="J144" s="243"/>
      <c r="K144" s="243"/>
      <c r="L144" s="243"/>
      <c r="M144" s="243"/>
      <c r="N144" s="243"/>
      <c r="O144" s="243"/>
      <c r="P144" s="243"/>
      <c r="Q144" s="243"/>
      <c r="R144" s="243"/>
      <c r="S144" s="243"/>
      <c r="T144" s="243"/>
      <c r="U144" s="243"/>
      <c r="V144" s="243"/>
      <c r="W144" s="243"/>
      <c r="X144" s="243"/>
      <c r="Y144" s="243"/>
      <c r="Z144" s="243"/>
      <c r="AA144" s="243"/>
      <c r="AB144" s="243"/>
      <c r="AC144" s="243"/>
      <c r="AD144" s="243"/>
      <c r="AE144" s="243"/>
      <c r="AF144" s="243"/>
      <c r="AG144" s="243"/>
      <c r="AH144" s="243"/>
      <c r="AI144" s="243"/>
      <c r="AJ144" s="243"/>
      <c r="AK144" s="243"/>
      <c r="AL144" s="243"/>
      <c r="AM144" s="243"/>
      <c r="AN144" s="243"/>
      <c r="AO144" s="243"/>
      <c r="AP144" s="243"/>
      <c r="AQ144" s="243"/>
      <c r="AR144" s="243"/>
    </row>
    <row r="145" spans="1:91" x14ac:dyDescent="0.2">
      <c r="B145" s="5736" t="s">
        <v>177</v>
      </c>
      <c r="C145" s="5736" t="s">
        <v>3</v>
      </c>
      <c r="D145" s="5398" t="s">
        <v>428</v>
      </c>
      <c r="E145" s="5737"/>
      <c r="F145" s="5400"/>
      <c r="G145" s="5413" t="s">
        <v>429</v>
      </c>
      <c r="H145" s="5426"/>
      <c r="I145" s="5426"/>
      <c r="J145" s="5426"/>
      <c r="K145" s="5426"/>
      <c r="L145" s="5426"/>
      <c r="M145" s="5426"/>
      <c r="N145" s="5426"/>
      <c r="O145" s="5426"/>
      <c r="P145" s="5426"/>
      <c r="Q145" s="5426"/>
      <c r="R145" s="5426"/>
      <c r="S145" s="5426"/>
      <c r="T145" s="5426"/>
      <c r="U145" s="5426"/>
      <c r="V145" s="5426"/>
      <c r="W145" s="5426"/>
      <c r="X145" s="5426"/>
      <c r="Y145" s="5426"/>
      <c r="Z145" s="5426"/>
      <c r="AA145" s="5426"/>
      <c r="AB145" s="5426"/>
      <c r="AC145" s="5426"/>
      <c r="AD145" s="5426"/>
      <c r="AE145" s="5426"/>
      <c r="AF145" s="5426"/>
      <c r="AG145" s="5426"/>
      <c r="AH145" s="5426"/>
      <c r="AI145" s="5426"/>
      <c r="AJ145" s="5426"/>
      <c r="AK145" s="5426"/>
      <c r="AL145" s="5426"/>
      <c r="AM145" s="5426"/>
      <c r="AN145" s="5541"/>
      <c r="AO145" s="5400" t="s">
        <v>1357</v>
      </c>
      <c r="AP145" s="5400" t="s">
        <v>1483</v>
      </c>
      <c r="AQ145" s="5400" t="s">
        <v>1359</v>
      </c>
      <c r="AR145" s="5400" t="s">
        <v>1358</v>
      </c>
    </row>
    <row r="146" spans="1:91" x14ac:dyDescent="0.2">
      <c r="B146" s="5135"/>
      <c r="C146" s="5135"/>
      <c r="D146" s="5125"/>
      <c r="E146" s="5598"/>
      <c r="F146" s="5126"/>
      <c r="G146" s="5413" t="s">
        <v>350</v>
      </c>
      <c r="H146" s="5541"/>
      <c r="I146" s="5413" t="s">
        <v>351</v>
      </c>
      <c r="J146" s="5541"/>
      <c r="K146" s="5413" t="s">
        <v>352</v>
      </c>
      <c r="L146" s="5541"/>
      <c r="M146" s="5413" t="s">
        <v>319</v>
      </c>
      <c r="N146" s="5541"/>
      <c r="O146" s="5413" t="s">
        <v>10</v>
      </c>
      <c r="P146" s="5541"/>
      <c r="Q146" s="5404" t="s">
        <v>11</v>
      </c>
      <c r="R146" s="5738"/>
      <c r="S146" s="5404" t="s">
        <v>12</v>
      </c>
      <c r="T146" s="5738"/>
      <c r="U146" s="5404" t="s">
        <v>13</v>
      </c>
      <c r="V146" s="5738"/>
      <c r="W146" s="5404" t="s">
        <v>14</v>
      </c>
      <c r="X146" s="5738"/>
      <c r="Y146" s="5404" t="s">
        <v>15</v>
      </c>
      <c r="Z146" s="5738"/>
      <c r="AA146" s="5404" t="s">
        <v>16</v>
      </c>
      <c r="AB146" s="5738"/>
      <c r="AC146" s="5404" t="s">
        <v>17</v>
      </c>
      <c r="AD146" s="5738"/>
      <c r="AE146" s="5404" t="s">
        <v>18</v>
      </c>
      <c r="AF146" s="5738"/>
      <c r="AG146" s="5404" t="s">
        <v>19</v>
      </c>
      <c r="AH146" s="5738"/>
      <c r="AI146" s="5404" t="s">
        <v>20</v>
      </c>
      <c r="AJ146" s="5738"/>
      <c r="AK146" s="5404" t="s">
        <v>21</v>
      </c>
      <c r="AL146" s="5738"/>
      <c r="AM146" s="5404" t="s">
        <v>22</v>
      </c>
      <c r="AN146" s="5738"/>
      <c r="AO146" s="5123"/>
      <c r="AP146" s="5123"/>
      <c r="AQ146" s="5123"/>
      <c r="AR146" s="5123"/>
    </row>
    <row r="147" spans="1:91" x14ac:dyDescent="0.2">
      <c r="B147" s="5136"/>
      <c r="C147" s="5136"/>
      <c r="D147" s="1243" t="s">
        <v>184</v>
      </c>
      <c r="E147" s="1347" t="s">
        <v>24</v>
      </c>
      <c r="F147" s="4737" t="s">
        <v>25</v>
      </c>
      <c r="G147" s="4789" t="s">
        <v>24</v>
      </c>
      <c r="H147" s="4737" t="s">
        <v>25</v>
      </c>
      <c r="I147" s="4789" t="s">
        <v>24</v>
      </c>
      <c r="J147" s="4737" t="s">
        <v>25</v>
      </c>
      <c r="K147" s="4789" t="s">
        <v>24</v>
      </c>
      <c r="L147" s="4737" t="s">
        <v>25</v>
      </c>
      <c r="M147" s="4789" t="s">
        <v>24</v>
      </c>
      <c r="N147" s="4737" t="s">
        <v>25</v>
      </c>
      <c r="O147" s="4789" t="s">
        <v>24</v>
      </c>
      <c r="P147" s="4737" t="s">
        <v>25</v>
      </c>
      <c r="Q147" s="4789" t="s">
        <v>24</v>
      </c>
      <c r="R147" s="4737" t="s">
        <v>25</v>
      </c>
      <c r="S147" s="4789" t="s">
        <v>24</v>
      </c>
      <c r="T147" s="4737" t="s">
        <v>25</v>
      </c>
      <c r="U147" s="4789" t="s">
        <v>24</v>
      </c>
      <c r="V147" s="4737" t="s">
        <v>25</v>
      </c>
      <c r="W147" s="4789" t="s">
        <v>24</v>
      </c>
      <c r="X147" s="4737" t="s">
        <v>25</v>
      </c>
      <c r="Y147" s="4789" t="s">
        <v>24</v>
      </c>
      <c r="Z147" s="4737" t="s">
        <v>25</v>
      </c>
      <c r="AA147" s="4789" t="s">
        <v>24</v>
      </c>
      <c r="AB147" s="4737" t="s">
        <v>25</v>
      </c>
      <c r="AC147" s="4789" t="s">
        <v>24</v>
      </c>
      <c r="AD147" s="4737" t="s">
        <v>25</v>
      </c>
      <c r="AE147" s="4789" t="s">
        <v>24</v>
      </c>
      <c r="AF147" s="4737" t="s">
        <v>25</v>
      </c>
      <c r="AG147" s="4789" t="s">
        <v>24</v>
      </c>
      <c r="AH147" s="4737" t="s">
        <v>25</v>
      </c>
      <c r="AI147" s="4789" t="s">
        <v>24</v>
      </c>
      <c r="AJ147" s="4737" t="s">
        <v>25</v>
      </c>
      <c r="AK147" s="4789" t="s">
        <v>24</v>
      </c>
      <c r="AL147" s="4737" t="s">
        <v>25</v>
      </c>
      <c r="AM147" s="4789" t="s">
        <v>24</v>
      </c>
      <c r="AN147" s="4737" t="s">
        <v>25</v>
      </c>
      <c r="AO147" s="5126"/>
      <c r="AP147" s="5126"/>
      <c r="AQ147" s="5126"/>
      <c r="AR147" s="5126"/>
    </row>
    <row r="148" spans="1:91" ht="20.100000000000001" customHeight="1" x14ac:dyDescent="0.2">
      <c r="A148" s="4633" t="s">
        <v>3772</v>
      </c>
      <c r="B148" s="5783" t="s">
        <v>1717</v>
      </c>
      <c r="C148" s="5049" t="s">
        <v>1718</v>
      </c>
      <c r="D148" s="2883" t="s">
        <v>2777</v>
      </c>
      <c r="E148" s="2884" t="s">
        <v>2778</v>
      </c>
      <c r="F148" s="4750" t="s">
        <v>2779</v>
      </c>
      <c r="G148" s="2898" t="s">
        <v>2780</v>
      </c>
      <c r="H148" s="2899" t="s">
        <v>2781</v>
      </c>
      <c r="I148" s="2898" t="s">
        <v>2782</v>
      </c>
      <c r="J148" s="2899" t="s">
        <v>2783</v>
      </c>
      <c r="K148" s="2898" t="s">
        <v>2784</v>
      </c>
      <c r="L148" s="2907" t="s">
        <v>2785</v>
      </c>
      <c r="M148" s="2907" t="s">
        <v>2786</v>
      </c>
      <c r="N148" s="2907" t="s">
        <v>2787</v>
      </c>
      <c r="O148" s="2907" t="s">
        <v>2788</v>
      </c>
      <c r="P148" s="2907" t="s">
        <v>2789</v>
      </c>
      <c r="Q148" s="2907" t="s">
        <v>2790</v>
      </c>
      <c r="R148" s="2907" t="s">
        <v>2791</v>
      </c>
      <c r="S148" s="2907" t="s">
        <v>2792</v>
      </c>
      <c r="T148" s="2907" t="s">
        <v>2793</v>
      </c>
      <c r="U148" s="2907" t="s">
        <v>2794</v>
      </c>
      <c r="V148" s="2907" t="s">
        <v>2795</v>
      </c>
      <c r="W148" s="2907" t="s">
        <v>2796</v>
      </c>
      <c r="X148" s="2907" t="s">
        <v>2797</v>
      </c>
      <c r="Y148" s="2907" t="s">
        <v>2798</v>
      </c>
      <c r="Z148" s="2907" t="s">
        <v>2799</v>
      </c>
      <c r="AA148" s="2907" t="s">
        <v>2800</v>
      </c>
      <c r="AB148" s="2907" t="s">
        <v>2801</v>
      </c>
      <c r="AC148" s="2907" t="s">
        <v>2817</v>
      </c>
      <c r="AD148" s="2907" t="s">
        <v>2818</v>
      </c>
      <c r="AE148" s="2907" t="s">
        <v>2819</v>
      </c>
      <c r="AF148" s="2907" t="s">
        <v>2821</v>
      </c>
      <c r="AG148" s="2907" t="s">
        <v>2822</v>
      </c>
      <c r="AH148" s="2907" t="s">
        <v>2823</v>
      </c>
      <c r="AI148" s="2907" t="s">
        <v>2824</v>
      </c>
      <c r="AJ148" s="2907" t="s">
        <v>2825</v>
      </c>
      <c r="AK148" s="2907" t="s">
        <v>2826</v>
      </c>
      <c r="AL148" s="2907" t="s">
        <v>2827</v>
      </c>
      <c r="AM148" s="2907" t="s">
        <v>2831</v>
      </c>
      <c r="AN148" s="2907" t="s">
        <v>2832</v>
      </c>
      <c r="AO148" s="2907" t="s">
        <v>2833</v>
      </c>
      <c r="AP148" s="2907" t="s">
        <v>2834</v>
      </c>
      <c r="AQ148" s="2907" t="s">
        <v>3011</v>
      </c>
      <c r="AR148" s="2907" t="s">
        <v>3012</v>
      </c>
      <c r="AS148" s="2384" t="str">
        <f t="shared" ref="AS148:AS150" si="38">CONCATENATE(CG148,CB148,CC148,CD148,CE148,CF148)</f>
        <v xml:space="preserve">* El número de Beneficiarios NO DEBE ser mayor que el Total. * Los Niños, Niñas, Adolescentes y Jóvenes de Programa SENAME NO DEBE ser mayor que el Total. * El número de personas pertenecientes a Pueblos Originarios NO DEBE ser mayor que el Total. * El número de personas Migrantes NO DEBE ser mayor que el Total. </v>
      </c>
      <c r="CB148" s="1031" t="str">
        <f>IF(CH148=1,"* El número de Beneficiarios NO DEBE ser mayor que el Total. ","")</f>
        <v xml:space="preserve">* El número de Beneficiarios NO DEBE ser mayor que el Total. </v>
      </c>
      <c r="CC148" s="1164" t="str">
        <f>IF(CI148=1,"* Los Niños, Niñas, Adolescentes y Jóvenes de Programa SENAME NO DEBE ser mayor que el Total. ","")</f>
        <v xml:space="preserve">* Los Niños, Niñas, Adolescentes y Jóvenes de Programa SENAME NO DEBE ser mayor que el Total. </v>
      </c>
      <c r="CD148" s="1164" t="str">
        <f>IF(CJ148=1,"* El número de personas pertenecientes a Pueblos Originarios NO DEBE ser mayor que el Total. ","")</f>
        <v xml:space="preserve">* El número de personas pertenecientes a Pueblos Originarios NO DEBE ser mayor que el Total. </v>
      </c>
      <c r="CE148" s="1164" t="str">
        <f>IF(CK148=1,"* El número de personas Migrantes NO DEBE ser mayor que el Total. ","")</f>
        <v xml:space="preserve">* El número de personas Migrantes NO DEBE ser mayor que el Total. </v>
      </c>
      <c r="CF148" s="1164"/>
      <c r="CG148" s="1031" t="str">
        <f>IF(CM148=1,"* No olvide digitar la columna Beneficiarios y/o Niños, Niñas, Adolescentes y Jóvenes de Programa SENAME y/o Pueblos Originarios y/o Migrantes y/o Demencia (Digite CEROS si no tiene). ","")</f>
        <v/>
      </c>
      <c r="CH148" s="1163">
        <f>IF($D148&lt;AO148,1,0)</f>
        <v>1</v>
      </c>
      <c r="CI148" s="1163">
        <f t="shared" ref="CI148" si="39">IF($D148&lt;AP148,1,0)</f>
        <v>1</v>
      </c>
      <c r="CJ148" s="1163">
        <f t="shared" ref="CJ148" si="40">IF($D148&lt;AQ148,1,0)</f>
        <v>1</v>
      </c>
      <c r="CK148" s="1163">
        <f t="shared" ref="CK148" si="41">IF($D148&lt;AR148,1,0)</f>
        <v>1</v>
      </c>
      <c r="CL148" s="1163"/>
      <c r="CM148" s="1163">
        <f t="shared" ref="CM148" si="42">IF(AND(D148&lt;&gt;0,OR(AO148="",AP148="",AQ148="",AR148="")),1,0)</f>
        <v>0</v>
      </c>
    </row>
    <row r="149" spans="1:91" ht="20.100000000000001" customHeight="1" x14ac:dyDescent="0.2">
      <c r="A149" s="4633" t="s">
        <v>3773</v>
      </c>
      <c r="B149" s="5784"/>
      <c r="C149" s="5050" t="s">
        <v>1719</v>
      </c>
      <c r="D149" s="2885" t="s">
        <v>2777</v>
      </c>
      <c r="E149" s="2886" t="s">
        <v>2778</v>
      </c>
      <c r="F149" s="4749" t="s">
        <v>2779</v>
      </c>
      <c r="G149" s="2901" t="s">
        <v>2780</v>
      </c>
      <c r="H149" s="2902" t="s">
        <v>2781</v>
      </c>
      <c r="I149" s="2901" t="s">
        <v>2782</v>
      </c>
      <c r="J149" s="2902" t="s">
        <v>2783</v>
      </c>
      <c r="K149" s="2901" t="s">
        <v>2784</v>
      </c>
      <c r="L149" s="3323" t="s">
        <v>2785</v>
      </c>
      <c r="M149" s="3323" t="s">
        <v>2786</v>
      </c>
      <c r="N149" s="3323" t="s">
        <v>2787</v>
      </c>
      <c r="O149" s="3323" t="s">
        <v>2788</v>
      </c>
      <c r="P149" s="3323" t="s">
        <v>2789</v>
      </c>
      <c r="Q149" s="3323" t="s">
        <v>2790</v>
      </c>
      <c r="R149" s="3323" t="s">
        <v>2791</v>
      </c>
      <c r="S149" s="3323" t="s">
        <v>2792</v>
      </c>
      <c r="T149" s="3323" t="s">
        <v>2793</v>
      </c>
      <c r="U149" s="3323" t="s">
        <v>2794</v>
      </c>
      <c r="V149" s="3323" t="s">
        <v>2795</v>
      </c>
      <c r="W149" s="3323" t="s">
        <v>2796</v>
      </c>
      <c r="X149" s="3323" t="s">
        <v>2797</v>
      </c>
      <c r="Y149" s="3323" t="s">
        <v>2798</v>
      </c>
      <c r="Z149" s="3323" t="s">
        <v>2799</v>
      </c>
      <c r="AA149" s="3323" t="s">
        <v>2800</v>
      </c>
      <c r="AB149" s="3323" t="s">
        <v>2801</v>
      </c>
      <c r="AC149" s="3323" t="s">
        <v>2817</v>
      </c>
      <c r="AD149" s="3323" t="s">
        <v>2818</v>
      </c>
      <c r="AE149" s="3323" t="s">
        <v>2819</v>
      </c>
      <c r="AF149" s="3323" t="s">
        <v>2821</v>
      </c>
      <c r="AG149" s="3323" t="s">
        <v>2822</v>
      </c>
      <c r="AH149" s="3323" t="s">
        <v>2823</v>
      </c>
      <c r="AI149" s="3323" t="s">
        <v>2824</v>
      </c>
      <c r="AJ149" s="3323" t="s">
        <v>2825</v>
      </c>
      <c r="AK149" s="3323" t="s">
        <v>2826</v>
      </c>
      <c r="AL149" s="3323" t="s">
        <v>2827</v>
      </c>
      <c r="AM149" s="3323" t="s">
        <v>2831</v>
      </c>
      <c r="AN149" s="3323" t="s">
        <v>2832</v>
      </c>
      <c r="AO149" s="3323" t="s">
        <v>2833</v>
      </c>
      <c r="AP149" s="3323" t="s">
        <v>2834</v>
      </c>
      <c r="AQ149" s="3323" t="s">
        <v>3011</v>
      </c>
      <c r="AR149" s="3323" t="s">
        <v>3012</v>
      </c>
      <c r="AS149" s="2384" t="str">
        <f t="shared" si="38"/>
        <v xml:space="preserve">* El número de Beneficiarios NO DEBE ser mayor que el Total. * Los Niños, Niñas, Adolescentes y Jóvenes de Programa SENAME NO DEBE ser mayor que el Total. * El número de personas pertenecientes a Pueblos Originarios NO DEBE ser mayor que el Total. * El número de personas Migrantes NO DEBE ser mayor que el Total. </v>
      </c>
      <c r="CB149" s="1031" t="str">
        <f t="shared" ref="CB149:CB150" si="43">IF(CH149=1,"* El número de Beneficiarios NO DEBE ser mayor que el Total. ","")</f>
        <v xml:space="preserve">* El número de Beneficiarios NO DEBE ser mayor que el Total. </v>
      </c>
      <c r="CC149" s="1164" t="str">
        <f t="shared" ref="CC149:CC150" si="44">IF(CI149=1,"* Los Niños, Niñas, Adolescentes y Jóvenes de Programa SENAME NO DEBE ser mayor que el Total. ","")</f>
        <v xml:space="preserve">* Los Niños, Niñas, Adolescentes y Jóvenes de Programa SENAME NO DEBE ser mayor que el Total. </v>
      </c>
      <c r="CD149" s="1164" t="str">
        <f t="shared" ref="CD149:CD150" si="45">IF(CJ149=1,"* El número de personas pertenecientes a Pueblos Originarios NO DEBE ser mayor que el Total. ","")</f>
        <v xml:space="preserve">* El número de personas pertenecientes a Pueblos Originarios NO DEBE ser mayor que el Total. </v>
      </c>
      <c r="CE149" s="1164" t="str">
        <f t="shared" ref="CE149:CE150" si="46">IF(CK149=1,"* El número de personas Migrantes NO DEBE ser mayor que el Total. ","")</f>
        <v xml:space="preserve">* El número de personas Migrantes NO DEBE ser mayor que el Total. </v>
      </c>
      <c r="CF149" s="1164"/>
      <c r="CG149" s="1031" t="str">
        <f t="shared" ref="CG149:CG150" si="47">IF(CM149=1,"* No olvide digitar la columna Beneficiarios y/o Niños, Niñas, Adolescentes y Jóvenes de Programa SENAME y/o Pueblos Originarios y/o Migrantes y/o Demencia (Digite CEROS si no tiene). ","")</f>
        <v/>
      </c>
      <c r="CH149" s="1163">
        <f t="shared" ref="CH149:CH150" si="48">IF($D149&lt;AO149,1,0)</f>
        <v>1</v>
      </c>
      <c r="CI149" s="1163">
        <f t="shared" ref="CI149:CI150" si="49">IF($D149&lt;AP149,1,0)</f>
        <v>1</v>
      </c>
      <c r="CJ149" s="1163">
        <f t="shared" ref="CJ149:CJ150" si="50">IF($D149&lt;AQ149,1,0)</f>
        <v>1</v>
      </c>
      <c r="CK149" s="1163">
        <f t="shared" ref="CK149:CK150" si="51">IF($D149&lt;AR149,1,0)</f>
        <v>1</v>
      </c>
      <c r="CL149" s="1163"/>
      <c r="CM149" s="1163">
        <f t="shared" ref="CM149:CM150" si="52">IF(AND(D149&lt;&gt;0,OR(AO149="",AP149="",AQ149="",AR149="")),1,0)</f>
        <v>0</v>
      </c>
    </row>
    <row r="150" spans="1:91" ht="20.100000000000001" customHeight="1" x14ac:dyDescent="0.2">
      <c r="A150" s="4633" t="s">
        <v>3774</v>
      </c>
      <c r="B150" s="5784"/>
      <c r="C150" s="5050" t="s">
        <v>1720</v>
      </c>
      <c r="D150" s="2885" t="s">
        <v>2777</v>
      </c>
      <c r="E150" s="2886" t="s">
        <v>2778</v>
      </c>
      <c r="F150" s="4749" t="s">
        <v>2779</v>
      </c>
      <c r="G150" s="2901" t="s">
        <v>2780</v>
      </c>
      <c r="H150" s="2902" t="s">
        <v>2781</v>
      </c>
      <c r="I150" s="2901" t="s">
        <v>2782</v>
      </c>
      <c r="J150" s="2902" t="s">
        <v>2783</v>
      </c>
      <c r="K150" s="2901" t="s">
        <v>2784</v>
      </c>
      <c r="L150" s="3323" t="s">
        <v>2785</v>
      </c>
      <c r="M150" s="3323" t="s">
        <v>2786</v>
      </c>
      <c r="N150" s="3323" t="s">
        <v>2787</v>
      </c>
      <c r="O150" s="3323" t="s">
        <v>2788</v>
      </c>
      <c r="P150" s="3323" t="s">
        <v>2789</v>
      </c>
      <c r="Q150" s="3323" t="s">
        <v>2790</v>
      </c>
      <c r="R150" s="3323" t="s">
        <v>2791</v>
      </c>
      <c r="S150" s="3323" t="s">
        <v>2792</v>
      </c>
      <c r="T150" s="3323" t="s">
        <v>2793</v>
      </c>
      <c r="U150" s="3323" t="s">
        <v>2794</v>
      </c>
      <c r="V150" s="3323" t="s">
        <v>2795</v>
      </c>
      <c r="W150" s="3323" t="s">
        <v>2796</v>
      </c>
      <c r="X150" s="3323" t="s">
        <v>2797</v>
      </c>
      <c r="Y150" s="3323" t="s">
        <v>2798</v>
      </c>
      <c r="Z150" s="3323" t="s">
        <v>2799</v>
      </c>
      <c r="AA150" s="3323" t="s">
        <v>2800</v>
      </c>
      <c r="AB150" s="3323" t="s">
        <v>2801</v>
      </c>
      <c r="AC150" s="3323" t="s">
        <v>2817</v>
      </c>
      <c r="AD150" s="3323" t="s">
        <v>2818</v>
      </c>
      <c r="AE150" s="3323" t="s">
        <v>2819</v>
      </c>
      <c r="AF150" s="3323" t="s">
        <v>2821</v>
      </c>
      <c r="AG150" s="3323" t="s">
        <v>2822</v>
      </c>
      <c r="AH150" s="3323" t="s">
        <v>2823</v>
      </c>
      <c r="AI150" s="3323" t="s">
        <v>2824</v>
      </c>
      <c r="AJ150" s="3323" t="s">
        <v>2825</v>
      </c>
      <c r="AK150" s="3323" t="s">
        <v>2826</v>
      </c>
      <c r="AL150" s="3323" t="s">
        <v>2827</v>
      </c>
      <c r="AM150" s="3323" t="s">
        <v>2831</v>
      </c>
      <c r="AN150" s="3323" t="s">
        <v>2832</v>
      </c>
      <c r="AO150" s="3323" t="s">
        <v>2833</v>
      </c>
      <c r="AP150" s="3323" t="s">
        <v>2834</v>
      </c>
      <c r="AQ150" s="3323" t="s">
        <v>3011</v>
      </c>
      <c r="AR150" s="3323" t="s">
        <v>3012</v>
      </c>
      <c r="AS150" s="2384" t="str">
        <f t="shared" si="38"/>
        <v xml:space="preserve">* El número de Beneficiarios NO DEBE ser mayor que el Total. * Los Niños, Niñas, Adolescentes y Jóvenes de Programa SENAME NO DEBE ser mayor que el Total. * El número de personas pertenecientes a Pueblos Originarios NO DEBE ser mayor que el Total. * El número de personas Migrantes NO DEBE ser mayor que el Total. </v>
      </c>
      <c r="CB150" s="1031" t="str">
        <f t="shared" si="43"/>
        <v xml:space="preserve">* El número de Beneficiarios NO DEBE ser mayor que el Total. </v>
      </c>
      <c r="CC150" s="1164" t="str">
        <f t="shared" si="44"/>
        <v xml:space="preserve">* Los Niños, Niñas, Adolescentes y Jóvenes de Programa SENAME NO DEBE ser mayor que el Total. </v>
      </c>
      <c r="CD150" s="1164" t="str">
        <f t="shared" si="45"/>
        <v xml:space="preserve">* El número de personas pertenecientes a Pueblos Originarios NO DEBE ser mayor que el Total. </v>
      </c>
      <c r="CE150" s="1164" t="str">
        <f t="shared" si="46"/>
        <v xml:space="preserve">* El número de personas Migrantes NO DEBE ser mayor que el Total. </v>
      </c>
      <c r="CF150" s="1164"/>
      <c r="CG150" s="1031" t="str">
        <f t="shared" si="47"/>
        <v/>
      </c>
      <c r="CH150" s="1163">
        <f t="shared" si="48"/>
        <v>1</v>
      </c>
      <c r="CI150" s="1163">
        <f t="shared" si="49"/>
        <v>1</v>
      </c>
      <c r="CJ150" s="1163">
        <f t="shared" si="50"/>
        <v>1</v>
      </c>
      <c r="CK150" s="1163">
        <f t="shared" si="51"/>
        <v>1</v>
      </c>
      <c r="CL150" s="1163"/>
      <c r="CM150" s="1163">
        <f t="shared" si="52"/>
        <v>0</v>
      </c>
    </row>
    <row r="151" spans="1:91" x14ac:dyDescent="0.2">
      <c r="A151" s="2527"/>
      <c r="B151" s="5785"/>
      <c r="C151" s="5051" t="s">
        <v>42</v>
      </c>
      <c r="D151" s="5052">
        <f>SUM(E151+F151)</f>
        <v>0</v>
      </c>
      <c r="E151" s="5053">
        <f>SUM(G151+I151+K151+M151+O151+Q151+S151+U151+W151+Y151+AA151+AC151+AE151+AG151+AI151+AK151+AM151)</f>
        <v>0</v>
      </c>
      <c r="F151" s="5054">
        <f>SUM(H151+J151+L151+N151+P151+R151+T151+V151+X151+Z151+AB151+AD151+AF151+AH151+AJ151+AL151+AN151)</f>
        <v>0</v>
      </c>
      <c r="G151" s="5055">
        <f t="shared" ref="G151:AR151" si="53">SUM(G148:G150)</f>
        <v>0</v>
      </c>
      <c r="H151" s="5056">
        <f t="shared" si="53"/>
        <v>0</v>
      </c>
      <c r="I151" s="5055">
        <f t="shared" si="53"/>
        <v>0</v>
      </c>
      <c r="J151" s="5056">
        <f t="shared" si="53"/>
        <v>0</v>
      </c>
      <c r="K151" s="5055">
        <f t="shared" si="53"/>
        <v>0</v>
      </c>
      <c r="L151" s="5057">
        <f t="shared" si="53"/>
        <v>0</v>
      </c>
      <c r="M151" s="5055">
        <f t="shared" si="53"/>
        <v>0</v>
      </c>
      <c r="N151" s="5057">
        <f t="shared" si="53"/>
        <v>0</v>
      </c>
      <c r="O151" s="5055">
        <f t="shared" si="53"/>
        <v>0</v>
      </c>
      <c r="P151" s="5057">
        <f t="shared" si="53"/>
        <v>0</v>
      </c>
      <c r="Q151" s="5055">
        <f t="shared" si="53"/>
        <v>0</v>
      </c>
      <c r="R151" s="5057">
        <f t="shared" si="53"/>
        <v>0</v>
      </c>
      <c r="S151" s="5055">
        <f t="shared" si="53"/>
        <v>0</v>
      </c>
      <c r="T151" s="5057">
        <f t="shared" si="53"/>
        <v>0</v>
      </c>
      <c r="U151" s="5055">
        <f t="shared" si="53"/>
        <v>0</v>
      </c>
      <c r="V151" s="5057">
        <f t="shared" si="53"/>
        <v>0</v>
      </c>
      <c r="W151" s="5055">
        <f t="shared" si="53"/>
        <v>0</v>
      </c>
      <c r="X151" s="5057">
        <f t="shared" si="53"/>
        <v>0</v>
      </c>
      <c r="Y151" s="5055">
        <f t="shared" si="53"/>
        <v>0</v>
      </c>
      <c r="Z151" s="5057">
        <f t="shared" si="53"/>
        <v>0</v>
      </c>
      <c r="AA151" s="5055">
        <f t="shared" si="53"/>
        <v>0</v>
      </c>
      <c r="AB151" s="5057">
        <f t="shared" si="53"/>
        <v>0</v>
      </c>
      <c r="AC151" s="5055">
        <f t="shared" si="53"/>
        <v>0</v>
      </c>
      <c r="AD151" s="5057">
        <f t="shared" si="53"/>
        <v>0</v>
      </c>
      <c r="AE151" s="5055">
        <f t="shared" si="53"/>
        <v>0</v>
      </c>
      <c r="AF151" s="5057">
        <f t="shared" si="53"/>
        <v>0</v>
      </c>
      <c r="AG151" s="5055">
        <f t="shared" si="53"/>
        <v>0</v>
      </c>
      <c r="AH151" s="5057">
        <f t="shared" si="53"/>
        <v>0</v>
      </c>
      <c r="AI151" s="5055">
        <f t="shared" si="53"/>
        <v>0</v>
      </c>
      <c r="AJ151" s="5057">
        <f t="shared" si="53"/>
        <v>0</v>
      </c>
      <c r="AK151" s="5055">
        <f t="shared" si="53"/>
        <v>0</v>
      </c>
      <c r="AL151" s="5057">
        <f t="shared" si="53"/>
        <v>0</v>
      </c>
      <c r="AM151" s="5058">
        <f t="shared" si="53"/>
        <v>0</v>
      </c>
      <c r="AN151" s="5057">
        <f t="shared" si="53"/>
        <v>0</v>
      </c>
      <c r="AO151" s="5056">
        <f t="shared" si="53"/>
        <v>0</v>
      </c>
      <c r="AP151" s="5056">
        <f t="shared" si="53"/>
        <v>0</v>
      </c>
      <c r="AQ151" s="5056">
        <f t="shared" si="53"/>
        <v>0</v>
      </c>
      <c r="AR151" s="5056">
        <f t="shared" si="53"/>
        <v>0</v>
      </c>
    </row>
    <row r="154" spans="1:91" x14ac:dyDescent="0.2">
      <c r="A154" s="4639" t="s">
        <v>3740</v>
      </c>
    </row>
    <row r="155" spans="1:91" x14ac:dyDescent="0.2">
      <c r="A155" s="4632" t="s">
        <v>3754</v>
      </c>
    </row>
    <row r="156" spans="1:91" x14ac:dyDescent="0.2">
      <c r="A156" s="4632" t="s">
        <v>3755</v>
      </c>
    </row>
    <row r="157" spans="1:91" x14ac:dyDescent="0.2">
      <c r="A157" s="4632" t="s">
        <v>3756</v>
      </c>
    </row>
    <row r="158" spans="1:91" x14ac:dyDescent="0.2">
      <c r="A158" s="4632" t="s">
        <v>3757</v>
      </c>
    </row>
    <row r="159" spans="1:91" x14ac:dyDescent="0.2">
      <c r="A159" s="4632" t="s">
        <v>3758</v>
      </c>
    </row>
    <row r="161" spans="1:105" x14ac:dyDescent="0.2">
      <c r="A161" s="80" t="s">
        <v>3742</v>
      </c>
    </row>
    <row r="162" spans="1:105" x14ac:dyDescent="0.2">
      <c r="A162" s="643" t="s">
        <v>3759</v>
      </c>
    </row>
    <row r="163" spans="1:105" x14ac:dyDescent="0.2">
      <c r="A163" s="643" t="s">
        <v>3760</v>
      </c>
    </row>
    <row r="164" spans="1:105" x14ac:dyDescent="0.2">
      <c r="A164" s="643" t="s">
        <v>3761</v>
      </c>
    </row>
    <row r="165" spans="1:105" x14ac:dyDescent="0.2">
      <c r="A165" s="643" t="s">
        <v>3762</v>
      </c>
    </row>
    <row r="166" spans="1:105" x14ac:dyDescent="0.2">
      <c r="A166" s="643" t="s">
        <v>3763</v>
      </c>
    </row>
    <row r="167" spans="1:105" x14ac:dyDescent="0.2">
      <c r="A167" s="643" t="s">
        <v>3764</v>
      </c>
    </row>
    <row r="168" spans="1:105" x14ac:dyDescent="0.2">
      <c r="A168" s="643" t="s">
        <v>3765</v>
      </c>
      <c r="B168" s="643"/>
    </row>
    <row r="169" spans="1:105" x14ac:dyDescent="0.2">
      <c r="A169" s="643" t="s">
        <v>3766</v>
      </c>
    </row>
    <row r="170" spans="1:105" x14ac:dyDescent="0.2">
      <c r="A170" s="643" t="s">
        <v>3767</v>
      </c>
    </row>
    <row r="171" spans="1:105" x14ac:dyDescent="0.2">
      <c r="A171" s="643" t="s">
        <v>3768</v>
      </c>
    </row>
    <row r="172" spans="1:105" x14ac:dyDescent="0.2">
      <c r="A172" s="643" t="s">
        <v>3769</v>
      </c>
    </row>
    <row r="173" spans="1:105" x14ac:dyDescent="0.2">
      <c r="A173" s="643" t="s">
        <v>3770</v>
      </c>
    </row>
    <row r="174" spans="1:105" ht="14.25" customHeight="1" x14ac:dyDescent="0.2">
      <c r="A174" s="643" t="s">
        <v>3771</v>
      </c>
    </row>
    <row r="175" spans="1:105" ht="14.25" customHeight="1" x14ac:dyDescent="0.2">
      <c r="A175" s="643" t="s">
        <v>3772</v>
      </c>
    </row>
    <row r="176" spans="1:105" s="206" customFormat="1" ht="12.75" hidden="1" customHeight="1" x14ac:dyDescent="0.2">
      <c r="B176" s="206">
        <f>SUM(D23,D25:D27,F31,D47:D48,D53:D74,C105:C106,C85:E91,C100,D39:D42,D78:K81)</f>
        <v>0</v>
      </c>
      <c r="C176" s="206">
        <f>SUM(CH8:CM106)</f>
        <v>94</v>
      </c>
      <c r="BY176" s="1016"/>
      <c r="BZ176" s="1016"/>
      <c r="CA176" s="1016"/>
      <c r="CB176" s="1016"/>
      <c r="CC176" s="1016"/>
      <c r="CD176" s="1016"/>
      <c r="CE176" s="1016"/>
      <c r="CF176" s="1016"/>
      <c r="CG176" s="1016"/>
      <c r="CH176" s="1016"/>
      <c r="CI176" s="1016"/>
      <c r="CJ176" s="1016"/>
      <c r="CK176" s="1016"/>
      <c r="CL176" s="1016"/>
      <c r="CM176" s="1016"/>
      <c r="CN176" s="1016"/>
      <c r="CO176" s="1016"/>
      <c r="CP176" s="1016"/>
      <c r="CQ176" s="1016"/>
      <c r="CR176" s="1016"/>
      <c r="CS176" s="1016"/>
      <c r="CT176" s="1016"/>
      <c r="CU176" s="1016"/>
      <c r="CV176" s="1016"/>
      <c r="CW176" s="1016"/>
      <c r="CX176" s="1016"/>
      <c r="CY176" s="1016"/>
      <c r="CZ176" s="1016"/>
      <c r="DA176" s="1016"/>
    </row>
    <row r="177" spans="1:1" ht="16.5" customHeight="1" x14ac:dyDescent="0.2">
      <c r="A177" s="643" t="s">
        <v>3773</v>
      </c>
    </row>
    <row r="178" spans="1:1" ht="15.6" customHeight="1" x14ac:dyDescent="0.2">
      <c r="A178" s="643" t="s">
        <v>3774</v>
      </c>
    </row>
    <row r="179" spans="1:1" x14ac:dyDescent="0.2">
      <c r="A179" s="643"/>
    </row>
  </sheetData>
  <mergeCells count="223">
    <mergeCell ref="A10:A12"/>
    <mergeCell ref="AS10:AS12"/>
    <mergeCell ref="D29:E29"/>
    <mergeCell ref="C29:C30"/>
    <mergeCell ref="B148:B151"/>
    <mergeCell ref="B145:B147"/>
    <mergeCell ref="C145:C147"/>
    <mergeCell ref="D145:F146"/>
    <mergeCell ref="G145:AN145"/>
    <mergeCell ref="AO145:AO147"/>
    <mergeCell ref="AP145:AP147"/>
    <mergeCell ref="AQ145:AQ147"/>
    <mergeCell ref="AR145:AR147"/>
    <mergeCell ref="G146:H146"/>
    <mergeCell ref="I146:J146"/>
    <mergeCell ref="K146:L146"/>
    <mergeCell ref="M146:N146"/>
    <mergeCell ref="O146:P146"/>
    <mergeCell ref="Q146:R146"/>
    <mergeCell ref="S146:T146"/>
    <mergeCell ref="U146:V146"/>
    <mergeCell ref="W146:X146"/>
    <mergeCell ref="Y146:Z146"/>
    <mergeCell ref="AA146:AB146"/>
    <mergeCell ref="AC146:AD146"/>
    <mergeCell ref="AE146:AF146"/>
    <mergeCell ref="AG146:AH146"/>
    <mergeCell ref="AI146:AJ146"/>
    <mergeCell ref="AK146:AL146"/>
    <mergeCell ref="AM146:AN146"/>
    <mergeCell ref="B117:B119"/>
    <mergeCell ref="C117:E118"/>
    <mergeCell ref="F117:K117"/>
    <mergeCell ref="F118:G118"/>
    <mergeCell ref="H118:I118"/>
    <mergeCell ref="J118:K118"/>
    <mergeCell ref="F124:G124"/>
    <mergeCell ref="H124:J124"/>
    <mergeCell ref="D124:E124"/>
    <mergeCell ref="C124:C125"/>
    <mergeCell ref="B124:B125"/>
    <mergeCell ref="AI129:AJ129"/>
    <mergeCell ref="AK129:AL129"/>
    <mergeCell ref="AM129:AN129"/>
    <mergeCell ref="B131:B141"/>
    <mergeCell ref="B142:C142"/>
    <mergeCell ref="B143:C143"/>
    <mergeCell ref="AP10:AP12"/>
    <mergeCell ref="B93:B94"/>
    <mergeCell ref="D93:E93"/>
    <mergeCell ref="B83:B84"/>
    <mergeCell ref="B102:B104"/>
    <mergeCell ref="C102:E103"/>
    <mergeCell ref="F102:N102"/>
    <mergeCell ref="F103:G103"/>
    <mergeCell ref="H103:I103"/>
    <mergeCell ref="J103:K103"/>
    <mergeCell ref="L103:M103"/>
    <mergeCell ref="N103:O103"/>
    <mergeCell ref="C93:C94"/>
    <mergeCell ref="B67:B68"/>
    <mergeCell ref="B69:B74"/>
    <mergeCell ref="C83:C84"/>
    <mergeCell ref="D83:D84"/>
    <mergeCell ref="B79:C79"/>
    <mergeCell ref="B80:C80"/>
    <mergeCell ref="B81:C81"/>
    <mergeCell ref="B76:C77"/>
    <mergeCell ref="AK51:AL51"/>
    <mergeCell ref="E83:E84"/>
    <mergeCell ref="F76:G76"/>
    <mergeCell ref="H76:I76"/>
    <mergeCell ref="J76:K76"/>
    <mergeCell ref="O51:P51"/>
    <mergeCell ref="Q51:R51"/>
    <mergeCell ref="S51:T51"/>
    <mergeCell ref="D76:E76"/>
    <mergeCell ref="AC51:AD51"/>
    <mergeCell ref="AE51:AF51"/>
    <mergeCell ref="AG45:AH45"/>
    <mergeCell ref="U51:V51"/>
    <mergeCell ref="W51:X51"/>
    <mergeCell ref="B49:N49"/>
    <mergeCell ref="I45:J45"/>
    <mergeCell ref="AO50:AO52"/>
    <mergeCell ref="G51:H51"/>
    <mergeCell ref="I51:J51"/>
    <mergeCell ref="K51:L51"/>
    <mergeCell ref="M51:N51"/>
    <mergeCell ref="AI45:AJ45"/>
    <mergeCell ref="AO44:AO46"/>
    <mergeCell ref="Q45:R45"/>
    <mergeCell ref="S45:T45"/>
    <mergeCell ref="U45:V45"/>
    <mergeCell ref="W45:X45"/>
    <mergeCell ref="AM51:AN51"/>
    <mergeCell ref="AG51:AH51"/>
    <mergeCell ref="AI51:AJ51"/>
    <mergeCell ref="B41:B42"/>
    <mergeCell ref="B44:C46"/>
    <mergeCell ref="D44:F45"/>
    <mergeCell ref="G44:AN44"/>
    <mergeCell ref="B78:C78"/>
    <mergeCell ref="B53:B58"/>
    <mergeCell ref="B59:B60"/>
    <mergeCell ref="B61:B64"/>
    <mergeCell ref="B65:B66"/>
    <mergeCell ref="B50:C52"/>
    <mergeCell ref="D50:F51"/>
    <mergeCell ref="G50:AN50"/>
    <mergeCell ref="Y51:Z51"/>
    <mergeCell ref="AA51:AB51"/>
    <mergeCell ref="AM45:AN45"/>
    <mergeCell ref="K45:L45"/>
    <mergeCell ref="M45:N45"/>
    <mergeCell ref="O45:P45"/>
    <mergeCell ref="AK45:AL45"/>
    <mergeCell ref="Y45:Z45"/>
    <mergeCell ref="AA45:AB45"/>
    <mergeCell ref="AC45:AD45"/>
    <mergeCell ref="AE45:AF45"/>
    <mergeCell ref="G45:H45"/>
    <mergeCell ref="B37:B38"/>
    <mergeCell ref="C37:C38"/>
    <mergeCell ref="D37:D38"/>
    <mergeCell ref="B39:B40"/>
    <mergeCell ref="AK29:AL29"/>
    <mergeCell ref="AM29:AN29"/>
    <mergeCell ref="AO29:AP29"/>
    <mergeCell ref="Y29:Z29"/>
    <mergeCell ref="AA29:AB29"/>
    <mergeCell ref="AC29:AD29"/>
    <mergeCell ref="AE29:AF29"/>
    <mergeCell ref="M29:N29"/>
    <mergeCell ref="O29:P29"/>
    <mergeCell ref="Q29:R29"/>
    <mergeCell ref="S29:T29"/>
    <mergeCell ref="U29:V29"/>
    <mergeCell ref="W29:X29"/>
    <mergeCell ref="B33:B34"/>
    <mergeCell ref="C33:C34"/>
    <mergeCell ref="D33:F33"/>
    <mergeCell ref="G33:K33"/>
    <mergeCell ref="B13:B23"/>
    <mergeCell ref="B26:B27"/>
    <mergeCell ref="B29:B30"/>
    <mergeCell ref="F29:H29"/>
    <mergeCell ref="I29:J29"/>
    <mergeCell ref="K29:L29"/>
    <mergeCell ref="AG29:AH29"/>
    <mergeCell ref="AI29:AJ29"/>
    <mergeCell ref="B24:C24"/>
    <mergeCell ref="B6:X6"/>
    <mergeCell ref="B10:B12"/>
    <mergeCell ref="C10:C12"/>
    <mergeCell ref="D10:F11"/>
    <mergeCell ref="G10:AN10"/>
    <mergeCell ref="AO10:AO12"/>
    <mergeCell ref="W11:X11"/>
    <mergeCell ref="Y11:Z11"/>
    <mergeCell ref="AA11:AB11"/>
    <mergeCell ref="AC11:AD11"/>
    <mergeCell ref="AM11:AN11"/>
    <mergeCell ref="S11:T11"/>
    <mergeCell ref="U11:V11"/>
    <mergeCell ref="AE11:AF11"/>
    <mergeCell ref="AG11:AH11"/>
    <mergeCell ref="AI11:AJ11"/>
    <mergeCell ref="AK11:AL11"/>
    <mergeCell ref="G11:H11"/>
    <mergeCell ref="I11:J11"/>
    <mergeCell ref="K11:L11"/>
    <mergeCell ref="M11:N11"/>
    <mergeCell ref="O11:P11"/>
    <mergeCell ref="Q11:R11"/>
    <mergeCell ref="AQ10:AQ12"/>
    <mergeCell ref="AR10:AR12"/>
    <mergeCell ref="B128:B130"/>
    <mergeCell ref="C128:C130"/>
    <mergeCell ref="D128:F129"/>
    <mergeCell ref="G128:AN128"/>
    <mergeCell ref="AO128:AO130"/>
    <mergeCell ref="AP128:AP130"/>
    <mergeCell ref="AQ128:AQ130"/>
    <mergeCell ref="AR128:AR130"/>
    <mergeCell ref="G129:H129"/>
    <mergeCell ref="I129:J129"/>
    <mergeCell ref="K129:L129"/>
    <mergeCell ref="M129:N129"/>
    <mergeCell ref="O129:P129"/>
    <mergeCell ref="Q129:R129"/>
    <mergeCell ref="S129:T129"/>
    <mergeCell ref="U129:V129"/>
    <mergeCell ref="W129:X129"/>
    <mergeCell ref="Y129:Z129"/>
    <mergeCell ref="AA129:AB129"/>
    <mergeCell ref="AC129:AD129"/>
    <mergeCell ref="AE129:AF129"/>
    <mergeCell ref="AG129:AH129"/>
    <mergeCell ref="AN108:AN110"/>
    <mergeCell ref="B113:B114"/>
    <mergeCell ref="C113:E113"/>
    <mergeCell ref="F113:F114"/>
    <mergeCell ref="B108:B110"/>
    <mergeCell ref="C108:E109"/>
    <mergeCell ref="F108:AM108"/>
    <mergeCell ref="F109:G109"/>
    <mergeCell ref="H109:I109"/>
    <mergeCell ref="J109:K109"/>
    <mergeCell ref="L109:M109"/>
    <mergeCell ref="N109:O109"/>
    <mergeCell ref="P109:Q109"/>
    <mergeCell ref="R109:S109"/>
    <mergeCell ref="T109:U109"/>
    <mergeCell ref="V109:W109"/>
    <mergeCell ref="X109:Y109"/>
    <mergeCell ref="Z109:AA109"/>
    <mergeCell ref="AB109:AC109"/>
    <mergeCell ref="AD109:AE109"/>
    <mergeCell ref="AF109:AG109"/>
    <mergeCell ref="AH109:AI109"/>
    <mergeCell ref="AJ109:AK109"/>
    <mergeCell ref="AL109:AM109"/>
  </mergeCells>
  <phoneticPr fontId="87" type="noConversion"/>
  <dataValidations count="2">
    <dataValidation type="whole" operator="greaterThanOrEqual" allowBlank="1" showInputMessage="1" showErrorMessage="1" error="Valor no Permitido" sqref="B13:AP27 AQ13:AS22 AQ24:AS27 B31:AP31 B39:D42 B47:AO48 B53:AO74 B78:K81 B85:E91 B95:E99 B105:O106 B111:AN111 B115:F115 B120:K122 B126:J126 D131:AR140 D142:AR143 D148:AR150" xr:uid="{00000000-0002-0000-0600-000000000000}">
      <formula1>0</formula1>
    </dataValidation>
    <dataValidation allowBlank="1" showInputMessage="1" showErrorMessage="1" errorTitle="Error" error="Por favor ingrese números enteros" sqref="A13:A22 A105:A106 A95:A99 A85:A91 A78:A81 A53:A74 A47:A48 A39:A42 A31 A24:A27" xr:uid="{00000000-0002-0000-0600-000001000000}"/>
  </dataValidation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8">
    <tabColor theme="0"/>
  </sheetPr>
  <dimension ref="A1:DA193"/>
  <sheetViews>
    <sheetView zoomScaleNormal="100" workbookViewId="0"/>
  </sheetViews>
  <sheetFormatPr baseColWidth="10" defaultColWidth="11.42578125" defaultRowHeight="14.25" x14ac:dyDescent="0.2"/>
  <cols>
    <col min="1" max="1" width="13.140625" style="80" customWidth="1"/>
    <col min="2" max="2" width="67.28515625" style="80" customWidth="1"/>
    <col min="3" max="3" width="20.85546875" style="80" customWidth="1"/>
    <col min="4" max="6" width="14.140625" style="80" customWidth="1"/>
    <col min="7" max="7" width="11.42578125" style="80"/>
    <col min="8" max="8" width="12.42578125" style="80" customWidth="1"/>
    <col min="9" max="19" width="11.42578125" style="80"/>
    <col min="20" max="20" width="13.5703125" style="80" bestFit="1" customWidth="1"/>
    <col min="21" max="21" width="14.42578125" style="80" customWidth="1"/>
    <col min="22" max="36" width="11.42578125" style="80"/>
    <col min="37" max="37" width="14.28515625" style="80" customWidth="1"/>
    <col min="38" max="38" width="11.42578125" style="80" customWidth="1"/>
    <col min="39" max="41" width="11.42578125" style="80"/>
    <col min="42" max="42" width="13.42578125" style="80" customWidth="1"/>
    <col min="43" max="43" width="13.140625" style="80" customWidth="1"/>
    <col min="44" max="45" width="11.42578125" style="80"/>
    <col min="46" max="46" width="13.42578125" style="80" customWidth="1"/>
    <col min="47" max="47" width="17.28515625" style="80" customWidth="1"/>
    <col min="48" max="48" width="14.42578125" style="80" customWidth="1"/>
    <col min="49" max="49" width="11.42578125" style="80"/>
    <col min="50" max="50" width="14" style="80" customWidth="1"/>
    <col min="51" max="51" width="11.42578125" style="80"/>
    <col min="52" max="52" width="13.42578125" style="80" customWidth="1"/>
    <col min="53" max="74" width="11.42578125" style="80"/>
    <col min="75" max="76" width="11.42578125" style="80" customWidth="1"/>
    <col min="77" max="78" width="11.42578125" style="79" customWidth="1"/>
    <col min="79" max="79" width="11.140625" style="79" customWidth="1"/>
    <col min="80" max="105" width="11.140625" style="889" customWidth="1"/>
    <col min="106" max="107" width="11.140625" style="80" customWidth="1"/>
    <col min="108" max="16384" width="11.42578125" style="80"/>
  </cols>
  <sheetData>
    <row r="1" spans="1:105" ht="16.350000000000001" customHeight="1" x14ac:dyDescent="0.2">
      <c r="B1" s="78" t="s">
        <v>910</v>
      </c>
      <c r="CM1" s="80"/>
      <c r="CN1" s="80"/>
      <c r="CO1" s="80"/>
      <c r="CP1" s="80"/>
      <c r="CQ1" s="80"/>
      <c r="CR1" s="80"/>
      <c r="CS1" s="80"/>
      <c r="CT1" s="80"/>
      <c r="CU1" s="80"/>
      <c r="CV1" s="80"/>
      <c r="CW1" s="80"/>
      <c r="CX1" s="80"/>
      <c r="CY1" s="80"/>
      <c r="CZ1" s="80"/>
      <c r="DA1" s="80"/>
    </row>
    <row r="2" spans="1:105" ht="16.350000000000001" customHeight="1" x14ac:dyDescent="0.2">
      <c r="B2" s="78" t="str">
        <f>CONCATENATE("COMUNA: ",NOMBRE!B2," - ","( ",NOMBRE!C2,NOMBRE!D2,NOMBRE!E2,NOMBRE!F2,NOMBRE!G2," )")</f>
        <v>COMUNA:  - (  )</v>
      </c>
      <c r="CM2" s="80"/>
      <c r="CN2" s="80"/>
      <c r="CO2" s="80"/>
      <c r="CP2" s="80"/>
      <c r="CQ2" s="80"/>
      <c r="CR2" s="80"/>
      <c r="CS2" s="80"/>
      <c r="CT2" s="80"/>
      <c r="CU2" s="80"/>
      <c r="CV2" s="80"/>
      <c r="CW2" s="80"/>
      <c r="CX2" s="80"/>
      <c r="CY2" s="80"/>
      <c r="CZ2" s="80"/>
      <c r="DA2" s="80"/>
    </row>
    <row r="3" spans="1:105" ht="16.350000000000001" customHeight="1" x14ac:dyDescent="0.2">
      <c r="B3" s="78" t="str">
        <f>CONCATENATE("ESTABLECIMIENTO/ESTRATEGIA: ",NOMBRE!B3," - ","( ",NOMBRE!C3,NOMBRE!D3,NOMBRE!E3,NOMBRE!F3,NOMBRE!G3,NOMBRE!H3," )")</f>
        <v>ESTABLECIMIENTO/ESTRATEGIA:  - (  )</v>
      </c>
      <c r="CM3" s="80"/>
      <c r="CN3" s="80"/>
      <c r="CO3" s="80"/>
      <c r="CP3" s="80"/>
      <c r="CQ3" s="80"/>
      <c r="CR3" s="80"/>
      <c r="CS3" s="80"/>
      <c r="CT3" s="80"/>
      <c r="CU3" s="80"/>
      <c r="CV3" s="80"/>
      <c r="CW3" s="80"/>
      <c r="CX3" s="80"/>
      <c r="CY3" s="80"/>
      <c r="CZ3" s="80"/>
      <c r="DA3" s="80"/>
    </row>
    <row r="4" spans="1:105" ht="16.350000000000001" customHeight="1" x14ac:dyDescent="0.2">
      <c r="B4" s="78" t="str">
        <f>CONCATENATE("MES: ",NOMBRE!B6," - ","( ",NOMBRE!C6,NOMBRE!D6," )")</f>
        <v>MES:  - (  )</v>
      </c>
      <c r="CM4" s="80"/>
      <c r="CN4" s="80"/>
      <c r="CO4" s="80"/>
      <c r="CP4" s="80"/>
      <c r="CQ4" s="80"/>
      <c r="CR4" s="80"/>
      <c r="CS4" s="80"/>
      <c r="CT4" s="80"/>
      <c r="CU4" s="80"/>
      <c r="CV4" s="80"/>
      <c r="CW4" s="80"/>
      <c r="CX4" s="80"/>
      <c r="CY4" s="80"/>
      <c r="CZ4" s="80"/>
      <c r="DA4" s="80"/>
    </row>
    <row r="5" spans="1:105" ht="16.350000000000001" customHeight="1" x14ac:dyDescent="0.2">
      <c r="B5" s="78" t="str">
        <f>CONCATENATE("AÑO: ",NOMBRE!B7)</f>
        <v>AÑO: 2020</v>
      </c>
      <c r="AQ5" s="5814"/>
      <c r="AR5" s="5816"/>
      <c r="AS5" s="5816"/>
      <c r="CM5" s="80"/>
      <c r="CN5" s="80"/>
      <c r="CO5" s="80"/>
      <c r="CP5" s="80"/>
      <c r="CQ5" s="80"/>
      <c r="CR5" s="80"/>
      <c r="CS5" s="80"/>
      <c r="CT5" s="80"/>
      <c r="CU5" s="80"/>
      <c r="CV5" s="80"/>
      <c r="CW5" s="80"/>
      <c r="CX5" s="80"/>
      <c r="CY5" s="80"/>
      <c r="CZ5" s="80"/>
      <c r="DA5" s="80"/>
    </row>
    <row r="6" spans="1:105" ht="16.350000000000001" customHeight="1" x14ac:dyDescent="0.2">
      <c r="B6" s="5811" t="s">
        <v>478</v>
      </c>
      <c r="C6" s="5811"/>
      <c r="D6" s="5811"/>
      <c r="E6" s="5811"/>
      <c r="F6" s="5811"/>
      <c r="G6" s="5811"/>
      <c r="H6" s="5811"/>
      <c r="I6" s="5811"/>
      <c r="J6" s="5811"/>
      <c r="K6" s="5811"/>
      <c r="L6" s="5811"/>
      <c r="M6" s="5811"/>
      <c r="N6" s="5811"/>
      <c r="O6" s="5811"/>
      <c r="P6" s="5811"/>
      <c r="Q6" s="5811"/>
      <c r="R6" s="5811"/>
      <c r="S6" s="5811"/>
      <c r="T6" s="5811"/>
      <c r="U6" s="5811"/>
      <c r="V6" s="5811"/>
      <c r="W6" s="5811"/>
      <c r="X6" s="5811"/>
      <c r="Y6" s="5811"/>
      <c r="Z6" s="5811"/>
      <c r="AA6" s="5811"/>
      <c r="AB6" s="5811"/>
      <c r="AC6" s="5811"/>
      <c r="AD6" s="5811"/>
      <c r="AE6" s="5811"/>
      <c r="AF6" s="190"/>
      <c r="AG6" s="190"/>
      <c r="AH6" s="190"/>
      <c r="AI6" s="255"/>
      <c r="AJ6" s="190"/>
      <c r="AK6" s="190"/>
      <c r="AL6" s="255"/>
      <c r="AM6" s="190"/>
      <c r="AN6" s="190"/>
      <c r="AO6" s="402"/>
      <c r="AQ6" s="5814"/>
      <c r="AR6" s="5816"/>
      <c r="AS6" s="5816"/>
      <c r="CM6" s="80"/>
      <c r="CN6" s="80"/>
      <c r="CO6" s="80"/>
      <c r="CP6" s="80"/>
      <c r="CQ6" s="80"/>
      <c r="CR6" s="80"/>
      <c r="CS6" s="80"/>
      <c r="CT6" s="80"/>
      <c r="CU6" s="80"/>
      <c r="CV6" s="80"/>
      <c r="CW6" s="80"/>
      <c r="CX6" s="80"/>
      <c r="CY6" s="80"/>
      <c r="CZ6" s="80"/>
      <c r="DA6" s="80"/>
    </row>
    <row r="7" spans="1:105" ht="31.35" customHeight="1" x14ac:dyDescent="0.2">
      <c r="B7" s="177" t="s">
        <v>1250</v>
      </c>
      <c r="C7" s="85"/>
      <c r="D7" s="457"/>
      <c r="E7" s="457"/>
      <c r="F7" s="457"/>
      <c r="G7" s="457"/>
      <c r="H7" s="457"/>
      <c r="I7" s="457"/>
      <c r="J7" s="457"/>
      <c r="K7" s="457"/>
      <c r="L7" s="457"/>
      <c r="M7" s="457"/>
      <c r="N7" s="457"/>
      <c r="O7" s="457"/>
      <c r="P7" s="457"/>
      <c r="Q7" s="457"/>
      <c r="R7" s="457"/>
      <c r="S7" s="457"/>
      <c r="T7" s="457"/>
      <c r="U7" s="457"/>
      <c r="V7" s="457"/>
      <c r="W7" s="457"/>
      <c r="X7" s="457"/>
      <c r="Y7" s="457"/>
      <c r="Z7" s="457"/>
      <c r="AA7" s="457"/>
      <c r="AB7" s="457"/>
      <c r="AC7" s="457"/>
      <c r="AD7" s="457"/>
      <c r="AE7" s="458"/>
      <c r="AF7" s="243"/>
      <c r="AG7" s="243"/>
      <c r="AH7" s="243"/>
      <c r="AI7" s="243"/>
      <c r="AJ7" s="190"/>
      <c r="AK7" s="190"/>
      <c r="AL7" s="255"/>
      <c r="AM7" s="190"/>
      <c r="AN7" s="190"/>
      <c r="AO7" s="402"/>
      <c r="AQ7" s="5815"/>
      <c r="AR7" s="5817"/>
      <c r="AS7" s="5817"/>
      <c r="AT7" s="5812"/>
      <c r="AU7" s="5813"/>
      <c r="AV7" s="5813"/>
      <c r="CH7" s="1020"/>
      <c r="CI7" s="1020"/>
      <c r="CJ7" s="1020"/>
      <c r="CK7" s="1020"/>
      <c r="CL7" s="1020"/>
      <c r="CM7" s="80"/>
      <c r="CN7" s="80"/>
      <c r="CO7" s="80"/>
      <c r="CP7" s="80"/>
      <c r="CQ7" s="80"/>
      <c r="CR7" s="80"/>
      <c r="CS7" s="80"/>
      <c r="CT7" s="80"/>
      <c r="CU7" s="80"/>
      <c r="CV7" s="80"/>
      <c r="CW7" s="80"/>
      <c r="CX7" s="80"/>
      <c r="CY7" s="80"/>
      <c r="CZ7" s="80"/>
      <c r="DA7" s="80"/>
    </row>
    <row r="8" spans="1:105" ht="16.350000000000001" customHeight="1" x14ac:dyDescent="0.2">
      <c r="B8" s="5118" t="s">
        <v>479</v>
      </c>
      <c r="C8" s="5788" t="s">
        <v>480</v>
      </c>
      <c r="D8" s="5789"/>
      <c r="E8" s="5789"/>
      <c r="F8" s="5789"/>
      <c r="G8" s="5789"/>
      <c r="H8" s="5789"/>
      <c r="I8" s="5789"/>
      <c r="J8" s="5789"/>
      <c r="K8" s="5789"/>
      <c r="L8" s="5789"/>
      <c r="M8" s="5789"/>
      <c r="N8" s="5789"/>
      <c r="O8" s="5789"/>
      <c r="P8" s="5789"/>
      <c r="Q8" s="5789"/>
      <c r="R8" s="5789"/>
      <c r="S8" s="5789"/>
      <c r="T8" s="5789"/>
      <c r="U8" s="5789"/>
      <c r="V8" s="5789"/>
      <c r="W8" s="5790"/>
      <c r="X8" s="5118" t="s">
        <v>481</v>
      </c>
      <c r="Y8" s="5119"/>
      <c r="Z8" s="5119"/>
      <c r="AA8" s="5119"/>
      <c r="AB8" s="5119"/>
      <c r="AC8" s="5119"/>
      <c r="AD8" s="5119"/>
      <c r="AE8" s="5120"/>
      <c r="AF8" s="5823" t="s">
        <v>2649</v>
      </c>
      <c r="AG8" s="5824"/>
      <c r="AH8" s="5797" t="s">
        <v>482</v>
      </c>
      <c r="AI8" s="5798"/>
      <c r="AJ8" s="5787" t="s">
        <v>2648</v>
      </c>
      <c r="AK8" s="5797" t="s">
        <v>2647</v>
      </c>
      <c r="AL8" s="5798"/>
      <c r="AM8" s="5797" t="s">
        <v>2646</v>
      </c>
      <c r="AN8" s="5798"/>
      <c r="AO8" s="5797" t="s">
        <v>1347</v>
      </c>
      <c r="AP8" s="5798"/>
      <c r="AQ8" s="5787" t="s">
        <v>573</v>
      </c>
      <c r="AR8" s="5787" t="s">
        <v>889</v>
      </c>
      <c r="AS8" s="5819" t="s">
        <v>1273</v>
      </c>
      <c r="AT8" s="5820"/>
      <c r="AU8" s="5818" t="s">
        <v>490</v>
      </c>
      <c r="AV8" s="5818"/>
      <c r="AW8" s="5818"/>
      <c r="AX8" s="5786" t="s">
        <v>2755</v>
      </c>
      <c r="AY8" s="5786"/>
      <c r="AZ8" s="94"/>
      <c r="BA8" s="94"/>
      <c r="BB8" s="94"/>
      <c r="BC8" s="94"/>
      <c r="BD8" s="94"/>
      <c r="BE8" s="94"/>
      <c r="BF8" s="94"/>
      <c r="BG8" s="94"/>
      <c r="BH8" s="94"/>
      <c r="BI8" s="94"/>
      <c r="BJ8" s="94"/>
      <c r="BK8" s="94"/>
      <c r="BL8" s="94"/>
      <c r="BM8" s="94"/>
      <c r="BN8" s="94"/>
      <c r="BY8" s="80"/>
      <c r="CH8" s="1020"/>
      <c r="CI8" s="1020"/>
      <c r="CJ8" s="1020"/>
      <c r="CK8" s="1020"/>
      <c r="CL8" s="1020"/>
      <c r="CM8" s="80"/>
      <c r="CN8" s="80"/>
      <c r="CO8" s="80"/>
      <c r="CP8" s="80"/>
      <c r="CQ8" s="80"/>
      <c r="CR8" s="80"/>
      <c r="CS8" s="80"/>
      <c r="CT8" s="80"/>
      <c r="CU8" s="80"/>
      <c r="CV8" s="80"/>
      <c r="CW8" s="80"/>
      <c r="CX8" s="80"/>
      <c r="CY8" s="80"/>
      <c r="CZ8" s="80"/>
      <c r="DA8" s="80"/>
    </row>
    <row r="9" spans="1:105" ht="37.35" customHeight="1" x14ac:dyDescent="0.2">
      <c r="A9" s="5168" t="s">
        <v>2775</v>
      </c>
      <c r="B9" s="5121"/>
      <c r="C9" s="5112" t="s">
        <v>428</v>
      </c>
      <c r="D9" s="5118" t="s">
        <v>406</v>
      </c>
      <c r="E9" s="5119"/>
      <c r="F9" s="5119"/>
      <c r="G9" s="5119"/>
      <c r="H9" s="5119"/>
      <c r="I9" s="5119"/>
      <c r="J9" s="5119"/>
      <c r="K9" s="5119"/>
      <c r="L9" s="5119"/>
      <c r="M9" s="5119"/>
      <c r="N9" s="5119"/>
      <c r="O9" s="5119"/>
      <c r="P9" s="5119"/>
      <c r="Q9" s="5119"/>
      <c r="R9" s="5119"/>
      <c r="S9" s="5119"/>
      <c r="T9" s="5120"/>
      <c r="U9" s="5787" t="s">
        <v>483</v>
      </c>
      <c r="V9" s="5160" t="s">
        <v>195</v>
      </c>
      <c r="W9" s="5162"/>
      <c r="X9" s="5137" t="s">
        <v>484</v>
      </c>
      <c r="Y9" s="5137"/>
      <c r="Z9" s="5137"/>
      <c r="AA9" s="5106"/>
      <c r="AB9" s="5105" t="s">
        <v>485</v>
      </c>
      <c r="AC9" s="5137"/>
      <c r="AD9" s="5137"/>
      <c r="AE9" s="5106"/>
      <c r="AF9" s="5825"/>
      <c r="AG9" s="5826"/>
      <c r="AH9" s="5799"/>
      <c r="AI9" s="5800"/>
      <c r="AJ9" s="5113"/>
      <c r="AK9" s="5799"/>
      <c r="AL9" s="5800"/>
      <c r="AM9" s="5799"/>
      <c r="AN9" s="5800"/>
      <c r="AO9" s="5799"/>
      <c r="AP9" s="5800"/>
      <c r="AQ9" s="5113"/>
      <c r="AR9" s="5113"/>
      <c r="AS9" s="5821"/>
      <c r="AT9" s="5822"/>
      <c r="AU9" s="5818"/>
      <c r="AV9" s="5818"/>
      <c r="AW9" s="5818"/>
      <c r="AX9" s="5786"/>
      <c r="AY9" s="5786"/>
      <c r="AZ9" s="94"/>
      <c r="BA9" s="94"/>
      <c r="BB9" s="94"/>
      <c r="BC9" s="94"/>
      <c r="BD9" s="94"/>
      <c r="BE9" s="94"/>
      <c r="BF9" s="94"/>
      <c r="BG9" s="94"/>
      <c r="BH9" s="94"/>
      <c r="BI9" s="94"/>
      <c r="BJ9" s="94"/>
      <c r="BK9" s="94"/>
      <c r="BL9" s="94"/>
      <c r="BM9" s="94"/>
      <c r="BN9" s="94"/>
      <c r="BY9" s="80"/>
      <c r="CH9" s="1020"/>
      <c r="CI9" s="1020"/>
      <c r="CJ9" s="1020"/>
      <c r="CK9" s="1020"/>
      <c r="CL9" s="1020"/>
      <c r="CM9" s="80"/>
      <c r="CN9" s="80"/>
      <c r="CO9" s="80"/>
      <c r="CP9" s="80"/>
      <c r="CQ9" s="80"/>
      <c r="CR9" s="80"/>
      <c r="CS9" s="80"/>
      <c r="CT9" s="80"/>
      <c r="CU9" s="80"/>
      <c r="CV9" s="80"/>
      <c r="CW9" s="80"/>
      <c r="CX9" s="80"/>
      <c r="CY9" s="80"/>
      <c r="CZ9" s="80"/>
      <c r="DA9" s="80"/>
    </row>
    <row r="10" spans="1:105" ht="48" customHeight="1" x14ac:dyDescent="0.2">
      <c r="A10" s="5168"/>
      <c r="B10" s="5125"/>
      <c r="C10" s="5114"/>
      <c r="D10" s="1871" t="s">
        <v>350</v>
      </c>
      <c r="E10" s="133" t="s">
        <v>351</v>
      </c>
      <c r="F10" s="88" t="s">
        <v>352</v>
      </c>
      <c r="G10" s="88" t="s">
        <v>319</v>
      </c>
      <c r="H10" s="88" t="s">
        <v>10</v>
      </c>
      <c r="I10" s="1319" t="s">
        <v>11</v>
      </c>
      <c r="J10" s="1319" t="s">
        <v>12</v>
      </c>
      <c r="K10" s="1319" t="s">
        <v>13</v>
      </c>
      <c r="L10" s="1319" t="s">
        <v>14</v>
      </c>
      <c r="M10" s="1319" t="s">
        <v>15</v>
      </c>
      <c r="N10" s="1319" t="s">
        <v>16</v>
      </c>
      <c r="O10" s="1319" t="s">
        <v>17</v>
      </c>
      <c r="P10" s="1319" t="s">
        <v>18</v>
      </c>
      <c r="Q10" s="1319" t="s">
        <v>19</v>
      </c>
      <c r="R10" s="1319" t="s">
        <v>20</v>
      </c>
      <c r="S10" s="1319" t="s">
        <v>21</v>
      </c>
      <c r="T10" s="1861" t="s">
        <v>22</v>
      </c>
      <c r="U10" s="5159"/>
      <c r="V10" s="222" t="s">
        <v>24</v>
      </c>
      <c r="W10" s="191" t="s">
        <v>25</v>
      </c>
      <c r="X10" s="557" t="s">
        <v>42</v>
      </c>
      <c r="Y10" s="91" t="s">
        <v>488</v>
      </c>
      <c r="Z10" s="88" t="s">
        <v>3975</v>
      </c>
      <c r="AA10" s="191" t="s">
        <v>489</v>
      </c>
      <c r="AB10" s="91" t="s">
        <v>42</v>
      </c>
      <c r="AC10" s="91" t="s">
        <v>488</v>
      </c>
      <c r="AD10" s="88" t="s">
        <v>3975</v>
      </c>
      <c r="AE10" s="191" t="s">
        <v>489</v>
      </c>
      <c r="AF10" s="459" t="s">
        <v>844</v>
      </c>
      <c r="AG10" s="644" t="s">
        <v>845</v>
      </c>
      <c r="AH10" s="1227" t="s">
        <v>1488</v>
      </c>
      <c r="AI10" s="1228" t="s">
        <v>1489</v>
      </c>
      <c r="AJ10" s="5159"/>
      <c r="AK10" s="1871" t="s">
        <v>486</v>
      </c>
      <c r="AL10" s="1870" t="s">
        <v>487</v>
      </c>
      <c r="AM10" s="1871" t="s">
        <v>486</v>
      </c>
      <c r="AN10" s="1870" t="s">
        <v>487</v>
      </c>
      <c r="AO10" s="256" t="s">
        <v>2651</v>
      </c>
      <c r="AP10" s="256" t="s">
        <v>2650</v>
      </c>
      <c r="AQ10" s="5159"/>
      <c r="AR10" s="5159"/>
      <c r="AS10" s="2952" t="s">
        <v>484</v>
      </c>
      <c r="AT10" s="1943" t="s">
        <v>493</v>
      </c>
      <c r="AU10" s="421" t="s">
        <v>1023</v>
      </c>
      <c r="AV10" s="673" t="s">
        <v>1024</v>
      </c>
      <c r="AW10" s="980" t="s">
        <v>1025</v>
      </c>
      <c r="AX10" s="1306" t="s">
        <v>486</v>
      </c>
      <c r="AY10" s="1291" t="s">
        <v>487</v>
      </c>
      <c r="AZ10" s="94"/>
      <c r="BA10" s="94"/>
      <c r="BB10" s="94"/>
      <c r="BC10" s="94"/>
      <c r="BD10" s="94"/>
      <c r="BE10" s="94"/>
      <c r="BF10" s="94"/>
      <c r="BG10" s="94"/>
      <c r="BH10" s="94"/>
      <c r="BI10" s="94"/>
      <c r="BJ10" s="94"/>
      <c r="BK10" s="94"/>
      <c r="BL10" s="94"/>
      <c r="BM10" s="94"/>
      <c r="BN10" s="94"/>
      <c r="BY10" s="80"/>
      <c r="CH10" s="1020"/>
      <c r="CI10" s="1020"/>
      <c r="CJ10" s="1020"/>
      <c r="CK10" s="1020"/>
      <c r="CL10" s="1020"/>
      <c r="CM10" s="80"/>
      <c r="CN10" s="80"/>
      <c r="CO10" s="80"/>
      <c r="CP10" s="80"/>
      <c r="CQ10" s="80"/>
      <c r="CR10" s="80"/>
      <c r="CS10" s="80"/>
      <c r="CT10" s="80"/>
      <c r="CU10" s="80"/>
      <c r="CV10" s="80"/>
      <c r="CW10" s="80"/>
      <c r="CX10" s="80"/>
      <c r="CY10" s="80"/>
      <c r="CZ10" s="80"/>
      <c r="DA10" s="80"/>
    </row>
    <row r="11" spans="1:105" ht="16.350000000000001" customHeight="1" x14ac:dyDescent="0.2">
      <c r="A11" s="2948" t="s">
        <v>3359</v>
      </c>
      <c r="B11" s="120" t="s">
        <v>531</v>
      </c>
      <c r="C11" s="2636" t="s">
        <v>2777</v>
      </c>
      <c r="D11" s="2483" t="s">
        <v>2778</v>
      </c>
      <c r="E11" s="2487" t="s">
        <v>2779</v>
      </c>
      <c r="F11" s="2462" t="s">
        <v>2780</v>
      </c>
      <c r="G11" s="2462" t="s">
        <v>2781</v>
      </c>
      <c r="H11" s="218" t="s">
        <v>2782</v>
      </c>
      <c r="I11" s="218" t="s">
        <v>2783</v>
      </c>
      <c r="J11" s="218" t="s">
        <v>2784</v>
      </c>
      <c r="K11" s="218" t="s">
        <v>2785</v>
      </c>
      <c r="L11" s="218" t="s">
        <v>2786</v>
      </c>
      <c r="M11" s="2396" t="s">
        <v>2787</v>
      </c>
      <c r="N11" s="2396" t="s">
        <v>2788</v>
      </c>
      <c r="O11" s="2396" t="s">
        <v>2789</v>
      </c>
      <c r="P11" s="2396" t="s">
        <v>2790</v>
      </c>
      <c r="Q11" s="2396" t="s">
        <v>2791</v>
      </c>
      <c r="R11" s="2396" t="s">
        <v>2792</v>
      </c>
      <c r="S11" s="2396" t="s">
        <v>2793</v>
      </c>
      <c r="T11" s="163" t="s">
        <v>2794</v>
      </c>
      <c r="U11" s="141" t="s">
        <v>2795</v>
      </c>
      <c r="V11" s="163" t="s">
        <v>2796</v>
      </c>
      <c r="W11" s="163" t="s">
        <v>2797</v>
      </c>
      <c r="X11" s="163" t="s">
        <v>2798</v>
      </c>
      <c r="Y11" s="163" t="s">
        <v>2799</v>
      </c>
      <c r="Z11" s="163" t="s">
        <v>2800</v>
      </c>
      <c r="AA11" s="163" t="s">
        <v>2801</v>
      </c>
      <c r="AB11" s="163" t="s">
        <v>2817</v>
      </c>
      <c r="AC11" s="163" t="s">
        <v>2818</v>
      </c>
      <c r="AD11" s="163" t="s">
        <v>2819</v>
      </c>
      <c r="AE11" s="163" t="s">
        <v>2821</v>
      </c>
      <c r="AF11" s="163" t="s">
        <v>2822</v>
      </c>
      <c r="AG11" s="163" t="s">
        <v>2823</v>
      </c>
      <c r="AH11" s="163" t="s">
        <v>2824</v>
      </c>
      <c r="AI11" s="163" t="s">
        <v>2825</v>
      </c>
      <c r="AJ11" s="163" t="s">
        <v>2826</v>
      </c>
      <c r="AK11" s="163" t="s">
        <v>2827</v>
      </c>
      <c r="AL11" s="163" t="s">
        <v>2831</v>
      </c>
      <c r="AM11" s="163" t="s">
        <v>2832</v>
      </c>
      <c r="AN11" s="163" t="s">
        <v>2833</v>
      </c>
      <c r="AO11" s="163" t="s">
        <v>2834</v>
      </c>
      <c r="AP11" s="163" t="s">
        <v>3011</v>
      </c>
      <c r="AQ11" s="163" t="s">
        <v>3012</v>
      </c>
      <c r="AR11" s="163" t="s">
        <v>3013</v>
      </c>
      <c r="AS11" s="2953" t="s">
        <v>3014</v>
      </c>
      <c r="AT11" s="2953" t="s">
        <v>3015</v>
      </c>
      <c r="AU11" s="163" t="s">
        <v>3206</v>
      </c>
      <c r="AV11" s="163" t="s">
        <v>3207</v>
      </c>
      <c r="AW11" s="163" t="s">
        <v>3272</v>
      </c>
      <c r="AX11" s="163" t="s">
        <v>3273</v>
      </c>
      <c r="AY11" s="163" t="s">
        <v>3419</v>
      </c>
      <c r="AZ11" s="1058"/>
      <c r="BA11" s="1058"/>
      <c r="BB11" s="1058"/>
      <c r="BC11" s="1058"/>
      <c r="BD11" s="1058"/>
      <c r="BE11" s="1058"/>
      <c r="BF11" s="1058"/>
      <c r="BG11" s="1058"/>
      <c r="BH11" s="1058"/>
      <c r="BI11" s="94"/>
      <c r="BJ11" s="94"/>
      <c r="BK11" s="94"/>
      <c r="BL11" s="94"/>
      <c r="BM11" s="94"/>
      <c r="CA11" s="1164" t="e">
        <f>IF(CG11=1,"* El número de consultas según sexo NO DEBE ser diferente al Total. ","")</f>
        <v>#REF!</v>
      </c>
      <c r="CB11" s="1164" t="str">
        <f>IF(CH11=1,"* No olvide digitar la columna Beneficiarios (Digite CEROS si no tiene). ","")</f>
        <v/>
      </c>
      <c r="CC11" s="1164" t="str">
        <f>IF(CI11=1,"* El número de Beneficiarios NO DEBE ser mayor que el Total. ","")</f>
        <v xml:space="preserve">* El número de Beneficiarios NO DEBE ser mayor que el Total. </v>
      </c>
      <c r="CD11" s="1164" t="e">
        <f>IF(CJ11=1,"* El total de Consultas Nuevas NO DEBE ser MAYOR que el total de las Consultas Médicas. ","")</f>
        <v>#VALUE!</v>
      </c>
      <c r="CE11" s="1164" t="e">
        <f>IF(CK11=1,"* No olvide registrar datos en Pertinencia (Digite CEROS si no tiene). ","")</f>
        <v>#VALUE!</v>
      </c>
      <c r="CF11" s="1164"/>
      <c r="CG11" s="1163" t="e">
        <f>IF(C11&lt;(#REF!+V11),1,0)</f>
        <v>#REF!</v>
      </c>
      <c r="CH11" s="1163">
        <f t="shared" ref="CH11:CH42" si="0">IF(AND(C11&lt;&gt;0,U11=0),1,0)</f>
        <v>0</v>
      </c>
      <c r="CI11" s="1163">
        <f t="shared" ref="CI11:CI42" si="1">IF(C11&lt;(U11),1,0)</f>
        <v>1</v>
      </c>
      <c r="CJ11" s="1163" t="e">
        <f t="shared" ref="CJ11:CJ42" si="2">IF(C11&lt;(W11+AA11),1,0)</f>
        <v>#VALUE!</v>
      </c>
      <c r="CK11" s="1163" t="e">
        <f t="shared" ref="CK11:CK42" si="3">IF(AND((X11+AB11)&lt;&gt;0,OR(AE11="",AF11="")),1,0)</f>
        <v>#VALUE!</v>
      </c>
      <c r="CL11" s="80"/>
      <c r="CM11" s="80"/>
      <c r="CN11" s="80"/>
      <c r="CO11" s="80"/>
      <c r="CP11" s="80"/>
      <c r="CQ11" s="80"/>
      <c r="CR11" s="80"/>
      <c r="CS11" s="80"/>
      <c r="CT11" s="80"/>
      <c r="CU11" s="80"/>
      <c r="CV11" s="80"/>
      <c r="CW11" s="80"/>
      <c r="CX11" s="80"/>
      <c r="CY11" s="80"/>
      <c r="CZ11" s="80"/>
      <c r="DA11" s="80"/>
    </row>
    <row r="12" spans="1:105" ht="16.350000000000001" customHeight="1" x14ac:dyDescent="0.2">
      <c r="A12" s="2948" t="s">
        <v>3360</v>
      </c>
      <c r="B12" s="179" t="s">
        <v>529</v>
      </c>
      <c r="C12" s="2636" t="s">
        <v>2777</v>
      </c>
      <c r="D12" s="141" t="s">
        <v>2778</v>
      </c>
      <c r="E12" s="180" t="s">
        <v>2779</v>
      </c>
      <c r="F12" s="2396" t="s">
        <v>2780</v>
      </c>
      <c r="G12" s="2396" t="s">
        <v>2781</v>
      </c>
      <c r="H12" s="2396" t="s">
        <v>2782</v>
      </c>
      <c r="I12" s="2396" t="s">
        <v>2783</v>
      </c>
      <c r="J12" s="2396" t="s">
        <v>2784</v>
      </c>
      <c r="K12" s="2396" t="s">
        <v>2785</v>
      </c>
      <c r="L12" s="2396" t="s">
        <v>2786</v>
      </c>
      <c r="M12" s="2396" t="s">
        <v>2787</v>
      </c>
      <c r="N12" s="2396" t="s">
        <v>2788</v>
      </c>
      <c r="O12" s="2396" t="s">
        <v>2789</v>
      </c>
      <c r="P12" s="2396" t="s">
        <v>2790</v>
      </c>
      <c r="Q12" s="2396" t="s">
        <v>2791</v>
      </c>
      <c r="R12" s="2396" t="s">
        <v>2792</v>
      </c>
      <c r="S12" s="2396" t="s">
        <v>2793</v>
      </c>
      <c r="T12" s="163" t="s">
        <v>2794</v>
      </c>
      <c r="U12" s="141" t="s">
        <v>2795</v>
      </c>
      <c r="V12" s="163" t="s">
        <v>2796</v>
      </c>
      <c r="W12" s="163" t="s">
        <v>2797</v>
      </c>
      <c r="X12" s="163" t="s">
        <v>2798</v>
      </c>
      <c r="Y12" s="163" t="s">
        <v>2799</v>
      </c>
      <c r="Z12" s="163" t="s">
        <v>2800</v>
      </c>
      <c r="AA12" s="163" t="s">
        <v>2801</v>
      </c>
      <c r="AB12" s="163" t="s">
        <v>2817</v>
      </c>
      <c r="AC12" s="163" t="s">
        <v>2818</v>
      </c>
      <c r="AD12" s="163" t="s">
        <v>2819</v>
      </c>
      <c r="AE12" s="163" t="s">
        <v>2821</v>
      </c>
      <c r="AF12" s="163" t="s">
        <v>2822</v>
      </c>
      <c r="AG12" s="163" t="s">
        <v>2823</v>
      </c>
      <c r="AH12" s="163" t="s">
        <v>2824</v>
      </c>
      <c r="AI12" s="163" t="s">
        <v>2825</v>
      </c>
      <c r="AJ12" s="163" t="s">
        <v>2826</v>
      </c>
      <c r="AK12" s="163" t="s">
        <v>2827</v>
      </c>
      <c r="AL12" s="163" t="s">
        <v>2831</v>
      </c>
      <c r="AM12" s="163" t="s">
        <v>2832</v>
      </c>
      <c r="AN12" s="163" t="s">
        <v>2833</v>
      </c>
      <c r="AO12" s="163" t="s">
        <v>2834</v>
      </c>
      <c r="AP12" s="163" t="s">
        <v>3011</v>
      </c>
      <c r="AQ12" s="163" t="s">
        <v>3012</v>
      </c>
      <c r="AR12" s="163" t="s">
        <v>3013</v>
      </c>
      <c r="AS12" s="2953" t="s">
        <v>3014</v>
      </c>
      <c r="AT12" s="2953" t="s">
        <v>3015</v>
      </c>
      <c r="AU12" s="163" t="s">
        <v>3206</v>
      </c>
      <c r="AV12" s="163" t="s">
        <v>3207</v>
      </c>
      <c r="AW12" s="163" t="s">
        <v>3272</v>
      </c>
      <c r="AX12" s="163" t="s">
        <v>3273</v>
      </c>
      <c r="AY12" s="163" t="s">
        <v>3419</v>
      </c>
      <c r="AZ12" s="1058"/>
      <c r="BA12" s="1058"/>
      <c r="BB12" s="1058"/>
      <c r="BC12" s="1058"/>
      <c r="BD12" s="1058"/>
      <c r="BE12" s="1058"/>
      <c r="BF12" s="1058"/>
      <c r="BG12" s="1058"/>
      <c r="BH12" s="1058"/>
      <c r="BI12" s="94"/>
      <c r="BJ12" s="94"/>
      <c r="BK12" s="94"/>
      <c r="BL12" s="94"/>
      <c r="BM12" s="94"/>
      <c r="CA12" s="1164" t="e">
        <f t="shared" ref="CA12:CA13" si="4">IF(CG12=1,"* El número de consultas según sexo NO DEBE ser diferente al Total. ","")</f>
        <v>#REF!</v>
      </c>
      <c r="CB12" s="1164" t="str">
        <f t="shared" ref="CB12:CB13" si="5">IF(CH12=1,"* No olvide digitar la columna Beneficiarios (Digite CEROS si no tiene). ","")</f>
        <v/>
      </c>
      <c r="CC12" s="1164" t="str">
        <f t="shared" ref="CC12:CC13" si="6">IF(CI12=1,"* El número de Beneficiarios NO DEBE ser mayor que el Total. ","")</f>
        <v xml:space="preserve">* El número de Beneficiarios NO DEBE ser mayor que el Total. </v>
      </c>
      <c r="CD12" s="1164" t="e">
        <f t="shared" ref="CD12:CD13" si="7">IF(CJ12=1,"* El total de Consultas Nuevas NO DEBE ser MAYOR que el total de las Consultas Médicas. ","")</f>
        <v>#VALUE!</v>
      </c>
      <c r="CE12" s="1164" t="e">
        <f t="shared" ref="CE12:CE13" si="8">IF(CK12=1,"* No olvide registrar datos en Pertinencia (Digite CEROS si no tiene). ","")</f>
        <v>#VALUE!</v>
      </c>
      <c r="CF12" s="1164"/>
      <c r="CG12" s="1163" t="e">
        <f>IF(C12&lt;(#REF!+V12),1,0)</f>
        <v>#REF!</v>
      </c>
      <c r="CH12" s="1163">
        <f t="shared" si="0"/>
        <v>0</v>
      </c>
      <c r="CI12" s="1163">
        <f t="shared" si="1"/>
        <v>1</v>
      </c>
      <c r="CJ12" s="1163" t="e">
        <f t="shared" si="2"/>
        <v>#VALUE!</v>
      </c>
      <c r="CK12" s="1163" t="e">
        <f t="shared" si="3"/>
        <v>#VALUE!</v>
      </c>
      <c r="CL12" s="80"/>
      <c r="CM12" s="80"/>
      <c r="CN12" s="80"/>
      <c r="CO12" s="80"/>
      <c r="CP12" s="80"/>
      <c r="CQ12" s="80"/>
      <c r="CR12" s="80"/>
      <c r="CS12" s="80"/>
      <c r="CT12" s="80"/>
      <c r="CU12" s="80"/>
      <c r="CV12" s="80"/>
      <c r="CW12" s="80"/>
      <c r="CX12" s="80"/>
      <c r="CY12" s="80"/>
      <c r="CZ12" s="80"/>
      <c r="DA12" s="80"/>
    </row>
    <row r="13" spans="1:105" ht="16.350000000000001" customHeight="1" x14ac:dyDescent="0.2">
      <c r="A13" s="2948" t="s">
        <v>3361</v>
      </c>
      <c r="B13" s="179" t="s">
        <v>723</v>
      </c>
      <c r="C13" s="2636" t="s">
        <v>2777</v>
      </c>
      <c r="D13" s="141" t="s">
        <v>2778</v>
      </c>
      <c r="E13" s="2464" t="s">
        <v>2779</v>
      </c>
      <c r="F13" s="2464" t="s">
        <v>2780</v>
      </c>
      <c r="G13" s="2464" t="s">
        <v>2781</v>
      </c>
      <c r="H13" s="2464" t="s">
        <v>2782</v>
      </c>
      <c r="I13" s="2464" t="s">
        <v>2783</v>
      </c>
      <c r="J13" s="2464" t="s">
        <v>2784</v>
      </c>
      <c r="K13" s="2464" t="s">
        <v>2785</v>
      </c>
      <c r="L13" s="2464" t="s">
        <v>2786</v>
      </c>
      <c r="M13" s="2396" t="s">
        <v>2787</v>
      </c>
      <c r="N13" s="2396" t="s">
        <v>2788</v>
      </c>
      <c r="O13" s="2396" t="s">
        <v>2789</v>
      </c>
      <c r="P13" s="2396" t="s">
        <v>2790</v>
      </c>
      <c r="Q13" s="2396" t="s">
        <v>2791</v>
      </c>
      <c r="R13" s="2396" t="s">
        <v>2792</v>
      </c>
      <c r="S13" s="2396" t="s">
        <v>2793</v>
      </c>
      <c r="T13" s="163" t="s">
        <v>2794</v>
      </c>
      <c r="U13" s="141" t="s">
        <v>2795</v>
      </c>
      <c r="V13" s="163" t="s">
        <v>2796</v>
      </c>
      <c r="W13" s="163" t="s">
        <v>2797</v>
      </c>
      <c r="X13" s="163" t="s">
        <v>2798</v>
      </c>
      <c r="Y13" s="163" t="s">
        <v>2799</v>
      </c>
      <c r="Z13" s="163" t="s">
        <v>2800</v>
      </c>
      <c r="AA13" s="163" t="s">
        <v>2801</v>
      </c>
      <c r="AB13" s="163" t="s">
        <v>2817</v>
      </c>
      <c r="AC13" s="163" t="s">
        <v>2818</v>
      </c>
      <c r="AD13" s="163" t="s">
        <v>2819</v>
      </c>
      <c r="AE13" s="163" t="s">
        <v>2821</v>
      </c>
      <c r="AF13" s="163" t="s">
        <v>2822</v>
      </c>
      <c r="AG13" s="163" t="s">
        <v>2823</v>
      </c>
      <c r="AH13" s="163" t="s">
        <v>2824</v>
      </c>
      <c r="AI13" s="163" t="s">
        <v>2825</v>
      </c>
      <c r="AJ13" s="163" t="s">
        <v>2826</v>
      </c>
      <c r="AK13" s="163" t="s">
        <v>2827</v>
      </c>
      <c r="AL13" s="163" t="s">
        <v>2831</v>
      </c>
      <c r="AM13" s="163" t="s">
        <v>2832</v>
      </c>
      <c r="AN13" s="163" t="s">
        <v>2833</v>
      </c>
      <c r="AO13" s="163" t="s">
        <v>2834</v>
      </c>
      <c r="AP13" s="163" t="s">
        <v>3011</v>
      </c>
      <c r="AQ13" s="163" t="s">
        <v>3012</v>
      </c>
      <c r="AR13" s="163" t="s">
        <v>3013</v>
      </c>
      <c r="AS13" s="2953" t="s">
        <v>3014</v>
      </c>
      <c r="AT13" s="2953" t="s">
        <v>3015</v>
      </c>
      <c r="AU13" s="163" t="s">
        <v>3206</v>
      </c>
      <c r="AV13" s="163" t="s">
        <v>3207</v>
      </c>
      <c r="AW13" s="163" t="s">
        <v>3272</v>
      </c>
      <c r="AX13" s="163" t="s">
        <v>3273</v>
      </c>
      <c r="AY13" s="163" t="s">
        <v>3419</v>
      </c>
      <c r="AZ13" s="1058"/>
      <c r="BA13" s="1058"/>
      <c r="BB13" s="1058"/>
      <c r="BC13" s="1058"/>
      <c r="BD13" s="1058"/>
      <c r="BE13" s="1058"/>
      <c r="BF13" s="1058"/>
      <c r="BG13" s="1058"/>
      <c r="BH13" s="1058"/>
      <c r="BI13" s="94"/>
      <c r="BJ13" s="94"/>
      <c r="BK13" s="94"/>
      <c r="BL13" s="94"/>
      <c r="BM13" s="94"/>
      <c r="CA13" s="1164" t="e">
        <f t="shared" si="4"/>
        <v>#REF!</v>
      </c>
      <c r="CB13" s="1164" t="str">
        <f t="shared" si="5"/>
        <v/>
      </c>
      <c r="CC13" s="1164" t="str">
        <f t="shared" si="6"/>
        <v xml:space="preserve">* El número de Beneficiarios NO DEBE ser mayor que el Total. </v>
      </c>
      <c r="CD13" s="1164" t="e">
        <f t="shared" si="7"/>
        <v>#VALUE!</v>
      </c>
      <c r="CE13" s="1164" t="e">
        <f t="shared" si="8"/>
        <v>#VALUE!</v>
      </c>
      <c r="CF13" s="1164"/>
      <c r="CG13" s="1163" t="e">
        <f>IF(C13&lt;(#REF!+V13),1,0)</f>
        <v>#REF!</v>
      </c>
      <c r="CH13" s="1163">
        <f t="shared" si="0"/>
        <v>0</v>
      </c>
      <c r="CI13" s="1163">
        <f t="shared" si="1"/>
        <v>1</v>
      </c>
      <c r="CJ13" s="1163" t="e">
        <f t="shared" si="2"/>
        <v>#VALUE!</v>
      </c>
      <c r="CK13" s="1163" t="e">
        <f t="shared" si="3"/>
        <v>#VALUE!</v>
      </c>
      <c r="CL13" s="80"/>
      <c r="CM13" s="80"/>
      <c r="CN13" s="80"/>
      <c r="CO13" s="80"/>
      <c r="CP13" s="80"/>
      <c r="CQ13" s="80"/>
      <c r="CR13" s="80"/>
      <c r="CS13" s="80"/>
      <c r="CT13" s="80"/>
      <c r="CU13" s="80"/>
      <c r="CV13" s="80"/>
      <c r="CW13" s="80"/>
      <c r="CX13" s="80"/>
      <c r="CY13" s="80"/>
      <c r="CZ13" s="80"/>
      <c r="DA13" s="80"/>
    </row>
    <row r="14" spans="1:105" ht="16.350000000000001" customHeight="1" x14ac:dyDescent="0.2">
      <c r="A14" s="2948" t="s">
        <v>3362</v>
      </c>
      <c r="B14" s="179" t="s">
        <v>988</v>
      </c>
      <c r="C14" s="2636" t="s">
        <v>2777</v>
      </c>
      <c r="D14" s="141" t="s">
        <v>2778</v>
      </c>
      <c r="E14" s="180" t="s">
        <v>2779</v>
      </c>
      <c r="F14" s="2396" t="s">
        <v>2780</v>
      </c>
      <c r="G14" s="2396" t="s">
        <v>2781</v>
      </c>
      <c r="H14" s="2396" t="s">
        <v>2782</v>
      </c>
      <c r="I14" s="2396" t="s">
        <v>2783</v>
      </c>
      <c r="J14" s="2396" t="s">
        <v>2784</v>
      </c>
      <c r="K14" s="2396" t="s">
        <v>2785</v>
      </c>
      <c r="L14" s="2396" t="s">
        <v>2786</v>
      </c>
      <c r="M14" s="2396" t="s">
        <v>2787</v>
      </c>
      <c r="N14" s="2396" t="s">
        <v>2788</v>
      </c>
      <c r="O14" s="2396" t="s">
        <v>2789</v>
      </c>
      <c r="P14" s="2396" t="s">
        <v>2790</v>
      </c>
      <c r="Q14" s="2396" t="s">
        <v>2791</v>
      </c>
      <c r="R14" s="2396" t="s">
        <v>2792</v>
      </c>
      <c r="S14" s="2396" t="s">
        <v>2793</v>
      </c>
      <c r="T14" s="163" t="s">
        <v>2794</v>
      </c>
      <c r="U14" s="141" t="s">
        <v>2795</v>
      </c>
      <c r="V14" s="163" t="s">
        <v>2796</v>
      </c>
      <c r="W14" s="163" t="s">
        <v>2797</v>
      </c>
      <c r="X14" s="163" t="s">
        <v>2798</v>
      </c>
      <c r="Y14" s="163" t="s">
        <v>2799</v>
      </c>
      <c r="Z14" s="163" t="s">
        <v>2800</v>
      </c>
      <c r="AA14" s="163" t="s">
        <v>2801</v>
      </c>
      <c r="AB14" s="163" t="s">
        <v>2817</v>
      </c>
      <c r="AC14" s="163" t="s">
        <v>2818</v>
      </c>
      <c r="AD14" s="163" t="s">
        <v>2819</v>
      </c>
      <c r="AE14" s="163" t="s">
        <v>2821</v>
      </c>
      <c r="AF14" s="163" t="s">
        <v>2822</v>
      </c>
      <c r="AG14" s="163" t="s">
        <v>2823</v>
      </c>
      <c r="AH14" s="163" t="s">
        <v>2824</v>
      </c>
      <c r="AI14" s="163" t="s">
        <v>2825</v>
      </c>
      <c r="AJ14" s="163" t="s">
        <v>2826</v>
      </c>
      <c r="AK14" s="163" t="s">
        <v>2827</v>
      </c>
      <c r="AL14" s="163" t="s">
        <v>2831</v>
      </c>
      <c r="AM14" s="163" t="s">
        <v>2832</v>
      </c>
      <c r="AN14" s="163" t="s">
        <v>2833</v>
      </c>
      <c r="AO14" s="163" t="s">
        <v>2834</v>
      </c>
      <c r="AP14" s="163" t="s">
        <v>3011</v>
      </c>
      <c r="AQ14" s="163" t="s">
        <v>3012</v>
      </c>
      <c r="AR14" s="163" t="s">
        <v>3013</v>
      </c>
      <c r="AS14" s="2953" t="s">
        <v>3014</v>
      </c>
      <c r="AT14" s="2953" t="s">
        <v>3015</v>
      </c>
      <c r="AU14" s="163" t="s">
        <v>3206</v>
      </c>
      <c r="AV14" s="163" t="s">
        <v>3207</v>
      </c>
      <c r="AW14" s="163" t="s">
        <v>3272</v>
      </c>
      <c r="AX14" s="163" t="s">
        <v>3273</v>
      </c>
      <c r="AY14" s="163" t="s">
        <v>3419</v>
      </c>
      <c r="AZ14" s="1058"/>
      <c r="BA14" s="1058"/>
      <c r="BB14" s="1058"/>
      <c r="BC14" s="1058"/>
      <c r="BD14" s="1058"/>
      <c r="BE14" s="1058"/>
      <c r="BF14" s="1058"/>
      <c r="BG14" s="1058"/>
      <c r="BH14" s="1058"/>
      <c r="BI14" s="94"/>
      <c r="BJ14" s="94"/>
      <c r="BK14" s="94"/>
      <c r="BL14" s="94"/>
      <c r="BM14" s="94"/>
      <c r="CA14" s="1164" t="e">
        <f t="shared" ref="CA14:CA70" si="9">IF(CG14=1,"* El número de consultas según sexo NO DEBE ser diferente al Total. ","")</f>
        <v>#REF!</v>
      </c>
      <c r="CB14" s="1164" t="str">
        <f t="shared" ref="CB14:CB70" si="10">IF(CH14=1,"* No olvide digitar la columna Beneficiarios (Digite CEROS si no tiene). ","")</f>
        <v/>
      </c>
      <c r="CC14" s="1164" t="str">
        <f t="shared" ref="CC14:CC70" si="11">IF(CI14=1,"* El número de Beneficiarios NO DEBE ser mayor que el Total. ","")</f>
        <v xml:space="preserve">* El número de Beneficiarios NO DEBE ser mayor que el Total. </v>
      </c>
      <c r="CD14" s="1164" t="e">
        <f t="shared" ref="CD14:CD70" si="12">IF(CJ14=1,"* El total de Consultas Nuevas NO DEBE ser MAYOR que el total de las Consultas Médicas. ","")</f>
        <v>#VALUE!</v>
      </c>
      <c r="CE14" s="1164" t="e">
        <f t="shared" ref="CE14:CE70" si="13">IF(CK14=1,"* No olvide registrar datos en Pertinencia (Digite CEROS si no tiene). ","")</f>
        <v>#VALUE!</v>
      </c>
      <c r="CF14" s="1164"/>
      <c r="CG14" s="1163" t="e">
        <f>IF(C14&lt;(#REF!+V14),1,0)</f>
        <v>#REF!</v>
      </c>
      <c r="CH14" s="1163">
        <f t="shared" si="0"/>
        <v>0</v>
      </c>
      <c r="CI14" s="1163">
        <f t="shared" si="1"/>
        <v>1</v>
      </c>
      <c r="CJ14" s="1163" t="e">
        <f t="shared" si="2"/>
        <v>#VALUE!</v>
      </c>
      <c r="CK14" s="1163" t="e">
        <f t="shared" si="3"/>
        <v>#VALUE!</v>
      </c>
      <c r="CL14" s="80"/>
      <c r="CM14" s="80"/>
      <c r="CN14" s="80"/>
      <c r="CO14" s="80"/>
      <c r="CP14" s="80"/>
      <c r="CQ14" s="80"/>
      <c r="CR14" s="80"/>
      <c r="CS14" s="80"/>
      <c r="CT14" s="80"/>
      <c r="CU14" s="80"/>
      <c r="CV14" s="80"/>
      <c r="CW14" s="80"/>
      <c r="CX14" s="80"/>
      <c r="CY14" s="80"/>
      <c r="CZ14" s="80"/>
      <c r="DA14" s="80"/>
    </row>
    <row r="15" spans="1:105" ht="16.350000000000001" customHeight="1" x14ac:dyDescent="0.2">
      <c r="A15" s="2948" t="s">
        <v>3363</v>
      </c>
      <c r="B15" s="179" t="s">
        <v>989</v>
      </c>
      <c r="C15" s="2636" t="s">
        <v>2777</v>
      </c>
      <c r="D15" s="141" t="s">
        <v>2778</v>
      </c>
      <c r="E15" s="180" t="s">
        <v>2779</v>
      </c>
      <c r="F15" s="142" t="s">
        <v>2780</v>
      </c>
      <c r="G15" s="142" t="s">
        <v>2781</v>
      </c>
      <c r="H15" s="142" t="s">
        <v>2782</v>
      </c>
      <c r="I15" s="142" t="s">
        <v>2783</v>
      </c>
      <c r="J15" s="142" t="s">
        <v>2784</v>
      </c>
      <c r="K15" s="142" t="s">
        <v>2785</v>
      </c>
      <c r="L15" s="142" t="s">
        <v>2786</v>
      </c>
      <c r="M15" s="2396" t="s">
        <v>2787</v>
      </c>
      <c r="N15" s="2396" t="s">
        <v>2788</v>
      </c>
      <c r="O15" s="2396" t="s">
        <v>2789</v>
      </c>
      <c r="P15" s="2396" t="s">
        <v>2790</v>
      </c>
      <c r="Q15" s="2396" t="s">
        <v>2791</v>
      </c>
      <c r="R15" s="2396" t="s">
        <v>2792</v>
      </c>
      <c r="S15" s="2396" t="s">
        <v>2793</v>
      </c>
      <c r="T15" s="163" t="s">
        <v>2794</v>
      </c>
      <c r="U15" s="141" t="s">
        <v>2795</v>
      </c>
      <c r="V15" s="163" t="s">
        <v>2796</v>
      </c>
      <c r="W15" s="163" t="s">
        <v>2797</v>
      </c>
      <c r="X15" s="163" t="s">
        <v>2798</v>
      </c>
      <c r="Y15" s="163" t="s">
        <v>2799</v>
      </c>
      <c r="Z15" s="163" t="s">
        <v>2800</v>
      </c>
      <c r="AA15" s="163" t="s">
        <v>2801</v>
      </c>
      <c r="AB15" s="163" t="s">
        <v>2817</v>
      </c>
      <c r="AC15" s="163" t="s">
        <v>2818</v>
      </c>
      <c r="AD15" s="163" t="s">
        <v>2819</v>
      </c>
      <c r="AE15" s="163" t="s">
        <v>2821</v>
      </c>
      <c r="AF15" s="163" t="s">
        <v>2822</v>
      </c>
      <c r="AG15" s="163" t="s">
        <v>2823</v>
      </c>
      <c r="AH15" s="163" t="s">
        <v>2824</v>
      </c>
      <c r="AI15" s="163" t="s">
        <v>2825</v>
      </c>
      <c r="AJ15" s="163" t="s">
        <v>2826</v>
      </c>
      <c r="AK15" s="163" t="s">
        <v>2827</v>
      </c>
      <c r="AL15" s="163" t="s">
        <v>2831</v>
      </c>
      <c r="AM15" s="163" t="s">
        <v>2832</v>
      </c>
      <c r="AN15" s="163" t="s">
        <v>2833</v>
      </c>
      <c r="AO15" s="163" t="s">
        <v>2834</v>
      </c>
      <c r="AP15" s="163" t="s">
        <v>3011</v>
      </c>
      <c r="AQ15" s="163" t="s">
        <v>3012</v>
      </c>
      <c r="AR15" s="163" t="s">
        <v>3013</v>
      </c>
      <c r="AS15" s="2953" t="s">
        <v>3014</v>
      </c>
      <c r="AT15" s="2953" t="s">
        <v>3015</v>
      </c>
      <c r="AU15" s="163" t="s">
        <v>3206</v>
      </c>
      <c r="AV15" s="163" t="s">
        <v>3207</v>
      </c>
      <c r="AW15" s="163" t="s">
        <v>3272</v>
      </c>
      <c r="AX15" s="163" t="s">
        <v>3273</v>
      </c>
      <c r="AY15" s="163" t="s">
        <v>3419</v>
      </c>
      <c r="AZ15" s="1058"/>
      <c r="BA15" s="1058"/>
      <c r="BB15" s="1058"/>
      <c r="BC15" s="1058"/>
      <c r="BD15" s="1058"/>
      <c r="BE15" s="1058"/>
      <c r="BF15" s="1058"/>
      <c r="BG15" s="1058"/>
      <c r="BH15" s="1058"/>
      <c r="BI15" s="94"/>
      <c r="BJ15" s="94"/>
      <c r="BK15" s="94"/>
      <c r="BL15" s="94"/>
      <c r="BM15" s="94"/>
      <c r="CA15" s="1164" t="e">
        <f t="shared" si="9"/>
        <v>#REF!</v>
      </c>
      <c r="CB15" s="1164" t="str">
        <f t="shared" si="10"/>
        <v/>
      </c>
      <c r="CC15" s="1164" t="str">
        <f t="shared" si="11"/>
        <v xml:space="preserve">* El número de Beneficiarios NO DEBE ser mayor que el Total. </v>
      </c>
      <c r="CD15" s="1164" t="e">
        <f t="shared" si="12"/>
        <v>#VALUE!</v>
      </c>
      <c r="CE15" s="1164" t="e">
        <f t="shared" si="13"/>
        <v>#VALUE!</v>
      </c>
      <c r="CF15" s="1164"/>
      <c r="CG15" s="1163" t="e">
        <f>IF(C15&lt;(#REF!+V15),1,0)</f>
        <v>#REF!</v>
      </c>
      <c r="CH15" s="1163">
        <f t="shared" si="0"/>
        <v>0</v>
      </c>
      <c r="CI15" s="1163">
        <f t="shared" si="1"/>
        <v>1</v>
      </c>
      <c r="CJ15" s="1163" t="e">
        <f t="shared" si="2"/>
        <v>#VALUE!</v>
      </c>
      <c r="CK15" s="1163" t="e">
        <f t="shared" si="3"/>
        <v>#VALUE!</v>
      </c>
      <c r="CL15" s="80"/>
      <c r="CM15" s="80"/>
      <c r="CN15" s="80"/>
      <c r="CO15" s="80"/>
      <c r="CP15" s="80"/>
      <c r="CQ15" s="80"/>
      <c r="CR15" s="80"/>
      <c r="CS15" s="80"/>
      <c r="CT15" s="80"/>
      <c r="CU15" s="80"/>
      <c r="CV15" s="80"/>
      <c r="CW15" s="80"/>
      <c r="CX15" s="80"/>
      <c r="CY15" s="80"/>
      <c r="CZ15" s="80"/>
      <c r="DA15" s="80"/>
    </row>
    <row r="16" spans="1:105" ht="16.350000000000001" customHeight="1" x14ac:dyDescent="0.2">
      <c r="A16" s="2949" t="s">
        <v>3364</v>
      </c>
      <c r="B16" s="179" t="s">
        <v>990</v>
      </c>
      <c r="C16" s="2636" t="s">
        <v>2777</v>
      </c>
      <c r="D16" s="141" t="s">
        <v>2778</v>
      </c>
      <c r="E16" s="180" t="s">
        <v>2779</v>
      </c>
      <c r="F16" s="142" t="s">
        <v>2780</v>
      </c>
      <c r="G16" s="142" t="s">
        <v>2781</v>
      </c>
      <c r="H16" s="142" t="s">
        <v>2782</v>
      </c>
      <c r="I16" s="142" t="s">
        <v>2783</v>
      </c>
      <c r="J16" s="142" t="s">
        <v>2784</v>
      </c>
      <c r="K16" s="142" t="s">
        <v>2785</v>
      </c>
      <c r="L16" s="142" t="s">
        <v>2786</v>
      </c>
      <c r="M16" s="2396" t="s">
        <v>2787</v>
      </c>
      <c r="N16" s="2396" t="s">
        <v>2788</v>
      </c>
      <c r="O16" s="2396" t="s">
        <v>2789</v>
      </c>
      <c r="P16" s="2396" t="s">
        <v>2790</v>
      </c>
      <c r="Q16" s="2396" t="s">
        <v>2791</v>
      </c>
      <c r="R16" s="2396" t="s">
        <v>2792</v>
      </c>
      <c r="S16" s="2396" t="s">
        <v>2793</v>
      </c>
      <c r="T16" s="163" t="s">
        <v>2794</v>
      </c>
      <c r="U16" s="141" t="s">
        <v>2795</v>
      </c>
      <c r="V16" s="163" t="s">
        <v>2796</v>
      </c>
      <c r="W16" s="163" t="s">
        <v>2797</v>
      </c>
      <c r="X16" s="163" t="s">
        <v>2798</v>
      </c>
      <c r="Y16" s="163" t="s">
        <v>2799</v>
      </c>
      <c r="Z16" s="163" t="s">
        <v>2800</v>
      </c>
      <c r="AA16" s="163" t="s">
        <v>2801</v>
      </c>
      <c r="AB16" s="163" t="s">
        <v>2817</v>
      </c>
      <c r="AC16" s="163" t="s">
        <v>2818</v>
      </c>
      <c r="AD16" s="163" t="s">
        <v>2819</v>
      </c>
      <c r="AE16" s="163" t="s">
        <v>2821</v>
      </c>
      <c r="AF16" s="163" t="s">
        <v>2822</v>
      </c>
      <c r="AG16" s="163" t="s">
        <v>2823</v>
      </c>
      <c r="AH16" s="163" t="s">
        <v>2824</v>
      </c>
      <c r="AI16" s="163" t="s">
        <v>2825</v>
      </c>
      <c r="AJ16" s="163" t="s">
        <v>2826</v>
      </c>
      <c r="AK16" s="163" t="s">
        <v>2827</v>
      </c>
      <c r="AL16" s="163" t="s">
        <v>2831</v>
      </c>
      <c r="AM16" s="163" t="s">
        <v>2832</v>
      </c>
      <c r="AN16" s="163" t="s">
        <v>2833</v>
      </c>
      <c r="AO16" s="163" t="s">
        <v>2834</v>
      </c>
      <c r="AP16" s="163" t="s">
        <v>3011</v>
      </c>
      <c r="AQ16" s="163" t="s">
        <v>3012</v>
      </c>
      <c r="AR16" s="163" t="s">
        <v>3013</v>
      </c>
      <c r="AS16" s="2953" t="s">
        <v>3014</v>
      </c>
      <c r="AT16" s="2953" t="s">
        <v>3015</v>
      </c>
      <c r="AU16" s="163" t="s">
        <v>3206</v>
      </c>
      <c r="AV16" s="163" t="s">
        <v>3207</v>
      </c>
      <c r="AW16" s="163" t="s">
        <v>3272</v>
      </c>
      <c r="AX16" s="163" t="s">
        <v>3273</v>
      </c>
      <c r="AY16" s="163" t="s">
        <v>3419</v>
      </c>
      <c r="AZ16" s="1058"/>
      <c r="BA16" s="1058"/>
      <c r="BB16" s="1058"/>
      <c r="BC16" s="1058"/>
      <c r="BD16" s="1058"/>
      <c r="BE16" s="1058"/>
      <c r="BF16" s="1058"/>
      <c r="BG16" s="1058"/>
      <c r="BH16" s="1058"/>
      <c r="BI16" s="94"/>
      <c r="BJ16" s="94"/>
      <c r="BK16" s="94"/>
      <c r="BL16" s="94"/>
      <c r="BM16" s="94"/>
      <c r="CA16" s="1164" t="e">
        <f t="shared" si="9"/>
        <v>#REF!</v>
      </c>
      <c r="CB16" s="1164" t="str">
        <f t="shared" si="10"/>
        <v/>
      </c>
      <c r="CC16" s="1164" t="str">
        <f t="shared" si="11"/>
        <v xml:space="preserve">* El número de Beneficiarios NO DEBE ser mayor que el Total. </v>
      </c>
      <c r="CD16" s="1164" t="e">
        <f t="shared" si="12"/>
        <v>#VALUE!</v>
      </c>
      <c r="CE16" s="1164" t="e">
        <f t="shared" si="13"/>
        <v>#VALUE!</v>
      </c>
      <c r="CF16" s="1164"/>
      <c r="CG16" s="1163" t="e">
        <f>IF(C16&lt;(#REF!+V16),1,0)</f>
        <v>#REF!</v>
      </c>
      <c r="CH16" s="1163">
        <f t="shared" si="0"/>
        <v>0</v>
      </c>
      <c r="CI16" s="1163">
        <f t="shared" si="1"/>
        <v>1</v>
      </c>
      <c r="CJ16" s="1163" t="e">
        <f t="shared" si="2"/>
        <v>#VALUE!</v>
      </c>
      <c r="CK16" s="1163" t="e">
        <f t="shared" si="3"/>
        <v>#VALUE!</v>
      </c>
      <c r="CL16" s="80"/>
      <c r="CM16" s="80"/>
      <c r="CN16" s="80"/>
      <c r="CO16" s="80"/>
      <c r="CP16" s="80"/>
      <c r="CQ16" s="80"/>
      <c r="CR16" s="80"/>
      <c r="CS16" s="80"/>
      <c r="CT16" s="80"/>
      <c r="CU16" s="80"/>
      <c r="CV16" s="80"/>
      <c r="CW16" s="80"/>
      <c r="CX16" s="80"/>
      <c r="CY16" s="80"/>
      <c r="CZ16" s="80"/>
      <c r="DA16" s="80"/>
    </row>
    <row r="17" spans="1:105" ht="16.350000000000001" customHeight="1" x14ac:dyDescent="0.2">
      <c r="A17" s="2948" t="s">
        <v>3365</v>
      </c>
      <c r="B17" s="879" t="s">
        <v>1664</v>
      </c>
      <c r="C17" s="2636" t="s">
        <v>2777</v>
      </c>
      <c r="D17" s="141" t="s">
        <v>2778</v>
      </c>
      <c r="E17" s="180" t="s">
        <v>2779</v>
      </c>
      <c r="F17" s="142" t="s">
        <v>2780</v>
      </c>
      <c r="G17" s="142" t="s">
        <v>2781</v>
      </c>
      <c r="H17" s="142" t="s">
        <v>2782</v>
      </c>
      <c r="I17" s="142" t="s">
        <v>2783</v>
      </c>
      <c r="J17" s="142" t="s">
        <v>2784</v>
      </c>
      <c r="K17" s="142" t="s">
        <v>2785</v>
      </c>
      <c r="L17" s="142" t="s">
        <v>2786</v>
      </c>
      <c r="M17" s="2396" t="s">
        <v>2787</v>
      </c>
      <c r="N17" s="2396" t="s">
        <v>2788</v>
      </c>
      <c r="O17" s="2396" t="s">
        <v>2789</v>
      </c>
      <c r="P17" s="2396" t="s">
        <v>2790</v>
      </c>
      <c r="Q17" s="2396" t="s">
        <v>2791</v>
      </c>
      <c r="R17" s="2396" t="s">
        <v>2792</v>
      </c>
      <c r="S17" s="2396" t="s">
        <v>2793</v>
      </c>
      <c r="T17" s="163" t="s">
        <v>2794</v>
      </c>
      <c r="U17" s="141" t="s">
        <v>2795</v>
      </c>
      <c r="V17" s="163" t="s">
        <v>2796</v>
      </c>
      <c r="W17" s="163" t="s">
        <v>2797</v>
      </c>
      <c r="X17" s="163" t="s">
        <v>2798</v>
      </c>
      <c r="Y17" s="163" t="s">
        <v>2799</v>
      </c>
      <c r="Z17" s="163" t="s">
        <v>2800</v>
      </c>
      <c r="AA17" s="163" t="s">
        <v>2801</v>
      </c>
      <c r="AB17" s="163" t="s">
        <v>2817</v>
      </c>
      <c r="AC17" s="163" t="s">
        <v>2818</v>
      </c>
      <c r="AD17" s="163" t="s">
        <v>2819</v>
      </c>
      <c r="AE17" s="163" t="s">
        <v>2821</v>
      </c>
      <c r="AF17" s="163" t="s">
        <v>2822</v>
      </c>
      <c r="AG17" s="163" t="s">
        <v>2823</v>
      </c>
      <c r="AH17" s="163" t="s">
        <v>2824</v>
      </c>
      <c r="AI17" s="163" t="s">
        <v>2825</v>
      </c>
      <c r="AJ17" s="163" t="s">
        <v>2826</v>
      </c>
      <c r="AK17" s="163" t="s">
        <v>2827</v>
      </c>
      <c r="AL17" s="163" t="s">
        <v>2831</v>
      </c>
      <c r="AM17" s="163" t="s">
        <v>2832</v>
      </c>
      <c r="AN17" s="163" t="s">
        <v>2833</v>
      </c>
      <c r="AO17" s="163" t="s">
        <v>2834</v>
      </c>
      <c r="AP17" s="163" t="s">
        <v>3011</v>
      </c>
      <c r="AQ17" s="163" t="s">
        <v>3012</v>
      </c>
      <c r="AR17" s="163" t="s">
        <v>3013</v>
      </c>
      <c r="AS17" s="2953" t="s">
        <v>3014</v>
      </c>
      <c r="AT17" s="2953" t="s">
        <v>3015</v>
      </c>
      <c r="AU17" s="163" t="s">
        <v>3206</v>
      </c>
      <c r="AV17" s="163" t="s">
        <v>3207</v>
      </c>
      <c r="AW17" s="163" t="s">
        <v>3272</v>
      </c>
      <c r="AX17" s="163" t="s">
        <v>3273</v>
      </c>
      <c r="AY17" s="163" t="s">
        <v>3419</v>
      </c>
      <c r="AZ17" s="1058"/>
      <c r="BA17" s="1058"/>
      <c r="BB17" s="1058"/>
      <c r="BC17" s="1058"/>
      <c r="BD17" s="1058"/>
      <c r="BE17" s="1058"/>
      <c r="BF17" s="1058"/>
      <c r="BG17" s="1058"/>
      <c r="BH17" s="1058"/>
      <c r="BI17" s="94"/>
      <c r="BJ17" s="94"/>
      <c r="BK17" s="94"/>
      <c r="BL17" s="94"/>
      <c r="BM17" s="94"/>
      <c r="CA17" s="1164" t="e">
        <f t="shared" si="9"/>
        <v>#REF!</v>
      </c>
      <c r="CB17" s="1164" t="str">
        <f t="shared" si="10"/>
        <v/>
      </c>
      <c r="CC17" s="1164" t="str">
        <f t="shared" si="11"/>
        <v xml:space="preserve">* El número de Beneficiarios NO DEBE ser mayor que el Total. </v>
      </c>
      <c r="CD17" s="1164" t="e">
        <f t="shared" si="12"/>
        <v>#VALUE!</v>
      </c>
      <c r="CE17" s="1164" t="e">
        <f t="shared" si="13"/>
        <v>#VALUE!</v>
      </c>
      <c r="CF17" s="1164"/>
      <c r="CG17" s="1163" t="e">
        <f>IF(C17&lt;(#REF!+V17),1,0)</f>
        <v>#REF!</v>
      </c>
      <c r="CH17" s="1163">
        <f t="shared" si="0"/>
        <v>0</v>
      </c>
      <c r="CI17" s="1163">
        <f t="shared" si="1"/>
        <v>1</v>
      </c>
      <c r="CJ17" s="1163" t="e">
        <f t="shared" si="2"/>
        <v>#VALUE!</v>
      </c>
      <c r="CK17" s="1163" t="e">
        <f t="shared" si="3"/>
        <v>#VALUE!</v>
      </c>
      <c r="CL17" s="80"/>
      <c r="CM17" s="80"/>
      <c r="CN17" s="80"/>
      <c r="CO17" s="80"/>
      <c r="CP17" s="80"/>
      <c r="CQ17" s="80"/>
      <c r="CR17" s="80"/>
      <c r="CS17" s="80"/>
      <c r="CT17" s="80"/>
      <c r="CU17" s="80"/>
      <c r="CV17" s="80"/>
      <c r="CW17" s="80"/>
      <c r="CX17" s="80"/>
      <c r="CY17" s="80"/>
      <c r="CZ17" s="80"/>
      <c r="DA17" s="80"/>
    </row>
    <row r="18" spans="1:105" ht="16.350000000000001" customHeight="1" x14ac:dyDescent="0.2">
      <c r="A18" s="2948" t="s">
        <v>3366</v>
      </c>
      <c r="B18" s="879" t="s">
        <v>991</v>
      </c>
      <c r="C18" s="2636" t="s">
        <v>2777</v>
      </c>
      <c r="D18" s="141" t="s">
        <v>2778</v>
      </c>
      <c r="E18" s="180" t="s">
        <v>2779</v>
      </c>
      <c r="F18" s="142" t="s">
        <v>2780</v>
      </c>
      <c r="G18" s="142" t="s">
        <v>2781</v>
      </c>
      <c r="H18" s="142" t="s">
        <v>2782</v>
      </c>
      <c r="I18" s="142" t="s">
        <v>2783</v>
      </c>
      <c r="J18" s="142" t="s">
        <v>2784</v>
      </c>
      <c r="K18" s="142" t="s">
        <v>2785</v>
      </c>
      <c r="L18" s="142" t="s">
        <v>2786</v>
      </c>
      <c r="M18" s="2396" t="s">
        <v>2787</v>
      </c>
      <c r="N18" s="2396" t="s">
        <v>2788</v>
      </c>
      <c r="O18" s="2396" t="s">
        <v>2789</v>
      </c>
      <c r="P18" s="2396" t="s">
        <v>2790</v>
      </c>
      <c r="Q18" s="2396" t="s">
        <v>2791</v>
      </c>
      <c r="R18" s="2396" t="s">
        <v>2792</v>
      </c>
      <c r="S18" s="2396" t="s">
        <v>2793</v>
      </c>
      <c r="T18" s="163" t="s">
        <v>2794</v>
      </c>
      <c r="U18" s="141" t="s">
        <v>2795</v>
      </c>
      <c r="V18" s="163" t="s">
        <v>2796</v>
      </c>
      <c r="W18" s="163" t="s">
        <v>2797</v>
      </c>
      <c r="X18" s="163" t="s">
        <v>2798</v>
      </c>
      <c r="Y18" s="163" t="s">
        <v>2799</v>
      </c>
      <c r="Z18" s="163" t="s">
        <v>2800</v>
      </c>
      <c r="AA18" s="163" t="s">
        <v>2801</v>
      </c>
      <c r="AB18" s="163" t="s">
        <v>2817</v>
      </c>
      <c r="AC18" s="163" t="s">
        <v>2818</v>
      </c>
      <c r="AD18" s="163" t="s">
        <v>2819</v>
      </c>
      <c r="AE18" s="163" t="s">
        <v>2821</v>
      </c>
      <c r="AF18" s="163" t="s">
        <v>2822</v>
      </c>
      <c r="AG18" s="163" t="s">
        <v>2823</v>
      </c>
      <c r="AH18" s="163" t="s">
        <v>2824</v>
      </c>
      <c r="AI18" s="163" t="s">
        <v>2825</v>
      </c>
      <c r="AJ18" s="163" t="s">
        <v>2826</v>
      </c>
      <c r="AK18" s="163" t="s">
        <v>2827</v>
      </c>
      <c r="AL18" s="163" t="s">
        <v>2831</v>
      </c>
      <c r="AM18" s="163" t="s">
        <v>2832</v>
      </c>
      <c r="AN18" s="163" t="s">
        <v>2833</v>
      </c>
      <c r="AO18" s="163" t="s">
        <v>2834</v>
      </c>
      <c r="AP18" s="163" t="s">
        <v>3011</v>
      </c>
      <c r="AQ18" s="163" t="s">
        <v>3012</v>
      </c>
      <c r="AR18" s="163" t="s">
        <v>3013</v>
      </c>
      <c r="AS18" s="2953" t="s">
        <v>3014</v>
      </c>
      <c r="AT18" s="2953" t="s">
        <v>3015</v>
      </c>
      <c r="AU18" s="163" t="s">
        <v>3206</v>
      </c>
      <c r="AV18" s="163" t="s">
        <v>3207</v>
      </c>
      <c r="AW18" s="163" t="s">
        <v>3272</v>
      </c>
      <c r="AX18" s="163" t="s">
        <v>3273</v>
      </c>
      <c r="AY18" s="163" t="s">
        <v>3419</v>
      </c>
      <c r="AZ18" s="1058"/>
      <c r="BA18" s="1058"/>
      <c r="BB18" s="1058"/>
      <c r="BC18" s="1058"/>
      <c r="BD18" s="1058"/>
      <c r="BE18" s="1058"/>
      <c r="BF18" s="1058"/>
      <c r="BG18" s="1058"/>
      <c r="BH18" s="1058"/>
      <c r="BI18" s="94"/>
      <c r="BJ18" s="94"/>
      <c r="BK18" s="94"/>
      <c r="BL18" s="94"/>
      <c r="BM18" s="94"/>
      <c r="CA18" s="1164" t="e">
        <f t="shared" si="9"/>
        <v>#REF!</v>
      </c>
      <c r="CB18" s="1164" t="str">
        <f t="shared" si="10"/>
        <v/>
      </c>
      <c r="CC18" s="1164" t="str">
        <f t="shared" si="11"/>
        <v xml:space="preserve">* El número de Beneficiarios NO DEBE ser mayor que el Total. </v>
      </c>
      <c r="CD18" s="1164" t="e">
        <f t="shared" si="12"/>
        <v>#VALUE!</v>
      </c>
      <c r="CE18" s="1164" t="e">
        <f t="shared" si="13"/>
        <v>#VALUE!</v>
      </c>
      <c r="CF18" s="1164"/>
      <c r="CG18" s="1163" t="e">
        <f>IF(C18&lt;(#REF!+V18),1,0)</f>
        <v>#REF!</v>
      </c>
      <c r="CH18" s="1163">
        <f t="shared" si="0"/>
        <v>0</v>
      </c>
      <c r="CI18" s="1163">
        <f t="shared" si="1"/>
        <v>1</v>
      </c>
      <c r="CJ18" s="1163" t="e">
        <f t="shared" si="2"/>
        <v>#VALUE!</v>
      </c>
      <c r="CK18" s="1163" t="e">
        <f t="shared" si="3"/>
        <v>#VALUE!</v>
      </c>
      <c r="CL18" s="80"/>
      <c r="CM18" s="80"/>
      <c r="CN18" s="80"/>
      <c r="CO18" s="80"/>
      <c r="CP18" s="80"/>
      <c r="CQ18" s="80"/>
      <c r="CR18" s="80"/>
      <c r="CS18" s="80"/>
      <c r="CT18" s="80"/>
      <c r="CU18" s="80"/>
      <c r="CV18" s="80"/>
      <c r="CW18" s="80"/>
      <c r="CX18" s="80"/>
      <c r="CY18" s="80"/>
      <c r="CZ18" s="80"/>
      <c r="DA18" s="80"/>
    </row>
    <row r="19" spans="1:105" ht="16.350000000000001" customHeight="1" x14ac:dyDescent="0.2">
      <c r="A19" s="2948" t="s">
        <v>3367</v>
      </c>
      <c r="B19" s="879" t="s">
        <v>992</v>
      </c>
      <c r="C19" s="2636" t="s">
        <v>2777</v>
      </c>
      <c r="D19" s="141" t="s">
        <v>2778</v>
      </c>
      <c r="E19" s="180" t="s">
        <v>2779</v>
      </c>
      <c r="F19" s="142" t="s">
        <v>2780</v>
      </c>
      <c r="G19" s="142" t="s">
        <v>2781</v>
      </c>
      <c r="H19" s="142" t="s">
        <v>2782</v>
      </c>
      <c r="I19" s="142" t="s">
        <v>2783</v>
      </c>
      <c r="J19" s="142" t="s">
        <v>2784</v>
      </c>
      <c r="K19" s="142" t="s">
        <v>2785</v>
      </c>
      <c r="L19" s="142" t="s">
        <v>2786</v>
      </c>
      <c r="M19" s="2396" t="s">
        <v>2787</v>
      </c>
      <c r="N19" s="2396" t="s">
        <v>2788</v>
      </c>
      <c r="O19" s="2396" t="s">
        <v>2789</v>
      </c>
      <c r="P19" s="2396" t="s">
        <v>2790</v>
      </c>
      <c r="Q19" s="2396" t="s">
        <v>2791</v>
      </c>
      <c r="R19" s="2396" t="s">
        <v>2792</v>
      </c>
      <c r="S19" s="2396" t="s">
        <v>2793</v>
      </c>
      <c r="T19" s="163" t="s">
        <v>2794</v>
      </c>
      <c r="U19" s="141" t="s">
        <v>2795</v>
      </c>
      <c r="V19" s="163" t="s">
        <v>2796</v>
      </c>
      <c r="W19" s="163" t="s">
        <v>2797</v>
      </c>
      <c r="X19" s="163" t="s">
        <v>2798</v>
      </c>
      <c r="Y19" s="163" t="s">
        <v>2799</v>
      </c>
      <c r="Z19" s="163" t="s">
        <v>2800</v>
      </c>
      <c r="AA19" s="163" t="s">
        <v>2801</v>
      </c>
      <c r="AB19" s="163" t="s">
        <v>2817</v>
      </c>
      <c r="AC19" s="163" t="s">
        <v>2818</v>
      </c>
      <c r="AD19" s="163" t="s">
        <v>2819</v>
      </c>
      <c r="AE19" s="163" t="s">
        <v>2821</v>
      </c>
      <c r="AF19" s="163" t="s">
        <v>2822</v>
      </c>
      <c r="AG19" s="163" t="s">
        <v>2823</v>
      </c>
      <c r="AH19" s="163" t="s">
        <v>2824</v>
      </c>
      <c r="AI19" s="163" t="s">
        <v>2825</v>
      </c>
      <c r="AJ19" s="163" t="s">
        <v>2826</v>
      </c>
      <c r="AK19" s="163" t="s">
        <v>2827</v>
      </c>
      <c r="AL19" s="163" t="s">
        <v>2831</v>
      </c>
      <c r="AM19" s="163" t="s">
        <v>2832</v>
      </c>
      <c r="AN19" s="163" t="s">
        <v>2833</v>
      </c>
      <c r="AO19" s="163" t="s">
        <v>2834</v>
      </c>
      <c r="AP19" s="163" t="s">
        <v>3011</v>
      </c>
      <c r="AQ19" s="163" t="s">
        <v>3012</v>
      </c>
      <c r="AR19" s="163" t="s">
        <v>3013</v>
      </c>
      <c r="AS19" s="2953" t="s">
        <v>3014</v>
      </c>
      <c r="AT19" s="2953" t="s">
        <v>3015</v>
      </c>
      <c r="AU19" s="163" t="s">
        <v>3206</v>
      </c>
      <c r="AV19" s="163" t="s">
        <v>3207</v>
      </c>
      <c r="AW19" s="163" t="s">
        <v>3272</v>
      </c>
      <c r="AX19" s="163" t="s">
        <v>3273</v>
      </c>
      <c r="AY19" s="163" t="s">
        <v>3419</v>
      </c>
      <c r="AZ19" s="1058"/>
      <c r="BA19" s="1058"/>
      <c r="BB19" s="1058"/>
      <c r="BC19" s="1058"/>
      <c r="BD19" s="1058"/>
      <c r="BE19" s="1058"/>
      <c r="BF19" s="1058"/>
      <c r="BG19" s="1058"/>
      <c r="BH19" s="1058"/>
      <c r="BI19" s="94"/>
      <c r="BJ19" s="94"/>
      <c r="BK19" s="94"/>
      <c r="BL19" s="94"/>
      <c r="BM19" s="94"/>
      <c r="CA19" s="1164" t="e">
        <f t="shared" si="9"/>
        <v>#REF!</v>
      </c>
      <c r="CB19" s="1164" t="str">
        <f t="shared" si="10"/>
        <v/>
      </c>
      <c r="CC19" s="1164" t="str">
        <f t="shared" si="11"/>
        <v xml:space="preserve">* El número de Beneficiarios NO DEBE ser mayor que el Total. </v>
      </c>
      <c r="CD19" s="1164" t="e">
        <f t="shared" si="12"/>
        <v>#VALUE!</v>
      </c>
      <c r="CE19" s="1164" t="e">
        <f t="shared" si="13"/>
        <v>#VALUE!</v>
      </c>
      <c r="CF19" s="1164"/>
      <c r="CG19" s="1163" t="e">
        <f>IF(C19&lt;(#REF!+V19),1,0)</f>
        <v>#REF!</v>
      </c>
      <c r="CH19" s="1163">
        <f t="shared" si="0"/>
        <v>0</v>
      </c>
      <c r="CI19" s="1163">
        <f t="shared" si="1"/>
        <v>1</v>
      </c>
      <c r="CJ19" s="1163" t="e">
        <f t="shared" si="2"/>
        <v>#VALUE!</v>
      </c>
      <c r="CK19" s="1163" t="e">
        <f t="shared" si="3"/>
        <v>#VALUE!</v>
      </c>
      <c r="CL19" s="80"/>
      <c r="CM19" s="80"/>
      <c r="CN19" s="80"/>
      <c r="CO19" s="80"/>
      <c r="CP19" s="80"/>
      <c r="CQ19" s="80"/>
      <c r="CR19" s="80"/>
      <c r="CS19" s="80"/>
      <c r="CT19" s="80"/>
      <c r="CU19" s="80"/>
      <c r="CV19" s="80"/>
      <c r="CW19" s="80"/>
      <c r="CX19" s="80"/>
      <c r="CY19" s="80"/>
      <c r="CZ19" s="80"/>
      <c r="DA19" s="80"/>
    </row>
    <row r="20" spans="1:105" ht="16.350000000000001" customHeight="1" x14ac:dyDescent="0.2">
      <c r="A20" s="2948" t="s">
        <v>3368</v>
      </c>
      <c r="B20" s="879" t="s">
        <v>993</v>
      </c>
      <c r="C20" s="2636" t="s">
        <v>2777</v>
      </c>
      <c r="D20" s="141" t="s">
        <v>2778</v>
      </c>
      <c r="E20" s="180" t="s">
        <v>2779</v>
      </c>
      <c r="F20" s="142" t="s">
        <v>2780</v>
      </c>
      <c r="G20" s="142" t="s">
        <v>2781</v>
      </c>
      <c r="H20" s="142" t="s">
        <v>2782</v>
      </c>
      <c r="I20" s="142" t="s">
        <v>2783</v>
      </c>
      <c r="J20" s="142" t="s">
        <v>2784</v>
      </c>
      <c r="K20" s="142" t="s">
        <v>2785</v>
      </c>
      <c r="L20" s="142" t="s">
        <v>2786</v>
      </c>
      <c r="M20" s="2396" t="s">
        <v>2787</v>
      </c>
      <c r="N20" s="2396" t="s">
        <v>2788</v>
      </c>
      <c r="O20" s="2396" t="s">
        <v>2789</v>
      </c>
      <c r="P20" s="2396" t="s">
        <v>2790</v>
      </c>
      <c r="Q20" s="2396" t="s">
        <v>2791</v>
      </c>
      <c r="R20" s="2396" t="s">
        <v>2792</v>
      </c>
      <c r="S20" s="2396" t="s">
        <v>2793</v>
      </c>
      <c r="T20" s="163" t="s">
        <v>2794</v>
      </c>
      <c r="U20" s="141" t="s">
        <v>2795</v>
      </c>
      <c r="V20" s="163" t="s">
        <v>2796</v>
      </c>
      <c r="W20" s="163" t="s">
        <v>2797</v>
      </c>
      <c r="X20" s="163" t="s">
        <v>2798</v>
      </c>
      <c r="Y20" s="163" t="s">
        <v>2799</v>
      </c>
      <c r="Z20" s="163" t="s">
        <v>2800</v>
      </c>
      <c r="AA20" s="163" t="s">
        <v>2801</v>
      </c>
      <c r="AB20" s="163" t="s">
        <v>2817</v>
      </c>
      <c r="AC20" s="163" t="s">
        <v>2818</v>
      </c>
      <c r="AD20" s="163" t="s">
        <v>2819</v>
      </c>
      <c r="AE20" s="163" t="s">
        <v>2821</v>
      </c>
      <c r="AF20" s="163" t="s">
        <v>2822</v>
      </c>
      <c r="AG20" s="163" t="s">
        <v>2823</v>
      </c>
      <c r="AH20" s="163" t="s">
        <v>2824</v>
      </c>
      <c r="AI20" s="163" t="s">
        <v>2825</v>
      </c>
      <c r="AJ20" s="163" t="s">
        <v>2826</v>
      </c>
      <c r="AK20" s="163" t="s">
        <v>2827</v>
      </c>
      <c r="AL20" s="163" t="s">
        <v>2831</v>
      </c>
      <c r="AM20" s="163" t="s">
        <v>2832</v>
      </c>
      <c r="AN20" s="163" t="s">
        <v>2833</v>
      </c>
      <c r="AO20" s="163" t="s">
        <v>2834</v>
      </c>
      <c r="AP20" s="163" t="s">
        <v>3011</v>
      </c>
      <c r="AQ20" s="163" t="s">
        <v>3012</v>
      </c>
      <c r="AR20" s="163" t="s">
        <v>3013</v>
      </c>
      <c r="AS20" s="2953" t="s">
        <v>3014</v>
      </c>
      <c r="AT20" s="2953" t="s">
        <v>3015</v>
      </c>
      <c r="AU20" s="163" t="s">
        <v>3206</v>
      </c>
      <c r="AV20" s="163" t="s">
        <v>3207</v>
      </c>
      <c r="AW20" s="163" t="s">
        <v>3272</v>
      </c>
      <c r="AX20" s="163" t="s">
        <v>3273</v>
      </c>
      <c r="AY20" s="163" t="s">
        <v>3419</v>
      </c>
      <c r="AZ20" s="1058"/>
      <c r="BA20" s="1058"/>
      <c r="BB20" s="1058"/>
      <c r="BC20" s="1058"/>
      <c r="BD20" s="1058"/>
      <c r="BE20" s="1058"/>
      <c r="BF20" s="1058"/>
      <c r="BG20" s="1058"/>
      <c r="BH20" s="1058"/>
      <c r="BI20" s="94"/>
      <c r="BJ20" s="94"/>
      <c r="BK20" s="94"/>
      <c r="BL20" s="94"/>
      <c r="BM20" s="94"/>
      <c r="CA20" s="1164" t="e">
        <f t="shared" si="9"/>
        <v>#REF!</v>
      </c>
      <c r="CB20" s="1164" t="str">
        <f t="shared" si="10"/>
        <v/>
      </c>
      <c r="CC20" s="1164" t="str">
        <f t="shared" si="11"/>
        <v xml:space="preserve">* El número de Beneficiarios NO DEBE ser mayor que el Total. </v>
      </c>
      <c r="CD20" s="1164" t="e">
        <f t="shared" si="12"/>
        <v>#VALUE!</v>
      </c>
      <c r="CE20" s="1164" t="e">
        <f t="shared" si="13"/>
        <v>#VALUE!</v>
      </c>
      <c r="CF20" s="1164"/>
      <c r="CG20" s="1163" t="e">
        <f>IF(C20&lt;(#REF!+V20),1,0)</f>
        <v>#REF!</v>
      </c>
      <c r="CH20" s="1163">
        <f t="shared" si="0"/>
        <v>0</v>
      </c>
      <c r="CI20" s="1163">
        <f t="shared" si="1"/>
        <v>1</v>
      </c>
      <c r="CJ20" s="1163" t="e">
        <f t="shared" si="2"/>
        <v>#VALUE!</v>
      </c>
      <c r="CK20" s="1163" t="e">
        <f t="shared" si="3"/>
        <v>#VALUE!</v>
      </c>
      <c r="CL20" s="80"/>
      <c r="CM20" s="80"/>
      <c r="CN20" s="80"/>
      <c r="CO20" s="80"/>
      <c r="CP20" s="80"/>
      <c r="CQ20" s="80"/>
      <c r="CR20" s="80"/>
      <c r="CS20" s="80"/>
      <c r="CT20" s="80"/>
      <c r="CU20" s="80"/>
      <c r="CV20" s="80"/>
      <c r="CW20" s="80"/>
      <c r="CX20" s="80"/>
      <c r="CY20" s="80"/>
      <c r="CZ20" s="80"/>
      <c r="DA20" s="80"/>
    </row>
    <row r="21" spans="1:105" ht="16.350000000000001" customHeight="1" x14ac:dyDescent="0.2">
      <c r="A21" s="2948" t="s">
        <v>3369</v>
      </c>
      <c r="B21" s="879" t="s">
        <v>994</v>
      </c>
      <c r="C21" s="2636" t="s">
        <v>2777</v>
      </c>
      <c r="D21" s="141" t="s">
        <v>2778</v>
      </c>
      <c r="E21" s="180" t="s">
        <v>2779</v>
      </c>
      <c r="F21" s="142" t="s">
        <v>2780</v>
      </c>
      <c r="G21" s="142" t="s">
        <v>2781</v>
      </c>
      <c r="H21" s="142" t="s">
        <v>2782</v>
      </c>
      <c r="I21" s="142" t="s">
        <v>2783</v>
      </c>
      <c r="J21" s="142" t="s">
        <v>2784</v>
      </c>
      <c r="K21" s="142" t="s">
        <v>2785</v>
      </c>
      <c r="L21" s="142" t="s">
        <v>2786</v>
      </c>
      <c r="M21" s="2396" t="s">
        <v>2787</v>
      </c>
      <c r="N21" s="2396" t="s">
        <v>2788</v>
      </c>
      <c r="O21" s="2396" t="s">
        <v>2789</v>
      </c>
      <c r="P21" s="2396" t="s">
        <v>2790</v>
      </c>
      <c r="Q21" s="2396" t="s">
        <v>2791</v>
      </c>
      <c r="R21" s="2396" t="s">
        <v>2792</v>
      </c>
      <c r="S21" s="2396" t="s">
        <v>2793</v>
      </c>
      <c r="T21" s="163" t="s">
        <v>2794</v>
      </c>
      <c r="U21" s="141" t="s">
        <v>2795</v>
      </c>
      <c r="V21" s="163" t="s">
        <v>2796</v>
      </c>
      <c r="W21" s="163" t="s">
        <v>2797</v>
      </c>
      <c r="X21" s="163" t="s">
        <v>2798</v>
      </c>
      <c r="Y21" s="163" t="s">
        <v>2799</v>
      </c>
      <c r="Z21" s="163" t="s">
        <v>2800</v>
      </c>
      <c r="AA21" s="163" t="s">
        <v>2801</v>
      </c>
      <c r="AB21" s="163" t="s">
        <v>2817</v>
      </c>
      <c r="AC21" s="163" t="s">
        <v>2818</v>
      </c>
      <c r="AD21" s="163" t="s">
        <v>2819</v>
      </c>
      <c r="AE21" s="163" t="s">
        <v>2821</v>
      </c>
      <c r="AF21" s="163" t="s">
        <v>2822</v>
      </c>
      <c r="AG21" s="163" t="s">
        <v>2823</v>
      </c>
      <c r="AH21" s="163" t="s">
        <v>2824</v>
      </c>
      <c r="AI21" s="163" t="s">
        <v>2825</v>
      </c>
      <c r="AJ21" s="163" t="s">
        <v>2826</v>
      </c>
      <c r="AK21" s="163" t="s">
        <v>2827</v>
      </c>
      <c r="AL21" s="163" t="s">
        <v>2831</v>
      </c>
      <c r="AM21" s="163" t="s">
        <v>2832</v>
      </c>
      <c r="AN21" s="163" t="s">
        <v>2833</v>
      </c>
      <c r="AO21" s="163" t="s">
        <v>2834</v>
      </c>
      <c r="AP21" s="163" t="s">
        <v>3011</v>
      </c>
      <c r="AQ21" s="163" t="s">
        <v>3012</v>
      </c>
      <c r="AR21" s="163" t="s">
        <v>3013</v>
      </c>
      <c r="AS21" s="2953" t="s">
        <v>3014</v>
      </c>
      <c r="AT21" s="2953" t="s">
        <v>3015</v>
      </c>
      <c r="AU21" s="163" t="s">
        <v>3206</v>
      </c>
      <c r="AV21" s="163" t="s">
        <v>3207</v>
      </c>
      <c r="AW21" s="163" t="s">
        <v>3272</v>
      </c>
      <c r="AX21" s="163" t="s">
        <v>3273</v>
      </c>
      <c r="AY21" s="163" t="s">
        <v>3419</v>
      </c>
      <c r="AZ21" s="1058"/>
      <c r="BA21" s="1058"/>
      <c r="BB21" s="1058"/>
      <c r="BC21" s="1058"/>
      <c r="BD21" s="1058"/>
      <c r="BE21" s="1058"/>
      <c r="BF21" s="1058"/>
      <c r="BG21" s="1058"/>
      <c r="BH21" s="1058"/>
      <c r="BI21" s="94"/>
      <c r="BJ21" s="94"/>
      <c r="BK21" s="94"/>
      <c r="BL21" s="94"/>
      <c r="BM21" s="94"/>
      <c r="CA21" s="1164" t="e">
        <f t="shared" si="9"/>
        <v>#REF!</v>
      </c>
      <c r="CB21" s="1164" t="str">
        <f t="shared" si="10"/>
        <v/>
      </c>
      <c r="CC21" s="1164" t="str">
        <f t="shared" si="11"/>
        <v xml:space="preserve">* El número de Beneficiarios NO DEBE ser mayor que el Total. </v>
      </c>
      <c r="CD21" s="1164" t="e">
        <f t="shared" si="12"/>
        <v>#VALUE!</v>
      </c>
      <c r="CE21" s="1164" t="e">
        <f t="shared" si="13"/>
        <v>#VALUE!</v>
      </c>
      <c r="CF21" s="1164"/>
      <c r="CG21" s="1163" t="e">
        <f>IF(C21&lt;(#REF!+V21),1,0)</f>
        <v>#REF!</v>
      </c>
      <c r="CH21" s="1163">
        <f t="shared" si="0"/>
        <v>0</v>
      </c>
      <c r="CI21" s="1163">
        <f t="shared" si="1"/>
        <v>1</v>
      </c>
      <c r="CJ21" s="1163" t="e">
        <f t="shared" si="2"/>
        <v>#VALUE!</v>
      </c>
      <c r="CK21" s="1163" t="e">
        <f t="shared" si="3"/>
        <v>#VALUE!</v>
      </c>
      <c r="CL21" s="80"/>
      <c r="CM21" s="80"/>
      <c r="CN21" s="80"/>
      <c r="CO21" s="80"/>
      <c r="CP21" s="80"/>
      <c r="CQ21" s="80"/>
      <c r="CR21" s="80"/>
      <c r="CS21" s="80"/>
      <c r="CT21" s="80"/>
      <c r="CU21" s="80"/>
      <c r="CV21" s="80"/>
      <c r="CW21" s="80"/>
      <c r="CX21" s="80"/>
      <c r="CY21" s="80"/>
      <c r="CZ21" s="80"/>
      <c r="DA21" s="80"/>
    </row>
    <row r="22" spans="1:105" ht="16.350000000000001" customHeight="1" x14ac:dyDescent="0.2">
      <c r="A22" s="2948" t="s">
        <v>3370</v>
      </c>
      <c r="B22" s="879" t="s">
        <v>995</v>
      </c>
      <c r="C22" s="2636" t="s">
        <v>2777</v>
      </c>
      <c r="D22" s="141" t="s">
        <v>2778</v>
      </c>
      <c r="E22" s="180" t="s">
        <v>2779</v>
      </c>
      <c r="F22" s="142" t="s">
        <v>2780</v>
      </c>
      <c r="G22" s="142" t="s">
        <v>2781</v>
      </c>
      <c r="H22" s="142" t="s">
        <v>2782</v>
      </c>
      <c r="I22" s="142" t="s">
        <v>2783</v>
      </c>
      <c r="J22" s="142" t="s">
        <v>2784</v>
      </c>
      <c r="K22" s="142" t="s">
        <v>2785</v>
      </c>
      <c r="L22" s="142" t="s">
        <v>2786</v>
      </c>
      <c r="M22" s="2396" t="s">
        <v>2787</v>
      </c>
      <c r="N22" s="2396" t="s">
        <v>2788</v>
      </c>
      <c r="O22" s="2396" t="s">
        <v>2789</v>
      </c>
      <c r="P22" s="2396" t="s">
        <v>2790</v>
      </c>
      <c r="Q22" s="2396" t="s">
        <v>2791</v>
      </c>
      <c r="R22" s="2396" t="s">
        <v>2792</v>
      </c>
      <c r="S22" s="2396" t="s">
        <v>2793</v>
      </c>
      <c r="T22" s="163" t="s">
        <v>2794</v>
      </c>
      <c r="U22" s="141" t="s">
        <v>2795</v>
      </c>
      <c r="V22" s="163" t="s">
        <v>2796</v>
      </c>
      <c r="W22" s="163" t="s">
        <v>2797</v>
      </c>
      <c r="X22" s="163" t="s">
        <v>2798</v>
      </c>
      <c r="Y22" s="163" t="s">
        <v>2799</v>
      </c>
      <c r="Z22" s="163" t="s">
        <v>2800</v>
      </c>
      <c r="AA22" s="163" t="s">
        <v>2801</v>
      </c>
      <c r="AB22" s="163" t="s">
        <v>2817</v>
      </c>
      <c r="AC22" s="163" t="s">
        <v>2818</v>
      </c>
      <c r="AD22" s="163" t="s">
        <v>2819</v>
      </c>
      <c r="AE22" s="163" t="s">
        <v>2821</v>
      </c>
      <c r="AF22" s="163" t="s">
        <v>2822</v>
      </c>
      <c r="AG22" s="163" t="s">
        <v>2823</v>
      </c>
      <c r="AH22" s="163" t="s">
        <v>2824</v>
      </c>
      <c r="AI22" s="163" t="s">
        <v>2825</v>
      </c>
      <c r="AJ22" s="163" t="s">
        <v>2826</v>
      </c>
      <c r="AK22" s="163" t="s">
        <v>2827</v>
      </c>
      <c r="AL22" s="163" t="s">
        <v>2831</v>
      </c>
      <c r="AM22" s="163" t="s">
        <v>2832</v>
      </c>
      <c r="AN22" s="163" t="s">
        <v>2833</v>
      </c>
      <c r="AO22" s="163" t="s">
        <v>2834</v>
      </c>
      <c r="AP22" s="163" t="s">
        <v>3011</v>
      </c>
      <c r="AQ22" s="163" t="s">
        <v>3012</v>
      </c>
      <c r="AR22" s="163" t="s">
        <v>3013</v>
      </c>
      <c r="AS22" s="2953" t="s">
        <v>3014</v>
      </c>
      <c r="AT22" s="2953" t="s">
        <v>3015</v>
      </c>
      <c r="AU22" s="163" t="s">
        <v>3206</v>
      </c>
      <c r="AV22" s="163" t="s">
        <v>3207</v>
      </c>
      <c r="AW22" s="163" t="s">
        <v>3272</v>
      </c>
      <c r="AX22" s="163" t="s">
        <v>3273</v>
      </c>
      <c r="AY22" s="163" t="s">
        <v>3419</v>
      </c>
      <c r="AZ22" s="1058"/>
      <c r="BA22" s="1058"/>
      <c r="BB22" s="1058"/>
      <c r="BC22" s="1058"/>
      <c r="BD22" s="1058"/>
      <c r="BE22" s="1058"/>
      <c r="BF22" s="1058"/>
      <c r="BG22" s="1058"/>
      <c r="BH22" s="1058"/>
      <c r="BI22" s="94"/>
      <c r="BJ22" s="94"/>
      <c r="BK22" s="94"/>
      <c r="BL22" s="94"/>
      <c r="BM22" s="94"/>
      <c r="CA22" s="1164" t="e">
        <f t="shared" si="9"/>
        <v>#REF!</v>
      </c>
      <c r="CB22" s="1164" t="str">
        <f t="shared" si="10"/>
        <v/>
      </c>
      <c r="CC22" s="1164" t="str">
        <f t="shared" si="11"/>
        <v xml:space="preserve">* El número de Beneficiarios NO DEBE ser mayor que el Total. </v>
      </c>
      <c r="CD22" s="1164" t="e">
        <f t="shared" si="12"/>
        <v>#VALUE!</v>
      </c>
      <c r="CE22" s="1164" t="e">
        <f t="shared" si="13"/>
        <v>#VALUE!</v>
      </c>
      <c r="CF22" s="1164"/>
      <c r="CG22" s="1163" t="e">
        <f>IF(C22&lt;(#REF!+V22),1,0)</f>
        <v>#REF!</v>
      </c>
      <c r="CH22" s="1163">
        <f t="shared" si="0"/>
        <v>0</v>
      </c>
      <c r="CI22" s="1163">
        <f t="shared" si="1"/>
        <v>1</v>
      </c>
      <c r="CJ22" s="1163" t="e">
        <f t="shared" si="2"/>
        <v>#VALUE!</v>
      </c>
      <c r="CK22" s="1163" t="e">
        <f t="shared" si="3"/>
        <v>#VALUE!</v>
      </c>
      <c r="CL22" s="80"/>
      <c r="CM22" s="80"/>
      <c r="CN22" s="80"/>
      <c r="CO22" s="80"/>
      <c r="CP22" s="80"/>
      <c r="CQ22" s="80"/>
      <c r="CR22" s="80"/>
      <c r="CS22" s="80"/>
      <c r="CT22" s="80"/>
      <c r="CU22" s="80"/>
      <c r="CV22" s="80"/>
      <c r="CW22" s="80"/>
      <c r="CX22" s="80"/>
      <c r="CY22" s="80"/>
      <c r="CZ22" s="80"/>
      <c r="DA22" s="80"/>
    </row>
    <row r="23" spans="1:105" ht="16.350000000000001" customHeight="1" x14ac:dyDescent="0.2">
      <c r="A23" s="2948" t="s">
        <v>3371</v>
      </c>
      <c r="B23" s="879" t="s">
        <v>996</v>
      </c>
      <c r="C23" s="2636" t="s">
        <v>2777</v>
      </c>
      <c r="D23" s="141" t="s">
        <v>2778</v>
      </c>
      <c r="E23" s="180" t="s">
        <v>2779</v>
      </c>
      <c r="F23" s="142" t="s">
        <v>2780</v>
      </c>
      <c r="G23" s="142" t="s">
        <v>2781</v>
      </c>
      <c r="H23" s="142" t="s">
        <v>2782</v>
      </c>
      <c r="I23" s="142" t="s">
        <v>2783</v>
      </c>
      <c r="J23" s="142" t="s">
        <v>2784</v>
      </c>
      <c r="K23" s="142" t="s">
        <v>2785</v>
      </c>
      <c r="L23" s="142" t="s">
        <v>2786</v>
      </c>
      <c r="M23" s="2396" t="s">
        <v>2787</v>
      </c>
      <c r="N23" s="2396" t="s">
        <v>2788</v>
      </c>
      <c r="O23" s="2396" t="s">
        <v>2789</v>
      </c>
      <c r="P23" s="2396" t="s">
        <v>2790</v>
      </c>
      <c r="Q23" s="2396" t="s">
        <v>2791</v>
      </c>
      <c r="R23" s="2396" t="s">
        <v>2792</v>
      </c>
      <c r="S23" s="2396" t="s">
        <v>2793</v>
      </c>
      <c r="T23" s="163" t="s">
        <v>2794</v>
      </c>
      <c r="U23" s="141" t="s">
        <v>2795</v>
      </c>
      <c r="V23" s="163" t="s">
        <v>2796</v>
      </c>
      <c r="W23" s="163" t="s">
        <v>2797</v>
      </c>
      <c r="X23" s="163" t="s">
        <v>2798</v>
      </c>
      <c r="Y23" s="163" t="s">
        <v>2799</v>
      </c>
      <c r="Z23" s="163" t="s">
        <v>2800</v>
      </c>
      <c r="AA23" s="163" t="s">
        <v>2801</v>
      </c>
      <c r="AB23" s="163" t="s">
        <v>2817</v>
      </c>
      <c r="AC23" s="163" t="s">
        <v>2818</v>
      </c>
      <c r="AD23" s="163" t="s">
        <v>2819</v>
      </c>
      <c r="AE23" s="163" t="s">
        <v>2821</v>
      </c>
      <c r="AF23" s="163" t="s">
        <v>2822</v>
      </c>
      <c r="AG23" s="163" t="s">
        <v>2823</v>
      </c>
      <c r="AH23" s="163" t="s">
        <v>2824</v>
      </c>
      <c r="AI23" s="163" t="s">
        <v>2825</v>
      </c>
      <c r="AJ23" s="163" t="s">
        <v>2826</v>
      </c>
      <c r="AK23" s="163" t="s">
        <v>2827</v>
      </c>
      <c r="AL23" s="163" t="s">
        <v>2831</v>
      </c>
      <c r="AM23" s="163" t="s">
        <v>2832</v>
      </c>
      <c r="AN23" s="163" t="s">
        <v>2833</v>
      </c>
      <c r="AO23" s="163" t="s">
        <v>2834</v>
      </c>
      <c r="AP23" s="163" t="s">
        <v>3011</v>
      </c>
      <c r="AQ23" s="163" t="s">
        <v>3012</v>
      </c>
      <c r="AR23" s="163" t="s">
        <v>3013</v>
      </c>
      <c r="AS23" s="2953" t="s">
        <v>3014</v>
      </c>
      <c r="AT23" s="2953" t="s">
        <v>3015</v>
      </c>
      <c r="AU23" s="163" t="s">
        <v>3206</v>
      </c>
      <c r="AV23" s="163" t="s">
        <v>3207</v>
      </c>
      <c r="AW23" s="163" t="s">
        <v>3272</v>
      </c>
      <c r="AX23" s="163" t="s">
        <v>3273</v>
      </c>
      <c r="AY23" s="163" t="s">
        <v>3419</v>
      </c>
      <c r="AZ23" s="1058"/>
      <c r="BA23" s="1058"/>
      <c r="BB23" s="1058"/>
      <c r="BC23" s="1058"/>
      <c r="BD23" s="1058"/>
      <c r="BE23" s="1058"/>
      <c r="BF23" s="1058"/>
      <c r="BG23" s="1058"/>
      <c r="BH23" s="1058"/>
      <c r="BI23" s="94"/>
      <c r="BJ23" s="94"/>
      <c r="BK23" s="94"/>
      <c r="BL23" s="94"/>
      <c r="BM23" s="94"/>
      <c r="CA23" s="1164" t="e">
        <f t="shared" si="9"/>
        <v>#REF!</v>
      </c>
      <c r="CB23" s="1164" t="str">
        <f t="shared" si="10"/>
        <v/>
      </c>
      <c r="CC23" s="1164" t="str">
        <f t="shared" si="11"/>
        <v xml:space="preserve">* El número de Beneficiarios NO DEBE ser mayor que el Total. </v>
      </c>
      <c r="CD23" s="1164" t="e">
        <f t="shared" si="12"/>
        <v>#VALUE!</v>
      </c>
      <c r="CE23" s="1164" t="e">
        <f t="shared" si="13"/>
        <v>#VALUE!</v>
      </c>
      <c r="CF23" s="1164"/>
      <c r="CG23" s="1163" t="e">
        <f>IF(C23&lt;(#REF!+V23),1,0)</f>
        <v>#REF!</v>
      </c>
      <c r="CH23" s="1163">
        <f t="shared" si="0"/>
        <v>0</v>
      </c>
      <c r="CI23" s="1163">
        <f t="shared" si="1"/>
        <v>1</v>
      </c>
      <c r="CJ23" s="1163" t="e">
        <f t="shared" si="2"/>
        <v>#VALUE!</v>
      </c>
      <c r="CK23" s="1163" t="e">
        <f t="shared" si="3"/>
        <v>#VALUE!</v>
      </c>
      <c r="CL23" s="80"/>
      <c r="CM23" s="80"/>
      <c r="CN23" s="80"/>
      <c r="CO23" s="80"/>
      <c r="CP23" s="80"/>
      <c r="CQ23" s="80"/>
      <c r="CR23" s="80"/>
      <c r="CS23" s="80"/>
      <c r="CT23" s="80"/>
      <c r="CU23" s="80"/>
      <c r="CV23" s="80"/>
      <c r="CW23" s="80"/>
      <c r="CX23" s="80"/>
      <c r="CY23" s="80"/>
      <c r="CZ23" s="80"/>
      <c r="DA23" s="80"/>
    </row>
    <row r="24" spans="1:105" ht="16.350000000000001" customHeight="1" x14ac:dyDescent="0.2">
      <c r="A24" s="2948" t="s">
        <v>3372</v>
      </c>
      <c r="B24" s="879" t="s">
        <v>1665</v>
      </c>
      <c r="C24" s="2636" t="s">
        <v>2777</v>
      </c>
      <c r="D24" s="141" t="s">
        <v>2778</v>
      </c>
      <c r="E24" s="180" t="s">
        <v>2779</v>
      </c>
      <c r="F24" s="142" t="s">
        <v>2780</v>
      </c>
      <c r="G24" s="142" t="s">
        <v>2781</v>
      </c>
      <c r="H24" s="142" t="s">
        <v>2782</v>
      </c>
      <c r="I24" s="142" t="s">
        <v>2783</v>
      </c>
      <c r="J24" s="142" t="s">
        <v>2784</v>
      </c>
      <c r="K24" s="142" t="s">
        <v>2785</v>
      </c>
      <c r="L24" s="142" t="s">
        <v>2786</v>
      </c>
      <c r="M24" s="2396" t="s">
        <v>2787</v>
      </c>
      <c r="N24" s="2396" t="s">
        <v>2788</v>
      </c>
      <c r="O24" s="2396" t="s">
        <v>2789</v>
      </c>
      <c r="P24" s="2396" t="s">
        <v>2790</v>
      </c>
      <c r="Q24" s="2396" t="s">
        <v>2791</v>
      </c>
      <c r="R24" s="2396" t="s">
        <v>2792</v>
      </c>
      <c r="S24" s="2396" t="s">
        <v>2793</v>
      </c>
      <c r="T24" s="163" t="s">
        <v>2794</v>
      </c>
      <c r="U24" s="141" t="s">
        <v>2795</v>
      </c>
      <c r="V24" s="163" t="s">
        <v>2796</v>
      </c>
      <c r="W24" s="163" t="s">
        <v>2797</v>
      </c>
      <c r="X24" s="163" t="s">
        <v>2798</v>
      </c>
      <c r="Y24" s="163" t="s">
        <v>2799</v>
      </c>
      <c r="Z24" s="163" t="s">
        <v>2800</v>
      </c>
      <c r="AA24" s="163" t="s">
        <v>2801</v>
      </c>
      <c r="AB24" s="163" t="s">
        <v>2817</v>
      </c>
      <c r="AC24" s="163" t="s">
        <v>2818</v>
      </c>
      <c r="AD24" s="163" t="s">
        <v>2819</v>
      </c>
      <c r="AE24" s="163" t="s">
        <v>2821</v>
      </c>
      <c r="AF24" s="163" t="s">
        <v>2822</v>
      </c>
      <c r="AG24" s="163" t="s">
        <v>2823</v>
      </c>
      <c r="AH24" s="163" t="s">
        <v>2824</v>
      </c>
      <c r="AI24" s="163" t="s">
        <v>2825</v>
      </c>
      <c r="AJ24" s="163" t="s">
        <v>2826</v>
      </c>
      <c r="AK24" s="163" t="s">
        <v>2827</v>
      </c>
      <c r="AL24" s="163" t="s">
        <v>2831</v>
      </c>
      <c r="AM24" s="163" t="s">
        <v>2832</v>
      </c>
      <c r="AN24" s="163" t="s">
        <v>2833</v>
      </c>
      <c r="AO24" s="163" t="s">
        <v>2834</v>
      </c>
      <c r="AP24" s="163" t="s">
        <v>3011</v>
      </c>
      <c r="AQ24" s="163" t="s">
        <v>3012</v>
      </c>
      <c r="AR24" s="163" t="s">
        <v>3013</v>
      </c>
      <c r="AS24" s="2953" t="s">
        <v>3014</v>
      </c>
      <c r="AT24" s="2953" t="s">
        <v>3015</v>
      </c>
      <c r="AU24" s="163" t="s">
        <v>3206</v>
      </c>
      <c r="AV24" s="163" t="s">
        <v>3207</v>
      </c>
      <c r="AW24" s="163" t="s">
        <v>3272</v>
      </c>
      <c r="AX24" s="163" t="s">
        <v>3273</v>
      </c>
      <c r="AY24" s="163" t="s">
        <v>3419</v>
      </c>
      <c r="AZ24" s="1058"/>
      <c r="BA24" s="1058"/>
      <c r="BB24" s="1058"/>
      <c r="BC24" s="1058"/>
      <c r="BD24" s="1058"/>
      <c r="BE24" s="1058"/>
      <c r="BF24" s="1058"/>
      <c r="BG24" s="1058"/>
      <c r="BH24" s="1058"/>
      <c r="BI24" s="94"/>
      <c r="BJ24" s="94"/>
      <c r="BK24" s="94"/>
      <c r="BL24" s="94"/>
      <c r="BM24" s="94"/>
      <c r="CA24" s="1164" t="e">
        <f t="shared" si="9"/>
        <v>#REF!</v>
      </c>
      <c r="CB24" s="1164" t="str">
        <f t="shared" si="10"/>
        <v/>
      </c>
      <c r="CC24" s="1164" t="str">
        <f t="shared" si="11"/>
        <v xml:space="preserve">* El número de Beneficiarios NO DEBE ser mayor que el Total. </v>
      </c>
      <c r="CD24" s="1164" t="e">
        <f t="shared" si="12"/>
        <v>#VALUE!</v>
      </c>
      <c r="CE24" s="1164" t="e">
        <f t="shared" si="13"/>
        <v>#VALUE!</v>
      </c>
      <c r="CF24" s="1164"/>
      <c r="CG24" s="1163" t="e">
        <f>IF(C24&lt;(#REF!+V24),1,0)</f>
        <v>#REF!</v>
      </c>
      <c r="CH24" s="1163">
        <f t="shared" si="0"/>
        <v>0</v>
      </c>
      <c r="CI24" s="1163">
        <f t="shared" si="1"/>
        <v>1</v>
      </c>
      <c r="CJ24" s="1163" t="e">
        <f t="shared" si="2"/>
        <v>#VALUE!</v>
      </c>
      <c r="CK24" s="1163" t="e">
        <f t="shared" si="3"/>
        <v>#VALUE!</v>
      </c>
      <c r="CL24" s="80"/>
      <c r="CM24" s="80"/>
      <c r="CN24" s="80"/>
      <c r="CO24" s="80"/>
      <c r="CP24" s="80"/>
      <c r="CQ24" s="80"/>
      <c r="CR24" s="80"/>
      <c r="CS24" s="80"/>
      <c r="CT24" s="80"/>
      <c r="CU24" s="80"/>
      <c r="CV24" s="80"/>
      <c r="CW24" s="80"/>
      <c r="CX24" s="80"/>
      <c r="CY24" s="80"/>
      <c r="CZ24" s="80"/>
      <c r="DA24" s="80"/>
    </row>
    <row r="25" spans="1:105" ht="16.350000000000001" customHeight="1" x14ac:dyDescent="0.2">
      <c r="A25" s="2948" t="s">
        <v>3373</v>
      </c>
      <c r="B25" s="879" t="s">
        <v>997</v>
      </c>
      <c r="C25" s="2636" t="s">
        <v>2777</v>
      </c>
      <c r="D25" s="141" t="s">
        <v>2778</v>
      </c>
      <c r="E25" s="180" t="s">
        <v>2779</v>
      </c>
      <c r="F25" s="142" t="s">
        <v>2780</v>
      </c>
      <c r="G25" s="142" t="s">
        <v>2781</v>
      </c>
      <c r="H25" s="142" t="s">
        <v>2782</v>
      </c>
      <c r="I25" s="142" t="s">
        <v>2783</v>
      </c>
      <c r="J25" s="142" t="s">
        <v>2784</v>
      </c>
      <c r="K25" s="142" t="s">
        <v>2785</v>
      </c>
      <c r="L25" s="142" t="s">
        <v>2786</v>
      </c>
      <c r="M25" s="2396" t="s">
        <v>2787</v>
      </c>
      <c r="N25" s="2396" t="s">
        <v>2788</v>
      </c>
      <c r="O25" s="2396" t="s">
        <v>2789</v>
      </c>
      <c r="P25" s="2396" t="s">
        <v>2790</v>
      </c>
      <c r="Q25" s="2396" t="s">
        <v>2791</v>
      </c>
      <c r="R25" s="2396" t="s">
        <v>2792</v>
      </c>
      <c r="S25" s="2396" t="s">
        <v>2793</v>
      </c>
      <c r="T25" s="163" t="s">
        <v>2794</v>
      </c>
      <c r="U25" s="141" t="s">
        <v>2795</v>
      </c>
      <c r="V25" s="163" t="s">
        <v>2796</v>
      </c>
      <c r="W25" s="163" t="s">
        <v>2797</v>
      </c>
      <c r="X25" s="163" t="s">
        <v>2798</v>
      </c>
      <c r="Y25" s="163" t="s">
        <v>2799</v>
      </c>
      <c r="Z25" s="163" t="s">
        <v>2800</v>
      </c>
      <c r="AA25" s="163" t="s">
        <v>2801</v>
      </c>
      <c r="AB25" s="163" t="s">
        <v>2817</v>
      </c>
      <c r="AC25" s="163" t="s">
        <v>2818</v>
      </c>
      <c r="AD25" s="163" t="s">
        <v>2819</v>
      </c>
      <c r="AE25" s="163" t="s">
        <v>2821</v>
      </c>
      <c r="AF25" s="163" t="s">
        <v>2822</v>
      </c>
      <c r="AG25" s="163" t="s">
        <v>2823</v>
      </c>
      <c r="AH25" s="163" t="s">
        <v>2824</v>
      </c>
      <c r="AI25" s="163" t="s">
        <v>2825</v>
      </c>
      <c r="AJ25" s="163" t="s">
        <v>2826</v>
      </c>
      <c r="AK25" s="163" t="s">
        <v>2827</v>
      </c>
      <c r="AL25" s="163" t="s">
        <v>2831</v>
      </c>
      <c r="AM25" s="163" t="s">
        <v>2832</v>
      </c>
      <c r="AN25" s="163" t="s">
        <v>2833</v>
      </c>
      <c r="AO25" s="163" t="s">
        <v>2834</v>
      </c>
      <c r="AP25" s="163" t="s">
        <v>3011</v>
      </c>
      <c r="AQ25" s="163" t="s">
        <v>3012</v>
      </c>
      <c r="AR25" s="163" t="s">
        <v>3013</v>
      </c>
      <c r="AS25" s="2953" t="s">
        <v>3014</v>
      </c>
      <c r="AT25" s="2953" t="s">
        <v>3015</v>
      </c>
      <c r="AU25" s="163" t="s">
        <v>3206</v>
      </c>
      <c r="AV25" s="163" t="s">
        <v>3207</v>
      </c>
      <c r="AW25" s="163" t="s">
        <v>3272</v>
      </c>
      <c r="AX25" s="163" t="s">
        <v>3273</v>
      </c>
      <c r="AY25" s="163" t="s">
        <v>3419</v>
      </c>
      <c r="AZ25" s="1058"/>
      <c r="BA25" s="1058"/>
      <c r="BB25" s="1058"/>
      <c r="BC25" s="1058"/>
      <c r="BD25" s="1058"/>
      <c r="BE25" s="1058"/>
      <c r="BF25" s="1058"/>
      <c r="BG25" s="1058"/>
      <c r="BH25" s="1058"/>
      <c r="BI25" s="94"/>
      <c r="BJ25" s="94"/>
      <c r="BK25" s="94"/>
      <c r="BL25" s="94"/>
      <c r="BM25" s="94"/>
      <c r="CA25" s="1164" t="e">
        <f t="shared" si="9"/>
        <v>#REF!</v>
      </c>
      <c r="CB25" s="1164" t="str">
        <f t="shared" si="10"/>
        <v/>
      </c>
      <c r="CC25" s="1164" t="str">
        <f t="shared" si="11"/>
        <v xml:space="preserve">* El número de Beneficiarios NO DEBE ser mayor que el Total. </v>
      </c>
      <c r="CD25" s="1164" t="e">
        <f t="shared" si="12"/>
        <v>#VALUE!</v>
      </c>
      <c r="CE25" s="1164" t="e">
        <f t="shared" si="13"/>
        <v>#VALUE!</v>
      </c>
      <c r="CF25" s="1164"/>
      <c r="CG25" s="1163" t="e">
        <f>IF(C25&lt;(#REF!+V25),1,0)</f>
        <v>#REF!</v>
      </c>
      <c r="CH25" s="1163">
        <f t="shared" si="0"/>
        <v>0</v>
      </c>
      <c r="CI25" s="1163">
        <f t="shared" si="1"/>
        <v>1</v>
      </c>
      <c r="CJ25" s="1163" t="e">
        <f t="shared" si="2"/>
        <v>#VALUE!</v>
      </c>
      <c r="CK25" s="1163" t="e">
        <f t="shared" si="3"/>
        <v>#VALUE!</v>
      </c>
      <c r="CL25" s="80"/>
      <c r="CM25" s="80"/>
      <c r="CN25" s="80"/>
      <c r="CO25" s="80"/>
      <c r="CP25" s="80"/>
      <c r="CQ25" s="80"/>
      <c r="CR25" s="80"/>
      <c r="CS25" s="80"/>
      <c r="CT25" s="80"/>
      <c r="CU25" s="80"/>
      <c r="CV25" s="80"/>
      <c r="CW25" s="80"/>
      <c r="CX25" s="80"/>
      <c r="CY25" s="80"/>
      <c r="CZ25" s="80"/>
      <c r="DA25" s="80"/>
    </row>
    <row r="26" spans="1:105" ht="16.350000000000001" customHeight="1" x14ac:dyDescent="0.2">
      <c r="A26" s="2948" t="s">
        <v>3374</v>
      </c>
      <c r="B26" s="879" t="s">
        <v>998</v>
      </c>
      <c r="C26" s="2636" t="s">
        <v>2777</v>
      </c>
      <c r="D26" s="141" t="s">
        <v>2778</v>
      </c>
      <c r="E26" s="180" t="s">
        <v>2779</v>
      </c>
      <c r="F26" s="142" t="s">
        <v>2780</v>
      </c>
      <c r="G26" s="142" t="s">
        <v>2781</v>
      </c>
      <c r="H26" s="142" t="s">
        <v>2782</v>
      </c>
      <c r="I26" s="142" t="s">
        <v>2783</v>
      </c>
      <c r="J26" s="142" t="s">
        <v>2784</v>
      </c>
      <c r="K26" s="142" t="s">
        <v>2785</v>
      </c>
      <c r="L26" s="142" t="s">
        <v>2786</v>
      </c>
      <c r="M26" s="2396" t="s">
        <v>2787</v>
      </c>
      <c r="N26" s="2396" t="s">
        <v>2788</v>
      </c>
      <c r="O26" s="2396" t="s">
        <v>2789</v>
      </c>
      <c r="P26" s="2396" t="s">
        <v>2790</v>
      </c>
      <c r="Q26" s="2396" t="s">
        <v>2791</v>
      </c>
      <c r="R26" s="2396" t="s">
        <v>2792</v>
      </c>
      <c r="S26" s="2396" t="s">
        <v>2793</v>
      </c>
      <c r="T26" s="163" t="s">
        <v>2794</v>
      </c>
      <c r="U26" s="141" t="s">
        <v>2795</v>
      </c>
      <c r="V26" s="163" t="s">
        <v>2796</v>
      </c>
      <c r="W26" s="163" t="s">
        <v>2797</v>
      </c>
      <c r="X26" s="163" t="s">
        <v>2798</v>
      </c>
      <c r="Y26" s="163" t="s">
        <v>2799</v>
      </c>
      <c r="Z26" s="163" t="s">
        <v>2800</v>
      </c>
      <c r="AA26" s="163" t="s">
        <v>2801</v>
      </c>
      <c r="AB26" s="163" t="s">
        <v>2817</v>
      </c>
      <c r="AC26" s="163" t="s">
        <v>2818</v>
      </c>
      <c r="AD26" s="163" t="s">
        <v>2819</v>
      </c>
      <c r="AE26" s="163" t="s">
        <v>2821</v>
      </c>
      <c r="AF26" s="163" t="s">
        <v>2822</v>
      </c>
      <c r="AG26" s="163" t="s">
        <v>2823</v>
      </c>
      <c r="AH26" s="163" t="s">
        <v>2824</v>
      </c>
      <c r="AI26" s="163" t="s">
        <v>2825</v>
      </c>
      <c r="AJ26" s="163" t="s">
        <v>2826</v>
      </c>
      <c r="AK26" s="163" t="s">
        <v>2827</v>
      </c>
      <c r="AL26" s="163" t="s">
        <v>2831</v>
      </c>
      <c r="AM26" s="163" t="s">
        <v>2832</v>
      </c>
      <c r="AN26" s="163" t="s">
        <v>2833</v>
      </c>
      <c r="AO26" s="163" t="s">
        <v>2834</v>
      </c>
      <c r="AP26" s="163" t="s">
        <v>3011</v>
      </c>
      <c r="AQ26" s="163" t="s">
        <v>3012</v>
      </c>
      <c r="AR26" s="163" t="s">
        <v>3013</v>
      </c>
      <c r="AS26" s="2953" t="s">
        <v>3014</v>
      </c>
      <c r="AT26" s="2953" t="s">
        <v>3015</v>
      </c>
      <c r="AU26" s="163" t="s">
        <v>3206</v>
      </c>
      <c r="AV26" s="163" t="s">
        <v>3207</v>
      </c>
      <c r="AW26" s="163" t="s">
        <v>3272</v>
      </c>
      <c r="AX26" s="163" t="s">
        <v>3273</v>
      </c>
      <c r="AY26" s="163" t="s">
        <v>3419</v>
      </c>
      <c r="AZ26" s="1058"/>
      <c r="BA26" s="1058"/>
      <c r="BB26" s="1058"/>
      <c r="BC26" s="1058"/>
      <c r="BD26" s="1058"/>
      <c r="BE26" s="1058"/>
      <c r="BF26" s="1058"/>
      <c r="BG26" s="1058"/>
      <c r="BH26" s="1058"/>
      <c r="BI26" s="94"/>
      <c r="BJ26" s="94"/>
      <c r="BK26" s="94"/>
      <c r="BL26" s="94"/>
      <c r="BM26" s="94"/>
      <c r="CA26" s="1164" t="e">
        <f t="shared" si="9"/>
        <v>#REF!</v>
      </c>
      <c r="CB26" s="1164" t="str">
        <f t="shared" si="10"/>
        <v/>
      </c>
      <c r="CC26" s="1164" t="str">
        <f t="shared" si="11"/>
        <v xml:space="preserve">* El número de Beneficiarios NO DEBE ser mayor que el Total. </v>
      </c>
      <c r="CD26" s="1164" t="e">
        <f t="shared" si="12"/>
        <v>#VALUE!</v>
      </c>
      <c r="CE26" s="1164" t="e">
        <f t="shared" si="13"/>
        <v>#VALUE!</v>
      </c>
      <c r="CF26" s="1164"/>
      <c r="CG26" s="1163" t="e">
        <f>IF(C26&lt;(#REF!+V26),1,0)</f>
        <v>#REF!</v>
      </c>
      <c r="CH26" s="1163">
        <f t="shared" si="0"/>
        <v>0</v>
      </c>
      <c r="CI26" s="1163">
        <f t="shared" si="1"/>
        <v>1</v>
      </c>
      <c r="CJ26" s="1163" t="e">
        <f t="shared" si="2"/>
        <v>#VALUE!</v>
      </c>
      <c r="CK26" s="1163" t="e">
        <f t="shared" si="3"/>
        <v>#VALUE!</v>
      </c>
      <c r="CL26" s="80"/>
      <c r="CM26" s="80"/>
      <c r="CN26" s="80"/>
      <c r="CO26" s="80"/>
      <c r="CP26" s="80"/>
      <c r="CQ26" s="80"/>
      <c r="CR26" s="80"/>
      <c r="CS26" s="80"/>
      <c r="CT26" s="80"/>
      <c r="CU26" s="80"/>
      <c r="CV26" s="80"/>
      <c r="CW26" s="80"/>
      <c r="CX26" s="80"/>
      <c r="CY26" s="80"/>
      <c r="CZ26" s="80"/>
      <c r="DA26" s="80"/>
    </row>
    <row r="27" spans="1:105" ht="16.350000000000001" customHeight="1" x14ac:dyDescent="0.2">
      <c r="A27" s="2948" t="s">
        <v>3375</v>
      </c>
      <c r="B27" s="879" t="s">
        <v>999</v>
      </c>
      <c r="C27" s="2636" t="s">
        <v>2777</v>
      </c>
      <c r="D27" s="141" t="s">
        <v>2778</v>
      </c>
      <c r="E27" s="180" t="s">
        <v>2779</v>
      </c>
      <c r="F27" s="142" t="s">
        <v>2780</v>
      </c>
      <c r="G27" s="142" t="s">
        <v>2781</v>
      </c>
      <c r="H27" s="142" t="s">
        <v>2782</v>
      </c>
      <c r="I27" s="142" t="s">
        <v>2783</v>
      </c>
      <c r="J27" s="142" t="s">
        <v>2784</v>
      </c>
      <c r="K27" s="142" t="s">
        <v>2785</v>
      </c>
      <c r="L27" s="142" t="s">
        <v>2786</v>
      </c>
      <c r="M27" s="2396" t="s">
        <v>2787</v>
      </c>
      <c r="N27" s="2396" t="s">
        <v>2788</v>
      </c>
      <c r="O27" s="2396" t="s">
        <v>2789</v>
      </c>
      <c r="P27" s="2396" t="s">
        <v>2790</v>
      </c>
      <c r="Q27" s="2396" t="s">
        <v>2791</v>
      </c>
      <c r="R27" s="2396" t="s">
        <v>2792</v>
      </c>
      <c r="S27" s="2396" t="s">
        <v>2793</v>
      </c>
      <c r="T27" s="163" t="s">
        <v>2794</v>
      </c>
      <c r="U27" s="141" t="s">
        <v>2795</v>
      </c>
      <c r="V27" s="163" t="s">
        <v>2796</v>
      </c>
      <c r="W27" s="163" t="s">
        <v>2797</v>
      </c>
      <c r="X27" s="163" t="s">
        <v>2798</v>
      </c>
      <c r="Y27" s="163" t="s">
        <v>2799</v>
      </c>
      <c r="Z27" s="163" t="s">
        <v>2800</v>
      </c>
      <c r="AA27" s="163" t="s">
        <v>2801</v>
      </c>
      <c r="AB27" s="163" t="s">
        <v>2817</v>
      </c>
      <c r="AC27" s="163" t="s">
        <v>2818</v>
      </c>
      <c r="AD27" s="163" t="s">
        <v>2819</v>
      </c>
      <c r="AE27" s="163" t="s">
        <v>2821</v>
      </c>
      <c r="AF27" s="163" t="s">
        <v>2822</v>
      </c>
      <c r="AG27" s="163" t="s">
        <v>2823</v>
      </c>
      <c r="AH27" s="163" t="s">
        <v>2824</v>
      </c>
      <c r="AI27" s="163" t="s">
        <v>2825</v>
      </c>
      <c r="AJ27" s="163" t="s">
        <v>2826</v>
      </c>
      <c r="AK27" s="163" t="s">
        <v>2827</v>
      </c>
      <c r="AL27" s="163" t="s">
        <v>2831</v>
      </c>
      <c r="AM27" s="163" t="s">
        <v>2832</v>
      </c>
      <c r="AN27" s="163" t="s">
        <v>2833</v>
      </c>
      <c r="AO27" s="163" t="s">
        <v>2834</v>
      </c>
      <c r="AP27" s="163" t="s">
        <v>3011</v>
      </c>
      <c r="AQ27" s="163" t="s">
        <v>3012</v>
      </c>
      <c r="AR27" s="163" t="s">
        <v>3013</v>
      </c>
      <c r="AS27" s="2953" t="s">
        <v>3014</v>
      </c>
      <c r="AT27" s="2953" t="s">
        <v>3015</v>
      </c>
      <c r="AU27" s="163" t="s">
        <v>3206</v>
      </c>
      <c r="AV27" s="163" t="s">
        <v>3207</v>
      </c>
      <c r="AW27" s="163" t="s">
        <v>3272</v>
      </c>
      <c r="AX27" s="163" t="s">
        <v>3273</v>
      </c>
      <c r="AY27" s="163" t="s">
        <v>3419</v>
      </c>
      <c r="AZ27" s="1058"/>
      <c r="BA27" s="1058"/>
      <c r="BB27" s="1058"/>
      <c r="BC27" s="1058"/>
      <c r="BD27" s="1058"/>
      <c r="BE27" s="1058"/>
      <c r="BF27" s="1058"/>
      <c r="BG27" s="1058"/>
      <c r="BH27" s="1058"/>
      <c r="BI27" s="94"/>
      <c r="BJ27" s="94"/>
      <c r="BK27" s="94"/>
      <c r="BL27" s="94"/>
      <c r="BM27" s="94"/>
      <c r="CA27" s="1164" t="e">
        <f t="shared" si="9"/>
        <v>#REF!</v>
      </c>
      <c r="CB27" s="1164" t="str">
        <f t="shared" si="10"/>
        <v/>
      </c>
      <c r="CC27" s="1164" t="str">
        <f t="shared" si="11"/>
        <v xml:space="preserve">* El número de Beneficiarios NO DEBE ser mayor que el Total. </v>
      </c>
      <c r="CD27" s="1164" t="e">
        <f t="shared" si="12"/>
        <v>#VALUE!</v>
      </c>
      <c r="CE27" s="1164" t="e">
        <f t="shared" si="13"/>
        <v>#VALUE!</v>
      </c>
      <c r="CF27" s="1164"/>
      <c r="CG27" s="1163" t="e">
        <f>IF(C27&lt;(#REF!+V27),1,0)</f>
        <v>#REF!</v>
      </c>
      <c r="CH27" s="1163">
        <f t="shared" si="0"/>
        <v>0</v>
      </c>
      <c r="CI27" s="1163">
        <f t="shared" si="1"/>
        <v>1</v>
      </c>
      <c r="CJ27" s="1163" t="e">
        <f t="shared" si="2"/>
        <v>#VALUE!</v>
      </c>
      <c r="CK27" s="1163" t="e">
        <f t="shared" si="3"/>
        <v>#VALUE!</v>
      </c>
      <c r="CL27" s="80"/>
      <c r="CM27" s="80"/>
      <c r="CN27" s="80"/>
      <c r="CO27" s="80"/>
      <c r="CP27" s="80"/>
      <c r="CQ27" s="80"/>
      <c r="CR27" s="80"/>
      <c r="CS27" s="80"/>
      <c r="CT27" s="80"/>
      <c r="CU27" s="80"/>
      <c r="CV27" s="80"/>
      <c r="CW27" s="80"/>
      <c r="CX27" s="80"/>
      <c r="CY27" s="80"/>
      <c r="CZ27" s="80"/>
      <c r="DA27" s="80"/>
    </row>
    <row r="28" spans="1:105" ht="16.350000000000001" customHeight="1" x14ac:dyDescent="0.2">
      <c r="A28" s="2948" t="s">
        <v>3376</v>
      </c>
      <c r="B28" s="879" t="s">
        <v>1666</v>
      </c>
      <c r="C28" s="2636" t="s">
        <v>2777</v>
      </c>
      <c r="D28" s="141" t="s">
        <v>2778</v>
      </c>
      <c r="E28" s="180" t="s">
        <v>2779</v>
      </c>
      <c r="F28" s="142" t="s">
        <v>2780</v>
      </c>
      <c r="G28" s="142" t="s">
        <v>2781</v>
      </c>
      <c r="H28" s="142" t="s">
        <v>2782</v>
      </c>
      <c r="I28" s="142" t="s">
        <v>2783</v>
      </c>
      <c r="J28" s="142" t="s">
        <v>2784</v>
      </c>
      <c r="K28" s="142" t="s">
        <v>2785</v>
      </c>
      <c r="L28" s="142" t="s">
        <v>2786</v>
      </c>
      <c r="M28" s="2396" t="s">
        <v>2787</v>
      </c>
      <c r="N28" s="2396" t="s">
        <v>2788</v>
      </c>
      <c r="O28" s="2396" t="s">
        <v>2789</v>
      </c>
      <c r="P28" s="2396" t="s">
        <v>2790</v>
      </c>
      <c r="Q28" s="2396" t="s">
        <v>2791</v>
      </c>
      <c r="R28" s="2396" t="s">
        <v>2792</v>
      </c>
      <c r="S28" s="2396" t="s">
        <v>2793</v>
      </c>
      <c r="T28" s="163" t="s">
        <v>2794</v>
      </c>
      <c r="U28" s="141" t="s">
        <v>2795</v>
      </c>
      <c r="V28" s="163" t="s">
        <v>2796</v>
      </c>
      <c r="W28" s="163" t="s">
        <v>2797</v>
      </c>
      <c r="X28" s="163" t="s">
        <v>2798</v>
      </c>
      <c r="Y28" s="163" t="s">
        <v>2799</v>
      </c>
      <c r="Z28" s="163" t="s">
        <v>2800</v>
      </c>
      <c r="AA28" s="163" t="s">
        <v>2801</v>
      </c>
      <c r="AB28" s="163" t="s">
        <v>2817</v>
      </c>
      <c r="AC28" s="163" t="s">
        <v>2818</v>
      </c>
      <c r="AD28" s="163" t="s">
        <v>2819</v>
      </c>
      <c r="AE28" s="163" t="s">
        <v>2821</v>
      </c>
      <c r="AF28" s="163" t="s">
        <v>2822</v>
      </c>
      <c r="AG28" s="163" t="s">
        <v>2823</v>
      </c>
      <c r="AH28" s="163" t="s">
        <v>2824</v>
      </c>
      <c r="AI28" s="163" t="s">
        <v>2825</v>
      </c>
      <c r="AJ28" s="163" t="s">
        <v>2826</v>
      </c>
      <c r="AK28" s="163" t="s">
        <v>2827</v>
      </c>
      <c r="AL28" s="163" t="s">
        <v>2831</v>
      </c>
      <c r="AM28" s="163" t="s">
        <v>2832</v>
      </c>
      <c r="AN28" s="163" t="s">
        <v>2833</v>
      </c>
      <c r="AO28" s="163" t="s">
        <v>2834</v>
      </c>
      <c r="AP28" s="163" t="s">
        <v>3011</v>
      </c>
      <c r="AQ28" s="163" t="s">
        <v>3012</v>
      </c>
      <c r="AR28" s="163" t="s">
        <v>3013</v>
      </c>
      <c r="AS28" s="2953" t="s">
        <v>3014</v>
      </c>
      <c r="AT28" s="2953" t="s">
        <v>3015</v>
      </c>
      <c r="AU28" s="163" t="s">
        <v>3206</v>
      </c>
      <c r="AV28" s="163" t="s">
        <v>3207</v>
      </c>
      <c r="AW28" s="163" t="s">
        <v>3272</v>
      </c>
      <c r="AX28" s="163" t="s">
        <v>3273</v>
      </c>
      <c r="AY28" s="163" t="s">
        <v>3419</v>
      </c>
      <c r="AZ28" s="1058"/>
      <c r="BA28" s="1058"/>
      <c r="BB28" s="1058"/>
      <c r="BC28" s="1058"/>
      <c r="BD28" s="1058"/>
      <c r="BE28" s="1058"/>
      <c r="BF28" s="1058"/>
      <c r="BG28" s="1058"/>
      <c r="BH28" s="1058"/>
      <c r="BI28" s="94"/>
      <c r="BJ28" s="94"/>
      <c r="BK28" s="94"/>
      <c r="BL28" s="94"/>
      <c r="BM28" s="94"/>
      <c r="CA28" s="1164" t="e">
        <f t="shared" si="9"/>
        <v>#REF!</v>
      </c>
      <c r="CB28" s="1164" t="str">
        <f t="shared" si="10"/>
        <v/>
      </c>
      <c r="CC28" s="1164" t="str">
        <f t="shared" si="11"/>
        <v xml:space="preserve">* El número de Beneficiarios NO DEBE ser mayor que el Total. </v>
      </c>
      <c r="CD28" s="1164" t="e">
        <f t="shared" si="12"/>
        <v>#VALUE!</v>
      </c>
      <c r="CE28" s="1164" t="e">
        <f t="shared" si="13"/>
        <v>#VALUE!</v>
      </c>
      <c r="CF28" s="1164"/>
      <c r="CG28" s="1163" t="e">
        <f>IF(C28&lt;(#REF!+V28),1,0)</f>
        <v>#REF!</v>
      </c>
      <c r="CH28" s="1163">
        <f t="shared" si="0"/>
        <v>0</v>
      </c>
      <c r="CI28" s="1163">
        <f t="shared" si="1"/>
        <v>1</v>
      </c>
      <c r="CJ28" s="1163" t="e">
        <f t="shared" si="2"/>
        <v>#VALUE!</v>
      </c>
      <c r="CK28" s="1163" t="e">
        <f t="shared" si="3"/>
        <v>#VALUE!</v>
      </c>
      <c r="CL28" s="80"/>
      <c r="CM28" s="80"/>
      <c r="CN28" s="80"/>
      <c r="CO28" s="80"/>
      <c r="CP28" s="80"/>
      <c r="CQ28" s="80"/>
      <c r="CR28" s="80"/>
      <c r="CS28" s="80"/>
      <c r="CT28" s="80"/>
      <c r="CU28" s="80"/>
      <c r="CV28" s="80"/>
      <c r="CW28" s="80"/>
      <c r="CX28" s="80"/>
      <c r="CY28" s="80"/>
      <c r="CZ28" s="80"/>
      <c r="DA28" s="80"/>
    </row>
    <row r="29" spans="1:105" ht="16.350000000000001" customHeight="1" x14ac:dyDescent="0.2">
      <c r="A29" s="2948" t="s">
        <v>3377</v>
      </c>
      <c r="B29" s="879" t="s">
        <v>1000</v>
      </c>
      <c r="C29" s="2636" t="s">
        <v>2777</v>
      </c>
      <c r="D29" s="141" t="s">
        <v>2778</v>
      </c>
      <c r="E29" s="180" t="s">
        <v>2779</v>
      </c>
      <c r="F29" s="142" t="s">
        <v>2780</v>
      </c>
      <c r="G29" s="142" t="s">
        <v>2781</v>
      </c>
      <c r="H29" s="142" t="s">
        <v>2782</v>
      </c>
      <c r="I29" s="142" t="s">
        <v>2783</v>
      </c>
      <c r="J29" s="142" t="s">
        <v>2784</v>
      </c>
      <c r="K29" s="142" t="s">
        <v>2785</v>
      </c>
      <c r="L29" s="142" t="s">
        <v>2786</v>
      </c>
      <c r="M29" s="2396" t="s">
        <v>2787</v>
      </c>
      <c r="N29" s="2396" t="s">
        <v>2788</v>
      </c>
      <c r="O29" s="2396" t="s">
        <v>2789</v>
      </c>
      <c r="P29" s="2396" t="s">
        <v>2790</v>
      </c>
      <c r="Q29" s="2396" t="s">
        <v>2791</v>
      </c>
      <c r="R29" s="2396" t="s">
        <v>2792</v>
      </c>
      <c r="S29" s="2396" t="s">
        <v>2793</v>
      </c>
      <c r="T29" s="163" t="s">
        <v>2794</v>
      </c>
      <c r="U29" s="141" t="s">
        <v>2795</v>
      </c>
      <c r="V29" s="163" t="s">
        <v>2796</v>
      </c>
      <c r="W29" s="163" t="s">
        <v>2797</v>
      </c>
      <c r="X29" s="163" t="s">
        <v>2798</v>
      </c>
      <c r="Y29" s="163" t="s">
        <v>2799</v>
      </c>
      <c r="Z29" s="163" t="s">
        <v>2800</v>
      </c>
      <c r="AA29" s="163" t="s">
        <v>2801</v>
      </c>
      <c r="AB29" s="163" t="s">
        <v>2817</v>
      </c>
      <c r="AC29" s="163" t="s">
        <v>2818</v>
      </c>
      <c r="AD29" s="163" t="s">
        <v>2819</v>
      </c>
      <c r="AE29" s="163" t="s">
        <v>2821</v>
      </c>
      <c r="AF29" s="163" t="s">
        <v>2822</v>
      </c>
      <c r="AG29" s="163" t="s">
        <v>2823</v>
      </c>
      <c r="AH29" s="163" t="s">
        <v>2824</v>
      </c>
      <c r="AI29" s="163" t="s">
        <v>2825</v>
      </c>
      <c r="AJ29" s="163" t="s">
        <v>2826</v>
      </c>
      <c r="AK29" s="163" t="s">
        <v>2827</v>
      </c>
      <c r="AL29" s="163" t="s">
        <v>2831</v>
      </c>
      <c r="AM29" s="163" t="s">
        <v>2832</v>
      </c>
      <c r="AN29" s="163" t="s">
        <v>2833</v>
      </c>
      <c r="AO29" s="163" t="s">
        <v>2834</v>
      </c>
      <c r="AP29" s="163" t="s">
        <v>3011</v>
      </c>
      <c r="AQ29" s="163" t="s">
        <v>3012</v>
      </c>
      <c r="AR29" s="163" t="s">
        <v>3013</v>
      </c>
      <c r="AS29" s="2953" t="s">
        <v>3014</v>
      </c>
      <c r="AT29" s="2953" t="s">
        <v>3015</v>
      </c>
      <c r="AU29" s="163" t="s">
        <v>3206</v>
      </c>
      <c r="AV29" s="163" t="s">
        <v>3207</v>
      </c>
      <c r="AW29" s="163" t="s">
        <v>3272</v>
      </c>
      <c r="AX29" s="163" t="s">
        <v>3273</v>
      </c>
      <c r="AY29" s="163" t="s">
        <v>3419</v>
      </c>
      <c r="AZ29" s="1058"/>
      <c r="BA29" s="1058"/>
      <c r="BB29" s="1058"/>
      <c r="BC29" s="1058"/>
      <c r="BD29" s="1058"/>
      <c r="BE29" s="1058"/>
      <c r="BF29" s="1058"/>
      <c r="BG29" s="1058"/>
      <c r="BH29" s="1058"/>
      <c r="BI29" s="94"/>
      <c r="BJ29" s="94"/>
      <c r="BK29" s="94"/>
      <c r="BL29" s="94"/>
      <c r="BM29" s="94"/>
      <c r="CA29" s="1164" t="e">
        <f t="shared" si="9"/>
        <v>#REF!</v>
      </c>
      <c r="CB29" s="1164" t="str">
        <f t="shared" si="10"/>
        <v/>
      </c>
      <c r="CC29" s="1164" t="str">
        <f t="shared" si="11"/>
        <v xml:space="preserve">* El número de Beneficiarios NO DEBE ser mayor que el Total. </v>
      </c>
      <c r="CD29" s="1164" t="e">
        <f t="shared" si="12"/>
        <v>#VALUE!</v>
      </c>
      <c r="CE29" s="1164" t="e">
        <f t="shared" si="13"/>
        <v>#VALUE!</v>
      </c>
      <c r="CF29" s="1164"/>
      <c r="CG29" s="1163" t="e">
        <f>IF(C29&lt;(#REF!+V29),1,0)</f>
        <v>#REF!</v>
      </c>
      <c r="CH29" s="1163">
        <f t="shared" si="0"/>
        <v>0</v>
      </c>
      <c r="CI29" s="1163">
        <f t="shared" si="1"/>
        <v>1</v>
      </c>
      <c r="CJ29" s="1163" t="e">
        <f t="shared" si="2"/>
        <v>#VALUE!</v>
      </c>
      <c r="CK29" s="1163" t="e">
        <f t="shared" si="3"/>
        <v>#VALUE!</v>
      </c>
      <c r="CL29" s="80"/>
      <c r="CM29" s="80"/>
      <c r="CN29" s="80"/>
      <c r="CO29" s="80"/>
      <c r="CP29" s="80"/>
      <c r="CQ29" s="80"/>
      <c r="CR29" s="80"/>
      <c r="CS29" s="80"/>
      <c r="CT29" s="80"/>
      <c r="CU29" s="80"/>
      <c r="CV29" s="80"/>
      <c r="CW29" s="80"/>
      <c r="CX29" s="80"/>
      <c r="CY29" s="80"/>
      <c r="CZ29" s="80"/>
      <c r="DA29" s="80"/>
    </row>
    <row r="30" spans="1:105" ht="16.350000000000001" customHeight="1" x14ac:dyDescent="0.2">
      <c r="A30" s="2948" t="s">
        <v>3378</v>
      </c>
      <c r="B30" s="879" t="s">
        <v>1667</v>
      </c>
      <c r="C30" s="2636" t="s">
        <v>2777</v>
      </c>
      <c r="D30" s="141" t="s">
        <v>2778</v>
      </c>
      <c r="E30" s="180" t="s">
        <v>2779</v>
      </c>
      <c r="F30" s="142" t="s">
        <v>2780</v>
      </c>
      <c r="G30" s="142" t="s">
        <v>2781</v>
      </c>
      <c r="H30" s="142" t="s">
        <v>2782</v>
      </c>
      <c r="I30" s="142" t="s">
        <v>2783</v>
      </c>
      <c r="J30" s="142" t="s">
        <v>2784</v>
      </c>
      <c r="K30" s="142" t="s">
        <v>2785</v>
      </c>
      <c r="L30" s="142" t="s">
        <v>2786</v>
      </c>
      <c r="M30" s="2396" t="s">
        <v>2787</v>
      </c>
      <c r="N30" s="2396" t="s">
        <v>2788</v>
      </c>
      <c r="O30" s="2396" t="s">
        <v>2789</v>
      </c>
      <c r="P30" s="2396" t="s">
        <v>2790</v>
      </c>
      <c r="Q30" s="2396" t="s">
        <v>2791</v>
      </c>
      <c r="R30" s="2396" t="s">
        <v>2792</v>
      </c>
      <c r="S30" s="2396" t="s">
        <v>2793</v>
      </c>
      <c r="T30" s="163" t="s">
        <v>2794</v>
      </c>
      <c r="U30" s="141" t="s">
        <v>2795</v>
      </c>
      <c r="V30" s="163" t="s">
        <v>2796</v>
      </c>
      <c r="W30" s="163" t="s">
        <v>2797</v>
      </c>
      <c r="X30" s="163" t="s">
        <v>2798</v>
      </c>
      <c r="Y30" s="163" t="s">
        <v>2799</v>
      </c>
      <c r="Z30" s="163" t="s">
        <v>2800</v>
      </c>
      <c r="AA30" s="163" t="s">
        <v>2801</v>
      </c>
      <c r="AB30" s="163" t="s">
        <v>2817</v>
      </c>
      <c r="AC30" s="163" t="s">
        <v>2818</v>
      </c>
      <c r="AD30" s="163" t="s">
        <v>2819</v>
      </c>
      <c r="AE30" s="163" t="s">
        <v>2821</v>
      </c>
      <c r="AF30" s="163" t="s">
        <v>2822</v>
      </c>
      <c r="AG30" s="163" t="s">
        <v>2823</v>
      </c>
      <c r="AH30" s="163" t="s">
        <v>2824</v>
      </c>
      <c r="AI30" s="163" t="s">
        <v>2825</v>
      </c>
      <c r="AJ30" s="163" t="s">
        <v>2826</v>
      </c>
      <c r="AK30" s="163" t="s">
        <v>2827</v>
      </c>
      <c r="AL30" s="163" t="s">
        <v>2831</v>
      </c>
      <c r="AM30" s="163" t="s">
        <v>2832</v>
      </c>
      <c r="AN30" s="163" t="s">
        <v>2833</v>
      </c>
      <c r="AO30" s="163" t="s">
        <v>2834</v>
      </c>
      <c r="AP30" s="163" t="s">
        <v>3011</v>
      </c>
      <c r="AQ30" s="163" t="s">
        <v>3012</v>
      </c>
      <c r="AR30" s="163" t="s">
        <v>3013</v>
      </c>
      <c r="AS30" s="2953" t="s">
        <v>3014</v>
      </c>
      <c r="AT30" s="2953" t="s">
        <v>3015</v>
      </c>
      <c r="AU30" s="163" t="s">
        <v>3206</v>
      </c>
      <c r="AV30" s="163" t="s">
        <v>3207</v>
      </c>
      <c r="AW30" s="163" t="s">
        <v>3272</v>
      </c>
      <c r="AX30" s="163" t="s">
        <v>3273</v>
      </c>
      <c r="AY30" s="163" t="s">
        <v>3419</v>
      </c>
      <c r="AZ30" s="1058"/>
      <c r="BA30" s="1058"/>
      <c r="BB30" s="1058"/>
      <c r="BC30" s="1058"/>
      <c r="BD30" s="1058"/>
      <c r="BE30" s="1058"/>
      <c r="BF30" s="1058"/>
      <c r="BG30" s="1058"/>
      <c r="BH30" s="1058"/>
      <c r="BI30" s="94"/>
      <c r="BJ30" s="94"/>
      <c r="BK30" s="94"/>
      <c r="BL30" s="94"/>
      <c r="BM30" s="94"/>
      <c r="CA30" s="1164" t="e">
        <f t="shared" si="9"/>
        <v>#REF!</v>
      </c>
      <c r="CB30" s="1164" t="str">
        <f t="shared" si="10"/>
        <v/>
      </c>
      <c r="CC30" s="1164" t="str">
        <f t="shared" si="11"/>
        <v xml:space="preserve">* El número de Beneficiarios NO DEBE ser mayor que el Total. </v>
      </c>
      <c r="CD30" s="1164" t="e">
        <f t="shared" si="12"/>
        <v>#VALUE!</v>
      </c>
      <c r="CE30" s="1164" t="e">
        <f t="shared" si="13"/>
        <v>#VALUE!</v>
      </c>
      <c r="CF30" s="1164"/>
      <c r="CG30" s="1163" t="e">
        <f>IF(C30&lt;(#REF!+V30),1,0)</f>
        <v>#REF!</v>
      </c>
      <c r="CH30" s="1163">
        <f t="shared" si="0"/>
        <v>0</v>
      </c>
      <c r="CI30" s="1163">
        <f t="shared" si="1"/>
        <v>1</v>
      </c>
      <c r="CJ30" s="1163" t="e">
        <f t="shared" si="2"/>
        <v>#VALUE!</v>
      </c>
      <c r="CK30" s="1163" t="e">
        <f t="shared" si="3"/>
        <v>#VALUE!</v>
      </c>
      <c r="CL30" s="80"/>
      <c r="CM30" s="80"/>
      <c r="CN30" s="80"/>
      <c r="CO30" s="80"/>
      <c r="CP30" s="80"/>
      <c r="CQ30" s="80"/>
      <c r="CR30" s="80"/>
      <c r="CS30" s="80"/>
      <c r="CT30" s="80"/>
      <c r="CU30" s="80"/>
      <c r="CV30" s="80"/>
      <c r="CW30" s="80"/>
      <c r="CX30" s="80"/>
      <c r="CY30" s="80"/>
      <c r="CZ30" s="80"/>
      <c r="DA30" s="80"/>
    </row>
    <row r="31" spans="1:105" ht="16.350000000000001" customHeight="1" x14ac:dyDescent="0.2">
      <c r="A31" s="2948" t="s">
        <v>3379</v>
      </c>
      <c r="B31" s="879" t="s">
        <v>1001</v>
      </c>
      <c r="C31" s="2636" t="s">
        <v>2777</v>
      </c>
      <c r="D31" s="141" t="s">
        <v>2778</v>
      </c>
      <c r="E31" s="180" t="s">
        <v>2779</v>
      </c>
      <c r="F31" s="142" t="s">
        <v>2780</v>
      </c>
      <c r="G31" s="142" t="s">
        <v>2781</v>
      </c>
      <c r="H31" s="142" t="s">
        <v>2782</v>
      </c>
      <c r="I31" s="142" t="s">
        <v>2783</v>
      </c>
      <c r="J31" s="142" t="s">
        <v>2784</v>
      </c>
      <c r="K31" s="142" t="s">
        <v>2785</v>
      </c>
      <c r="L31" s="142" t="s">
        <v>2786</v>
      </c>
      <c r="M31" s="2396" t="s">
        <v>2787</v>
      </c>
      <c r="N31" s="2396" t="s">
        <v>2788</v>
      </c>
      <c r="O31" s="2396" t="s">
        <v>2789</v>
      </c>
      <c r="P31" s="2396" t="s">
        <v>2790</v>
      </c>
      <c r="Q31" s="2396" t="s">
        <v>2791</v>
      </c>
      <c r="R31" s="2396" t="s">
        <v>2792</v>
      </c>
      <c r="S31" s="2396" t="s">
        <v>2793</v>
      </c>
      <c r="T31" s="163" t="s">
        <v>2794</v>
      </c>
      <c r="U31" s="141" t="s">
        <v>2795</v>
      </c>
      <c r="V31" s="163" t="s">
        <v>2796</v>
      </c>
      <c r="W31" s="163" t="s">
        <v>2797</v>
      </c>
      <c r="X31" s="163" t="s">
        <v>2798</v>
      </c>
      <c r="Y31" s="163" t="s">
        <v>2799</v>
      </c>
      <c r="Z31" s="163" t="s">
        <v>2800</v>
      </c>
      <c r="AA31" s="163" t="s">
        <v>2801</v>
      </c>
      <c r="AB31" s="163" t="s">
        <v>2817</v>
      </c>
      <c r="AC31" s="163" t="s">
        <v>2818</v>
      </c>
      <c r="AD31" s="163" t="s">
        <v>2819</v>
      </c>
      <c r="AE31" s="163" t="s">
        <v>2821</v>
      </c>
      <c r="AF31" s="163" t="s">
        <v>2822</v>
      </c>
      <c r="AG31" s="163" t="s">
        <v>2823</v>
      </c>
      <c r="AH31" s="163" t="s">
        <v>2824</v>
      </c>
      <c r="AI31" s="163" t="s">
        <v>2825</v>
      </c>
      <c r="AJ31" s="163" t="s">
        <v>2826</v>
      </c>
      <c r="AK31" s="163" t="s">
        <v>2827</v>
      </c>
      <c r="AL31" s="163" t="s">
        <v>2831</v>
      </c>
      <c r="AM31" s="163" t="s">
        <v>2832</v>
      </c>
      <c r="AN31" s="163" t="s">
        <v>2833</v>
      </c>
      <c r="AO31" s="163" t="s">
        <v>2834</v>
      </c>
      <c r="AP31" s="163" t="s">
        <v>3011</v>
      </c>
      <c r="AQ31" s="163" t="s">
        <v>3012</v>
      </c>
      <c r="AR31" s="163" t="s">
        <v>3013</v>
      </c>
      <c r="AS31" s="2953" t="s">
        <v>3014</v>
      </c>
      <c r="AT31" s="2953" t="s">
        <v>3015</v>
      </c>
      <c r="AU31" s="163" t="s">
        <v>3206</v>
      </c>
      <c r="AV31" s="163" t="s">
        <v>3207</v>
      </c>
      <c r="AW31" s="163" t="s">
        <v>3272</v>
      </c>
      <c r="AX31" s="163" t="s">
        <v>3273</v>
      </c>
      <c r="AY31" s="163" t="s">
        <v>3419</v>
      </c>
      <c r="AZ31" s="1058"/>
      <c r="BA31" s="1058"/>
      <c r="BB31" s="1058"/>
      <c r="BC31" s="1058"/>
      <c r="BD31" s="1058"/>
      <c r="BE31" s="1058"/>
      <c r="BF31" s="1058"/>
      <c r="BG31" s="1058"/>
      <c r="BH31" s="1058"/>
      <c r="BI31" s="94"/>
      <c r="BJ31" s="94"/>
      <c r="BK31" s="94"/>
      <c r="BL31" s="94"/>
      <c r="BM31" s="94"/>
      <c r="CA31" s="1164" t="e">
        <f t="shared" si="9"/>
        <v>#REF!</v>
      </c>
      <c r="CB31" s="1164" t="str">
        <f t="shared" si="10"/>
        <v/>
      </c>
      <c r="CC31" s="1164" t="str">
        <f t="shared" si="11"/>
        <v xml:space="preserve">* El número de Beneficiarios NO DEBE ser mayor que el Total. </v>
      </c>
      <c r="CD31" s="1164" t="e">
        <f t="shared" si="12"/>
        <v>#VALUE!</v>
      </c>
      <c r="CE31" s="1164" t="e">
        <f t="shared" si="13"/>
        <v>#VALUE!</v>
      </c>
      <c r="CF31" s="1164"/>
      <c r="CG31" s="1163" t="e">
        <f>IF(C31&lt;(#REF!+V31),1,0)</f>
        <v>#REF!</v>
      </c>
      <c r="CH31" s="1163">
        <f t="shared" si="0"/>
        <v>0</v>
      </c>
      <c r="CI31" s="1163">
        <f t="shared" si="1"/>
        <v>1</v>
      </c>
      <c r="CJ31" s="1163" t="e">
        <f t="shared" si="2"/>
        <v>#VALUE!</v>
      </c>
      <c r="CK31" s="1163" t="e">
        <f t="shared" si="3"/>
        <v>#VALUE!</v>
      </c>
      <c r="CL31" s="80"/>
      <c r="CM31" s="80"/>
      <c r="CN31" s="80"/>
      <c r="CO31" s="80"/>
      <c r="CP31" s="80"/>
      <c r="CQ31" s="80"/>
      <c r="CR31" s="80"/>
      <c r="CS31" s="80"/>
      <c r="CT31" s="80"/>
      <c r="CU31" s="80"/>
      <c r="CV31" s="80"/>
      <c r="CW31" s="80"/>
      <c r="CX31" s="80"/>
      <c r="CY31" s="80"/>
      <c r="CZ31" s="80"/>
      <c r="DA31" s="80"/>
    </row>
    <row r="32" spans="1:105" ht="16.350000000000001" customHeight="1" x14ac:dyDescent="0.2">
      <c r="A32" s="2948" t="s">
        <v>3380</v>
      </c>
      <c r="B32" s="879" t="s">
        <v>1002</v>
      </c>
      <c r="C32" s="2636" t="s">
        <v>2777</v>
      </c>
      <c r="D32" s="141" t="s">
        <v>2778</v>
      </c>
      <c r="E32" s="180" t="s">
        <v>2779</v>
      </c>
      <c r="F32" s="142" t="s">
        <v>2780</v>
      </c>
      <c r="G32" s="142" t="s">
        <v>2781</v>
      </c>
      <c r="H32" s="142" t="s">
        <v>2782</v>
      </c>
      <c r="I32" s="142" t="s">
        <v>2783</v>
      </c>
      <c r="J32" s="142" t="s">
        <v>2784</v>
      </c>
      <c r="K32" s="142" t="s">
        <v>2785</v>
      </c>
      <c r="L32" s="142" t="s">
        <v>2786</v>
      </c>
      <c r="M32" s="2396" t="s">
        <v>2787</v>
      </c>
      <c r="N32" s="2396" t="s">
        <v>2788</v>
      </c>
      <c r="O32" s="2396" t="s">
        <v>2789</v>
      </c>
      <c r="P32" s="2396" t="s">
        <v>2790</v>
      </c>
      <c r="Q32" s="2396" t="s">
        <v>2791</v>
      </c>
      <c r="R32" s="2396" t="s">
        <v>2792</v>
      </c>
      <c r="S32" s="2396" t="s">
        <v>2793</v>
      </c>
      <c r="T32" s="163" t="s">
        <v>2794</v>
      </c>
      <c r="U32" s="141" t="s">
        <v>2795</v>
      </c>
      <c r="V32" s="163" t="s">
        <v>2796</v>
      </c>
      <c r="W32" s="163" t="s">
        <v>2797</v>
      </c>
      <c r="X32" s="163" t="s">
        <v>2798</v>
      </c>
      <c r="Y32" s="163" t="s">
        <v>2799</v>
      </c>
      <c r="Z32" s="163" t="s">
        <v>2800</v>
      </c>
      <c r="AA32" s="163" t="s">
        <v>2801</v>
      </c>
      <c r="AB32" s="163" t="s">
        <v>2817</v>
      </c>
      <c r="AC32" s="163" t="s">
        <v>2818</v>
      </c>
      <c r="AD32" s="163" t="s">
        <v>2819</v>
      </c>
      <c r="AE32" s="163" t="s">
        <v>2821</v>
      </c>
      <c r="AF32" s="163" t="s">
        <v>2822</v>
      </c>
      <c r="AG32" s="163" t="s">
        <v>2823</v>
      </c>
      <c r="AH32" s="163" t="s">
        <v>2824</v>
      </c>
      <c r="AI32" s="163" t="s">
        <v>2825</v>
      </c>
      <c r="AJ32" s="163" t="s">
        <v>2826</v>
      </c>
      <c r="AK32" s="163" t="s">
        <v>2827</v>
      </c>
      <c r="AL32" s="163" t="s">
        <v>2831</v>
      </c>
      <c r="AM32" s="163" t="s">
        <v>2832</v>
      </c>
      <c r="AN32" s="163" t="s">
        <v>2833</v>
      </c>
      <c r="AO32" s="163" t="s">
        <v>2834</v>
      </c>
      <c r="AP32" s="163" t="s">
        <v>3011</v>
      </c>
      <c r="AQ32" s="163" t="s">
        <v>3012</v>
      </c>
      <c r="AR32" s="163" t="s">
        <v>3013</v>
      </c>
      <c r="AS32" s="2953" t="s">
        <v>3014</v>
      </c>
      <c r="AT32" s="2953" t="s">
        <v>3015</v>
      </c>
      <c r="AU32" s="163" t="s">
        <v>3206</v>
      </c>
      <c r="AV32" s="163" t="s">
        <v>3207</v>
      </c>
      <c r="AW32" s="163" t="s">
        <v>3272</v>
      </c>
      <c r="AX32" s="163" t="s">
        <v>3273</v>
      </c>
      <c r="AY32" s="163" t="s">
        <v>3419</v>
      </c>
      <c r="AZ32" s="1058"/>
      <c r="BA32" s="1058"/>
      <c r="BB32" s="1058"/>
      <c r="BC32" s="1058"/>
      <c r="BD32" s="1058"/>
      <c r="BE32" s="1058"/>
      <c r="BF32" s="1058"/>
      <c r="BG32" s="1058"/>
      <c r="BH32" s="1058"/>
      <c r="BI32" s="94"/>
      <c r="BJ32" s="94"/>
      <c r="BK32" s="94"/>
      <c r="BL32" s="94"/>
      <c r="BM32" s="94"/>
      <c r="CA32" s="1164" t="e">
        <f t="shared" si="9"/>
        <v>#REF!</v>
      </c>
      <c r="CB32" s="1164" t="str">
        <f t="shared" si="10"/>
        <v/>
      </c>
      <c r="CC32" s="1164" t="str">
        <f t="shared" si="11"/>
        <v xml:space="preserve">* El número de Beneficiarios NO DEBE ser mayor que el Total. </v>
      </c>
      <c r="CD32" s="1164" t="e">
        <f t="shared" si="12"/>
        <v>#VALUE!</v>
      </c>
      <c r="CE32" s="1164" t="e">
        <f t="shared" si="13"/>
        <v>#VALUE!</v>
      </c>
      <c r="CF32" s="1164"/>
      <c r="CG32" s="1163" t="e">
        <f>IF(C32&lt;(#REF!+V32),1,0)</f>
        <v>#REF!</v>
      </c>
      <c r="CH32" s="1163">
        <f t="shared" si="0"/>
        <v>0</v>
      </c>
      <c r="CI32" s="1163">
        <f t="shared" si="1"/>
        <v>1</v>
      </c>
      <c r="CJ32" s="1163" t="e">
        <f t="shared" si="2"/>
        <v>#VALUE!</v>
      </c>
      <c r="CK32" s="1163" t="e">
        <f t="shared" si="3"/>
        <v>#VALUE!</v>
      </c>
      <c r="CL32" s="80"/>
      <c r="CM32" s="80"/>
      <c r="CN32" s="80"/>
      <c r="CO32" s="80"/>
      <c r="CP32" s="80"/>
      <c r="CQ32" s="80"/>
      <c r="CR32" s="80"/>
      <c r="CS32" s="80"/>
      <c r="CT32" s="80"/>
      <c r="CU32" s="80"/>
      <c r="CV32" s="80"/>
      <c r="CW32" s="80"/>
      <c r="CX32" s="80"/>
      <c r="CY32" s="80"/>
      <c r="CZ32" s="80"/>
      <c r="DA32" s="80"/>
    </row>
    <row r="33" spans="1:105" ht="16.350000000000001" customHeight="1" x14ac:dyDescent="0.2">
      <c r="A33" s="2948" t="s">
        <v>3381</v>
      </c>
      <c r="B33" s="879" t="s">
        <v>1668</v>
      </c>
      <c r="C33" s="2636" t="s">
        <v>2777</v>
      </c>
      <c r="D33" s="141" t="s">
        <v>2778</v>
      </c>
      <c r="E33" s="180" t="s">
        <v>2779</v>
      </c>
      <c r="F33" s="142" t="s">
        <v>2780</v>
      </c>
      <c r="G33" s="142" t="s">
        <v>2781</v>
      </c>
      <c r="H33" s="142" t="s">
        <v>2782</v>
      </c>
      <c r="I33" s="142" t="s">
        <v>2783</v>
      </c>
      <c r="J33" s="142" t="s">
        <v>2784</v>
      </c>
      <c r="K33" s="142" t="s">
        <v>2785</v>
      </c>
      <c r="L33" s="142" t="s">
        <v>2786</v>
      </c>
      <c r="M33" s="142" t="s">
        <v>2787</v>
      </c>
      <c r="N33" s="142" t="s">
        <v>2788</v>
      </c>
      <c r="O33" s="142" t="s">
        <v>2789</v>
      </c>
      <c r="P33" s="142" t="s">
        <v>2790</v>
      </c>
      <c r="Q33" s="142" t="s">
        <v>2791</v>
      </c>
      <c r="R33" s="142" t="s">
        <v>2792</v>
      </c>
      <c r="S33" s="142" t="s">
        <v>2793</v>
      </c>
      <c r="T33" s="163" t="s">
        <v>2794</v>
      </c>
      <c r="U33" s="141" t="s">
        <v>2795</v>
      </c>
      <c r="V33" s="163" t="s">
        <v>2796</v>
      </c>
      <c r="W33" s="163" t="s">
        <v>2797</v>
      </c>
      <c r="X33" s="163" t="s">
        <v>2798</v>
      </c>
      <c r="Y33" s="163" t="s">
        <v>2799</v>
      </c>
      <c r="Z33" s="163" t="s">
        <v>2800</v>
      </c>
      <c r="AA33" s="163" t="s">
        <v>2801</v>
      </c>
      <c r="AB33" s="163" t="s">
        <v>2817</v>
      </c>
      <c r="AC33" s="163" t="s">
        <v>2818</v>
      </c>
      <c r="AD33" s="163" t="s">
        <v>2819</v>
      </c>
      <c r="AE33" s="163" t="s">
        <v>2821</v>
      </c>
      <c r="AF33" s="163" t="s">
        <v>2822</v>
      </c>
      <c r="AG33" s="163" t="s">
        <v>2823</v>
      </c>
      <c r="AH33" s="163" t="s">
        <v>2824</v>
      </c>
      <c r="AI33" s="163" t="s">
        <v>2825</v>
      </c>
      <c r="AJ33" s="163" t="s">
        <v>2826</v>
      </c>
      <c r="AK33" s="163" t="s">
        <v>2827</v>
      </c>
      <c r="AL33" s="163" t="s">
        <v>2831</v>
      </c>
      <c r="AM33" s="163" t="s">
        <v>2832</v>
      </c>
      <c r="AN33" s="163" t="s">
        <v>2833</v>
      </c>
      <c r="AO33" s="163" t="s">
        <v>2834</v>
      </c>
      <c r="AP33" s="163" t="s">
        <v>3011</v>
      </c>
      <c r="AQ33" s="163" t="s">
        <v>3012</v>
      </c>
      <c r="AR33" s="163" t="s">
        <v>3013</v>
      </c>
      <c r="AS33" s="2953" t="s">
        <v>3014</v>
      </c>
      <c r="AT33" s="2953" t="s">
        <v>3015</v>
      </c>
      <c r="AU33" s="163" t="s">
        <v>3206</v>
      </c>
      <c r="AV33" s="163" t="s">
        <v>3207</v>
      </c>
      <c r="AW33" s="163" t="s">
        <v>3272</v>
      </c>
      <c r="AX33" s="163" t="s">
        <v>3273</v>
      </c>
      <c r="AY33" s="163" t="s">
        <v>3419</v>
      </c>
      <c r="AZ33" s="1058"/>
      <c r="BA33" s="1058"/>
      <c r="BB33" s="1058"/>
      <c r="BC33" s="1058"/>
      <c r="BD33" s="1058"/>
      <c r="BE33" s="1058"/>
      <c r="BF33" s="1058"/>
      <c r="BG33" s="1058"/>
      <c r="BH33" s="1058"/>
      <c r="BI33" s="94"/>
      <c r="BJ33" s="94"/>
      <c r="BK33" s="94"/>
      <c r="BL33" s="94"/>
      <c r="BM33" s="94"/>
      <c r="CA33" s="1164" t="e">
        <f t="shared" si="9"/>
        <v>#REF!</v>
      </c>
      <c r="CB33" s="1164" t="str">
        <f t="shared" si="10"/>
        <v/>
      </c>
      <c r="CC33" s="1164" t="str">
        <f t="shared" si="11"/>
        <v xml:space="preserve">* El número de Beneficiarios NO DEBE ser mayor que el Total. </v>
      </c>
      <c r="CD33" s="1164" t="e">
        <f t="shared" si="12"/>
        <v>#VALUE!</v>
      </c>
      <c r="CE33" s="1164" t="e">
        <f t="shared" si="13"/>
        <v>#VALUE!</v>
      </c>
      <c r="CF33" s="1164"/>
      <c r="CG33" s="1163" t="e">
        <f>IF(C33&lt;(#REF!+V33),1,0)</f>
        <v>#REF!</v>
      </c>
      <c r="CH33" s="1163">
        <f t="shared" si="0"/>
        <v>0</v>
      </c>
      <c r="CI33" s="1163">
        <f t="shared" si="1"/>
        <v>1</v>
      </c>
      <c r="CJ33" s="1163" t="e">
        <f t="shared" si="2"/>
        <v>#VALUE!</v>
      </c>
      <c r="CK33" s="1163" t="e">
        <f t="shared" si="3"/>
        <v>#VALUE!</v>
      </c>
      <c r="CL33" s="80"/>
      <c r="CM33" s="80"/>
      <c r="CN33" s="80"/>
      <c r="CO33" s="80"/>
      <c r="CP33" s="80"/>
      <c r="CQ33" s="80"/>
      <c r="CR33" s="80"/>
      <c r="CS33" s="80"/>
      <c r="CT33" s="80"/>
      <c r="CU33" s="80"/>
      <c r="CV33" s="80"/>
      <c r="CW33" s="80"/>
      <c r="CX33" s="80"/>
      <c r="CY33" s="80"/>
      <c r="CZ33" s="80"/>
      <c r="DA33" s="80"/>
    </row>
    <row r="34" spans="1:105" ht="16.350000000000001" customHeight="1" x14ac:dyDescent="0.2">
      <c r="A34" s="2948" t="s">
        <v>3382</v>
      </c>
      <c r="B34" s="879" t="s">
        <v>1003</v>
      </c>
      <c r="C34" s="2636" t="s">
        <v>2777</v>
      </c>
      <c r="D34" s="141" t="s">
        <v>2778</v>
      </c>
      <c r="E34" s="180" t="s">
        <v>2779</v>
      </c>
      <c r="F34" s="142" t="s">
        <v>2780</v>
      </c>
      <c r="G34" s="142" t="s">
        <v>2781</v>
      </c>
      <c r="H34" s="142" t="s">
        <v>2782</v>
      </c>
      <c r="I34" s="142" t="s">
        <v>2783</v>
      </c>
      <c r="J34" s="142" t="s">
        <v>2784</v>
      </c>
      <c r="K34" s="142" t="s">
        <v>2785</v>
      </c>
      <c r="L34" s="142" t="s">
        <v>2786</v>
      </c>
      <c r="M34" s="142" t="s">
        <v>2787</v>
      </c>
      <c r="N34" s="142" t="s">
        <v>2788</v>
      </c>
      <c r="O34" s="142" t="s">
        <v>2789</v>
      </c>
      <c r="P34" s="142" t="s">
        <v>2790</v>
      </c>
      <c r="Q34" s="142" t="s">
        <v>2791</v>
      </c>
      <c r="R34" s="142" t="s">
        <v>2792</v>
      </c>
      <c r="S34" s="142" t="s">
        <v>2793</v>
      </c>
      <c r="T34" s="163" t="s">
        <v>2794</v>
      </c>
      <c r="U34" s="141" t="s">
        <v>2795</v>
      </c>
      <c r="V34" s="163" t="s">
        <v>2796</v>
      </c>
      <c r="W34" s="163" t="s">
        <v>2797</v>
      </c>
      <c r="X34" s="163" t="s">
        <v>2798</v>
      </c>
      <c r="Y34" s="163" t="s">
        <v>2799</v>
      </c>
      <c r="Z34" s="163" t="s">
        <v>2800</v>
      </c>
      <c r="AA34" s="163" t="s">
        <v>2801</v>
      </c>
      <c r="AB34" s="163" t="s">
        <v>2817</v>
      </c>
      <c r="AC34" s="163" t="s">
        <v>2818</v>
      </c>
      <c r="AD34" s="163" t="s">
        <v>2819</v>
      </c>
      <c r="AE34" s="163" t="s">
        <v>2821</v>
      </c>
      <c r="AF34" s="163" t="s">
        <v>2822</v>
      </c>
      <c r="AG34" s="163" t="s">
        <v>2823</v>
      </c>
      <c r="AH34" s="163" t="s">
        <v>2824</v>
      </c>
      <c r="AI34" s="163" t="s">
        <v>2825</v>
      </c>
      <c r="AJ34" s="163" t="s">
        <v>2826</v>
      </c>
      <c r="AK34" s="163" t="s">
        <v>2827</v>
      </c>
      <c r="AL34" s="163" t="s">
        <v>2831</v>
      </c>
      <c r="AM34" s="163" t="s">
        <v>2832</v>
      </c>
      <c r="AN34" s="163" t="s">
        <v>2833</v>
      </c>
      <c r="AO34" s="163" t="s">
        <v>2834</v>
      </c>
      <c r="AP34" s="163" t="s">
        <v>3011</v>
      </c>
      <c r="AQ34" s="163" t="s">
        <v>3012</v>
      </c>
      <c r="AR34" s="163" t="s">
        <v>3013</v>
      </c>
      <c r="AS34" s="2953" t="s">
        <v>3014</v>
      </c>
      <c r="AT34" s="2953" t="s">
        <v>3015</v>
      </c>
      <c r="AU34" s="163" t="s">
        <v>3206</v>
      </c>
      <c r="AV34" s="163" t="s">
        <v>3207</v>
      </c>
      <c r="AW34" s="163" t="s">
        <v>3272</v>
      </c>
      <c r="AX34" s="163" t="s">
        <v>3273</v>
      </c>
      <c r="AY34" s="163" t="s">
        <v>3419</v>
      </c>
      <c r="AZ34" s="1058"/>
      <c r="BA34" s="1058"/>
      <c r="BB34" s="1058"/>
      <c r="BC34" s="1058"/>
      <c r="BD34" s="1058"/>
      <c r="BE34" s="1058"/>
      <c r="BF34" s="1058"/>
      <c r="BG34" s="1058"/>
      <c r="BH34" s="1058"/>
      <c r="BI34" s="94"/>
      <c r="BJ34" s="94"/>
      <c r="BK34" s="94"/>
      <c r="BL34" s="94"/>
      <c r="BM34" s="94"/>
      <c r="CA34" s="1164" t="e">
        <f t="shared" si="9"/>
        <v>#REF!</v>
      </c>
      <c r="CB34" s="1164" t="str">
        <f t="shared" si="10"/>
        <v/>
      </c>
      <c r="CC34" s="1164" t="str">
        <f t="shared" si="11"/>
        <v xml:space="preserve">* El número de Beneficiarios NO DEBE ser mayor que el Total. </v>
      </c>
      <c r="CD34" s="1164" t="e">
        <f t="shared" si="12"/>
        <v>#VALUE!</v>
      </c>
      <c r="CE34" s="1164" t="e">
        <f t="shared" si="13"/>
        <v>#VALUE!</v>
      </c>
      <c r="CF34" s="1164"/>
      <c r="CG34" s="1163" t="e">
        <f>IF(C34&lt;(#REF!+V34),1,0)</f>
        <v>#REF!</v>
      </c>
      <c r="CH34" s="1163">
        <f t="shared" si="0"/>
        <v>0</v>
      </c>
      <c r="CI34" s="1163">
        <f t="shared" si="1"/>
        <v>1</v>
      </c>
      <c r="CJ34" s="1163" t="e">
        <f t="shared" si="2"/>
        <v>#VALUE!</v>
      </c>
      <c r="CK34" s="1163" t="e">
        <f t="shared" si="3"/>
        <v>#VALUE!</v>
      </c>
      <c r="CL34" s="80"/>
      <c r="CM34" s="80"/>
      <c r="CN34" s="80"/>
      <c r="CO34" s="80"/>
      <c r="CP34" s="80"/>
      <c r="CQ34" s="80"/>
      <c r="CR34" s="80"/>
      <c r="CS34" s="80"/>
      <c r="CT34" s="80"/>
      <c r="CU34" s="80"/>
      <c r="CV34" s="80"/>
      <c r="CW34" s="80"/>
      <c r="CX34" s="80"/>
      <c r="CY34" s="80"/>
      <c r="CZ34" s="80"/>
      <c r="DA34" s="80"/>
    </row>
    <row r="35" spans="1:105" ht="16.350000000000001" customHeight="1" x14ac:dyDescent="0.2">
      <c r="A35" s="2950" t="s">
        <v>3383</v>
      </c>
      <c r="B35" s="879" t="s">
        <v>1004</v>
      </c>
      <c r="C35" s="2636" t="s">
        <v>2777</v>
      </c>
      <c r="D35" s="2464" t="s">
        <v>2778</v>
      </c>
      <c r="E35" s="2464" t="s">
        <v>2779</v>
      </c>
      <c r="F35" s="2464" t="s">
        <v>2780</v>
      </c>
      <c r="G35" s="2464" t="s">
        <v>2781</v>
      </c>
      <c r="H35" s="2464" t="s">
        <v>2782</v>
      </c>
      <c r="I35" s="2464" t="s">
        <v>2783</v>
      </c>
      <c r="J35" s="2464" t="s">
        <v>2784</v>
      </c>
      <c r="K35" s="2464" t="s">
        <v>2785</v>
      </c>
      <c r="L35" s="2464" t="s">
        <v>2786</v>
      </c>
      <c r="M35" s="2464" t="s">
        <v>2787</v>
      </c>
      <c r="N35" s="2464" t="s">
        <v>2788</v>
      </c>
      <c r="O35" s="2464" t="s">
        <v>2789</v>
      </c>
      <c r="P35" s="142" t="s">
        <v>2790</v>
      </c>
      <c r="Q35" s="142" t="s">
        <v>2791</v>
      </c>
      <c r="R35" s="142" t="s">
        <v>2792</v>
      </c>
      <c r="S35" s="142" t="s">
        <v>2793</v>
      </c>
      <c r="T35" s="163" t="s">
        <v>2794</v>
      </c>
      <c r="U35" s="141" t="s">
        <v>2795</v>
      </c>
      <c r="V35" s="163" t="s">
        <v>2796</v>
      </c>
      <c r="W35" s="163" t="s">
        <v>2797</v>
      </c>
      <c r="X35" s="163" t="s">
        <v>2798</v>
      </c>
      <c r="Y35" s="163" t="s">
        <v>2799</v>
      </c>
      <c r="Z35" s="163" t="s">
        <v>2800</v>
      </c>
      <c r="AA35" s="163" t="s">
        <v>2801</v>
      </c>
      <c r="AB35" s="163" t="s">
        <v>2817</v>
      </c>
      <c r="AC35" s="163" t="s">
        <v>2818</v>
      </c>
      <c r="AD35" s="163" t="s">
        <v>2819</v>
      </c>
      <c r="AE35" s="163" t="s">
        <v>2821</v>
      </c>
      <c r="AF35" s="163" t="s">
        <v>2822</v>
      </c>
      <c r="AG35" s="163" t="s">
        <v>2823</v>
      </c>
      <c r="AH35" s="163" t="s">
        <v>2824</v>
      </c>
      <c r="AI35" s="163" t="s">
        <v>2825</v>
      </c>
      <c r="AJ35" s="163" t="s">
        <v>2826</v>
      </c>
      <c r="AK35" s="163" t="s">
        <v>2827</v>
      </c>
      <c r="AL35" s="163" t="s">
        <v>2831</v>
      </c>
      <c r="AM35" s="163" t="s">
        <v>2832</v>
      </c>
      <c r="AN35" s="163" t="s">
        <v>2833</v>
      </c>
      <c r="AO35" s="163" t="s">
        <v>2834</v>
      </c>
      <c r="AP35" s="163" t="s">
        <v>3011</v>
      </c>
      <c r="AQ35" s="163" t="s">
        <v>3012</v>
      </c>
      <c r="AR35" s="163" t="s">
        <v>3013</v>
      </c>
      <c r="AS35" s="2953" t="s">
        <v>3014</v>
      </c>
      <c r="AT35" s="2953" t="s">
        <v>3015</v>
      </c>
      <c r="AU35" s="163" t="s">
        <v>3206</v>
      </c>
      <c r="AV35" s="163" t="s">
        <v>3207</v>
      </c>
      <c r="AW35" s="163" t="s">
        <v>3272</v>
      </c>
      <c r="AX35" s="163" t="s">
        <v>3273</v>
      </c>
      <c r="AY35" s="163" t="s">
        <v>3419</v>
      </c>
      <c r="AZ35" s="1058"/>
      <c r="BA35" s="1058"/>
      <c r="BB35" s="1058"/>
      <c r="BC35" s="1058"/>
      <c r="BD35" s="1058"/>
      <c r="BE35" s="1058"/>
      <c r="BF35" s="1058"/>
      <c r="BG35" s="1058"/>
      <c r="BH35" s="1058"/>
      <c r="BI35" s="94"/>
      <c r="BJ35" s="94"/>
      <c r="BK35" s="94"/>
      <c r="BL35" s="94"/>
      <c r="BM35" s="94"/>
      <c r="CA35" s="1164" t="e">
        <f t="shared" si="9"/>
        <v>#REF!</v>
      </c>
      <c r="CB35" s="1164" t="str">
        <f t="shared" si="10"/>
        <v/>
      </c>
      <c r="CC35" s="1164" t="str">
        <f t="shared" si="11"/>
        <v xml:space="preserve">* El número de Beneficiarios NO DEBE ser mayor que el Total. </v>
      </c>
      <c r="CD35" s="1164" t="e">
        <f t="shared" si="12"/>
        <v>#VALUE!</v>
      </c>
      <c r="CE35" s="1164" t="e">
        <f t="shared" si="13"/>
        <v>#VALUE!</v>
      </c>
      <c r="CF35" s="1164"/>
      <c r="CG35" s="1163" t="e">
        <f>IF(C35&lt;(#REF!+V35),1,0)</f>
        <v>#REF!</v>
      </c>
      <c r="CH35" s="1163">
        <f t="shared" si="0"/>
        <v>0</v>
      </c>
      <c r="CI35" s="1163">
        <f t="shared" si="1"/>
        <v>1</v>
      </c>
      <c r="CJ35" s="1163" t="e">
        <f t="shared" si="2"/>
        <v>#VALUE!</v>
      </c>
      <c r="CK35" s="1163" t="e">
        <f t="shared" si="3"/>
        <v>#VALUE!</v>
      </c>
      <c r="CL35" s="80"/>
      <c r="CM35" s="80"/>
      <c r="CN35" s="80"/>
      <c r="CO35" s="80"/>
      <c r="CP35" s="80"/>
      <c r="CQ35" s="80"/>
      <c r="CR35" s="80"/>
      <c r="CS35" s="80"/>
      <c r="CT35" s="80"/>
      <c r="CU35" s="80"/>
      <c r="CV35" s="80"/>
      <c r="CW35" s="80"/>
      <c r="CX35" s="80"/>
      <c r="CY35" s="80"/>
      <c r="CZ35" s="80"/>
      <c r="DA35" s="80"/>
    </row>
    <row r="36" spans="1:105" ht="16.350000000000001" customHeight="1" x14ac:dyDescent="0.2">
      <c r="A36" s="2948" t="s">
        <v>3384</v>
      </c>
      <c r="B36" s="879" t="s">
        <v>1005</v>
      </c>
      <c r="C36" s="2636" t="s">
        <v>2777</v>
      </c>
      <c r="D36" s="141" t="s">
        <v>2778</v>
      </c>
      <c r="E36" s="180" t="s">
        <v>2779</v>
      </c>
      <c r="F36" s="142" t="s">
        <v>2780</v>
      </c>
      <c r="G36" s="218" t="s">
        <v>2781</v>
      </c>
      <c r="H36" s="218" t="s">
        <v>2782</v>
      </c>
      <c r="I36" s="218" t="s">
        <v>2783</v>
      </c>
      <c r="J36" s="218" t="s">
        <v>2784</v>
      </c>
      <c r="K36" s="218" t="s">
        <v>2785</v>
      </c>
      <c r="L36" s="218" t="s">
        <v>2786</v>
      </c>
      <c r="M36" s="2396" t="s">
        <v>2787</v>
      </c>
      <c r="N36" s="2396" t="s">
        <v>2788</v>
      </c>
      <c r="O36" s="2396" t="s">
        <v>2789</v>
      </c>
      <c r="P36" s="2396" t="s">
        <v>2790</v>
      </c>
      <c r="Q36" s="2396" t="s">
        <v>2791</v>
      </c>
      <c r="R36" s="2396" t="s">
        <v>2792</v>
      </c>
      <c r="S36" s="2396" t="s">
        <v>2793</v>
      </c>
      <c r="T36" s="163" t="s">
        <v>2794</v>
      </c>
      <c r="U36" s="141" t="s">
        <v>2795</v>
      </c>
      <c r="V36" s="163" t="s">
        <v>2796</v>
      </c>
      <c r="W36" s="163" t="s">
        <v>2797</v>
      </c>
      <c r="X36" s="163" t="s">
        <v>2798</v>
      </c>
      <c r="Y36" s="163" t="s">
        <v>2799</v>
      </c>
      <c r="Z36" s="163" t="s">
        <v>2800</v>
      </c>
      <c r="AA36" s="163" t="s">
        <v>2801</v>
      </c>
      <c r="AB36" s="163" t="s">
        <v>2817</v>
      </c>
      <c r="AC36" s="163" t="s">
        <v>2818</v>
      </c>
      <c r="AD36" s="163" t="s">
        <v>2819</v>
      </c>
      <c r="AE36" s="163" t="s">
        <v>2821</v>
      </c>
      <c r="AF36" s="163" t="s">
        <v>2822</v>
      </c>
      <c r="AG36" s="163" t="s">
        <v>2823</v>
      </c>
      <c r="AH36" s="163" t="s">
        <v>2824</v>
      </c>
      <c r="AI36" s="163" t="s">
        <v>2825</v>
      </c>
      <c r="AJ36" s="163" t="s">
        <v>2826</v>
      </c>
      <c r="AK36" s="163" t="s">
        <v>2827</v>
      </c>
      <c r="AL36" s="163" t="s">
        <v>2831</v>
      </c>
      <c r="AM36" s="163" t="s">
        <v>2832</v>
      </c>
      <c r="AN36" s="163" t="s">
        <v>2833</v>
      </c>
      <c r="AO36" s="163" t="s">
        <v>2834</v>
      </c>
      <c r="AP36" s="163" t="s">
        <v>3011</v>
      </c>
      <c r="AQ36" s="163" t="s">
        <v>3012</v>
      </c>
      <c r="AR36" s="163" t="s">
        <v>3013</v>
      </c>
      <c r="AS36" s="2953" t="s">
        <v>3014</v>
      </c>
      <c r="AT36" s="2953" t="s">
        <v>3015</v>
      </c>
      <c r="AU36" s="163" t="s">
        <v>3206</v>
      </c>
      <c r="AV36" s="163" t="s">
        <v>3207</v>
      </c>
      <c r="AW36" s="163" t="s">
        <v>3272</v>
      </c>
      <c r="AX36" s="163" t="s">
        <v>3273</v>
      </c>
      <c r="AY36" s="163" t="s">
        <v>3419</v>
      </c>
      <c r="AZ36" s="1058"/>
      <c r="BA36" s="1058"/>
      <c r="BB36" s="1058"/>
      <c r="BC36" s="1058"/>
      <c r="BD36" s="1058"/>
      <c r="BE36" s="1058"/>
      <c r="BF36" s="1058"/>
      <c r="BG36" s="1058"/>
      <c r="BH36" s="1058"/>
      <c r="BI36" s="94"/>
      <c r="BJ36" s="94"/>
      <c r="BK36" s="94"/>
      <c r="BL36" s="94"/>
      <c r="BM36" s="94"/>
      <c r="CA36" s="1164" t="e">
        <f t="shared" si="9"/>
        <v>#REF!</v>
      </c>
      <c r="CB36" s="1164" t="str">
        <f t="shared" si="10"/>
        <v/>
      </c>
      <c r="CC36" s="1164" t="str">
        <f t="shared" si="11"/>
        <v xml:space="preserve">* El número de Beneficiarios NO DEBE ser mayor que el Total. </v>
      </c>
      <c r="CD36" s="1164" t="e">
        <f t="shared" si="12"/>
        <v>#VALUE!</v>
      </c>
      <c r="CE36" s="1164" t="e">
        <f t="shared" si="13"/>
        <v>#VALUE!</v>
      </c>
      <c r="CF36" s="1164"/>
      <c r="CG36" s="1163" t="e">
        <f>IF(C36&lt;(#REF!+V36),1,0)</f>
        <v>#REF!</v>
      </c>
      <c r="CH36" s="1163">
        <f t="shared" si="0"/>
        <v>0</v>
      </c>
      <c r="CI36" s="1163">
        <f t="shared" si="1"/>
        <v>1</v>
      </c>
      <c r="CJ36" s="1163" t="e">
        <f t="shared" si="2"/>
        <v>#VALUE!</v>
      </c>
      <c r="CK36" s="1163" t="e">
        <f t="shared" si="3"/>
        <v>#VALUE!</v>
      </c>
      <c r="CL36" s="80"/>
      <c r="CM36" s="80"/>
      <c r="CN36" s="80"/>
      <c r="CO36" s="80"/>
      <c r="CP36" s="80"/>
      <c r="CQ36" s="80"/>
      <c r="CR36" s="80"/>
      <c r="CS36" s="80"/>
      <c r="CT36" s="80"/>
      <c r="CU36" s="80"/>
      <c r="CV36" s="80"/>
      <c r="CW36" s="80"/>
      <c r="CX36" s="80"/>
      <c r="CY36" s="80"/>
      <c r="CZ36" s="80"/>
      <c r="DA36" s="80"/>
    </row>
    <row r="37" spans="1:105" ht="16.350000000000001" customHeight="1" x14ac:dyDescent="0.2">
      <c r="A37" s="2948" t="s">
        <v>3385</v>
      </c>
      <c r="B37" s="879" t="s">
        <v>1006</v>
      </c>
      <c r="C37" s="2636" t="s">
        <v>2777</v>
      </c>
      <c r="D37" s="218" t="s">
        <v>2778</v>
      </c>
      <c r="E37" s="218" t="s">
        <v>2779</v>
      </c>
      <c r="F37" s="218" t="s">
        <v>2780</v>
      </c>
      <c r="G37" s="218" t="s">
        <v>2781</v>
      </c>
      <c r="H37" s="142" t="s">
        <v>2782</v>
      </c>
      <c r="I37" s="142" t="s">
        <v>2783</v>
      </c>
      <c r="J37" s="142" t="s">
        <v>2784</v>
      </c>
      <c r="K37" s="142" t="s">
        <v>2785</v>
      </c>
      <c r="L37" s="142" t="s">
        <v>2786</v>
      </c>
      <c r="M37" s="2396" t="s">
        <v>2787</v>
      </c>
      <c r="N37" s="2396" t="s">
        <v>2788</v>
      </c>
      <c r="O37" s="2396" t="s">
        <v>2789</v>
      </c>
      <c r="P37" s="2396" t="s">
        <v>2790</v>
      </c>
      <c r="Q37" s="2396" t="s">
        <v>2791</v>
      </c>
      <c r="R37" s="2396" t="s">
        <v>2792</v>
      </c>
      <c r="S37" s="2396" t="s">
        <v>2793</v>
      </c>
      <c r="T37" s="163" t="s">
        <v>2794</v>
      </c>
      <c r="U37" s="141" t="s">
        <v>2795</v>
      </c>
      <c r="V37" s="163" t="s">
        <v>2796</v>
      </c>
      <c r="W37" s="163" t="s">
        <v>2797</v>
      </c>
      <c r="X37" s="163" t="s">
        <v>2798</v>
      </c>
      <c r="Y37" s="163" t="s">
        <v>2799</v>
      </c>
      <c r="Z37" s="163" t="s">
        <v>2800</v>
      </c>
      <c r="AA37" s="163" t="s">
        <v>2801</v>
      </c>
      <c r="AB37" s="163" t="s">
        <v>2817</v>
      </c>
      <c r="AC37" s="163" t="s">
        <v>2818</v>
      </c>
      <c r="AD37" s="163" t="s">
        <v>2819</v>
      </c>
      <c r="AE37" s="163" t="s">
        <v>2821</v>
      </c>
      <c r="AF37" s="163" t="s">
        <v>2822</v>
      </c>
      <c r="AG37" s="163" t="s">
        <v>2823</v>
      </c>
      <c r="AH37" s="163" t="s">
        <v>2824</v>
      </c>
      <c r="AI37" s="163" t="s">
        <v>2825</v>
      </c>
      <c r="AJ37" s="163" t="s">
        <v>2826</v>
      </c>
      <c r="AK37" s="163" t="s">
        <v>2827</v>
      </c>
      <c r="AL37" s="163" t="s">
        <v>2831</v>
      </c>
      <c r="AM37" s="163" t="s">
        <v>2832</v>
      </c>
      <c r="AN37" s="163" t="s">
        <v>2833</v>
      </c>
      <c r="AO37" s="163" t="s">
        <v>2834</v>
      </c>
      <c r="AP37" s="163" t="s">
        <v>3011</v>
      </c>
      <c r="AQ37" s="163" t="s">
        <v>3012</v>
      </c>
      <c r="AR37" s="163" t="s">
        <v>3013</v>
      </c>
      <c r="AS37" s="2953" t="s">
        <v>3014</v>
      </c>
      <c r="AT37" s="2953" t="s">
        <v>3015</v>
      </c>
      <c r="AU37" s="163" t="s">
        <v>3206</v>
      </c>
      <c r="AV37" s="163" t="s">
        <v>3207</v>
      </c>
      <c r="AW37" s="163" t="s">
        <v>3272</v>
      </c>
      <c r="AX37" s="163" t="s">
        <v>3273</v>
      </c>
      <c r="AY37" s="163" t="s">
        <v>3419</v>
      </c>
      <c r="AZ37" s="1058"/>
      <c r="BA37" s="1058"/>
      <c r="BB37" s="1058"/>
      <c r="BC37" s="1058"/>
      <c r="BD37" s="1058"/>
      <c r="BE37" s="1058"/>
      <c r="BF37" s="1058"/>
      <c r="BG37" s="1058"/>
      <c r="BH37" s="1058"/>
      <c r="BI37" s="94"/>
      <c r="BJ37" s="94"/>
      <c r="BK37" s="94"/>
      <c r="BL37" s="94"/>
      <c r="BM37" s="94"/>
      <c r="CA37" s="1164" t="e">
        <f t="shared" si="9"/>
        <v>#REF!</v>
      </c>
      <c r="CB37" s="1164" t="str">
        <f t="shared" si="10"/>
        <v/>
      </c>
      <c r="CC37" s="1164" t="str">
        <f t="shared" si="11"/>
        <v xml:space="preserve">* El número de Beneficiarios NO DEBE ser mayor que el Total. </v>
      </c>
      <c r="CD37" s="1164" t="e">
        <f t="shared" si="12"/>
        <v>#VALUE!</v>
      </c>
      <c r="CE37" s="1164" t="e">
        <f t="shared" si="13"/>
        <v>#VALUE!</v>
      </c>
      <c r="CF37" s="1164"/>
      <c r="CG37" s="1163" t="e">
        <f>IF(C37&lt;(#REF!+V37),1,0)</f>
        <v>#REF!</v>
      </c>
      <c r="CH37" s="1163">
        <f t="shared" si="0"/>
        <v>0</v>
      </c>
      <c r="CI37" s="1163">
        <f t="shared" si="1"/>
        <v>1</v>
      </c>
      <c r="CJ37" s="1163" t="e">
        <f t="shared" si="2"/>
        <v>#VALUE!</v>
      </c>
      <c r="CK37" s="1163" t="e">
        <f t="shared" si="3"/>
        <v>#VALUE!</v>
      </c>
      <c r="CL37" s="80"/>
      <c r="CM37" s="80"/>
      <c r="CN37" s="80"/>
      <c r="CO37" s="80"/>
      <c r="CP37" s="80"/>
      <c r="CQ37" s="80"/>
      <c r="CR37" s="80"/>
      <c r="CS37" s="80"/>
      <c r="CT37" s="80"/>
      <c r="CU37" s="80"/>
      <c r="CV37" s="80"/>
      <c r="CW37" s="80"/>
      <c r="CX37" s="80"/>
      <c r="CY37" s="80"/>
      <c r="CZ37" s="80"/>
      <c r="DA37" s="80"/>
    </row>
    <row r="38" spans="1:105" ht="16.350000000000001" customHeight="1" x14ac:dyDescent="0.2">
      <c r="A38" s="2948" t="s">
        <v>3386</v>
      </c>
      <c r="B38" s="879" t="s">
        <v>1007</v>
      </c>
      <c r="C38" s="2636" t="s">
        <v>2777</v>
      </c>
      <c r="D38" s="218" t="s">
        <v>2778</v>
      </c>
      <c r="E38" s="218" t="s">
        <v>2779</v>
      </c>
      <c r="F38" s="218" t="s">
        <v>2780</v>
      </c>
      <c r="G38" s="218" t="s">
        <v>2781</v>
      </c>
      <c r="H38" s="218" t="s">
        <v>2782</v>
      </c>
      <c r="I38" s="218" t="s">
        <v>2783</v>
      </c>
      <c r="J38" s="218" t="s">
        <v>2784</v>
      </c>
      <c r="K38" s="218" t="s">
        <v>2785</v>
      </c>
      <c r="L38" s="218" t="s">
        <v>2786</v>
      </c>
      <c r="M38" s="2396" t="s">
        <v>2787</v>
      </c>
      <c r="N38" s="2396" t="s">
        <v>2788</v>
      </c>
      <c r="O38" s="2396" t="s">
        <v>2789</v>
      </c>
      <c r="P38" s="2396" t="s">
        <v>2790</v>
      </c>
      <c r="Q38" s="2396" t="s">
        <v>2791</v>
      </c>
      <c r="R38" s="2396" t="s">
        <v>2792</v>
      </c>
      <c r="S38" s="2396" t="s">
        <v>2793</v>
      </c>
      <c r="T38" s="163" t="s">
        <v>2794</v>
      </c>
      <c r="U38" s="141" t="s">
        <v>2795</v>
      </c>
      <c r="V38" s="163" t="s">
        <v>2796</v>
      </c>
      <c r="W38" s="163" t="s">
        <v>2797</v>
      </c>
      <c r="X38" s="163" t="s">
        <v>2798</v>
      </c>
      <c r="Y38" s="163" t="s">
        <v>2799</v>
      </c>
      <c r="Z38" s="163" t="s">
        <v>2800</v>
      </c>
      <c r="AA38" s="163" t="s">
        <v>2801</v>
      </c>
      <c r="AB38" s="163" t="s">
        <v>2817</v>
      </c>
      <c r="AC38" s="163" t="s">
        <v>2818</v>
      </c>
      <c r="AD38" s="163" t="s">
        <v>2819</v>
      </c>
      <c r="AE38" s="163" t="s">
        <v>2821</v>
      </c>
      <c r="AF38" s="163" t="s">
        <v>2822</v>
      </c>
      <c r="AG38" s="163" t="s">
        <v>2823</v>
      </c>
      <c r="AH38" s="163" t="s">
        <v>2824</v>
      </c>
      <c r="AI38" s="163" t="s">
        <v>2825</v>
      </c>
      <c r="AJ38" s="163" t="s">
        <v>2826</v>
      </c>
      <c r="AK38" s="163" t="s">
        <v>2827</v>
      </c>
      <c r="AL38" s="163" t="s">
        <v>2831</v>
      </c>
      <c r="AM38" s="163" t="s">
        <v>2832</v>
      </c>
      <c r="AN38" s="163" t="s">
        <v>2833</v>
      </c>
      <c r="AO38" s="163" t="s">
        <v>2834</v>
      </c>
      <c r="AP38" s="163" t="s">
        <v>3011</v>
      </c>
      <c r="AQ38" s="163" t="s">
        <v>3012</v>
      </c>
      <c r="AR38" s="163" t="s">
        <v>3013</v>
      </c>
      <c r="AS38" s="2953" t="s">
        <v>3014</v>
      </c>
      <c r="AT38" s="2953" t="s">
        <v>3015</v>
      </c>
      <c r="AU38" s="163" t="s">
        <v>3206</v>
      </c>
      <c r="AV38" s="163" t="s">
        <v>3207</v>
      </c>
      <c r="AW38" s="163" t="s">
        <v>3272</v>
      </c>
      <c r="AX38" s="163" t="s">
        <v>3273</v>
      </c>
      <c r="AY38" s="163" t="s">
        <v>3419</v>
      </c>
      <c r="AZ38" s="1058"/>
      <c r="BA38" s="1058"/>
      <c r="BB38" s="1058"/>
      <c r="BC38" s="1058"/>
      <c r="BD38" s="1058"/>
      <c r="BE38" s="1058"/>
      <c r="BF38" s="1058"/>
      <c r="BG38" s="1058"/>
      <c r="BH38" s="1058"/>
      <c r="BI38" s="94"/>
      <c r="BJ38" s="94"/>
      <c r="BK38" s="94"/>
      <c r="BL38" s="94"/>
      <c r="BM38" s="94"/>
      <c r="CA38" s="1164" t="e">
        <f t="shared" si="9"/>
        <v>#REF!</v>
      </c>
      <c r="CB38" s="1164" t="str">
        <f t="shared" si="10"/>
        <v/>
      </c>
      <c r="CC38" s="1164" t="str">
        <f t="shared" si="11"/>
        <v xml:space="preserve">* El número de Beneficiarios NO DEBE ser mayor que el Total. </v>
      </c>
      <c r="CD38" s="1164" t="e">
        <f t="shared" si="12"/>
        <v>#VALUE!</v>
      </c>
      <c r="CE38" s="1164" t="e">
        <f t="shared" si="13"/>
        <v>#VALUE!</v>
      </c>
      <c r="CF38" s="1164"/>
      <c r="CG38" s="1163" t="e">
        <f>IF(C38&lt;(#REF!+V38),1,0)</f>
        <v>#REF!</v>
      </c>
      <c r="CH38" s="1163">
        <f t="shared" si="0"/>
        <v>0</v>
      </c>
      <c r="CI38" s="1163">
        <f t="shared" si="1"/>
        <v>1</v>
      </c>
      <c r="CJ38" s="1163" t="e">
        <f t="shared" si="2"/>
        <v>#VALUE!</v>
      </c>
      <c r="CK38" s="1163" t="e">
        <f t="shared" si="3"/>
        <v>#VALUE!</v>
      </c>
      <c r="CL38" s="80"/>
      <c r="CM38" s="80"/>
      <c r="CN38" s="80"/>
      <c r="CO38" s="80"/>
      <c r="CP38" s="80"/>
      <c r="CQ38" s="80"/>
      <c r="CR38" s="80"/>
      <c r="CS38" s="80"/>
      <c r="CT38" s="80"/>
      <c r="CU38" s="80"/>
      <c r="CV38" s="80"/>
      <c r="CW38" s="80"/>
      <c r="CX38" s="80"/>
      <c r="CY38" s="80"/>
      <c r="CZ38" s="80"/>
      <c r="DA38" s="80"/>
    </row>
    <row r="39" spans="1:105" ht="16.350000000000001" customHeight="1" x14ac:dyDescent="0.2">
      <c r="A39" s="2950" t="s">
        <v>3387</v>
      </c>
      <c r="B39" s="879" t="s">
        <v>1669</v>
      </c>
      <c r="C39" s="2636" t="s">
        <v>2777</v>
      </c>
      <c r="D39" s="218" t="s">
        <v>2778</v>
      </c>
      <c r="E39" s="218" t="s">
        <v>2779</v>
      </c>
      <c r="F39" s="218" t="s">
        <v>2780</v>
      </c>
      <c r="G39" s="142" t="s">
        <v>2781</v>
      </c>
      <c r="H39" s="142" t="s">
        <v>2782</v>
      </c>
      <c r="I39" s="142" t="s">
        <v>2783</v>
      </c>
      <c r="J39" s="142" t="s">
        <v>2784</v>
      </c>
      <c r="K39" s="142" t="s">
        <v>2785</v>
      </c>
      <c r="L39" s="142" t="s">
        <v>2786</v>
      </c>
      <c r="M39" s="2396" t="s">
        <v>2787</v>
      </c>
      <c r="N39" s="2396" t="s">
        <v>2788</v>
      </c>
      <c r="O39" s="2396" t="s">
        <v>2789</v>
      </c>
      <c r="P39" s="2396" t="s">
        <v>2790</v>
      </c>
      <c r="Q39" s="2396" t="s">
        <v>2791</v>
      </c>
      <c r="R39" s="2396" t="s">
        <v>2792</v>
      </c>
      <c r="S39" s="2396" t="s">
        <v>2793</v>
      </c>
      <c r="T39" s="163" t="s">
        <v>2794</v>
      </c>
      <c r="U39" s="141" t="s">
        <v>2795</v>
      </c>
      <c r="V39" s="163" t="s">
        <v>2796</v>
      </c>
      <c r="W39" s="163" t="s">
        <v>2797</v>
      </c>
      <c r="X39" s="163" t="s">
        <v>2798</v>
      </c>
      <c r="Y39" s="163" t="s">
        <v>2799</v>
      </c>
      <c r="Z39" s="163" t="s">
        <v>2800</v>
      </c>
      <c r="AA39" s="163" t="s">
        <v>2801</v>
      </c>
      <c r="AB39" s="163" t="s">
        <v>2817</v>
      </c>
      <c r="AC39" s="163" t="s">
        <v>2818</v>
      </c>
      <c r="AD39" s="163" t="s">
        <v>2819</v>
      </c>
      <c r="AE39" s="163" t="s">
        <v>2821</v>
      </c>
      <c r="AF39" s="163" t="s">
        <v>2822</v>
      </c>
      <c r="AG39" s="163" t="s">
        <v>2823</v>
      </c>
      <c r="AH39" s="163" t="s">
        <v>2824</v>
      </c>
      <c r="AI39" s="163" t="s">
        <v>2825</v>
      </c>
      <c r="AJ39" s="163" t="s">
        <v>2826</v>
      </c>
      <c r="AK39" s="163" t="s">
        <v>2827</v>
      </c>
      <c r="AL39" s="163" t="s">
        <v>2831</v>
      </c>
      <c r="AM39" s="163" t="s">
        <v>2832</v>
      </c>
      <c r="AN39" s="163" t="s">
        <v>2833</v>
      </c>
      <c r="AO39" s="163" t="s">
        <v>2834</v>
      </c>
      <c r="AP39" s="163" t="s">
        <v>3011</v>
      </c>
      <c r="AQ39" s="163" t="s">
        <v>3012</v>
      </c>
      <c r="AR39" s="163" t="s">
        <v>3013</v>
      </c>
      <c r="AS39" s="2953" t="s">
        <v>3014</v>
      </c>
      <c r="AT39" s="2953" t="s">
        <v>3015</v>
      </c>
      <c r="AU39" s="163" t="s">
        <v>3206</v>
      </c>
      <c r="AV39" s="163" t="s">
        <v>3207</v>
      </c>
      <c r="AW39" s="163" t="s">
        <v>3272</v>
      </c>
      <c r="AX39" s="163" t="s">
        <v>3273</v>
      </c>
      <c r="AY39" s="163" t="s">
        <v>3419</v>
      </c>
      <c r="AZ39" s="1058"/>
      <c r="BA39" s="1058"/>
      <c r="BB39" s="1058"/>
      <c r="BC39" s="1058"/>
      <c r="BD39" s="1058"/>
      <c r="BE39" s="1058"/>
      <c r="BF39" s="1058"/>
      <c r="BG39" s="1058"/>
      <c r="BH39" s="1058"/>
      <c r="BI39" s="94"/>
      <c r="BJ39" s="94"/>
      <c r="BK39" s="94"/>
      <c r="BL39" s="94"/>
      <c r="BM39" s="94"/>
      <c r="CA39" s="1164" t="e">
        <f t="shared" si="9"/>
        <v>#REF!</v>
      </c>
      <c r="CB39" s="1164" t="str">
        <f t="shared" si="10"/>
        <v/>
      </c>
      <c r="CC39" s="1164" t="str">
        <f t="shared" si="11"/>
        <v xml:space="preserve">* El número de Beneficiarios NO DEBE ser mayor que el Total. </v>
      </c>
      <c r="CD39" s="1164" t="e">
        <f t="shared" si="12"/>
        <v>#VALUE!</v>
      </c>
      <c r="CE39" s="1164" t="e">
        <f t="shared" si="13"/>
        <v>#VALUE!</v>
      </c>
      <c r="CF39" s="1164"/>
      <c r="CG39" s="1163" t="e">
        <f>IF(C39&lt;(#REF!+V39),1,0)</f>
        <v>#REF!</v>
      </c>
      <c r="CH39" s="1163">
        <f t="shared" si="0"/>
        <v>0</v>
      </c>
      <c r="CI39" s="1163">
        <f t="shared" si="1"/>
        <v>1</v>
      </c>
      <c r="CJ39" s="1163" t="e">
        <f t="shared" si="2"/>
        <v>#VALUE!</v>
      </c>
      <c r="CK39" s="1163" t="e">
        <f t="shared" si="3"/>
        <v>#VALUE!</v>
      </c>
      <c r="CL39" s="80"/>
      <c r="CM39" s="80"/>
      <c r="CN39" s="80"/>
      <c r="CO39" s="80"/>
      <c r="CP39" s="80"/>
      <c r="CQ39" s="80"/>
      <c r="CR39" s="80"/>
      <c r="CS39" s="80"/>
      <c r="CT39" s="80"/>
      <c r="CU39" s="80"/>
      <c r="CV39" s="80"/>
      <c r="CW39" s="80"/>
      <c r="CX39" s="80"/>
      <c r="CY39" s="80"/>
      <c r="CZ39" s="80"/>
      <c r="DA39" s="80"/>
    </row>
    <row r="40" spans="1:105" ht="16.350000000000001" customHeight="1" x14ac:dyDescent="0.2">
      <c r="A40" s="2948" t="s">
        <v>3388</v>
      </c>
      <c r="B40" s="879" t="s">
        <v>1008</v>
      </c>
      <c r="C40" s="2636" t="s">
        <v>2777</v>
      </c>
      <c r="D40" s="218" t="s">
        <v>2778</v>
      </c>
      <c r="E40" s="218" t="s">
        <v>2779</v>
      </c>
      <c r="F40" s="218" t="s">
        <v>2780</v>
      </c>
      <c r="G40" s="142" t="s">
        <v>2781</v>
      </c>
      <c r="H40" s="142" t="s">
        <v>2782</v>
      </c>
      <c r="I40" s="142" t="s">
        <v>2783</v>
      </c>
      <c r="J40" s="142" t="s">
        <v>2784</v>
      </c>
      <c r="K40" s="142" t="s">
        <v>2785</v>
      </c>
      <c r="L40" s="142" t="s">
        <v>2786</v>
      </c>
      <c r="M40" s="2396" t="s">
        <v>2787</v>
      </c>
      <c r="N40" s="2396" t="s">
        <v>2788</v>
      </c>
      <c r="O40" s="2396" t="s">
        <v>2789</v>
      </c>
      <c r="P40" s="2396" t="s">
        <v>2790</v>
      </c>
      <c r="Q40" s="2396" t="s">
        <v>2791</v>
      </c>
      <c r="R40" s="2396" t="s">
        <v>2792</v>
      </c>
      <c r="S40" s="2396" t="s">
        <v>2793</v>
      </c>
      <c r="T40" s="163" t="s">
        <v>2794</v>
      </c>
      <c r="U40" s="141" t="s">
        <v>2795</v>
      </c>
      <c r="V40" s="163" t="s">
        <v>2796</v>
      </c>
      <c r="W40" s="163" t="s">
        <v>2797</v>
      </c>
      <c r="X40" s="163" t="s">
        <v>2798</v>
      </c>
      <c r="Y40" s="163" t="s">
        <v>2799</v>
      </c>
      <c r="Z40" s="163" t="s">
        <v>2800</v>
      </c>
      <c r="AA40" s="163" t="s">
        <v>2801</v>
      </c>
      <c r="AB40" s="163" t="s">
        <v>2817</v>
      </c>
      <c r="AC40" s="163" t="s">
        <v>2818</v>
      </c>
      <c r="AD40" s="163" t="s">
        <v>2819</v>
      </c>
      <c r="AE40" s="163" t="s">
        <v>2821</v>
      </c>
      <c r="AF40" s="163" t="s">
        <v>2822</v>
      </c>
      <c r="AG40" s="163" t="s">
        <v>2823</v>
      </c>
      <c r="AH40" s="163" t="s">
        <v>2824</v>
      </c>
      <c r="AI40" s="163" t="s">
        <v>2825</v>
      </c>
      <c r="AJ40" s="163" t="s">
        <v>2826</v>
      </c>
      <c r="AK40" s="163" t="s">
        <v>2827</v>
      </c>
      <c r="AL40" s="163" t="s">
        <v>2831</v>
      </c>
      <c r="AM40" s="163" t="s">
        <v>2832</v>
      </c>
      <c r="AN40" s="163" t="s">
        <v>2833</v>
      </c>
      <c r="AO40" s="163" t="s">
        <v>2834</v>
      </c>
      <c r="AP40" s="163" t="s">
        <v>3011</v>
      </c>
      <c r="AQ40" s="163" t="s">
        <v>3012</v>
      </c>
      <c r="AR40" s="163" t="s">
        <v>3013</v>
      </c>
      <c r="AS40" s="2953" t="s">
        <v>3014</v>
      </c>
      <c r="AT40" s="2953" t="s">
        <v>3015</v>
      </c>
      <c r="AU40" s="163" t="s">
        <v>3206</v>
      </c>
      <c r="AV40" s="163" t="s">
        <v>3207</v>
      </c>
      <c r="AW40" s="163" t="s">
        <v>3272</v>
      </c>
      <c r="AX40" s="163" t="s">
        <v>3273</v>
      </c>
      <c r="AY40" s="163" t="s">
        <v>3419</v>
      </c>
      <c r="AZ40" s="1058"/>
      <c r="BA40" s="1058"/>
      <c r="BB40" s="1058"/>
      <c r="BC40" s="1058"/>
      <c r="BD40" s="1058"/>
      <c r="BE40" s="1058"/>
      <c r="BF40" s="1058"/>
      <c r="BG40" s="1058"/>
      <c r="BH40" s="1058"/>
      <c r="BI40" s="94"/>
      <c r="BJ40" s="94"/>
      <c r="BK40" s="94"/>
      <c r="BL40" s="94"/>
      <c r="BM40" s="94"/>
      <c r="CA40" s="1164" t="e">
        <f t="shared" si="9"/>
        <v>#REF!</v>
      </c>
      <c r="CB40" s="1164" t="str">
        <f t="shared" si="10"/>
        <v/>
      </c>
      <c r="CC40" s="1164" t="str">
        <f t="shared" si="11"/>
        <v xml:space="preserve">* El número de Beneficiarios NO DEBE ser mayor que el Total. </v>
      </c>
      <c r="CD40" s="1164" t="e">
        <f t="shared" si="12"/>
        <v>#VALUE!</v>
      </c>
      <c r="CE40" s="1164" t="e">
        <f t="shared" si="13"/>
        <v>#VALUE!</v>
      </c>
      <c r="CF40" s="1164"/>
      <c r="CG40" s="1163" t="e">
        <f>IF(C40&lt;(#REF!+V40),1,0)</f>
        <v>#REF!</v>
      </c>
      <c r="CH40" s="1163">
        <f t="shared" si="0"/>
        <v>0</v>
      </c>
      <c r="CI40" s="1163">
        <f t="shared" si="1"/>
        <v>1</v>
      </c>
      <c r="CJ40" s="1163" t="e">
        <f t="shared" si="2"/>
        <v>#VALUE!</v>
      </c>
      <c r="CK40" s="1163" t="e">
        <f t="shared" si="3"/>
        <v>#VALUE!</v>
      </c>
      <c r="CL40" s="80"/>
      <c r="CM40" s="80"/>
      <c r="CN40" s="80"/>
      <c r="CO40" s="80"/>
      <c r="CP40" s="80"/>
      <c r="CQ40" s="80"/>
      <c r="CR40" s="80"/>
      <c r="CS40" s="80"/>
      <c r="CT40" s="80"/>
      <c r="CU40" s="80"/>
      <c r="CV40" s="80"/>
      <c r="CW40" s="80"/>
      <c r="CX40" s="80"/>
      <c r="CY40" s="80"/>
      <c r="CZ40" s="80"/>
      <c r="DA40" s="80"/>
    </row>
    <row r="41" spans="1:105" ht="16.350000000000001" customHeight="1" x14ac:dyDescent="0.2">
      <c r="A41" s="2948" t="s">
        <v>3389</v>
      </c>
      <c r="B41" s="879" t="s">
        <v>1009</v>
      </c>
      <c r="C41" s="2636" t="s">
        <v>2777</v>
      </c>
      <c r="D41" s="218" t="s">
        <v>2778</v>
      </c>
      <c r="E41" s="218" t="s">
        <v>2779</v>
      </c>
      <c r="F41" s="218" t="s">
        <v>2780</v>
      </c>
      <c r="G41" s="142" t="s">
        <v>2781</v>
      </c>
      <c r="H41" s="142" t="s">
        <v>2782</v>
      </c>
      <c r="I41" s="142" t="s">
        <v>2783</v>
      </c>
      <c r="J41" s="142" t="s">
        <v>2784</v>
      </c>
      <c r="K41" s="142" t="s">
        <v>2785</v>
      </c>
      <c r="L41" s="142" t="s">
        <v>2786</v>
      </c>
      <c r="M41" s="2396" t="s">
        <v>2787</v>
      </c>
      <c r="N41" s="2396" t="s">
        <v>2788</v>
      </c>
      <c r="O41" s="2396" t="s">
        <v>2789</v>
      </c>
      <c r="P41" s="2396" t="s">
        <v>2790</v>
      </c>
      <c r="Q41" s="2396" t="s">
        <v>2791</v>
      </c>
      <c r="R41" s="2396" t="s">
        <v>2792</v>
      </c>
      <c r="S41" s="2396" t="s">
        <v>2793</v>
      </c>
      <c r="T41" s="163" t="s">
        <v>2794</v>
      </c>
      <c r="U41" s="141" t="s">
        <v>2795</v>
      </c>
      <c r="V41" s="163" t="s">
        <v>2796</v>
      </c>
      <c r="W41" s="163" t="s">
        <v>2797</v>
      </c>
      <c r="X41" s="163" t="s">
        <v>2798</v>
      </c>
      <c r="Y41" s="163" t="s">
        <v>2799</v>
      </c>
      <c r="Z41" s="163" t="s">
        <v>2800</v>
      </c>
      <c r="AA41" s="163" t="s">
        <v>2801</v>
      </c>
      <c r="AB41" s="163" t="s">
        <v>2817</v>
      </c>
      <c r="AC41" s="163" t="s">
        <v>2818</v>
      </c>
      <c r="AD41" s="163" t="s">
        <v>2819</v>
      </c>
      <c r="AE41" s="163" t="s">
        <v>2821</v>
      </c>
      <c r="AF41" s="163" t="s">
        <v>2822</v>
      </c>
      <c r="AG41" s="163" t="s">
        <v>2823</v>
      </c>
      <c r="AH41" s="163" t="s">
        <v>2824</v>
      </c>
      <c r="AI41" s="163" t="s">
        <v>2825</v>
      </c>
      <c r="AJ41" s="163" t="s">
        <v>2826</v>
      </c>
      <c r="AK41" s="163" t="s">
        <v>2827</v>
      </c>
      <c r="AL41" s="163" t="s">
        <v>2831</v>
      </c>
      <c r="AM41" s="163" t="s">
        <v>2832</v>
      </c>
      <c r="AN41" s="163" t="s">
        <v>2833</v>
      </c>
      <c r="AO41" s="163" t="s">
        <v>2834</v>
      </c>
      <c r="AP41" s="163" t="s">
        <v>3011</v>
      </c>
      <c r="AQ41" s="163" t="s">
        <v>3012</v>
      </c>
      <c r="AR41" s="163" t="s">
        <v>3013</v>
      </c>
      <c r="AS41" s="2953" t="s">
        <v>3014</v>
      </c>
      <c r="AT41" s="2953" t="s">
        <v>3015</v>
      </c>
      <c r="AU41" s="163" t="s">
        <v>3206</v>
      </c>
      <c r="AV41" s="163" t="s">
        <v>3207</v>
      </c>
      <c r="AW41" s="163" t="s">
        <v>3272</v>
      </c>
      <c r="AX41" s="163" t="s">
        <v>3273</v>
      </c>
      <c r="AY41" s="163" t="s">
        <v>3419</v>
      </c>
      <c r="AZ41" s="1058"/>
      <c r="BA41" s="1058"/>
      <c r="BB41" s="1058"/>
      <c r="BC41" s="1058"/>
      <c r="BD41" s="1058"/>
      <c r="BE41" s="1058"/>
      <c r="BF41" s="1058"/>
      <c r="BG41" s="1058"/>
      <c r="BH41" s="1058"/>
      <c r="BI41" s="94"/>
      <c r="BJ41" s="94"/>
      <c r="BK41" s="94"/>
      <c r="BL41" s="94"/>
      <c r="BM41" s="94"/>
      <c r="CA41" s="1164" t="e">
        <f t="shared" si="9"/>
        <v>#REF!</v>
      </c>
      <c r="CB41" s="1164" t="str">
        <f t="shared" si="10"/>
        <v/>
      </c>
      <c r="CC41" s="1164" t="str">
        <f t="shared" si="11"/>
        <v xml:space="preserve">* El número de Beneficiarios NO DEBE ser mayor que el Total. </v>
      </c>
      <c r="CD41" s="1164" t="e">
        <f t="shared" si="12"/>
        <v>#VALUE!</v>
      </c>
      <c r="CE41" s="1164" t="e">
        <f t="shared" si="13"/>
        <v>#VALUE!</v>
      </c>
      <c r="CF41" s="1164"/>
      <c r="CG41" s="1163" t="e">
        <f>IF(C41&lt;(#REF!+V41),1,0)</f>
        <v>#REF!</v>
      </c>
      <c r="CH41" s="1163">
        <f t="shared" si="0"/>
        <v>0</v>
      </c>
      <c r="CI41" s="1163">
        <f t="shared" si="1"/>
        <v>1</v>
      </c>
      <c r="CJ41" s="1163" t="e">
        <f t="shared" si="2"/>
        <v>#VALUE!</v>
      </c>
      <c r="CK41" s="1163" t="e">
        <f t="shared" si="3"/>
        <v>#VALUE!</v>
      </c>
      <c r="CL41" s="80"/>
      <c r="CM41" s="80"/>
      <c r="CN41" s="80"/>
      <c r="CO41" s="80"/>
      <c r="CP41" s="80"/>
      <c r="CQ41" s="80"/>
      <c r="CR41" s="80"/>
      <c r="CS41" s="80"/>
      <c r="CT41" s="80"/>
      <c r="CU41" s="80"/>
      <c r="CV41" s="80"/>
      <c r="CW41" s="80"/>
      <c r="CX41" s="80"/>
      <c r="CY41" s="80"/>
      <c r="CZ41" s="80"/>
      <c r="DA41" s="80"/>
    </row>
    <row r="42" spans="1:105" ht="16.350000000000001" customHeight="1" x14ac:dyDescent="0.2">
      <c r="A42" s="2948" t="s">
        <v>3390</v>
      </c>
      <c r="B42" s="879" t="s">
        <v>1670</v>
      </c>
      <c r="C42" s="2636" t="s">
        <v>2777</v>
      </c>
      <c r="D42" s="141" t="s">
        <v>2778</v>
      </c>
      <c r="E42" s="180" t="s">
        <v>2779</v>
      </c>
      <c r="F42" s="142" t="s">
        <v>2780</v>
      </c>
      <c r="G42" s="142" t="s">
        <v>2781</v>
      </c>
      <c r="H42" s="142" t="s">
        <v>2782</v>
      </c>
      <c r="I42" s="142" t="s">
        <v>2783</v>
      </c>
      <c r="J42" s="142" t="s">
        <v>2784</v>
      </c>
      <c r="K42" s="142" t="s">
        <v>2785</v>
      </c>
      <c r="L42" s="142" t="s">
        <v>2786</v>
      </c>
      <c r="M42" s="2396" t="s">
        <v>2787</v>
      </c>
      <c r="N42" s="2396" t="s">
        <v>2788</v>
      </c>
      <c r="O42" s="2396" t="s">
        <v>2789</v>
      </c>
      <c r="P42" s="2396" t="s">
        <v>2790</v>
      </c>
      <c r="Q42" s="2396" t="s">
        <v>2791</v>
      </c>
      <c r="R42" s="2396" t="s">
        <v>2792</v>
      </c>
      <c r="S42" s="2396" t="s">
        <v>2793</v>
      </c>
      <c r="T42" s="163" t="s">
        <v>2794</v>
      </c>
      <c r="U42" s="141" t="s">
        <v>2795</v>
      </c>
      <c r="V42" s="163" t="s">
        <v>2796</v>
      </c>
      <c r="W42" s="163" t="s">
        <v>2797</v>
      </c>
      <c r="X42" s="163" t="s">
        <v>2798</v>
      </c>
      <c r="Y42" s="163" t="s">
        <v>2799</v>
      </c>
      <c r="Z42" s="163" t="s">
        <v>2800</v>
      </c>
      <c r="AA42" s="163" t="s">
        <v>2801</v>
      </c>
      <c r="AB42" s="163" t="s">
        <v>2817</v>
      </c>
      <c r="AC42" s="163" t="s">
        <v>2818</v>
      </c>
      <c r="AD42" s="163" t="s">
        <v>2819</v>
      </c>
      <c r="AE42" s="163" t="s">
        <v>2821</v>
      </c>
      <c r="AF42" s="163" t="s">
        <v>2822</v>
      </c>
      <c r="AG42" s="163" t="s">
        <v>2823</v>
      </c>
      <c r="AH42" s="163" t="s">
        <v>2824</v>
      </c>
      <c r="AI42" s="163" t="s">
        <v>2825</v>
      </c>
      <c r="AJ42" s="163" t="s">
        <v>2826</v>
      </c>
      <c r="AK42" s="163" t="s">
        <v>2827</v>
      </c>
      <c r="AL42" s="163" t="s">
        <v>2831</v>
      </c>
      <c r="AM42" s="163" t="s">
        <v>2832</v>
      </c>
      <c r="AN42" s="163" t="s">
        <v>2833</v>
      </c>
      <c r="AO42" s="163" t="s">
        <v>2834</v>
      </c>
      <c r="AP42" s="163" t="s">
        <v>3011</v>
      </c>
      <c r="AQ42" s="163" t="s">
        <v>3012</v>
      </c>
      <c r="AR42" s="163" t="s">
        <v>3013</v>
      </c>
      <c r="AS42" s="2953" t="s">
        <v>3014</v>
      </c>
      <c r="AT42" s="2953" t="s">
        <v>3015</v>
      </c>
      <c r="AU42" s="163" t="s">
        <v>3206</v>
      </c>
      <c r="AV42" s="163" t="s">
        <v>3207</v>
      </c>
      <c r="AW42" s="163" t="s">
        <v>3272</v>
      </c>
      <c r="AX42" s="163" t="s">
        <v>3273</v>
      </c>
      <c r="AY42" s="163" t="s">
        <v>3419</v>
      </c>
      <c r="AZ42" s="1058"/>
      <c r="BA42" s="1058"/>
      <c r="BB42" s="1058"/>
      <c r="BC42" s="1058"/>
      <c r="BD42" s="1058"/>
      <c r="BE42" s="1058"/>
      <c r="BF42" s="1058"/>
      <c r="BG42" s="1058"/>
      <c r="BH42" s="1058"/>
      <c r="BI42" s="94"/>
      <c r="BJ42" s="94"/>
      <c r="BK42" s="94"/>
      <c r="BL42" s="94"/>
      <c r="BM42" s="94"/>
      <c r="CA42" s="1164" t="e">
        <f t="shared" si="9"/>
        <v>#REF!</v>
      </c>
      <c r="CB42" s="1164" t="str">
        <f t="shared" si="10"/>
        <v/>
      </c>
      <c r="CC42" s="1164" t="str">
        <f t="shared" si="11"/>
        <v xml:space="preserve">* El número de Beneficiarios NO DEBE ser mayor que el Total. </v>
      </c>
      <c r="CD42" s="1164" t="e">
        <f t="shared" si="12"/>
        <v>#VALUE!</v>
      </c>
      <c r="CE42" s="1164" t="e">
        <f t="shared" si="13"/>
        <v>#VALUE!</v>
      </c>
      <c r="CF42" s="1164"/>
      <c r="CG42" s="1163" t="e">
        <f>IF(C42&lt;(#REF!+V42),1,0)</f>
        <v>#REF!</v>
      </c>
      <c r="CH42" s="1163">
        <f t="shared" si="0"/>
        <v>0</v>
      </c>
      <c r="CI42" s="1163">
        <f t="shared" si="1"/>
        <v>1</v>
      </c>
      <c r="CJ42" s="1163" t="e">
        <f t="shared" si="2"/>
        <v>#VALUE!</v>
      </c>
      <c r="CK42" s="1163" t="e">
        <f t="shared" si="3"/>
        <v>#VALUE!</v>
      </c>
      <c r="CL42" s="80"/>
      <c r="CM42" s="80"/>
      <c r="CN42" s="80"/>
      <c r="CO42" s="80"/>
      <c r="CP42" s="80"/>
      <c r="CQ42" s="80"/>
      <c r="CR42" s="80"/>
      <c r="CS42" s="80"/>
      <c r="CT42" s="80"/>
      <c r="CU42" s="80"/>
      <c r="CV42" s="80"/>
      <c r="CW42" s="80"/>
      <c r="CX42" s="80"/>
      <c r="CY42" s="80"/>
      <c r="CZ42" s="80"/>
      <c r="DA42" s="80"/>
    </row>
    <row r="43" spans="1:105" ht="16.350000000000001" customHeight="1" x14ac:dyDescent="0.2">
      <c r="A43" s="2948" t="s">
        <v>3391</v>
      </c>
      <c r="B43" s="879" t="s">
        <v>1010</v>
      </c>
      <c r="C43" s="2636" t="s">
        <v>2777</v>
      </c>
      <c r="D43" s="141" t="s">
        <v>2778</v>
      </c>
      <c r="E43" s="180" t="s">
        <v>2779</v>
      </c>
      <c r="F43" s="142" t="s">
        <v>2780</v>
      </c>
      <c r="G43" s="142" t="s">
        <v>2781</v>
      </c>
      <c r="H43" s="142" t="s">
        <v>2782</v>
      </c>
      <c r="I43" s="142" t="s">
        <v>2783</v>
      </c>
      <c r="J43" s="142" t="s">
        <v>2784</v>
      </c>
      <c r="K43" s="142" t="s">
        <v>2785</v>
      </c>
      <c r="L43" s="142" t="s">
        <v>2786</v>
      </c>
      <c r="M43" s="2396" t="s">
        <v>2787</v>
      </c>
      <c r="N43" s="2396" t="s">
        <v>2788</v>
      </c>
      <c r="O43" s="2396" t="s">
        <v>2789</v>
      </c>
      <c r="P43" s="2396" t="s">
        <v>2790</v>
      </c>
      <c r="Q43" s="2396" t="s">
        <v>2791</v>
      </c>
      <c r="R43" s="2396" t="s">
        <v>2792</v>
      </c>
      <c r="S43" s="2396" t="s">
        <v>2793</v>
      </c>
      <c r="T43" s="163" t="s">
        <v>2794</v>
      </c>
      <c r="U43" s="141" t="s">
        <v>2795</v>
      </c>
      <c r="V43" s="163" t="s">
        <v>2796</v>
      </c>
      <c r="W43" s="163" t="s">
        <v>2797</v>
      </c>
      <c r="X43" s="163" t="s">
        <v>2798</v>
      </c>
      <c r="Y43" s="163" t="s">
        <v>2799</v>
      </c>
      <c r="Z43" s="163" t="s">
        <v>2800</v>
      </c>
      <c r="AA43" s="163" t="s">
        <v>2801</v>
      </c>
      <c r="AB43" s="163" t="s">
        <v>2817</v>
      </c>
      <c r="AC43" s="163" t="s">
        <v>2818</v>
      </c>
      <c r="AD43" s="163" t="s">
        <v>2819</v>
      </c>
      <c r="AE43" s="163" t="s">
        <v>2821</v>
      </c>
      <c r="AF43" s="163" t="s">
        <v>2822</v>
      </c>
      <c r="AG43" s="163" t="s">
        <v>2823</v>
      </c>
      <c r="AH43" s="163" t="s">
        <v>2824</v>
      </c>
      <c r="AI43" s="163" t="s">
        <v>2825</v>
      </c>
      <c r="AJ43" s="163" t="s">
        <v>2826</v>
      </c>
      <c r="AK43" s="163" t="s">
        <v>2827</v>
      </c>
      <c r="AL43" s="163" t="s">
        <v>2831</v>
      </c>
      <c r="AM43" s="163" t="s">
        <v>2832</v>
      </c>
      <c r="AN43" s="163" t="s">
        <v>2833</v>
      </c>
      <c r="AO43" s="163" t="s">
        <v>2834</v>
      </c>
      <c r="AP43" s="163" t="s">
        <v>3011</v>
      </c>
      <c r="AQ43" s="163" t="s">
        <v>3012</v>
      </c>
      <c r="AR43" s="163" t="s">
        <v>3013</v>
      </c>
      <c r="AS43" s="2953" t="s">
        <v>3014</v>
      </c>
      <c r="AT43" s="2953" t="s">
        <v>3015</v>
      </c>
      <c r="AU43" s="163" t="s">
        <v>3206</v>
      </c>
      <c r="AV43" s="163" t="s">
        <v>3207</v>
      </c>
      <c r="AW43" s="163" t="s">
        <v>3272</v>
      </c>
      <c r="AX43" s="163" t="s">
        <v>3273</v>
      </c>
      <c r="AY43" s="163" t="s">
        <v>3419</v>
      </c>
      <c r="AZ43" s="1058"/>
      <c r="BA43" s="1058"/>
      <c r="BB43" s="1058"/>
      <c r="BC43" s="1058"/>
      <c r="BD43" s="1058"/>
      <c r="BE43" s="1058"/>
      <c r="BF43" s="1058"/>
      <c r="BG43" s="1058"/>
      <c r="BH43" s="1058"/>
      <c r="BI43" s="94"/>
      <c r="BJ43" s="94"/>
      <c r="BK43" s="94"/>
      <c r="BL43" s="94"/>
      <c r="BM43" s="94"/>
      <c r="CA43" s="1164" t="e">
        <f t="shared" si="9"/>
        <v>#REF!</v>
      </c>
      <c r="CB43" s="1164" t="str">
        <f t="shared" si="10"/>
        <v/>
      </c>
      <c r="CC43" s="1164" t="str">
        <f t="shared" si="11"/>
        <v xml:space="preserve">* El número de Beneficiarios NO DEBE ser mayor que el Total. </v>
      </c>
      <c r="CD43" s="1164" t="e">
        <f t="shared" si="12"/>
        <v>#VALUE!</v>
      </c>
      <c r="CE43" s="1164" t="e">
        <f t="shared" si="13"/>
        <v>#VALUE!</v>
      </c>
      <c r="CF43" s="1164"/>
      <c r="CG43" s="1163" t="e">
        <f>IF(C43&lt;(#REF!+V43),1,0)</f>
        <v>#REF!</v>
      </c>
      <c r="CH43" s="1163">
        <f t="shared" ref="CH43:CH70" si="14">IF(AND(C43&lt;&gt;0,U43=0),1,0)</f>
        <v>0</v>
      </c>
      <c r="CI43" s="1163">
        <f t="shared" ref="CI43:CI70" si="15">IF(C43&lt;(U43),1,0)</f>
        <v>1</v>
      </c>
      <c r="CJ43" s="1163" t="e">
        <f t="shared" ref="CJ43:CJ70" si="16">IF(C43&lt;(W43+AA43),1,0)</f>
        <v>#VALUE!</v>
      </c>
      <c r="CK43" s="1163" t="e">
        <f t="shared" ref="CK43:CK70" si="17">IF(AND((X43+AB43)&lt;&gt;0,OR(AE43="",AF43="")),1,0)</f>
        <v>#VALUE!</v>
      </c>
      <c r="CL43" s="80"/>
      <c r="CM43" s="80"/>
      <c r="CN43" s="80"/>
      <c r="CO43" s="80"/>
      <c r="CP43" s="80"/>
      <c r="CQ43" s="80"/>
      <c r="CR43" s="80"/>
      <c r="CS43" s="80"/>
      <c r="CT43" s="80"/>
      <c r="CU43" s="80"/>
      <c r="CV43" s="80"/>
      <c r="CW43" s="80"/>
      <c r="CX43" s="80"/>
      <c r="CY43" s="80"/>
      <c r="CZ43" s="80"/>
      <c r="DA43" s="80"/>
    </row>
    <row r="44" spans="1:105" ht="16.350000000000001" customHeight="1" x14ac:dyDescent="0.2">
      <c r="A44" s="2948" t="s">
        <v>3392</v>
      </c>
      <c r="B44" s="879" t="s">
        <v>1671</v>
      </c>
      <c r="C44" s="2636" t="s">
        <v>2777</v>
      </c>
      <c r="D44" s="141" t="s">
        <v>2778</v>
      </c>
      <c r="E44" s="180" t="s">
        <v>2779</v>
      </c>
      <c r="F44" s="142" t="s">
        <v>2780</v>
      </c>
      <c r="G44" s="142" t="s">
        <v>2781</v>
      </c>
      <c r="H44" s="142" t="s">
        <v>2782</v>
      </c>
      <c r="I44" s="142" t="s">
        <v>2783</v>
      </c>
      <c r="J44" s="142" t="s">
        <v>2784</v>
      </c>
      <c r="K44" s="142" t="s">
        <v>2785</v>
      </c>
      <c r="L44" s="142" t="s">
        <v>2786</v>
      </c>
      <c r="M44" s="2396" t="s">
        <v>2787</v>
      </c>
      <c r="N44" s="2396" t="s">
        <v>2788</v>
      </c>
      <c r="O44" s="2396" t="s">
        <v>2789</v>
      </c>
      <c r="P44" s="2396" t="s">
        <v>2790</v>
      </c>
      <c r="Q44" s="2396" t="s">
        <v>2791</v>
      </c>
      <c r="R44" s="2396" t="s">
        <v>2792</v>
      </c>
      <c r="S44" s="2396" t="s">
        <v>2793</v>
      </c>
      <c r="T44" s="163" t="s">
        <v>2794</v>
      </c>
      <c r="U44" s="141" t="s">
        <v>2795</v>
      </c>
      <c r="V44" s="163" t="s">
        <v>2796</v>
      </c>
      <c r="W44" s="163" t="s">
        <v>2797</v>
      </c>
      <c r="X44" s="163" t="s">
        <v>2798</v>
      </c>
      <c r="Y44" s="163" t="s">
        <v>2799</v>
      </c>
      <c r="Z44" s="163" t="s">
        <v>2800</v>
      </c>
      <c r="AA44" s="163" t="s">
        <v>2801</v>
      </c>
      <c r="AB44" s="163" t="s">
        <v>2817</v>
      </c>
      <c r="AC44" s="163" t="s">
        <v>2818</v>
      </c>
      <c r="AD44" s="163" t="s">
        <v>2819</v>
      </c>
      <c r="AE44" s="163" t="s">
        <v>2821</v>
      </c>
      <c r="AF44" s="163" t="s">
        <v>2822</v>
      </c>
      <c r="AG44" s="163" t="s">
        <v>2823</v>
      </c>
      <c r="AH44" s="163" t="s">
        <v>2824</v>
      </c>
      <c r="AI44" s="163" t="s">
        <v>2825</v>
      </c>
      <c r="AJ44" s="163" t="s">
        <v>2826</v>
      </c>
      <c r="AK44" s="163" t="s">
        <v>2827</v>
      </c>
      <c r="AL44" s="163" t="s">
        <v>2831</v>
      </c>
      <c r="AM44" s="163" t="s">
        <v>2832</v>
      </c>
      <c r="AN44" s="163" t="s">
        <v>2833</v>
      </c>
      <c r="AO44" s="163" t="s">
        <v>2834</v>
      </c>
      <c r="AP44" s="163" t="s">
        <v>3011</v>
      </c>
      <c r="AQ44" s="163" t="s">
        <v>3012</v>
      </c>
      <c r="AR44" s="163" t="s">
        <v>3013</v>
      </c>
      <c r="AS44" s="2953" t="s">
        <v>3014</v>
      </c>
      <c r="AT44" s="2953" t="s">
        <v>3015</v>
      </c>
      <c r="AU44" s="163" t="s">
        <v>3206</v>
      </c>
      <c r="AV44" s="163" t="s">
        <v>3207</v>
      </c>
      <c r="AW44" s="163" t="s">
        <v>3272</v>
      </c>
      <c r="AX44" s="163" t="s">
        <v>3273</v>
      </c>
      <c r="AY44" s="163" t="s">
        <v>3419</v>
      </c>
      <c r="AZ44" s="1058"/>
      <c r="BA44" s="1058"/>
      <c r="BB44" s="1058"/>
      <c r="BC44" s="1058"/>
      <c r="BD44" s="1058"/>
      <c r="BE44" s="1058"/>
      <c r="BF44" s="1058"/>
      <c r="BG44" s="1058"/>
      <c r="BH44" s="1058"/>
      <c r="BI44" s="94"/>
      <c r="BJ44" s="94"/>
      <c r="BK44" s="94"/>
      <c r="BL44" s="94"/>
      <c r="BM44" s="94"/>
      <c r="CA44" s="1164" t="e">
        <f t="shared" si="9"/>
        <v>#REF!</v>
      </c>
      <c r="CB44" s="1164" t="str">
        <f t="shared" si="10"/>
        <v/>
      </c>
      <c r="CC44" s="1164" t="str">
        <f t="shared" si="11"/>
        <v xml:space="preserve">* El número de Beneficiarios NO DEBE ser mayor que el Total. </v>
      </c>
      <c r="CD44" s="1164" t="e">
        <f t="shared" si="12"/>
        <v>#VALUE!</v>
      </c>
      <c r="CE44" s="1164" t="e">
        <f t="shared" si="13"/>
        <v>#VALUE!</v>
      </c>
      <c r="CF44" s="1164"/>
      <c r="CG44" s="1163" t="e">
        <f>IF(C44&lt;(#REF!+V44),1,0)</f>
        <v>#REF!</v>
      </c>
      <c r="CH44" s="1163">
        <f t="shared" si="14"/>
        <v>0</v>
      </c>
      <c r="CI44" s="1163">
        <f t="shared" si="15"/>
        <v>1</v>
      </c>
      <c r="CJ44" s="1163" t="e">
        <f t="shared" si="16"/>
        <v>#VALUE!</v>
      </c>
      <c r="CK44" s="1163" t="e">
        <f t="shared" si="17"/>
        <v>#VALUE!</v>
      </c>
      <c r="CL44" s="80"/>
      <c r="CM44" s="80"/>
      <c r="CN44" s="80"/>
      <c r="CO44" s="80"/>
      <c r="CP44" s="80"/>
      <c r="CQ44" s="80"/>
      <c r="CR44" s="80"/>
      <c r="CS44" s="80"/>
      <c r="CT44" s="80"/>
      <c r="CU44" s="80"/>
      <c r="CV44" s="80"/>
      <c r="CW44" s="80"/>
      <c r="CX44" s="80"/>
      <c r="CY44" s="80"/>
      <c r="CZ44" s="80"/>
      <c r="DA44" s="80"/>
    </row>
    <row r="45" spans="1:105" ht="16.350000000000001" customHeight="1" x14ac:dyDescent="0.2">
      <c r="A45" s="2951" t="s">
        <v>3393</v>
      </c>
      <c r="B45" s="834" t="s">
        <v>1672</v>
      </c>
      <c r="C45" s="2636" t="s">
        <v>2777</v>
      </c>
      <c r="D45" s="218" t="s">
        <v>2778</v>
      </c>
      <c r="E45" s="218" t="s">
        <v>2779</v>
      </c>
      <c r="F45" s="218" t="s">
        <v>2780</v>
      </c>
      <c r="G45" s="218" t="s">
        <v>2781</v>
      </c>
      <c r="H45" s="142" t="s">
        <v>2782</v>
      </c>
      <c r="I45" s="142" t="s">
        <v>2783</v>
      </c>
      <c r="J45" s="142" t="s">
        <v>2784</v>
      </c>
      <c r="K45" s="142" t="s">
        <v>2785</v>
      </c>
      <c r="L45" s="142" t="s">
        <v>2786</v>
      </c>
      <c r="M45" s="2396" t="s">
        <v>2787</v>
      </c>
      <c r="N45" s="2396" t="s">
        <v>2788</v>
      </c>
      <c r="O45" s="2396" t="s">
        <v>2789</v>
      </c>
      <c r="P45" s="2396" t="s">
        <v>2790</v>
      </c>
      <c r="Q45" s="2396" t="s">
        <v>2791</v>
      </c>
      <c r="R45" s="2396" t="s">
        <v>2792</v>
      </c>
      <c r="S45" s="2396" t="s">
        <v>2793</v>
      </c>
      <c r="T45" s="163" t="s">
        <v>2794</v>
      </c>
      <c r="U45" s="141" t="s">
        <v>2795</v>
      </c>
      <c r="V45" s="163" t="s">
        <v>2796</v>
      </c>
      <c r="W45" s="163" t="s">
        <v>2797</v>
      </c>
      <c r="X45" s="163" t="s">
        <v>2798</v>
      </c>
      <c r="Y45" s="163" t="s">
        <v>2799</v>
      </c>
      <c r="Z45" s="163" t="s">
        <v>2800</v>
      </c>
      <c r="AA45" s="163" t="s">
        <v>2801</v>
      </c>
      <c r="AB45" s="163" t="s">
        <v>2817</v>
      </c>
      <c r="AC45" s="163" t="s">
        <v>2818</v>
      </c>
      <c r="AD45" s="163" t="s">
        <v>2819</v>
      </c>
      <c r="AE45" s="163" t="s">
        <v>2821</v>
      </c>
      <c r="AF45" s="163" t="s">
        <v>2822</v>
      </c>
      <c r="AG45" s="163" t="s">
        <v>2823</v>
      </c>
      <c r="AH45" s="163" t="s">
        <v>2824</v>
      </c>
      <c r="AI45" s="163" t="s">
        <v>2825</v>
      </c>
      <c r="AJ45" s="163" t="s">
        <v>2826</v>
      </c>
      <c r="AK45" s="163" t="s">
        <v>2827</v>
      </c>
      <c r="AL45" s="163" t="s">
        <v>2831</v>
      </c>
      <c r="AM45" s="163" t="s">
        <v>2832</v>
      </c>
      <c r="AN45" s="163" t="s">
        <v>2833</v>
      </c>
      <c r="AO45" s="163" t="s">
        <v>2834</v>
      </c>
      <c r="AP45" s="163" t="s">
        <v>3011</v>
      </c>
      <c r="AQ45" s="163" t="s">
        <v>3012</v>
      </c>
      <c r="AR45" s="163" t="s">
        <v>3013</v>
      </c>
      <c r="AS45" s="2953" t="s">
        <v>3014</v>
      </c>
      <c r="AT45" s="2953" t="s">
        <v>3015</v>
      </c>
      <c r="AU45" s="163" t="s">
        <v>3206</v>
      </c>
      <c r="AV45" s="163" t="s">
        <v>3207</v>
      </c>
      <c r="AW45" s="163" t="s">
        <v>3272</v>
      </c>
      <c r="AX45" s="163" t="s">
        <v>3273</v>
      </c>
      <c r="AY45" s="163" t="s">
        <v>3419</v>
      </c>
      <c r="AZ45" s="1058"/>
      <c r="BA45" s="1058"/>
      <c r="BB45" s="1058"/>
      <c r="BC45" s="1058"/>
      <c r="BD45" s="1058"/>
      <c r="BE45" s="1058"/>
      <c r="BF45" s="1058"/>
      <c r="BG45" s="1058"/>
      <c r="BH45" s="1058"/>
      <c r="BI45" s="94"/>
      <c r="BJ45" s="94"/>
      <c r="BK45" s="94"/>
      <c r="BL45" s="94"/>
      <c r="BM45" s="94"/>
      <c r="CA45" s="1164" t="e">
        <f t="shared" si="9"/>
        <v>#REF!</v>
      </c>
      <c r="CB45" s="1164" t="str">
        <f t="shared" si="10"/>
        <v/>
      </c>
      <c r="CC45" s="1164" t="str">
        <f t="shared" si="11"/>
        <v xml:space="preserve">* El número de Beneficiarios NO DEBE ser mayor que el Total. </v>
      </c>
      <c r="CD45" s="1164" t="e">
        <f t="shared" si="12"/>
        <v>#VALUE!</v>
      </c>
      <c r="CE45" s="1164" t="e">
        <f t="shared" si="13"/>
        <v>#VALUE!</v>
      </c>
      <c r="CF45" s="1164"/>
      <c r="CG45" s="1163" t="e">
        <f>IF(C45&lt;(#REF!+V45),1,0)</f>
        <v>#REF!</v>
      </c>
      <c r="CH45" s="1163">
        <f t="shared" si="14"/>
        <v>0</v>
      </c>
      <c r="CI45" s="1163">
        <f t="shared" si="15"/>
        <v>1</v>
      </c>
      <c r="CJ45" s="1163" t="e">
        <f t="shared" si="16"/>
        <v>#VALUE!</v>
      </c>
      <c r="CK45" s="1163" t="e">
        <f t="shared" si="17"/>
        <v>#VALUE!</v>
      </c>
      <c r="CL45" s="80"/>
      <c r="CM45" s="80"/>
      <c r="CN45" s="80"/>
      <c r="CO45" s="80"/>
      <c r="CP45" s="80"/>
      <c r="CQ45" s="80"/>
      <c r="CR45" s="80"/>
      <c r="CS45" s="80"/>
      <c r="CT45" s="80"/>
      <c r="CU45" s="80"/>
      <c r="CV45" s="80"/>
      <c r="CW45" s="80"/>
      <c r="CX45" s="80"/>
      <c r="CY45" s="80"/>
      <c r="CZ45" s="80"/>
      <c r="DA45" s="80"/>
    </row>
    <row r="46" spans="1:105" ht="16.350000000000001" customHeight="1" x14ac:dyDescent="0.2">
      <c r="A46" s="2948" t="s">
        <v>3394</v>
      </c>
      <c r="B46" s="1184" t="s">
        <v>1011</v>
      </c>
      <c r="C46" s="2636" t="s">
        <v>2777</v>
      </c>
      <c r="D46" s="218" t="s">
        <v>2778</v>
      </c>
      <c r="E46" s="218" t="s">
        <v>2779</v>
      </c>
      <c r="F46" s="218" t="s">
        <v>2780</v>
      </c>
      <c r="G46" s="218" t="s">
        <v>2781</v>
      </c>
      <c r="H46" s="142" t="s">
        <v>2782</v>
      </c>
      <c r="I46" s="142" t="s">
        <v>2783</v>
      </c>
      <c r="J46" s="142" t="s">
        <v>2784</v>
      </c>
      <c r="K46" s="142" t="s">
        <v>2785</v>
      </c>
      <c r="L46" s="142" t="s">
        <v>2786</v>
      </c>
      <c r="M46" s="2396" t="s">
        <v>2787</v>
      </c>
      <c r="N46" s="2396" t="s">
        <v>2788</v>
      </c>
      <c r="O46" s="2396" t="s">
        <v>2789</v>
      </c>
      <c r="P46" s="2396" t="s">
        <v>2790</v>
      </c>
      <c r="Q46" s="2396" t="s">
        <v>2791</v>
      </c>
      <c r="R46" s="2396" t="s">
        <v>2792</v>
      </c>
      <c r="S46" s="2396" t="s">
        <v>2793</v>
      </c>
      <c r="T46" s="163" t="s">
        <v>2794</v>
      </c>
      <c r="U46" s="141" t="s">
        <v>2795</v>
      </c>
      <c r="V46" s="163" t="s">
        <v>2796</v>
      </c>
      <c r="W46" s="163" t="s">
        <v>2797</v>
      </c>
      <c r="X46" s="163" t="s">
        <v>2798</v>
      </c>
      <c r="Y46" s="163" t="s">
        <v>2799</v>
      </c>
      <c r="Z46" s="163" t="s">
        <v>2800</v>
      </c>
      <c r="AA46" s="163" t="s">
        <v>2801</v>
      </c>
      <c r="AB46" s="163" t="s">
        <v>2817</v>
      </c>
      <c r="AC46" s="163" t="s">
        <v>2818</v>
      </c>
      <c r="AD46" s="163" t="s">
        <v>2819</v>
      </c>
      <c r="AE46" s="163" t="s">
        <v>2821</v>
      </c>
      <c r="AF46" s="163" t="s">
        <v>2822</v>
      </c>
      <c r="AG46" s="163" t="s">
        <v>2823</v>
      </c>
      <c r="AH46" s="163" t="s">
        <v>2824</v>
      </c>
      <c r="AI46" s="163" t="s">
        <v>2825</v>
      </c>
      <c r="AJ46" s="163" t="s">
        <v>2826</v>
      </c>
      <c r="AK46" s="163" t="s">
        <v>2827</v>
      </c>
      <c r="AL46" s="163" t="s">
        <v>2831</v>
      </c>
      <c r="AM46" s="163" t="s">
        <v>2832</v>
      </c>
      <c r="AN46" s="163" t="s">
        <v>2833</v>
      </c>
      <c r="AO46" s="163" t="s">
        <v>2834</v>
      </c>
      <c r="AP46" s="163" t="s">
        <v>3011</v>
      </c>
      <c r="AQ46" s="163" t="s">
        <v>3012</v>
      </c>
      <c r="AR46" s="163" t="s">
        <v>3013</v>
      </c>
      <c r="AS46" s="2953" t="s">
        <v>3014</v>
      </c>
      <c r="AT46" s="2953" t="s">
        <v>3015</v>
      </c>
      <c r="AU46" s="163" t="s">
        <v>3206</v>
      </c>
      <c r="AV46" s="163" t="s">
        <v>3207</v>
      </c>
      <c r="AW46" s="163" t="s">
        <v>3272</v>
      </c>
      <c r="AX46" s="163" t="s">
        <v>3273</v>
      </c>
      <c r="AY46" s="163" t="s">
        <v>3419</v>
      </c>
      <c r="AZ46" s="1058"/>
      <c r="BA46" s="1058"/>
      <c r="BB46" s="1058"/>
      <c r="BC46" s="1058"/>
      <c r="BD46" s="1058"/>
      <c r="BE46" s="1058"/>
      <c r="BF46" s="1058"/>
      <c r="BG46" s="1058"/>
      <c r="BH46" s="1058"/>
      <c r="BI46" s="94"/>
      <c r="BJ46" s="94"/>
      <c r="BK46" s="94"/>
      <c r="BL46" s="94"/>
      <c r="BM46" s="94"/>
      <c r="CA46" s="1164" t="e">
        <f t="shared" si="9"/>
        <v>#REF!</v>
      </c>
      <c r="CB46" s="1164" t="str">
        <f t="shared" si="10"/>
        <v/>
      </c>
      <c r="CC46" s="1164" t="str">
        <f t="shared" si="11"/>
        <v xml:space="preserve">* El número de Beneficiarios NO DEBE ser mayor que el Total. </v>
      </c>
      <c r="CD46" s="1164" t="e">
        <f t="shared" si="12"/>
        <v>#VALUE!</v>
      </c>
      <c r="CE46" s="1164" t="e">
        <f t="shared" si="13"/>
        <v>#VALUE!</v>
      </c>
      <c r="CF46" s="1164"/>
      <c r="CG46" s="1163" t="e">
        <f>IF(C46&lt;(#REF!+V46),1,0)</f>
        <v>#REF!</v>
      </c>
      <c r="CH46" s="1163">
        <f t="shared" si="14"/>
        <v>0</v>
      </c>
      <c r="CI46" s="1163">
        <f t="shared" si="15"/>
        <v>1</v>
      </c>
      <c r="CJ46" s="1163" t="e">
        <f t="shared" si="16"/>
        <v>#VALUE!</v>
      </c>
      <c r="CK46" s="1163" t="e">
        <f t="shared" si="17"/>
        <v>#VALUE!</v>
      </c>
      <c r="CL46" s="80"/>
      <c r="CM46" s="80"/>
      <c r="CN46" s="80"/>
      <c r="CO46" s="80"/>
      <c r="CP46" s="80"/>
      <c r="CQ46" s="80"/>
      <c r="CR46" s="80"/>
      <c r="CS46" s="80"/>
      <c r="CT46" s="80"/>
      <c r="CU46" s="80"/>
      <c r="CV46" s="80"/>
      <c r="CW46" s="80"/>
      <c r="CX46" s="80"/>
      <c r="CY46" s="80"/>
      <c r="CZ46" s="80"/>
      <c r="DA46" s="80"/>
    </row>
    <row r="47" spans="1:105" ht="16.350000000000001" customHeight="1" x14ac:dyDescent="0.2">
      <c r="A47" s="2948" t="s">
        <v>3395</v>
      </c>
      <c r="B47" s="879" t="s">
        <v>1012</v>
      </c>
      <c r="C47" s="2636" t="s">
        <v>2777</v>
      </c>
      <c r="D47" s="218" t="s">
        <v>2778</v>
      </c>
      <c r="E47" s="218" t="s">
        <v>2779</v>
      </c>
      <c r="F47" s="218" t="s">
        <v>2780</v>
      </c>
      <c r="G47" s="218" t="s">
        <v>2781</v>
      </c>
      <c r="H47" s="218" t="s">
        <v>2782</v>
      </c>
      <c r="I47" s="218" t="s">
        <v>2783</v>
      </c>
      <c r="J47" s="218" t="s">
        <v>2784</v>
      </c>
      <c r="K47" s="218" t="s">
        <v>2785</v>
      </c>
      <c r="L47" s="218" t="s">
        <v>2786</v>
      </c>
      <c r="M47" s="2396" t="s">
        <v>2787</v>
      </c>
      <c r="N47" s="2396" t="s">
        <v>2788</v>
      </c>
      <c r="O47" s="2396" t="s">
        <v>2789</v>
      </c>
      <c r="P47" s="2396" t="s">
        <v>2790</v>
      </c>
      <c r="Q47" s="2396" t="s">
        <v>2791</v>
      </c>
      <c r="R47" s="2396" t="s">
        <v>2792</v>
      </c>
      <c r="S47" s="2396" t="s">
        <v>2793</v>
      </c>
      <c r="T47" s="163" t="s">
        <v>2794</v>
      </c>
      <c r="U47" s="141" t="s">
        <v>2795</v>
      </c>
      <c r="V47" s="163" t="s">
        <v>2796</v>
      </c>
      <c r="W47" s="163" t="s">
        <v>2797</v>
      </c>
      <c r="X47" s="163" t="s">
        <v>2798</v>
      </c>
      <c r="Y47" s="163" t="s">
        <v>2799</v>
      </c>
      <c r="Z47" s="163" t="s">
        <v>2800</v>
      </c>
      <c r="AA47" s="163" t="s">
        <v>2801</v>
      </c>
      <c r="AB47" s="163" t="s">
        <v>2817</v>
      </c>
      <c r="AC47" s="163" t="s">
        <v>2818</v>
      </c>
      <c r="AD47" s="163" t="s">
        <v>2819</v>
      </c>
      <c r="AE47" s="163" t="s">
        <v>2821</v>
      </c>
      <c r="AF47" s="163" t="s">
        <v>2822</v>
      </c>
      <c r="AG47" s="163" t="s">
        <v>2823</v>
      </c>
      <c r="AH47" s="163" t="s">
        <v>2824</v>
      </c>
      <c r="AI47" s="163" t="s">
        <v>2825</v>
      </c>
      <c r="AJ47" s="163" t="s">
        <v>2826</v>
      </c>
      <c r="AK47" s="163" t="s">
        <v>2827</v>
      </c>
      <c r="AL47" s="163" t="s">
        <v>2831</v>
      </c>
      <c r="AM47" s="163" t="s">
        <v>2832</v>
      </c>
      <c r="AN47" s="163" t="s">
        <v>2833</v>
      </c>
      <c r="AO47" s="163" t="s">
        <v>2834</v>
      </c>
      <c r="AP47" s="163" t="s">
        <v>3011</v>
      </c>
      <c r="AQ47" s="163" t="s">
        <v>3012</v>
      </c>
      <c r="AR47" s="163" t="s">
        <v>3013</v>
      </c>
      <c r="AS47" s="2953" t="s">
        <v>3014</v>
      </c>
      <c r="AT47" s="2953" t="s">
        <v>3015</v>
      </c>
      <c r="AU47" s="163" t="s">
        <v>3206</v>
      </c>
      <c r="AV47" s="163" t="s">
        <v>3207</v>
      </c>
      <c r="AW47" s="163" t="s">
        <v>3272</v>
      </c>
      <c r="AX47" s="163" t="s">
        <v>3273</v>
      </c>
      <c r="AY47" s="163" t="s">
        <v>3419</v>
      </c>
      <c r="AZ47" s="1058"/>
      <c r="BA47" s="1058"/>
      <c r="BB47" s="1058"/>
      <c r="BC47" s="1058"/>
      <c r="BD47" s="1058"/>
      <c r="BE47" s="1058"/>
      <c r="BF47" s="1058"/>
      <c r="BG47" s="1058"/>
      <c r="BH47" s="1058"/>
      <c r="BI47" s="94"/>
      <c r="BJ47" s="94"/>
      <c r="BK47" s="94"/>
      <c r="BL47" s="94"/>
      <c r="BM47" s="94"/>
      <c r="CA47" s="1164" t="e">
        <f t="shared" si="9"/>
        <v>#REF!</v>
      </c>
      <c r="CB47" s="1164" t="str">
        <f t="shared" si="10"/>
        <v/>
      </c>
      <c r="CC47" s="1164" t="str">
        <f t="shared" si="11"/>
        <v xml:space="preserve">* El número de Beneficiarios NO DEBE ser mayor que el Total. </v>
      </c>
      <c r="CD47" s="1164" t="e">
        <f t="shared" si="12"/>
        <v>#VALUE!</v>
      </c>
      <c r="CE47" s="1164" t="e">
        <f t="shared" si="13"/>
        <v>#VALUE!</v>
      </c>
      <c r="CF47" s="1164"/>
      <c r="CG47" s="1163" t="e">
        <f>IF(C47&lt;(#REF!+V47),1,0)</f>
        <v>#REF!</v>
      </c>
      <c r="CH47" s="1163">
        <f t="shared" si="14"/>
        <v>0</v>
      </c>
      <c r="CI47" s="1163">
        <f t="shared" si="15"/>
        <v>1</v>
      </c>
      <c r="CJ47" s="1163" t="e">
        <f t="shared" si="16"/>
        <v>#VALUE!</v>
      </c>
      <c r="CK47" s="1163" t="e">
        <f t="shared" si="17"/>
        <v>#VALUE!</v>
      </c>
      <c r="CL47" s="80"/>
      <c r="CM47" s="80"/>
      <c r="CN47" s="80"/>
      <c r="CO47" s="80"/>
      <c r="CP47" s="80"/>
      <c r="CQ47" s="80"/>
      <c r="CR47" s="80"/>
      <c r="CS47" s="80"/>
      <c r="CT47" s="80"/>
      <c r="CU47" s="80"/>
      <c r="CV47" s="80"/>
      <c r="CW47" s="80"/>
      <c r="CX47" s="80"/>
      <c r="CY47" s="80"/>
      <c r="CZ47" s="80"/>
      <c r="DA47" s="80"/>
    </row>
    <row r="48" spans="1:105" ht="16.350000000000001" customHeight="1" x14ac:dyDescent="0.2">
      <c r="A48" s="2948" t="s">
        <v>3396</v>
      </c>
      <c r="B48" s="879" t="s">
        <v>1673</v>
      </c>
      <c r="C48" s="2636" t="s">
        <v>2777</v>
      </c>
      <c r="D48" s="218" t="s">
        <v>2778</v>
      </c>
      <c r="E48" s="218" t="s">
        <v>2779</v>
      </c>
      <c r="F48" s="218" t="s">
        <v>2780</v>
      </c>
      <c r="G48" s="218" t="s">
        <v>2781</v>
      </c>
      <c r="H48" s="142" t="s">
        <v>2782</v>
      </c>
      <c r="I48" s="142" t="s">
        <v>2783</v>
      </c>
      <c r="J48" s="142" t="s">
        <v>2784</v>
      </c>
      <c r="K48" s="142" t="s">
        <v>2785</v>
      </c>
      <c r="L48" s="142" t="s">
        <v>2786</v>
      </c>
      <c r="M48" s="142" t="s">
        <v>2787</v>
      </c>
      <c r="N48" s="142" t="s">
        <v>2788</v>
      </c>
      <c r="O48" s="142" t="s">
        <v>2789</v>
      </c>
      <c r="P48" s="142" t="s">
        <v>2790</v>
      </c>
      <c r="Q48" s="142" t="s">
        <v>2791</v>
      </c>
      <c r="R48" s="142" t="s">
        <v>2792</v>
      </c>
      <c r="S48" s="142" t="s">
        <v>2793</v>
      </c>
      <c r="T48" s="163" t="s">
        <v>2794</v>
      </c>
      <c r="U48" s="141" t="s">
        <v>2795</v>
      </c>
      <c r="V48" s="163" t="s">
        <v>2796</v>
      </c>
      <c r="W48" s="163" t="s">
        <v>2797</v>
      </c>
      <c r="X48" s="163" t="s">
        <v>2798</v>
      </c>
      <c r="Y48" s="163" t="s">
        <v>2799</v>
      </c>
      <c r="Z48" s="163" t="s">
        <v>2800</v>
      </c>
      <c r="AA48" s="163" t="s">
        <v>2801</v>
      </c>
      <c r="AB48" s="163" t="s">
        <v>2817</v>
      </c>
      <c r="AC48" s="163" t="s">
        <v>2818</v>
      </c>
      <c r="AD48" s="163" t="s">
        <v>2819</v>
      </c>
      <c r="AE48" s="163" t="s">
        <v>2821</v>
      </c>
      <c r="AF48" s="163" t="s">
        <v>2822</v>
      </c>
      <c r="AG48" s="163" t="s">
        <v>2823</v>
      </c>
      <c r="AH48" s="163" t="s">
        <v>2824</v>
      </c>
      <c r="AI48" s="163" t="s">
        <v>2825</v>
      </c>
      <c r="AJ48" s="163" t="s">
        <v>2826</v>
      </c>
      <c r="AK48" s="163" t="s">
        <v>2827</v>
      </c>
      <c r="AL48" s="163" t="s">
        <v>2831</v>
      </c>
      <c r="AM48" s="163" t="s">
        <v>2832</v>
      </c>
      <c r="AN48" s="163" t="s">
        <v>2833</v>
      </c>
      <c r="AO48" s="163" t="s">
        <v>2834</v>
      </c>
      <c r="AP48" s="163" t="s">
        <v>3011</v>
      </c>
      <c r="AQ48" s="163" t="s">
        <v>3012</v>
      </c>
      <c r="AR48" s="163" t="s">
        <v>3013</v>
      </c>
      <c r="AS48" s="2953" t="s">
        <v>3014</v>
      </c>
      <c r="AT48" s="2953" t="s">
        <v>3015</v>
      </c>
      <c r="AU48" s="163" t="s">
        <v>3206</v>
      </c>
      <c r="AV48" s="163" t="s">
        <v>3207</v>
      </c>
      <c r="AW48" s="163" t="s">
        <v>3272</v>
      </c>
      <c r="AX48" s="163" t="s">
        <v>3273</v>
      </c>
      <c r="AY48" s="163" t="s">
        <v>3419</v>
      </c>
      <c r="AZ48" s="1058"/>
      <c r="BA48" s="1058"/>
      <c r="BB48" s="1058"/>
      <c r="BC48" s="1058"/>
      <c r="BD48" s="1058"/>
      <c r="BE48" s="1058"/>
      <c r="BF48" s="1058"/>
      <c r="BG48" s="1058"/>
      <c r="BH48" s="1058"/>
      <c r="BI48" s="94"/>
      <c r="BJ48" s="94"/>
      <c r="BK48" s="94"/>
      <c r="BL48" s="94"/>
      <c r="BM48" s="94"/>
      <c r="CA48" s="1164" t="e">
        <f t="shared" si="9"/>
        <v>#REF!</v>
      </c>
      <c r="CB48" s="1164" t="str">
        <f t="shared" si="10"/>
        <v/>
      </c>
      <c r="CC48" s="1164" t="str">
        <f t="shared" si="11"/>
        <v xml:space="preserve">* El número de Beneficiarios NO DEBE ser mayor que el Total. </v>
      </c>
      <c r="CD48" s="1164" t="e">
        <f t="shared" si="12"/>
        <v>#VALUE!</v>
      </c>
      <c r="CE48" s="1164" t="e">
        <f t="shared" si="13"/>
        <v>#VALUE!</v>
      </c>
      <c r="CF48" s="1164"/>
      <c r="CG48" s="1163" t="e">
        <f>IF(C48&lt;(#REF!+V48),1,0)</f>
        <v>#REF!</v>
      </c>
      <c r="CH48" s="1163">
        <f t="shared" si="14"/>
        <v>0</v>
      </c>
      <c r="CI48" s="1163">
        <f t="shared" si="15"/>
        <v>1</v>
      </c>
      <c r="CJ48" s="1163" t="e">
        <f t="shared" si="16"/>
        <v>#VALUE!</v>
      </c>
      <c r="CK48" s="1163" t="e">
        <f t="shared" si="17"/>
        <v>#VALUE!</v>
      </c>
      <c r="CL48" s="80"/>
      <c r="CM48" s="80"/>
      <c r="CN48" s="80"/>
      <c r="CO48" s="80"/>
      <c r="CP48" s="80"/>
      <c r="CQ48" s="80"/>
      <c r="CR48" s="80"/>
      <c r="CS48" s="80"/>
      <c r="CT48" s="80"/>
      <c r="CU48" s="80"/>
      <c r="CV48" s="80"/>
      <c r="CW48" s="80"/>
      <c r="CX48" s="80"/>
      <c r="CY48" s="80"/>
      <c r="CZ48" s="80"/>
      <c r="DA48" s="80"/>
    </row>
    <row r="49" spans="1:105" ht="16.350000000000001" customHeight="1" x14ac:dyDescent="0.2">
      <c r="A49" s="2948" t="s">
        <v>3397</v>
      </c>
      <c r="B49" s="879" t="s">
        <v>1674</v>
      </c>
      <c r="C49" s="2636" t="s">
        <v>2777</v>
      </c>
      <c r="D49" s="141" t="s">
        <v>2778</v>
      </c>
      <c r="E49" s="180" t="s">
        <v>2779</v>
      </c>
      <c r="F49" s="142" t="s">
        <v>2780</v>
      </c>
      <c r="G49" s="142" t="s">
        <v>2781</v>
      </c>
      <c r="H49" s="142" t="s">
        <v>2782</v>
      </c>
      <c r="I49" s="142" t="s">
        <v>2783</v>
      </c>
      <c r="J49" s="142" t="s">
        <v>2784</v>
      </c>
      <c r="K49" s="142" t="s">
        <v>2785</v>
      </c>
      <c r="L49" s="142" t="s">
        <v>2786</v>
      </c>
      <c r="M49" s="142" t="s">
        <v>2787</v>
      </c>
      <c r="N49" s="142" t="s">
        <v>2788</v>
      </c>
      <c r="O49" s="142" t="s">
        <v>2789</v>
      </c>
      <c r="P49" s="142" t="s">
        <v>2790</v>
      </c>
      <c r="Q49" s="142" t="s">
        <v>2791</v>
      </c>
      <c r="R49" s="142" t="s">
        <v>2792</v>
      </c>
      <c r="S49" s="142" t="s">
        <v>2793</v>
      </c>
      <c r="T49" s="163" t="s">
        <v>2794</v>
      </c>
      <c r="U49" s="141" t="s">
        <v>2795</v>
      </c>
      <c r="V49" s="163" t="s">
        <v>2796</v>
      </c>
      <c r="W49" s="163" t="s">
        <v>2797</v>
      </c>
      <c r="X49" s="163" t="s">
        <v>2798</v>
      </c>
      <c r="Y49" s="163" t="s">
        <v>2799</v>
      </c>
      <c r="Z49" s="163" t="s">
        <v>2800</v>
      </c>
      <c r="AA49" s="163" t="s">
        <v>2801</v>
      </c>
      <c r="AB49" s="163" t="s">
        <v>2817</v>
      </c>
      <c r="AC49" s="163" t="s">
        <v>2818</v>
      </c>
      <c r="AD49" s="163" t="s">
        <v>2819</v>
      </c>
      <c r="AE49" s="163" t="s">
        <v>2821</v>
      </c>
      <c r="AF49" s="163" t="s">
        <v>2822</v>
      </c>
      <c r="AG49" s="163" t="s">
        <v>2823</v>
      </c>
      <c r="AH49" s="163" t="s">
        <v>2824</v>
      </c>
      <c r="AI49" s="163" t="s">
        <v>2825</v>
      </c>
      <c r="AJ49" s="163" t="s">
        <v>2826</v>
      </c>
      <c r="AK49" s="163" t="s">
        <v>2827</v>
      </c>
      <c r="AL49" s="163" t="s">
        <v>2831</v>
      </c>
      <c r="AM49" s="163" t="s">
        <v>2832</v>
      </c>
      <c r="AN49" s="163" t="s">
        <v>2833</v>
      </c>
      <c r="AO49" s="163" t="s">
        <v>2834</v>
      </c>
      <c r="AP49" s="163" t="s">
        <v>3011</v>
      </c>
      <c r="AQ49" s="163" t="s">
        <v>3012</v>
      </c>
      <c r="AR49" s="163" t="s">
        <v>3013</v>
      </c>
      <c r="AS49" s="2953" t="s">
        <v>3014</v>
      </c>
      <c r="AT49" s="2953" t="s">
        <v>3015</v>
      </c>
      <c r="AU49" s="163" t="s">
        <v>3206</v>
      </c>
      <c r="AV49" s="163" t="s">
        <v>3207</v>
      </c>
      <c r="AW49" s="163" t="s">
        <v>3272</v>
      </c>
      <c r="AX49" s="163" t="s">
        <v>3273</v>
      </c>
      <c r="AY49" s="163" t="s">
        <v>3419</v>
      </c>
      <c r="AZ49" s="1058"/>
      <c r="BA49" s="1058"/>
      <c r="BB49" s="1058"/>
      <c r="BC49" s="1058"/>
      <c r="BD49" s="1058"/>
      <c r="BE49" s="1058"/>
      <c r="BF49" s="1058"/>
      <c r="BG49" s="1058"/>
      <c r="BH49" s="1058"/>
      <c r="BI49" s="94"/>
      <c r="BJ49" s="94"/>
      <c r="BK49" s="94"/>
      <c r="BL49" s="94"/>
      <c r="BM49" s="94"/>
      <c r="CA49" s="1164" t="e">
        <f t="shared" si="9"/>
        <v>#REF!</v>
      </c>
      <c r="CB49" s="1164" t="str">
        <f t="shared" si="10"/>
        <v/>
      </c>
      <c r="CC49" s="1164" t="str">
        <f t="shared" si="11"/>
        <v xml:space="preserve">* El número de Beneficiarios NO DEBE ser mayor que el Total. </v>
      </c>
      <c r="CD49" s="1164" t="e">
        <f t="shared" si="12"/>
        <v>#VALUE!</v>
      </c>
      <c r="CE49" s="1164" t="e">
        <f t="shared" si="13"/>
        <v>#VALUE!</v>
      </c>
      <c r="CF49" s="1164"/>
      <c r="CG49" s="1163" t="e">
        <f>IF(C49&lt;(#REF!+V49),1,0)</f>
        <v>#REF!</v>
      </c>
      <c r="CH49" s="1163">
        <f t="shared" si="14"/>
        <v>0</v>
      </c>
      <c r="CI49" s="1163">
        <f t="shared" si="15"/>
        <v>1</v>
      </c>
      <c r="CJ49" s="1163" t="e">
        <f t="shared" si="16"/>
        <v>#VALUE!</v>
      </c>
      <c r="CK49" s="1163" t="e">
        <f t="shared" si="17"/>
        <v>#VALUE!</v>
      </c>
      <c r="CL49" s="80"/>
      <c r="CM49" s="80"/>
      <c r="CN49" s="80"/>
      <c r="CO49" s="80"/>
      <c r="CP49" s="80"/>
      <c r="CQ49" s="80"/>
      <c r="CR49" s="80"/>
      <c r="CS49" s="80"/>
      <c r="CT49" s="80"/>
      <c r="CU49" s="80"/>
      <c r="CV49" s="80"/>
      <c r="CW49" s="80"/>
      <c r="CX49" s="80"/>
      <c r="CY49" s="80"/>
      <c r="CZ49" s="80"/>
      <c r="DA49" s="80"/>
    </row>
    <row r="50" spans="1:105" ht="16.350000000000001" customHeight="1" x14ac:dyDescent="0.2">
      <c r="A50" s="2948" t="s">
        <v>3398</v>
      </c>
      <c r="B50" s="879" t="s">
        <v>135</v>
      </c>
      <c r="C50" s="2636" t="s">
        <v>2777</v>
      </c>
      <c r="D50" s="141" t="s">
        <v>2778</v>
      </c>
      <c r="E50" s="180" t="s">
        <v>2779</v>
      </c>
      <c r="F50" s="142" t="s">
        <v>2780</v>
      </c>
      <c r="G50" s="142" t="s">
        <v>2781</v>
      </c>
      <c r="H50" s="142" t="s">
        <v>2782</v>
      </c>
      <c r="I50" s="142" t="s">
        <v>2783</v>
      </c>
      <c r="J50" s="142" t="s">
        <v>2784</v>
      </c>
      <c r="K50" s="142" t="s">
        <v>2785</v>
      </c>
      <c r="L50" s="142" t="s">
        <v>2786</v>
      </c>
      <c r="M50" s="142" t="s">
        <v>2787</v>
      </c>
      <c r="N50" s="142" t="s">
        <v>2788</v>
      </c>
      <c r="O50" s="142" t="s">
        <v>2789</v>
      </c>
      <c r="P50" s="142" t="s">
        <v>2790</v>
      </c>
      <c r="Q50" s="142" t="s">
        <v>2791</v>
      </c>
      <c r="R50" s="142" t="s">
        <v>2792</v>
      </c>
      <c r="S50" s="142" t="s">
        <v>2793</v>
      </c>
      <c r="T50" s="163" t="s">
        <v>2794</v>
      </c>
      <c r="U50" s="141" t="s">
        <v>2795</v>
      </c>
      <c r="V50" s="163" t="s">
        <v>2796</v>
      </c>
      <c r="W50" s="163" t="s">
        <v>2797</v>
      </c>
      <c r="X50" s="163" t="s">
        <v>2798</v>
      </c>
      <c r="Y50" s="163" t="s">
        <v>2799</v>
      </c>
      <c r="Z50" s="163" t="s">
        <v>2800</v>
      </c>
      <c r="AA50" s="163" t="s">
        <v>2801</v>
      </c>
      <c r="AB50" s="163" t="s">
        <v>2817</v>
      </c>
      <c r="AC50" s="163" t="s">
        <v>2818</v>
      </c>
      <c r="AD50" s="163" t="s">
        <v>2819</v>
      </c>
      <c r="AE50" s="163" t="s">
        <v>2821</v>
      </c>
      <c r="AF50" s="163" t="s">
        <v>2822</v>
      </c>
      <c r="AG50" s="163" t="s">
        <v>2823</v>
      </c>
      <c r="AH50" s="163" t="s">
        <v>2824</v>
      </c>
      <c r="AI50" s="163" t="s">
        <v>2825</v>
      </c>
      <c r="AJ50" s="163" t="s">
        <v>2826</v>
      </c>
      <c r="AK50" s="163" t="s">
        <v>2827</v>
      </c>
      <c r="AL50" s="163" t="s">
        <v>2831</v>
      </c>
      <c r="AM50" s="163" t="s">
        <v>2832</v>
      </c>
      <c r="AN50" s="163" t="s">
        <v>2833</v>
      </c>
      <c r="AO50" s="163" t="s">
        <v>2834</v>
      </c>
      <c r="AP50" s="163" t="s">
        <v>3011</v>
      </c>
      <c r="AQ50" s="163" t="s">
        <v>3012</v>
      </c>
      <c r="AR50" s="163" t="s">
        <v>3013</v>
      </c>
      <c r="AS50" s="2953" t="s">
        <v>3014</v>
      </c>
      <c r="AT50" s="2953" t="s">
        <v>3015</v>
      </c>
      <c r="AU50" s="163" t="s">
        <v>3206</v>
      </c>
      <c r="AV50" s="163" t="s">
        <v>3207</v>
      </c>
      <c r="AW50" s="163" t="s">
        <v>3272</v>
      </c>
      <c r="AX50" s="163" t="s">
        <v>3273</v>
      </c>
      <c r="AY50" s="163" t="s">
        <v>3419</v>
      </c>
      <c r="AZ50" s="1058"/>
      <c r="BA50" s="1058"/>
      <c r="BB50" s="1058"/>
      <c r="BC50" s="1058"/>
      <c r="BD50" s="1058"/>
      <c r="BE50" s="1058"/>
      <c r="BF50" s="1058"/>
      <c r="BG50" s="1058"/>
      <c r="BH50" s="1058"/>
      <c r="BI50" s="94"/>
      <c r="BJ50" s="94"/>
      <c r="BK50" s="94"/>
      <c r="BL50" s="94"/>
      <c r="BM50" s="94"/>
      <c r="CA50" s="1164" t="e">
        <f t="shared" si="9"/>
        <v>#REF!</v>
      </c>
      <c r="CB50" s="1164" t="str">
        <f t="shared" si="10"/>
        <v/>
      </c>
      <c r="CC50" s="1164" t="str">
        <f t="shared" si="11"/>
        <v xml:space="preserve">* El número de Beneficiarios NO DEBE ser mayor que el Total. </v>
      </c>
      <c r="CD50" s="1164" t="e">
        <f t="shared" si="12"/>
        <v>#VALUE!</v>
      </c>
      <c r="CE50" s="1164" t="e">
        <f t="shared" si="13"/>
        <v>#VALUE!</v>
      </c>
      <c r="CF50" s="1164"/>
      <c r="CG50" s="1163" t="e">
        <f>IF(C50&lt;(#REF!+V50),1,0)</f>
        <v>#REF!</v>
      </c>
      <c r="CH50" s="1163">
        <f t="shared" si="14"/>
        <v>0</v>
      </c>
      <c r="CI50" s="1163">
        <f t="shared" si="15"/>
        <v>1</v>
      </c>
      <c r="CJ50" s="1163" t="e">
        <f t="shared" si="16"/>
        <v>#VALUE!</v>
      </c>
      <c r="CK50" s="1163" t="e">
        <f t="shared" si="17"/>
        <v>#VALUE!</v>
      </c>
      <c r="CL50" s="80"/>
      <c r="CM50" s="80"/>
      <c r="CN50" s="80"/>
      <c r="CO50" s="80"/>
      <c r="CP50" s="80"/>
      <c r="CQ50" s="80"/>
      <c r="CR50" s="80"/>
      <c r="CS50" s="80"/>
      <c r="CT50" s="80"/>
      <c r="CU50" s="80"/>
      <c r="CV50" s="80"/>
      <c r="CW50" s="80"/>
      <c r="CX50" s="80"/>
      <c r="CY50" s="80"/>
      <c r="CZ50" s="80"/>
      <c r="DA50" s="80"/>
    </row>
    <row r="51" spans="1:105" ht="16.350000000000001" customHeight="1" x14ac:dyDescent="0.2">
      <c r="A51" s="2948" t="s">
        <v>3399</v>
      </c>
      <c r="B51" s="879" t="s">
        <v>1013</v>
      </c>
      <c r="C51" s="2636" t="s">
        <v>2777</v>
      </c>
      <c r="D51" s="141" t="s">
        <v>2778</v>
      </c>
      <c r="E51" s="180" t="s">
        <v>2779</v>
      </c>
      <c r="F51" s="142" t="s">
        <v>2780</v>
      </c>
      <c r="G51" s="142" t="s">
        <v>2781</v>
      </c>
      <c r="H51" s="142" t="s">
        <v>2782</v>
      </c>
      <c r="I51" s="142" t="s">
        <v>2783</v>
      </c>
      <c r="J51" s="142" t="s">
        <v>2784</v>
      </c>
      <c r="K51" s="142" t="s">
        <v>2785</v>
      </c>
      <c r="L51" s="142" t="s">
        <v>2786</v>
      </c>
      <c r="M51" s="142" t="s">
        <v>2787</v>
      </c>
      <c r="N51" s="142" t="s">
        <v>2788</v>
      </c>
      <c r="O51" s="142" t="s">
        <v>2789</v>
      </c>
      <c r="P51" s="142" t="s">
        <v>2790</v>
      </c>
      <c r="Q51" s="142" t="s">
        <v>2791</v>
      </c>
      <c r="R51" s="142" t="s">
        <v>2792</v>
      </c>
      <c r="S51" s="142" t="s">
        <v>2793</v>
      </c>
      <c r="T51" s="163" t="s">
        <v>2794</v>
      </c>
      <c r="U51" s="141" t="s">
        <v>2795</v>
      </c>
      <c r="V51" s="163" t="s">
        <v>2796</v>
      </c>
      <c r="W51" s="163" t="s">
        <v>2797</v>
      </c>
      <c r="X51" s="163" t="s">
        <v>2798</v>
      </c>
      <c r="Y51" s="163" t="s">
        <v>2799</v>
      </c>
      <c r="Z51" s="163" t="s">
        <v>2800</v>
      </c>
      <c r="AA51" s="163" t="s">
        <v>2801</v>
      </c>
      <c r="AB51" s="163" t="s">
        <v>2817</v>
      </c>
      <c r="AC51" s="163" t="s">
        <v>2818</v>
      </c>
      <c r="AD51" s="163" t="s">
        <v>2819</v>
      </c>
      <c r="AE51" s="163" t="s">
        <v>2821</v>
      </c>
      <c r="AF51" s="163" t="s">
        <v>2822</v>
      </c>
      <c r="AG51" s="163" t="s">
        <v>2823</v>
      </c>
      <c r="AH51" s="163" t="s">
        <v>2824</v>
      </c>
      <c r="AI51" s="163" t="s">
        <v>2825</v>
      </c>
      <c r="AJ51" s="163" t="s">
        <v>2826</v>
      </c>
      <c r="AK51" s="163" t="s">
        <v>2827</v>
      </c>
      <c r="AL51" s="163" t="s">
        <v>2831</v>
      </c>
      <c r="AM51" s="163" t="s">
        <v>2832</v>
      </c>
      <c r="AN51" s="163" t="s">
        <v>2833</v>
      </c>
      <c r="AO51" s="163" t="s">
        <v>2834</v>
      </c>
      <c r="AP51" s="163" t="s">
        <v>3011</v>
      </c>
      <c r="AQ51" s="163" t="s">
        <v>3012</v>
      </c>
      <c r="AR51" s="163" t="s">
        <v>3013</v>
      </c>
      <c r="AS51" s="2953" t="s">
        <v>3014</v>
      </c>
      <c r="AT51" s="2953" t="s">
        <v>3015</v>
      </c>
      <c r="AU51" s="163" t="s">
        <v>3206</v>
      </c>
      <c r="AV51" s="163" t="s">
        <v>3207</v>
      </c>
      <c r="AW51" s="163" t="s">
        <v>3272</v>
      </c>
      <c r="AX51" s="163" t="s">
        <v>3273</v>
      </c>
      <c r="AY51" s="163" t="s">
        <v>3419</v>
      </c>
      <c r="AZ51" s="1058"/>
      <c r="BA51" s="1058"/>
      <c r="BB51" s="1058"/>
      <c r="BC51" s="1058"/>
      <c r="BD51" s="1058"/>
      <c r="BE51" s="1058"/>
      <c r="BF51" s="1058"/>
      <c r="BG51" s="1058"/>
      <c r="BH51" s="1058"/>
      <c r="BI51" s="94"/>
      <c r="BJ51" s="94"/>
      <c r="BK51" s="94"/>
      <c r="BL51" s="94"/>
      <c r="BM51" s="94"/>
      <c r="CA51" s="1164" t="e">
        <f t="shared" si="9"/>
        <v>#REF!</v>
      </c>
      <c r="CB51" s="1164" t="str">
        <f t="shared" si="10"/>
        <v/>
      </c>
      <c r="CC51" s="1164" t="str">
        <f t="shared" si="11"/>
        <v xml:space="preserve">* El número de Beneficiarios NO DEBE ser mayor que el Total. </v>
      </c>
      <c r="CD51" s="1164" t="e">
        <f t="shared" si="12"/>
        <v>#VALUE!</v>
      </c>
      <c r="CE51" s="1164" t="e">
        <f t="shared" si="13"/>
        <v>#VALUE!</v>
      </c>
      <c r="CF51" s="1164"/>
      <c r="CG51" s="1163" t="e">
        <f>IF(C51&lt;(#REF!+V51),1,0)</f>
        <v>#REF!</v>
      </c>
      <c r="CH51" s="1163">
        <f t="shared" si="14"/>
        <v>0</v>
      </c>
      <c r="CI51" s="1163">
        <f t="shared" si="15"/>
        <v>1</v>
      </c>
      <c r="CJ51" s="1163" t="e">
        <f t="shared" si="16"/>
        <v>#VALUE!</v>
      </c>
      <c r="CK51" s="1163" t="e">
        <f t="shared" si="17"/>
        <v>#VALUE!</v>
      </c>
      <c r="CL51" s="80"/>
      <c r="CM51" s="80"/>
      <c r="CN51" s="80"/>
      <c r="CO51" s="80"/>
      <c r="CP51" s="80"/>
      <c r="CQ51" s="80"/>
      <c r="CR51" s="80"/>
      <c r="CS51" s="80"/>
      <c r="CT51" s="80"/>
      <c r="CU51" s="80"/>
      <c r="CV51" s="80"/>
      <c r="CW51" s="80"/>
      <c r="CX51" s="80"/>
      <c r="CY51" s="80"/>
      <c r="CZ51" s="80"/>
      <c r="DA51" s="80"/>
    </row>
    <row r="52" spans="1:105" ht="16.350000000000001" customHeight="1" x14ac:dyDescent="0.2">
      <c r="A52" s="2950" t="s">
        <v>3400</v>
      </c>
      <c r="B52" s="879" t="s">
        <v>137</v>
      </c>
      <c r="C52" s="2636" t="s">
        <v>2777</v>
      </c>
      <c r="D52" s="141" t="s">
        <v>2778</v>
      </c>
      <c r="E52" s="180" t="s">
        <v>2779</v>
      </c>
      <c r="F52" s="142" t="s">
        <v>2780</v>
      </c>
      <c r="G52" s="142" t="s">
        <v>2781</v>
      </c>
      <c r="H52" s="142" t="s">
        <v>2782</v>
      </c>
      <c r="I52" s="142" t="s">
        <v>2783</v>
      </c>
      <c r="J52" s="142" t="s">
        <v>2784</v>
      </c>
      <c r="K52" s="142" t="s">
        <v>2785</v>
      </c>
      <c r="L52" s="142" t="s">
        <v>2786</v>
      </c>
      <c r="M52" s="142" t="s">
        <v>2787</v>
      </c>
      <c r="N52" s="142" t="s">
        <v>2788</v>
      </c>
      <c r="O52" s="142" t="s">
        <v>2789</v>
      </c>
      <c r="P52" s="142" t="s">
        <v>2790</v>
      </c>
      <c r="Q52" s="142" t="s">
        <v>2791</v>
      </c>
      <c r="R52" s="142" t="s">
        <v>2792</v>
      </c>
      <c r="S52" s="142" t="s">
        <v>2793</v>
      </c>
      <c r="T52" s="163" t="s">
        <v>2794</v>
      </c>
      <c r="U52" s="141" t="s">
        <v>2795</v>
      </c>
      <c r="V52" s="163" t="s">
        <v>2796</v>
      </c>
      <c r="W52" s="163" t="s">
        <v>2797</v>
      </c>
      <c r="X52" s="163" t="s">
        <v>2798</v>
      </c>
      <c r="Y52" s="163" t="s">
        <v>2799</v>
      </c>
      <c r="Z52" s="163" t="s">
        <v>2800</v>
      </c>
      <c r="AA52" s="163" t="s">
        <v>2801</v>
      </c>
      <c r="AB52" s="163" t="s">
        <v>2817</v>
      </c>
      <c r="AC52" s="163" t="s">
        <v>2818</v>
      </c>
      <c r="AD52" s="163" t="s">
        <v>2819</v>
      </c>
      <c r="AE52" s="163" t="s">
        <v>2821</v>
      </c>
      <c r="AF52" s="163" t="s">
        <v>2822</v>
      </c>
      <c r="AG52" s="163" t="s">
        <v>2823</v>
      </c>
      <c r="AH52" s="163" t="s">
        <v>2824</v>
      </c>
      <c r="AI52" s="163" t="s">
        <v>2825</v>
      </c>
      <c r="AJ52" s="163" t="s">
        <v>2826</v>
      </c>
      <c r="AK52" s="163" t="s">
        <v>2827</v>
      </c>
      <c r="AL52" s="163" t="s">
        <v>2831</v>
      </c>
      <c r="AM52" s="163" t="s">
        <v>2832</v>
      </c>
      <c r="AN52" s="163" t="s">
        <v>2833</v>
      </c>
      <c r="AO52" s="163" t="s">
        <v>2834</v>
      </c>
      <c r="AP52" s="163" t="s">
        <v>3011</v>
      </c>
      <c r="AQ52" s="163" t="s">
        <v>3012</v>
      </c>
      <c r="AR52" s="163" t="s">
        <v>3013</v>
      </c>
      <c r="AS52" s="2953" t="s">
        <v>3014</v>
      </c>
      <c r="AT52" s="2953" t="s">
        <v>3015</v>
      </c>
      <c r="AU52" s="163" t="s">
        <v>3206</v>
      </c>
      <c r="AV52" s="163" t="s">
        <v>3207</v>
      </c>
      <c r="AW52" s="163" t="s">
        <v>3272</v>
      </c>
      <c r="AX52" s="163" t="s">
        <v>3273</v>
      </c>
      <c r="AY52" s="163" t="s">
        <v>3419</v>
      </c>
      <c r="AZ52" s="1058"/>
      <c r="BA52" s="1058"/>
      <c r="BB52" s="1058"/>
      <c r="BC52" s="1058"/>
      <c r="BD52" s="1058"/>
      <c r="BE52" s="1058"/>
      <c r="BF52" s="1058"/>
      <c r="BG52" s="1058"/>
      <c r="BH52" s="1058"/>
      <c r="BI52" s="94"/>
      <c r="BJ52" s="94"/>
      <c r="BK52" s="94"/>
      <c r="BL52" s="94"/>
      <c r="BM52" s="94"/>
      <c r="CA52" s="1164" t="e">
        <f t="shared" si="9"/>
        <v>#REF!</v>
      </c>
      <c r="CB52" s="1164" t="str">
        <f t="shared" si="10"/>
        <v/>
      </c>
      <c r="CC52" s="1164" t="str">
        <f t="shared" si="11"/>
        <v xml:space="preserve">* El número de Beneficiarios NO DEBE ser mayor que el Total. </v>
      </c>
      <c r="CD52" s="1164" t="e">
        <f t="shared" si="12"/>
        <v>#VALUE!</v>
      </c>
      <c r="CE52" s="1164" t="e">
        <f t="shared" si="13"/>
        <v>#VALUE!</v>
      </c>
      <c r="CF52" s="1164"/>
      <c r="CG52" s="1163" t="e">
        <f>IF(C52&lt;(#REF!+V52),1,0)</f>
        <v>#REF!</v>
      </c>
      <c r="CH52" s="1163">
        <f t="shared" si="14"/>
        <v>0</v>
      </c>
      <c r="CI52" s="1163">
        <f t="shared" si="15"/>
        <v>1</v>
      </c>
      <c r="CJ52" s="1163" t="e">
        <f t="shared" si="16"/>
        <v>#VALUE!</v>
      </c>
      <c r="CK52" s="1163" t="e">
        <f t="shared" si="17"/>
        <v>#VALUE!</v>
      </c>
      <c r="CL52" s="80"/>
      <c r="CM52" s="80"/>
      <c r="CN52" s="80"/>
      <c r="CO52" s="80"/>
      <c r="CP52" s="80"/>
      <c r="CQ52" s="80"/>
      <c r="CR52" s="80"/>
      <c r="CS52" s="80"/>
      <c r="CT52" s="80"/>
      <c r="CU52" s="80"/>
      <c r="CV52" s="80"/>
      <c r="CW52" s="80"/>
      <c r="CX52" s="80"/>
      <c r="CY52" s="80"/>
      <c r="CZ52" s="80"/>
      <c r="DA52" s="80"/>
    </row>
    <row r="53" spans="1:105" ht="16.350000000000001" customHeight="1" x14ac:dyDescent="0.2">
      <c r="A53" s="2948" t="s">
        <v>3401</v>
      </c>
      <c r="B53" s="879" t="s">
        <v>134</v>
      </c>
      <c r="C53" s="2636" t="s">
        <v>2777</v>
      </c>
      <c r="D53" s="141" t="s">
        <v>2778</v>
      </c>
      <c r="E53" s="180" t="s">
        <v>2779</v>
      </c>
      <c r="F53" s="142" t="s">
        <v>2780</v>
      </c>
      <c r="G53" s="142" t="s">
        <v>2781</v>
      </c>
      <c r="H53" s="142" t="s">
        <v>2782</v>
      </c>
      <c r="I53" s="142" t="s">
        <v>2783</v>
      </c>
      <c r="J53" s="142" t="s">
        <v>2784</v>
      </c>
      <c r="K53" s="142" t="s">
        <v>2785</v>
      </c>
      <c r="L53" s="142" t="s">
        <v>2786</v>
      </c>
      <c r="M53" s="142" t="s">
        <v>2787</v>
      </c>
      <c r="N53" s="142" t="s">
        <v>2788</v>
      </c>
      <c r="O53" s="142" t="s">
        <v>2789</v>
      </c>
      <c r="P53" s="142" t="s">
        <v>2790</v>
      </c>
      <c r="Q53" s="142" t="s">
        <v>2791</v>
      </c>
      <c r="R53" s="142" t="s">
        <v>2792</v>
      </c>
      <c r="S53" s="142" t="s">
        <v>2793</v>
      </c>
      <c r="T53" s="163" t="s">
        <v>2794</v>
      </c>
      <c r="U53" s="141" t="s">
        <v>2795</v>
      </c>
      <c r="V53" s="163" t="s">
        <v>2796</v>
      </c>
      <c r="W53" s="163" t="s">
        <v>2797</v>
      </c>
      <c r="X53" s="163" t="s">
        <v>2798</v>
      </c>
      <c r="Y53" s="163" t="s">
        <v>2799</v>
      </c>
      <c r="Z53" s="163" t="s">
        <v>2800</v>
      </c>
      <c r="AA53" s="163" t="s">
        <v>2801</v>
      </c>
      <c r="AB53" s="163" t="s">
        <v>2817</v>
      </c>
      <c r="AC53" s="163" t="s">
        <v>2818</v>
      </c>
      <c r="AD53" s="163" t="s">
        <v>2819</v>
      </c>
      <c r="AE53" s="163" t="s">
        <v>2821</v>
      </c>
      <c r="AF53" s="163" t="s">
        <v>2822</v>
      </c>
      <c r="AG53" s="163" t="s">
        <v>2823</v>
      </c>
      <c r="AH53" s="163" t="s">
        <v>2824</v>
      </c>
      <c r="AI53" s="163" t="s">
        <v>2825</v>
      </c>
      <c r="AJ53" s="163" t="s">
        <v>2826</v>
      </c>
      <c r="AK53" s="163" t="s">
        <v>2827</v>
      </c>
      <c r="AL53" s="163" t="s">
        <v>2831</v>
      </c>
      <c r="AM53" s="163" t="s">
        <v>2832</v>
      </c>
      <c r="AN53" s="163" t="s">
        <v>2833</v>
      </c>
      <c r="AO53" s="163" t="s">
        <v>2834</v>
      </c>
      <c r="AP53" s="163" t="s">
        <v>3011</v>
      </c>
      <c r="AQ53" s="163" t="s">
        <v>3012</v>
      </c>
      <c r="AR53" s="163" t="s">
        <v>3013</v>
      </c>
      <c r="AS53" s="2953" t="s">
        <v>3014</v>
      </c>
      <c r="AT53" s="2953" t="s">
        <v>3015</v>
      </c>
      <c r="AU53" s="163" t="s">
        <v>3206</v>
      </c>
      <c r="AV53" s="163" t="s">
        <v>3207</v>
      </c>
      <c r="AW53" s="163" t="s">
        <v>3272</v>
      </c>
      <c r="AX53" s="163" t="s">
        <v>3273</v>
      </c>
      <c r="AY53" s="163" t="s">
        <v>3419</v>
      </c>
      <c r="AZ53" s="1058"/>
      <c r="BA53" s="1058"/>
      <c r="BB53" s="1058"/>
      <c r="BC53" s="1058"/>
      <c r="BD53" s="1058"/>
      <c r="BE53" s="1058"/>
      <c r="BF53" s="1058"/>
      <c r="BG53" s="1058"/>
      <c r="BH53" s="1058"/>
      <c r="BI53" s="94"/>
      <c r="BJ53" s="94"/>
      <c r="BK53" s="94"/>
      <c r="BL53" s="94"/>
      <c r="BM53" s="94"/>
      <c r="CA53" s="1164" t="e">
        <f t="shared" si="9"/>
        <v>#REF!</v>
      </c>
      <c r="CB53" s="1164" t="str">
        <f t="shared" si="10"/>
        <v/>
      </c>
      <c r="CC53" s="1164" t="str">
        <f t="shared" si="11"/>
        <v xml:space="preserve">* El número de Beneficiarios NO DEBE ser mayor que el Total. </v>
      </c>
      <c r="CD53" s="1164" t="e">
        <f t="shared" si="12"/>
        <v>#VALUE!</v>
      </c>
      <c r="CE53" s="1164" t="e">
        <f t="shared" si="13"/>
        <v>#VALUE!</v>
      </c>
      <c r="CF53" s="1164"/>
      <c r="CG53" s="1163" t="e">
        <f>IF(C53&lt;(#REF!+V53),1,0)</f>
        <v>#REF!</v>
      </c>
      <c r="CH53" s="1163">
        <f t="shared" si="14"/>
        <v>0</v>
      </c>
      <c r="CI53" s="1163">
        <f t="shared" si="15"/>
        <v>1</v>
      </c>
      <c r="CJ53" s="1163" t="e">
        <f t="shared" si="16"/>
        <v>#VALUE!</v>
      </c>
      <c r="CK53" s="1163" t="e">
        <f t="shared" si="17"/>
        <v>#VALUE!</v>
      </c>
      <c r="CL53" s="80"/>
      <c r="CM53" s="80"/>
      <c r="CN53" s="80"/>
      <c r="CO53" s="80"/>
      <c r="CP53" s="80"/>
      <c r="CQ53" s="80"/>
      <c r="CR53" s="80"/>
      <c r="CS53" s="80"/>
      <c r="CT53" s="80"/>
      <c r="CU53" s="80"/>
      <c r="CV53" s="80"/>
      <c r="CW53" s="80"/>
      <c r="CX53" s="80"/>
      <c r="CY53" s="80"/>
      <c r="CZ53" s="80"/>
      <c r="DA53" s="80"/>
    </row>
    <row r="54" spans="1:105" ht="16.350000000000001" customHeight="1" x14ac:dyDescent="0.2">
      <c r="A54" s="2948" t="s">
        <v>3402</v>
      </c>
      <c r="B54" s="1185" t="s">
        <v>1014</v>
      </c>
      <c r="C54" s="2636" t="s">
        <v>2777</v>
      </c>
      <c r="D54" s="141" t="s">
        <v>2778</v>
      </c>
      <c r="E54" s="180" t="s">
        <v>2779</v>
      </c>
      <c r="F54" s="142" t="s">
        <v>2780</v>
      </c>
      <c r="G54" s="142" t="s">
        <v>2781</v>
      </c>
      <c r="H54" s="142" t="s">
        <v>2782</v>
      </c>
      <c r="I54" s="142" t="s">
        <v>2783</v>
      </c>
      <c r="J54" s="142" t="s">
        <v>2784</v>
      </c>
      <c r="K54" s="142" t="s">
        <v>2785</v>
      </c>
      <c r="L54" s="142" t="s">
        <v>2786</v>
      </c>
      <c r="M54" s="142" t="s">
        <v>2787</v>
      </c>
      <c r="N54" s="142" t="s">
        <v>2788</v>
      </c>
      <c r="O54" s="142" t="s">
        <v>2789</v>
      </c>
      <c r="P54" s="142" t="s">
        <v>2790</v>
      </c>
      <c r="Q54" s="142" t="s">
        <v>2791</v>
      </c>
      <c r="R54" s="142" t="s">
        <v>2792</v>
      </c>
      <c r="S54" s="142" t="s">
        <v>2793</v>
      </c>
      <c r="T54" s="163" t="s">
        <v>2794</v>
      </c>
      <c r="U54" s="141" t="s">
        <v>2795</v>
      </c>
      <c r="V54" s="163" t="s">
        <v>2796</v>
      </c>
      <c r="W54" s="163" t="s">
        <v>2797</v>
      </c>
      <c r="X54" s="163" t="s">
        <v>2798</v>
      </c>
      <c r="Y54" s="163" t="s">
        <v>2799</v>
      </c>
      <c r="Z54" s="163" t="s">
        <v>2800</v>
      </c>
      <c r="AA54" s="163" t="s">
        <v>2801</v>
      </c>
      <c r="AB54" s="163" t="s">
        <v>2817</v>
      </c>
      <c r="AC54" s="163" t="s">
        <v>2818</v>
      </c>
      <c r="AD54" s="163" t="s">
        <v>2819</v>
      </c>
      <c r="AE54" s="163" t="s">
        <v>2821</v>
      </c>
      <c r="AF54" s="163" t="s">
        <v>2822</v>
      </c>
      <c r="AG54" s="163" t="s">
        <v>2823</v>
      </c>
      <c r="AH54" s="163" t="s">
        <v>2824</v>
      </c>
      <c r="AI54" s="163" t="s">
        <v>2825</v>
      </c>
      <c r="AJ54" s="163" t="s">
        <v>2826</v>
      </c>
      <c r="AK54" s="163" t="s">
        <v>2827</v>
      </c>
      <c r="AL54" s="163" t="s">
        <v>2831</v>
      </c>
      <c r="AM54" s="163" t="s">
        <v>2832</v>
      </c>
      <c r="AN54" s="163" t="s">
        <v>2833</v>
      </c>
      <c r="AO54" s="163" t="s">
        <v>2834</v>
      </c>
      <c r="AP54" s="163" t="s">
        <v>3011</v>
      </c>
      <c r="AQ54" s="163" t="s">
        <v>3012</v>
      </c>
      <c r="AR54" s="163" t="s">
        <v>3013</v>
      </c>
      <c r="AS54" s="2953" t="s">
        <v>3014</v>
      </c>
      <c r="AT54" s="2953" t="s">
        <v>3015</v>
      </c>
      <c r="AU54" s="163" t="s">
        <v>3206</v>
      </c>
      <c r="AV54" s="163" t="s">
        <v>3207</v>
      </c>
      <c r="AW54" s="163" t="s">
        <v>3272</v>
      </c>
      <c r="AX54" s="163" t="s">
        <v>3273</v>
      </c>
      <c r="AY54" s="163" t="s">
        <v>3419</v>
      </c>
      <c r="AZ54" s="1058"/>
      <c r="BA54" s="1058"/>
      <c r="BB54" s="1058"/>
      <c r="BC54" s="1058"/>
      <c r="BD54" s="1058"/>
      <c r="BE54" s="1058"/>
      <c r="BF54" s="1058"/>
      <c r="BG54" s="1058"/>
      <c r="BH54" s="1058"/>
      <c r="BI54" s="94"/>
      <c r="BJ54" s="94"/>
      <c r="BK54" s="94"/>
      <c r="BL54" s="94"/>
      <c r="BM54" s="94"/>
      <c r="CA54" s="1164" t="e">
        <f t="shared" si="9"/>
        <v>#REF!</v>
      </c>
      <c r="CB54" s="1164" t="str">
        <f t="shared" si="10"/>
        <v/>
      </c>
      <c r="CC54" s="1164" t="str">
        <f t="shared" si="11"/>
        <v xml:space="preserve">* El número de Beneficiarios NO DEBE ser mayor que el Total. </v>
      </c>
      <c r="CD54" s="1164" t="e">
        <f t="shared" si="12"/>
        <v>#VALUE!</v>
      </c>
      <c r="CE54" s="1164" t="e">
        <f t="shared" si="13"/>
        <v>#VALUE!</v>
      </c>
      <c r="CF54" s="1164"/>
      <c r="CG54" s="1163" t="e">
        <f>IF(C54&lt;(#REF!+V54),1,0)</f>
        <v>#REF!</v>
      </c>
      <c r="CH54" s="1163">
        <f t="shared" si="14"/>
        <v>0</v>
      </c>
      <c r="CI54" s="1163">
        <f t="shared" si="15"/>
        <v>1</v>
      </c>
      <c r="CJ54" s="1163" t="e">
        <f t="shared" si="16"/>
        <v>#VALUE!</v>
      </c>
      <c r="CK54" s="1163" t="e">
        <f t="shared" si="17"/>
        <v>#VALUE!</v>
      </c>
      <c r="CL54" s="80"/>
      <c r="CM54" s="80"/>
      <c r="CN54" s="80"/>
      <c r="CO54" s="80"/>
      <c r="CP54" s="80"/>
      <c r="CQ54" s="80"/>
      <c r="CR54" s="80"/>
      <c r="CS54" s="80"/>
      <c r="CT54" s="80"/>
      <c r="CU54" s="80"/>
      <c r="CV54" s="80"/>
      <c r="CW54" s="80"/>
      <c r="CX54" s="80"/>
      <c r="CY54" s="80"/>
      <c r="CZ54" s="80"/>
      <c r="DA54" s="80"/>
    </row>
    <row r="55" spans="1:105" ht="16.350000000000001" customHeight="1" x14ac:dyDescent="0.2">
      <c r="A55" s="2948" t="s">
        <v>3403</v>
      </c>
      <c r="B55" s="1184" t="s">
        <v>1015</v>
      </c>
      <c r="C55" s="2636" t="s">
        <v>2777</v>
      </c>
      <c r="D55" s="141" t="s">
        <v>2778</v>
      </c>
      <c r="E55" s="180" t="s">
        <v>2779</v>
      </c>
      <c r="F55" s="142" t="s">
        <v>2780</v>
      </c>
      <c r="G55" s="142" t="s">
        <v>2781</v>
      </c>
      <c r="H55" s="142" t="s">
        <v>2782</v>
      </c>
      <c r="I55" s="142" t="s">
        <v>2783</v>
      </c>
      <c r="J55" s="142" t="s">
        <v>2784</v>
      </c>
      <c r="K55" s="142" t="s">
        <v>2785</v>
      </c>
      <c r="L55" s="142" t="s">
        <v>2786</v>
      </c>
      <c r="M55" s="142" t="s">
        <v>2787</v>
      </c>
      <c r="N55" s="142" t="s">
        <v>2788</v>
      </c>
      <c r="O55" s="142" t="s">
        <v>2789</v>
      </c>
      <c r="P55" s="142" t="s">
        <v>2790</v>
      </c>
      <c r="Q55" s="142" t="s">
        <v>2791</v>
      </c>
      <c r="R55" s="142" t="s">
        <v>2792</v>
      </c>
      <c r="S55" s="142" t="s">
        <v>2793</v>
      </c>
      <c r="T55" s="163" t="s">
        <v>2794</v>
      </c>
      <c r="U55" s="141" t="s">
        <v>2795</v>
      </c>
      <c r="V55" s="163" t="s">
        <v>2796</v>
      </c>
      <c r="W55" s="163" t="s">
        <v>2797</v>
      </c>
      <c r="X55" s="163" t="s">
        <v>2798</v>
      </c>
      <c r="Y55" s="163" t="s">
        <v>2799</v>
      </c>
      <c r="Z55" s="163" t="s">
        <v>2800</v>
      </c>
      <c r="AA55" s="163" t="s">
        <v>2801</v>
      </c>
      <c r="AB55" s="163" t="s">
        <v>2817</v>
      </c>
      <c r="AC55" s="163" t="s">
        <v>2818</v>
      </c>
      <c r="AD55" s="163" t="s">
        <v>2819</v>
      </c>
      <c r="AE55" s="163" t="s">
        <v>2821</v>
      </c>
      <c r="AF55" s="163" t="s">
        <v>2822</v>
      </c>
      <c r="AG55" s="163" t="s">
        <v>2823</v>
      </c>
      <c r="AH55" s="163" t="s">
        <v>2824</v>
      </c>
      <c r="AI55" s="163" t="s">
        <v>2825</v>
      </c>
      <c r="AJ55" s="163" t="s">
        <v>2826</v>
      </c>
      <c r="AK55" s="163" t="s">
        <v>2827</v>
      </c>
      <c r="AL55" s="163" t="s">
        <v>2831</v>
      </c>
      <c r="AM55" s="163" t="s">
        <v>2832</v>
      </c>
      <c r="AN55" s="163" t="s">
        <v>2833</v>
      </c>
      <c r="AO55" s="163" t="s">
        <v>2834</v>
      </c>
      <c r="AP55" s="163" t="s">
        <v>3011</v>
      </c>
      <c r="AQ55" s="163" t="s">
        <v>3012</v>
      </c>
      <c r="AR55" s="163" t="s">
        <v>3013</v>
      </c>
      <c r="AS55" s="2953" t="s">
        <v>3014</v>
      </c>
      <c r="AT55" s="2953" t="s">
        <v>3015</v>
      </c>
      <c r="AU55" s="163" t="s">
        <v>3206</v>
      </c>
      <c r="AV55" s="163" t="s">
        <v>3207</v>
      </c>
      <c r="AW55" s="163" t="s">
        <v>3272</v>
      </c>
      <c r="AX55" s="163" t="s">
        <v>3273</v>
      </c>
      <c r="AY55" s="163" t="s">
        <v>3419</v>
      </c>
      <c r="AZ55" s="1058"/>
      <c r="BA55" s="1058"/>
      <c r="BB55" s="1058"/>
      <c r="BC55" s="1058"/>
      <c r="BD55" s="1058"/>
      <c r="BE55" s="1058"/>
      <c r="BF55" s="1058"/>
      <c r="BG55" s="1058"/>
      <c r="BH55" s="1058"/>
      <c r="BI55" s="94"/>
      <c r="BJ55" s="94"/>
      <c r="BK55" s="94"/>
      <c r="BL55" s="94"/>
      <c r="BM55" s="94"/>
      <c r="CA55" s="1164" t="e">
        <f t="shared" si="9"/>
        <v>#REF!</v>
      </c>
      <c r="CB55" s="1164" t="str">
        <f t="shared" si="10"/>
        <v/>
      </c>
      <c r="CC55" s="1164" t="str">
        <f t="shared" si="11"/>
        <v xml:space="preserve">* El número de Beneficiarios NO DEBE ser mayor que el Total. </v>
      </c>
      <c r="CD55" s="1164" t="e">
        <f t="shared" si="12"/>
        <v>#VALUE!</v>
      </c>
      <c r="CE55" s="1164" t="e">
        <f t="shared" si="13"/>
        <v>#VALUE!</v>
      </c>
      <c r="CF55" s="1164"/>
      <c r="CG55" s="1163" t="e">
        <f>IF(C55&lt;(#REF!+V55),1,0)</f>
        <v>#REF!</v>
      </c>
      <c r="CH55" s="1163">
        <f t="shared" si="14"/>
        <v>0</v>
      </c>
      <c r="CI55" s="1163">
        <f t="shared" si="15"/>
        <v>1</v>
      </c>
      <c r="CJ55" s="1163" t="e">
        <f t="shared" si="16"/>
        <v>#VALUE!</v>
      </c>
      <c r="CK55" s="1163" t="e">
        <f t="shared" si="17"/>
        <v>#VALUE!</v>
      </c>
      <c r="CL55" s="80"/>
      <c r="CM55" s="80"/>
      <c r="CN55" s="80"/>
      <c r="CO55" s="80"/>
      <c r="CP55" s="80"/>
      <c r="CQ55" s="80"/>
      <c r="CR55" s="80"/>
      <c r="CS55" s="80"/>
      <c r="CT55" s="80"/>
      <c r="CU55" s="80"/>
      <c r="CV55" s="80"/>
      <c r="CW55" s="80"/>
      <c r="CX55" s="80"/>
      <c r="CY55" s="80"/>
      <c r="CZ55" s="80"/>
      <c r="DA55" s="80"/>
    </row>
    <row r="56" spans="1:105" ht="16.350000000000001" customHeight="1" x14ac:dyDescent="0.2">
      <c r="A56" s="2948" t="s">
        <v>3404</v>
      </c>
      <c r="B56" s="1184" t="s">
        <v>1016</v>
      </c>
      <c r="C56" s="2636" t="s">
        <v>2777</v>
      </c>
      <c r="D56" s="141" t="s">
        <v>2778</v>
      </c>
      <c r="E56" s="180" t="s">
        <v>2779</v>
      </c>
      <c r="F56" s="142" t="s">
        <v>2780</v>
      </c>
      <c r="G56" s="142" t="s">
        <v>2781</v>
      </c>
      <c r="H56" s="142" t="s">
        <v>2782</v>
      </c>
      <c r="I56" s="142" t="s">
        <v>2783</v>
      </c>
      <c r="J56" s="142" t="s">
        <v>2784</v>
      </c>
      <c r="K56" s="142" t="s">
        <v>2785</v>
      </c>
      <c r="L56" s="142" t="s">
        <v>2786</v>
      </c>
      <c r="M56" s="2396" t="s">
        <v>2787</v>
      </c>
      <c r="N56" s="2396" t="s">
        <v>2788</v>
      </c>
      <c r="O56" s="2396" t="s">
        <v>2789</v>
      </c>
      <c r="P56" s="2396" t="s">
        <v>2790</v>
      </c>
      <c r="Q56" s="2396" t="s">
        <v>2791</v>
      </c>
      <c r="R56" s="2396" t="s">
        <v>2792</v>
      </c>
      <c r="S56" s="2396" t="s">
        <v>2793</v>
      </c>
      <c r="T56" s="163" t="s">
        <v>2794</v>
      </c>
      <c r="U56" s="141" t="s">
        <v>2795</v>
      </c>
      <c r="V56" s="163" t="s">
        <v>2796</v>
      </c>
      <c r="W56" s="163" t="s">
        <v>2797</v>
      </c>
      <c r="X56" s="163" t="s">
        <v>2798</v>
      </c>
      <c r="Y56" s="163" t="s">
        <v>2799</v>
      </c>
      <c r="Z56" s="163" t="s">
        <v>2800</v>
      </c>
      <c r="AA56" s="163" t="s">
        <v>2801</v>
      </c>
      <c r="AB56" s="163" t="s">
        <v>2817</v>
      </c>
      <c r="AC56" s="163" t="s">
        <v>2818</v>
      </c>
      <c r="AD56" s="163" t="s">
        <v>2819</v>
      </c>
      <c r="AE56" s="163" t="s">
        <v>2821</v>
      </c>
      <c r="AF56" s="163" t="s">
        <v>2822</v>
      </c>
      <c r="AG56" s="163" t="s">
        <v>2823</v>
      </c>
      <c r="AH56" s="163" t="s">
        <v>2824</v>
      </c>
      <c r="AI56" s="163" t="s">
        <v>2825</v>
      </c>
      <c r="AJ56" s="163" t="s">
        <v>2826</v>
      </c>
      <c r="AK56" s="163" t="s">
        <v>2827</v>
      </c>
      <c r="AL56" s="163" t="s">
        <v>2831</v>
      </c>
      <c r="AM56" s="163" t="s">
        <v>2832</v>
      </c>
      <c r="AN56" s="163" t="s">
        <v>2833</v>
      </c>
      <c r="AO56" s="163" t="s">
        <v>2834</v>
      </c>
      <c r="AP56" s="163" t="s">
        <v>3011</v>
      </c>
      <c r="AQ56" s="163" t="s">
        <v>3012</v>
      </c>
      <c r="AR56" s="163" t="s">
        <v>3013</v>
      </c>
      <c r="AS56" s="2953" t="s">
        <v>3014</v>
      </c>
      <c r="AT56" s="2953" t="s">
        <v>3015</v>
      </c>
      <c r="AU56" s="163" t="s">
        <v>3206</v>
      </c>
      <c r="AV56" s="163" t="s">
        <v>3207</v>
      </c>
      <c r="AW56" s="163" t="s">
        <v>3272</v>
      </c>
      <c r="AX56" s="163" t="s">
        <v>3273</v>
      </c>
      <c r="AY56" s="163" t="s">
        <v>3419</v>
      </c>
      <c r="AZ56" s="1058"/>
      <c r="BA56" s="1058"/>
      <c r="BB56" s="1058"/>
      <c r="BC56" s="1058"/>
      <c r="BD56" s="1058"/>
      <c r="BE56" s="1058"/>
      <c r="BF56" s="1058"/>
      <c r="BG56" s="1058"/>
      <c r="BH56" s="1058"/>
      <c r="BI56" s="94"/>
      <c r="BJ56" s="94"/>
      <c r="BK56" s="94"/>
      <c r="BL56" s="94"/>
      <c r="BM56" s="94"/>
      <c r="CA56" s="1164" t="e">
        <f t="shared" si="9"/>
        <v>#REF!</v>
      </c>
      <c r="CB56" s="1164" t="str">
        <f t="shared" si="10"/>
        <v/>
      </c>
      <c r="CC56" s="1164" t="str">
        <f t="shared" si="11"/>
        <v xml:space="preserve">* El número de Beneficiarios NO DEBE ser mayor que el Total. </v>
      </c>
      <c r="CD56" s="1164" t="e">
        <f t="shared" si="12"/>
        <v>#VALUE!</v>
      </c>
      <c r="CE56" s="1164" t="e">
        <f t="shared" si="13"/>
        <v>#VALUE!</v>
      </c>
      <c r="CF56" s="1164"/>
      <c r="CG56" s="1163" t="e">
        <f>IF(C56&lt;(#REF!+V56),1,0)</f>
        <v>#REF!</v>
      </c>
      <c r="CH56" s="1163">
        <f t="shared" si="14"/>
        <v>0</v>
      </c>
      <c r="CI56" s="1163">
        <f t="shared" si="15"/>
        <v>1</v>
      </c>
      <c r="CJ56" s="1163" t="e">
        <f t="shared" si="16"/>
        <v>#VALUE!</v>
      </c>
      <c r="CK56" s="1163" t="e">
        <f t="shared" si="17"/>
        <v>#VALUE!</v>
      </c>
      <c r="CL56" s="80"/>
      <c r="CM56" s="80"/>
      <c r="CN56" s="80"/>
      <c r="CO56" s="80"/>
      <c r="CP56" s="80"/>
      <c r="CQ56" s="80"/>
      <c r="CR56" s="80"/>
      <c r="CS56" s="80"/>
      <c r="CT56" s="80"/>
      <c r="CU56" s="80"/>
      <c r="CV56" s="80"/>
      <c r="CW56" s="80"/>
      <c r="CX56" s="80"/>
      <c r="CY56" s="80"/>
      <c r="CZ56" s="80"/>
      <c r="DA56" s="80"/>
    </row>
    <row r="57" spans="1:105" ht="16.350000000000001" customHeight="1" x14ac:dyDescent="0.2">
      <c r="A57" s="2948" t="s">
        <v>3405</v>
      </c>
      <c r="B57" s="1184" t="s">
        <v>1675</v>
      </c>
      <c r="C57" s="2636" t="s">
        <v>2777</v>
      </c>
      <c r="D57" s="141" t="s">
        <v>2778</v>
      </c>
      <c r="E57" s="180" t="s">
        <v>2779</v>
      </c>
      <c r="F57" s="142" t="s">
        <v>2780</v>
      </c>
      <c r="G57" s="142" t="s">
        <v>2781</v>
      </c>
      <c r="H57" s="142" t="s">
        <v>2782</v>
      </c>
      <c r="I57" s="142" t="s">
        <v>2783</v>
      </c>
      <c r="J57" s="142" t="s">
        <v>2784</v>
      </c>
      <c r="K57" s="142" t="s">
        <v>2785</v>
      </c>
      <c r="L57" s="142" t="s">
        <v>2786</v>
      </c>
      <c r="M57" s="2396" t="s">
        <v>2787</v>
      </c>
      <c r="N57" s="2396" t="s">
        <v>2788</v>
      </c>
      <c r="O57" s="2396" t="s">
        <v>2789</v>
      </c>
      <c r="P57" s="2396" t="s">
        <v>2790</v>
      </c>
      <c r="Q57" s="2396" t="s">
        <v>2791</v>
      </c>
      <c r="R57" s="2396" t="s">
        <v>2792</v>
      </c>
      <c r="S57" s="2396" t="s">
        <v>2793</v>
      </c>
      <c r="T57" s="163" t="s">
        <v>2794</v>
      </c>
      <c r="U57" s="141" t="s">
        <v>2795</v>
      </c>
      <c r="V57" s="163" t="s">
        <v>2796</v>
      </c>
      <c r="W57" s="163" t="s">
        <v>2797</v>
      </c>
      <c r="X57" s="163" t="s">
        <v>2798</v>
      </c>
      <c r="Y57" s="163" t="s">
        <v>2799</v>
      </c>
      <c r="Z57" s="163" t="s">
        <v>2800</v>
      </c>
      <c r="AA57" s="163" t="s">
        <v>2801</v>
      </c>
      <c r="AB57" s="163" t="s">
        <v>2817</v>
      </c>
      <c r="AC57" s="163" t="s">
        <v>2818</v>
      </c>
      <c r="AD57" s="163" t="s">
        <v>2819</v>
      </c>
      <c r="AE57" s="163" t="s">
        <v>2821</v>
      </c>
      <c r="AF57" s="163" t="s">
        <v>2822</v>
      </c>
      <c r="AG57" s="163" t="s">
        <v>2823</v>
      </c>
      <c r="AH57" s="163" t="s">
        <v>2824</v>
      </c>
      <c r="AI57" s="163" t="s">
        <v>2825</v>
      </c>
      <c r="AJ57" s="163" t="s">
        <v>2826</v>
      </c>
      <c r="AK57" s="163" t="s">
        <v>2827</v>
      </c>
      <c r="AL57" s="163" t="s">
        <v>2831</v>
      </c>
      <c r="AM57" s="163" t="s">
        <v>2832</v>
      </c>
      <c r="AN57" s="163" t="s">
        <v>2833</v>
      </c>
      <c r="AO57" s="163" t="s">
        <v>2834</v>
      </c>
      <c r="AP57" s="163" t="s">
        <v>3011</v>
      </c>
      <c r="AQ57" s="163" t="s">
        <v>3012</v>
      </c>
      <c r="AR57" s="163" t="s">
        <v>3013</v>
      </c>
      <c r="AS57" s="2953" t="s">
        <v>3014</v>
      </c>
      <c r="AT57" s="2953" t="s">
        <v>3015</v>
      </c>
      <c r="AU57" s="163" t="s">
        <v>3206</v>
      </c>
      <c r="AV57" s="163" t="s">
        <v>3207</v>
      </c>
      <c r="AW57" s="163" t="s">
        <v>3272</v>
      </c>
      <c r="AX57" s="163" t="s">
        <v>3273</v>
      </c>
      <c r="AY57" s="163" t="s">
        <v>3419</v>
      </c>
      <c r="AZ57" s="1058"/>
      <c r="BA57" s="1058"/>
      <c r="BB57" s="1058"/>
      <c r="BC57" s="1058"/>
      <c r="BD57" s="1058"/>
      <c r="BE57" s="1058"/>
      <c r="BF57" s="1058"/>
      <c r="BG57" s="1058"/>
      <c r="BH57" s="1058"/>
      <c r="BI57" s="94"/>
      <c r="BJ57" s="94"/>
      <c r="BK57" s="94"/>
      <c r="BL57" s="94"/>
      <c r="BM57" s="94"/>
      <c r="CA57" s="1164" t="e">
        <f t="shared" si="9"/>
        <v>#REF!</v>
      </c>
      <c r="CB57" s="1164" t="str">
        <f t="shared" si="10"/>
        <v/>
      </c>
      <c r="CC57" s="1164" t="str">
        <f t="shared" si="11"/>
        <v xml:space="preserve">* El número de Beneficiarios NO DEBE ser mayor que el Total. </v>
      </c>
      <c r="CD57" s="1164" t="e">
        <f t="shared" si="12"/>
        <v>#VALUE!</v>
      </c>
      <c r="CE57" s="1164" t="e">
        <f t="shared" si="13"/>
        <v>#VALUE!</v>
      </c>
      <c r="CF57" s="1164"/>
      <c r="CG57" s="1163" t="e">
        <f>IF(C57&lt;(#REF!+V57),1,0)</f>
        <v>#REF!</v>
      </c>
      <c r="CH57" s="1163">
        <f t="shared" si="14"/>
        <v>0</v>
      </c>
      <c r="CI57" s="1163">
        <f t="shared" si="15"/>
        <v>1</v>
      </c>
      <c r="CJ57" s="1163" t="e">
        <f t="shared" si="16"/>
        <v>#VALUE!</v>
      </c>
      <c r="CK57" s="1163" t="e">
        <f t="shared" si="17"/>
        <v>#VALUE!</v>
      </c>
      <c r="CL57" s="80"/>
      <c r="CM57" s="80"/>
      <c r="CN57" s="80"/>
      <c r="CO57" s="80"/>
      <c r="CP57" s="80"/>
      <c r="CQ57" s="80"/>
      <c r="CR57" s="80"/>
      <c r="CS57" s="80"/>
      <c r="CT57" s="80"/>
      <c r="CU57" s="80"/>
      <c r="CV57" s="80"/>
      <c r="CW57" s="80"/>
      <c r="CX57" s="80"/>
      <c r="CY57" s="80"/>
      <c r="CZ57" s="80"/>
      <c r="DA57" s="80"/>
    </row>
    <row r="58" spans="1:105" ht="16.350000000000001" customHeight="1" x14ac:dyDescent="0.2">
      <c r="A58" s="2948" t="s">
        <v>3406</v>
      </c>
      <c r="B58" s="879" t="s">
        <v>139</v>
      </c>
      <c r="C58" s="2636" t="s">
        <v>2777</v>
      </c>
      <c r="D58" s="141" t="s">
        <v>2778</v>
      </c>
      <c r="E58" s="180" t="s">
        <v>2779</v>
      </c>
      <c r="F58" s="142" t="s">
        <v>2780</v>
      </c>
      <c r="G58" s="142" t="s">
        <v>2781</v>
      </c>
      <c r="H58" s="142" t="s">
        <v>2782</v>
      </c>
      <c r="I58" s="142" t="s">
        <v>2783</v>
      </c>
      <c r="J58" s="142" t="s">
        <v>2784</v>
      </c>
      <c r="K58" s="142" t="s">
        <v>2785</v>
      </c>
      <c r="L58" s="142" t="s">
        <v>2786</v>
      </c>
      <c r="M58" s="2396" t="s">
        <v>2787</v>
      </c>
      <c r="N58" s="2396" t="s">
        <v>2788</v>
      </c>
      <c r="O58" s="2396" t="s">
        <v>2789</v>
      </c>
      <c r="P58" s="2396" t="s">
        <v>2790</v>
      </c>
      <c r="Q58" s="2396" t="s">
        <v>2791</v>
      </c>
      <c r="R58" s="2396" t="s">
        <v>2792</v>
      </c>
      <c r="S58" s="2396" t="s">
        <v>2793</v>
      </c>
      <c r="T58" s="163" t="s">
        <v>2794</v>
      </c>
      <c r="U58" s="141" t="s">
        <v>2795</v>
      </c>
      <c r="V58" s="163" t="s">
        <v>2796</v>
      </c>
      <c r="W58" s="163" t="s">
        <v>2797</v>
      </c>
      <c r="X58" s="163" t="s">
        <v>2798</v>
      </c>
      <c r="Y58" s="163" t="s">
        <v>2799</v>
      </c>
      <c r="Z58" s="163" t="s">
        <v>2800</v>
      </c>
      <c r="AA58" s="163" t="s">
        <v>2801</v>
      </c>
      <c r="AB58" s="163" t="s">
        <v>2817</v>
      </c>
      <c r="AC58" s="163" t="s">
        <v>2818</v>
      </c>
      <c r="AD58" s="163" t="s">
        <v>2819</v>
      </c>
      <c r="AE58" s="163" t="s">
        <v>2821</v>
      </c>
      <c r="AF58" s="163" t="s">
        <v>2822</v>
      </c>
      <c r="AG58" s="163" t="s">
        <v>2823</v>
      </c>
      <c r="AH58" s="163" t="s">
        <v>2824</v>
      </c>
      <c r="AI58" s="163" t="s">
        <v>2825</v>
      </c>
      <c r="AJ58" s="163" t="s">
        <v>2826</v>
      </c>
      <c r="AK58" s="163" t="s">
        <v>2827</v>
      </c>
      <c r="AL58" s="163" t="s">
        <v>2831</v>
      </c>
      <c r="AM58" s="163" t="s">
        <v>2832</v>
      </c>
      <c r="AN58" s="163" t="s">
        <v>2833</v>
      </c>
      <c r="AO58" s="163" t="s">
        <v>2834</v>
      </c>
      <c r="AP58" s="163" t="s">
        <v>3011</v>
      </c>
      <c r="AQ58" s="163" t="s">
        <v>3012</v>
      </c>
      <c r="AR58" s="163" t="s">
        <v>3013</v>
      </c>
      <c r="AS58" s="2953" t="s">
        <v>3014</v>
      </c>
      <c r="AT58" s="2953" t="s">
        <v>3015</v>
      </c>
      <c r="AU58" s="163" t="s">
        <v>3206</v>
      </c>
      <c r="AV58" s="163" t="s">
        <v>3207</v>
      </c>
      <c r="AW58" s="163" t="s">
        <v>3272</v>
      </c>
      <c r="AX58" s="163" t="s">
        <v>3273</v>
      </c>
      <c r="AY58" s="163" t="s">
        <v>3419</v>
      </c>
      <c r="AZ58" s="1058"/>
      <c r="BA58" s="1058"/>
      <c r="BB58" s="1058"/>
      <c r="BC58" s="1058"/>
      <c r="BD58" s="1058"/>
      <c r="BE58" s="1058"/>
      <c r="BF58" s="1058"/>
      <c r="BG58" s="1058"/>
      <c r="BH58" s="1058"/>
      <c r="BI58" s="94"/>
      <c r="BJ58" s="94"/>
      <c r="BK58" s="94"/>
      <c r="BL58" s="94"/>
      <c r="BM58" s="94"/>
      <c r="CA58" s="1164" t="e">
        <f t="shared" si="9"/>
        <v>#REF!</v>
      </c>
      <c r="CB58" s="1164" t="str">
        <f t="shared" si="10"/>
        <v/>
      </c>
      <c r="CC58" s="1164" t="str">
        <f t="shared" si="11"/>
        <v xml:space="preserve">* El número de Beneficiarios NO DEBE ser mayor que el Total. </v>
      </c>
      <c r="CD58" s="1164" t="e">
        <f t="shared" si="12"/>
        <v>#VALUE!</v>
      </c>
      <c r="CE58" s="1164" t="e">
        <f t="shared" si="13"/>
        <v>#VALUE!</v>
      </c>
      <c r="CF58" s="1164"/>
      <c r="CG58" s="1163" t="e">
        <f>IF(C58&lt;(#REF!+V58),1,0)</f>
        <v>#REF!</v>
      </c>
      <c r="CH58" s="1163">
        <f t="shared" si="14"/>
        <v>0</v>
      </c>
      <c r="CI58" s="1163">
        <f t="shared" si="15"/>
        <v>1</v>
      </c>
      <c r="CJ58" s="1163" t="e">
        <f t="shared" si="16"/>
        <v>#VALUE!</v>
      </c>
      <c r="CK58" s="1163" t="e">
        <f t="shared" si="17"/>
        <v>#VALUE!</v>
      </c>
      <c r="CL58" s="80"/>
      <c r="CM58" s="80"/>
      <c r="CN58" s="80"/>
      <c r="CO58" s="80"/>
      <c r="CP58" s="80"/>
      <c r="CQ58" s="80"/>
      <c r="CR58" s="80"/>
      <c r="CS58" s="80"/>
      <c r="CT58" s="80"/>
      <c r="CU58" s="80"/>
      <c r="CV58" s="80"/>
      <c r="CW58" s="80"/>
      <c r="CX58" s="80"/>
      <c r="CY58" s="80"/>
      <c r="CZ58" s="80"/>
      <c r="DA58" s="80"/>
    </row>
    <row r="59" spans="1:105" ht="16.350000000000001" customHeight="1" x14ac:dyDescent="0.2">
      <c r="A59" s="2948" t="s">
        <v>3407</v>
      </c>
      <c r="B59" s="879" t="s">
        <v>138</v>
      </c>
      <c r="C59" s="2636" t="s">
        <v>2777</v>
      </c>
      <c r="D59" s="141" t="s">
        <v>2778</v>
      </c>
      <c r="E59" s="180" t="s">
        <v>2779</v>
      </c>
      <c r="F59" s="142" t="s">
        <v>2780</v>
      </c>
      <c r="G59" s="142" t="s">
        <v>2781</v>
      </c>
      <c r="H59" s="142" t="s">
        <v>2782</v>
      </c>
      <c r="I59" s="142" t="s">
        <v>2783</v>
      </c>
      <c r="J59" s="142" t="s">
        <v>2784</v>
      </c>
      <c r="K59" s="142" t="s">
        <v>2785</v>
      </c>
      <c r="L59" s="142" t="s">
        <v>2786</v>
      </c>
      <c r="M59" s="2396" t="s">
        <v>2787</v>
      </c>
      <c r="N59" s="2396" t="s">
        <v>2788</v>
      </c>
      <c r="O59" s="2396" t="s">
        <v>2789</v>
      </c>
      <c r="P59" s="2396" t="s">
        <v>2790</v>
      </c>
      <c r="Q59" s="2396" t="s">
        <v>2791</v>
      </c>
      <c r="R59" s="2396" t="s">
        <v>2792</v>
      </c>
      <c r="S59" s="2396" t="s">
        <v>2793</v>
      </c>
      <c r="T59" s="163" t="s">
        <v>2794</v>
      </c>
      <c r="U59" s="141" t="s">
        <v>2795</v>
      </c>
      <c r="V59" s="163" t="s">
        <v>2796</v>
      </c>
      <c r="W59" s="163" t="s">
        <v>2797</v>
      </c>
      <c r="X59" s="163" t="s">
        <v>2798</v>
      </c>
      <c r="Y59" s="163" t="s">
        <v>2799</v>
      </c>
      <c r="Z59" s="163" t="s">
        <v>2800</v>
      </c>
      <c r="AA59" s="163" t="s">
        <v>2801</v>
      </c>
      <c r="AB59" s="163" t="s">
        <v>2817</v>
      </c>
      <c r="AC59" s="163" t="s">
        <v>2818</v>
      </c>
      <c r="AD59" s="163" t="s">
        <v>2819</v>
      </c>
      <c r="AE59" s="163" t="s">
        <v>2821</v>
      </c>
      <c r="AF59" s="163" t="s">
        <v>2822</v>
      </c>
      <c r="AG59" s="163" t="s">
        <v>2823</v>
      </c>
      <c r="AH59" s="163" t="s">
        <v>2824</v>
      </c>
      <c r="AI59" s="163" t="s">
        <v>2825</v>
      </c>
      <c r="AJ59" s="163" t="s">
        <v>2826</v>
      </c>
      <c r="AK59" s="163" t="s">
        <v>2827</v>
      </c>
      <c r="AL59" s="163" t="s">
        <v>2831</v>
      </c>
      <c r="AM59" s="163" t="s">
        <v>2832</v>
      </c>
      <c r="AN59" s="163" t="s">
        <v>2833</v>
      </c>
      <c r="AO59" s="163" t="s">
        <v>2834</v>
      </c>
      <c r="AP59" s="163" t="s">
        <v>3011</v>
      </c>
      <c r="AQ59" s="163" t="s">
        <v>3012</v>
      </c>
      <c r="AR59" s="163" t="s">
        <v>3013</v>
      </c>
      <c r="AS59" s="2953" t="s">
        <v>3014</v>
      </c>
      <c r="AT59" s="2953" t="s">
        <v>3015</v>
      </c>
      <c r="AU59" s="163" t="s">
        <v>3206</v>
      </c>
      <c r="AV59" s="163" t="s">
        <v>3207</v>
      </c>
      <c r="AW59" s="163" t="s">
        <v>3272</v>
      </c>
      <c r="AX59" s="163" t="s">
        <v>3273</v>
      </c>
      <c r="AY59" s="163" t="s">
        <v>3419</v>
      </c>
      <c r="AZ59" s="1058"/>
      <c r="BA59" s="1058"/>
      <c r="BB59" s="1058"/>
      <c r="BC59" s="1058"/>
      <c r="BD59" s="1058"/>
      <c r="BE59" s="1058"/>
      <c r="BF59" s="1058"/>
      <c r="BG59" s="1058"/>
      <c r="BH59" s="1058"/>
      <c r="BI59" s="94"/>
      <c r="BJ59" s="94"/>
      <c r="BK59" s="94"/>
      <c r="BL59" s="94"/>
      <c r="BM59" s="94"/>
      <c r="CA59" s="1164" t="e">
        <f t="shared" si="9"/>
        <v>#REF!</v>
      </c>
      <c r="CB59" s="1164" t="str">
        <f t="shared" si="10"/>
        <v/>
      </c>
      <c r="CC59" s="1164" t="str">
        <f t="shared" si="11"/>
        <v xml:space="preserve">* El número de Beneficiarios NO DEBE ser mayor que el Total. </v>
      </c>
      <c r="CD59" s="1164" t="e">
        <f t="shared" si="12"/>
        <v>#VALUE!</v>
      </c>
      <c r="CE59" s="1164" t="e">
        <f t="shared" si="13"/>
        <v>#VALUE!</v>
      </c>
      <c r="CF59" s="1164"/>
      <c r="CG59" s="1163" t="e">
        <f>IF(C59&lt;(#REF!+V59),1,0)</f>
        <v>#REF!</v>
      </c>
      <c r="CH59" s="1163">
        <f t="shared" si="14"/>
        <v>0</v>
      </c>
      <c r="CI59" s="1163">
        <f t="shared" si="15"/>
        <v>1</v>
      </c>
      <c r="CJ59" s="1163" t="e">
        <f t="shared" si="16"/>
        <v>#VALUE!</v>
      </c>
      <c r="CK59" s="1163" t="e">
        <f t="shared" si="17"/>
        <v>#VALUE!</v>
      </c>
      <c r="CL59" s="80"/>
      <c r="CM59" s="80"/>
      <c r="CN59" s="80"/>
      <c r="CO59" s="80"/>
      <c r="CP59" s="80"/>
      <c r="CQ59" s="80"/>
      <c r="CR59" s="80"/>
      <c r="CS59" s="80"/>
      <c r="CT59" s="80"/>
      <c r="CU59" s="80"/>
      <c r="CV59" s="80"/>
      <c r="CW59" s="80"/>
      <c r="CX59" s="80"/>
      <c r="CY59" s="80"/>
      <c r="CZ59" s="80"/>
      <c r="DA59" s="80"/>
    </row>
    <row r="60" spans="1:105" ht="16.350000000000001" customHeight="1" x14ac:dyDescent="0.2">
      <c r="A60" s="2948" t="s">
        <v>3408</v>
      </c>
      <c r="B60" s="879" t="s">
        <v>1017</v>
      </c>
      <c r="C60" s="2636" t="s">
        <v>2777</v>
      </c>
      <c r="D60" s="141" t="s">
        <v>2778</v>
      </c>
      <c r="E60" s="180" t="s">
        <v>2779</v>
      </c>
      <c r="F60" s="142" t="s">
        <v>2780</v>
      </c>
      <c r="G60" s="142" t="s">
        <v>2781</v>
      </c>
      <c r="H60" s="142" t="s">
        <v>2782</v>
      </c>
      <c r="I60" s="142" t="s">
        <v>2783</v>
      </c>
      <c r="J60" s="142" t="s">
        <v>2784</v>
      </c>
      <c r="K60" s="142" t="s">
        <v>2785</v>
      </c>
      <c r="L60" s="142" t="s">
        <v>2786</v>
      </c>
      <c r="M60" s="2396" t="s">
        <v>2787</v>
      </c>
      <c r="N60" s="2396" t="s">
        <v>2788</v>
      </c>
      <c r="O60" s="2396" t="s">
        <v>2789</v>
      </c>
      <c r="P60" s="2396" t="s">
        <v>2790</v>
      </c>
      <c r="Q60" s="2396" t="s">
        <v>2791</v>
      </c>
      <c r="R60" s="2396" t="s">
        <v>2792</v>
      </c>
      <c r="S60" s="2396" t="s">
        <v>2793</v>
      </c>
      <c r="T60" s="163" t="s">
        <v>2794</v>
      </c>
      <c r="U60" s="141" t="s">
        <v>2795</v>
      </c>
      <c r="V60" s="163" t="s">
        <v>2796</v>
      </c>
      <c r="W60" s="163" t="s">
        <v>2797</v>
      </c>
      <c r="X60" s="163" t="s">
        <v>2798</v>
      </c>
      <c r="Y60" s="163" t="s">
        <v>2799</v>
      </c>
      <c r="Z60" s="163" t="s">
        <v>2800</v>
      </c>
      <c r="AA60" s="163" t="s">
        <v>2801</v>
      </c>
      <c r="AB60" s="163" t="s">
        <v>2817</v>
      </c>
      <c r="AC60" s="163" t="s">
        <v>2818</v>
      </c>
      <c r="AD60" s="163" t="s">
        <v>2819</v>
      </c>
      <c r="AE60" s="163" t="s">
        <v>2821</v>
      </c>
      <c r="AF60" s="163" t="s">
        <v>2822</v>
      </c>
      <c r="AG60" s="163" t="s">
        <v>2823</v>
      </c>
      <c r="AH60" s="163" t="s">
        <v>2824</v>
      </c>
      <c r="AI60" s="163" t="s">
        <v>2825</v>
      </c>
      <c r="AJ60" s="163" t="s">
        <v>2826</v>
      </c>
      <c r="AK60" s="163" t="s">
        <v>2827</v>
      </c>
      <c r="AL60" s="163" t="s">
        <v>2831</v>
      </c>
      <c r="AM60" s="163" t="s">
        <v>2832</v>
      </c>
      <c r="AN60" s="163" t="s">
        <v>2833</v>
      </c>
      <c r="AO60" s="163" t="s">
        <v>2834</v>
      </c>
      <c r="AP60" s="163" t="s">
        <v>3011</v>
      </c>
      <c r="AQ60" s="163" t="s">
        <v>3012</v>
      </c>
      <c r="AR60" s="163" t="s">
        <v>3013</v>
      </c>
      <c r="AS60" s="2953" t="s">
        <v>3014</v>
      </c>
      <c r="AT60" s="2953" t="s">
        <v>3015</v>
      </c>
      <c r="AU60" s="163" t="s">
        <v>3206</v>
      </c>
      <c r="AV60" s="163" t="s">
        <v>3207</v>
      </c>
      <c r="AW60" s="163" t="s">
        <v>3272</v>
      </c>
      <c r="AX60" s="163" t="s">
        <v>3273</v>
      </c>
      <c r="AY60" s="163" t="s">
        <v>3419</v>
      </c>
      <c r="AZ60" s="1058"/>
      <c r="BA60" s="1058"/>
      <c r="BB60" s="1058"/>
      <c r="BC60" s="1058"/>
      <c r="BD60" s="1058"/>
      <c r="BE60" s="1058"/>
      <c r="BF60" s="1058"/>
      <c r="BG60" s="1058"/>
      <c r="BH60" s="1058"/>
      <c r="BI60" s="94"/>
      <c r="BJ60" s="94"/>
      <c r="BK60" s="94"/>
      <c r="BL60" s="94"/>
      <c r="BM60" s="94"/>
      <c r="CA60" s="1164" t="e">
        <f t="shared" si="9"/>
        <v>#REF!</v>
      </c>
      <c r="CB60" s="1164" t="str">
        <f t="shared" si="10"/>
        <v/>
      </c>
      <c r="CC60" s="1164" t="str">
        <f t="shared" si="11"/>
        <v xml:space="preserve">* El número de Beneficiarios NO DEBE ser mayor que el Total. </v>
      </c>
      <c r="CD60" s="1164" t="e">
        <f t="shared" si="12"/>
        <v>#VALUE!</v>
      </c>
      <c r="CE60" s="1164" t="e">
        <f t="shared" si="13"/>
        <v>#VALUE!</v>
      </c>
      <c r="CF60" s="1164"/>
      <c r="CG60" s="1163" t="e">
        <f>IF(C60&lt;(#REF!+V60),1,0)</f>
        <v>#REF!</v>
      </c>
      <c r="CH60" s="1163">
        <f t="shared" si="14"/>
        <v>0</v>
      </c>
      <c r="CI60" s="1163">
        <f t="shared" si="15"/>
        <v>1</v>
      </c>
      <c r="CJ60" s="1163" t="e">
        <f t="shared" si="16"/>
        <v>#VALUE!</v>
      </c>
      <c r="CK60" s="1163" t="e">
        <f t="shared" si="17"/>
        <v>#VALUE!</v>
      </c>
      <c r="CL60" s="80"/>
      <c r="CM60" s="80"/>
      <c r="CN60" s="80"/>
      <c r="CO60" s="80"/>
      <c r="CP60" s="80"/>
      <c r="CQ60" s="80"/>
      <c r="CR60" s="80"/>
      <c r="CS60" s="80"/>
      <c r="CT60" s="80"/>
      <c r="CU60" s="80"/>
      <c r="CV60" s="80"/>
      <c r="CW60" s="80"/>
      <c r="CX60" s="80"/>
      <c r="CY60" s="80"/>
      <c r="CZ60" s="80"/>
      <c r="DA60" s="80"/>
    </row>
    <row r="61" spans="1:105" ht="16.350000000000001" customHeight="1" x14ac:dyDescent="0.2">
      <c r="A61" s="2948" t="s">
        <v>3409</v>
      </c>
      <c r="B61" s="879" t="s">
        <v>1676</v>
      </c>
      <c r="C61" s="2636" t="s">
        <v>2777</v>
      </c>
      <c r="D61" s="141" t="s">
        <v>2778</v>
      </c>
      <c r="E61" s="180" t="s">
        <v>2779</v>
      </c>
      <c r="F61" s="142" t="s">
        <v>2780</v>
      </c>
      <c r="G61" s="142" t="s">
        <v>2781</v>
      </c>
      <c r="H61" s="142" t="s">
        <v>2782</v>
      </c>
      <c r="I61" s="142" t="s">
        <v>2783</v>
      </c>
      <c r="J61" s="142" t="s">
        <v>2784</v>
      </c>
      <c r="K61" s="142" t="s">
        <v>2785</v>
      </c>
      <c r="L61" s="142" t="s">
        <v>2786</v>
      </c>
      <c r="M61" s="2396" t="s">
        <v>2787</v>
      </c>
      <c r="N61" s="2396" t="s">
        <v>2788</v>
      </c>
      <c r="O61" s="2396" t="s">
        <v>2789</v>
      </c>
      <c r="P61" s="2396" t="s">
        <v>2790</v>
      </c>
      <c r="Q61" s="2396" t="s">
        <v>2791</v>
      </c>
      <c r="R61" s="2396" t="s">
        <v>2792</v>
      </c>
      <c r="S61" s="2396" t="s">
        <v>2793</v>
      </c>
      <c r="T61" s="163" t="s">
        <v>2794</v>
      </c>
      <c r="U61" s="141" t="s">
        <v>2795</v>
      </c>
      <c r="V61" s="163" t="s">
        <v>2796</v>
      </c>
      <c r="W61" s="163" t="s">
        <v>2797</v>
      </c>
      <c r="X61" s="163" t="s">
        <v>2798</v>
      </c>
      <c r="Y61" s="163" t="s">
        <v>2799</v>
      </c>
      <c r="Z61" s="163" t="s">
        <v>2800</v>
      </c>
      <c r="AA61" s="163" t="s">
        <v>2801</v>
      </c>
      <c r="AB61" s="163" t="s">
        <v>2817</v>
      </c>
      <c r="AC61" s="163" t="s">
        <v>2818</v>
      </c>
      <c r="AD61" s="163" t="s">
        <v>2819</v>
      </c>
      <c r="AE61" s="163" t="s">
        <v>2821</v>
      </c>
      <c r="AF61" s="163" t="s">
        <v>2822</v>
      </c>
      <c r="AG61" s="163" t="s">
        <v>2823</v>
      </c>
      <c r="AH61" s="163" t="s">
        <v>2824</v>
      </c>
      <c r="AI61" s="163" t="s">
        <v>2825</v>
      </c>
      <c r="AJ61" s="163" t="s">
        <v>2826</v>
      </c>
      <c r="AK61" s="163" t="s">
        <v>2827</v>
      </c>
      <c r="AL61" s="163" t="s">
        <v>2831</v>
      </c>
      <c r="AM61" s="163" t="s">
        <v>2832</v>
      </c>
      <c r="AN61" s="163" t="s">
        <v>2833</v>
      </c>
      <c r="AO61" s="163" t="s">
        <v>2834</v>
      </c>
      <c r="AP61" s="163" t="s">
        <v>3011</v>
      </c>
      <c r="AQ61" s="163" t="s">
        <v>3012</v>
      </c>
      <c r="AR61" s="163" t="s">
        <v>3013</v>
      </c>
      <c r="AS61" s="2953" t="s">
        <v>3014</v>
      </c>
      <c r="AT61" s="2953" t="s">
        <v>3015</v>
      </c>
      <c r="AU61" s="163" t="s">
        <v>3206</v>
      </c>
      <c r="AV61" s="163" t="s">
        <v>3207</v>
      </c>
      <c r="AW61" s="163" t="s">
        <v>3272</v>
      </c>
      <c r="AX61" s="163" t="s">
        <v>3273</v>
      </c>
      <c r="AY61" s="163" t="s">
        <v>3419</v>
      </c>
      <c r="AZ61" s="1058"/>
      <c r="BA61" s="1058"/>
      <c r="BB61" s="1058"/>
      <c r="BC61" s="1058"/>
      <c r="BD61" s="1058"/>
      <c r="BE61" s="1058"/>
      <c r="BF61" s="1058"/>
      <c r="BG61" s="1058"/>
      <c r="BH61" s="1058"/>
      <c r="BI61" s="94"/>
      <c r="BJ61" s="94"/>
      <c r="BK61" s="94"/>
      <c r="BL61" s="94"/>
      <c r="BM61" s="94"/>
      <c r="CA61" s="1164" t="e">
        <f t="shared" si="9"/>
        <v>#REF!</v>
      </c>
      <c r="CB61" s="1164" t="str">
        <f t="shared" si="10"/>
        <v/>
      </c>
      <c r="CC61" s="1164" t="str">
        <f t="shared" si="11"/>
        <v xml:space="preserve">* El número de Beneficiarios NO DEBE ser mayor que el Total. </v>
      </c>
      <c r="CD61" s="1164" t="e">
        <f t="shared" si="12"/>
        <v>#VALUE!</v>
      </c>
      <c r="CE61" s="1164" t="e">
        <f t="shared" si="13"/>
        <v>#VALUE!</v>
      </c>
      <c r="CF61" s="1164"/>
      <c r="CG61" s="1163" t="e">
        <f>IF(C61&lt;(#REF!+V61),1,0)</f>
        <v>#REF!</v>
      </c>
      <c r="CH61" s="1163">
        <f t="shared" si="14"/>
        <v>0</v>
      </c>
      <c r="CI61" s="1163">
        <f t="shared" si="15"/>
        <v>1</v>
      </c>
      <c r="CJ61" s="1163" t="e">
        <f t="shared" si="16"/>
        <v>#VALUE!</v>
      </c>
      <c r="CK61" s="1163" t="e">
        <f t="shared" si="17"/>
        <v>#VALUE!</v>
      </c>
      <c r="CL61" s="80"/>
      <c r="CM61" s="80"/>
      <c r="CN61" s="80"/>
      <c r="CO61" s="80"/>
      <c r="CP61" s="80"/>
      <c r="CQ61" s="80"/>
      <c r="CR61" s="80"/>
      <c r="CS61" s="80"/>
      <c r="CT61" s="80"/>
      <c r="CU61" s="80"/>
      <c r="CV61" s="80"/>
      <c r="CW61" s="80"/>
      <c r="CX61" s="80"/>
      <c r="CY61" s="80"/>
      <c r="CZ61" s="80"/>
      <c r="DA61" s="80"/>
    </row>
    <row r="62" spans="1:105" ht="16.350000000000001" customHeight="1" x14ac:dyDescent="0.2">
      <c r="A62" s="2948" t="s">
        <v>3410</v>
      </c>
      <c r="B62" s="879" t="s">
        <v>1018</v>
      </c>
      <c r="C62" s="2636" t="s">
        <v>2777</v>
      </c>
      <c r="D62" s="141" t="s">
        <v>2778</v>
      </c>
      <c r="E62" s="180" t="s">
        <v>2779</v>
      </c>
      <c r="F62" s="142" t="s">
        <v>2780</v>
      </c>
      <c r="G62" s="142" t="s">
        <v>2781</v>
      </c>
      <c r="H62" s="142" t="s">
        <v>2782</v>
      </c>
      <c r="I62" s="142" t="s">
        <v>2783</v>
      </c>
      <c r="J62" s="142" t="s">
        <v>2784</v>
      </c>
      <c r="K62" s="142" t="s">
        <v>2785</v>
      </c>
      <c r="L62" s="142" t="s">
        <v>2786</v>
      </c>
      <c r="M62" s="2396" t="s">
        <v>2787</v>
      </c>
      <c r="N62" s="2396" t="s">
        <v>2788</v>
      </c>
      <c r="O62" s="2396" t="s">
        <v>2789</v>
      </c>
      <c r="P62" s="2396" t="s">
        <v>2790</v>
      </c>
      <c r="Q62" s="2396" t="s">
        <v>2791</v>
      </c>
      <c r="R62" s="2396" t="s">
        <v>2792</v>
      </c>
      <c r="S62" s="2396" t="s">
        <v>2793</v>
      </c>
      <c r="T62" s="163" t="s">
        <v>2794</v>
      </c>
      <c r="U62" s="141" t="s">
        <v>2795</v>
      </c>
      <c r="V62" s="163" t="s">
        <v>2796</v>
      </c>
      <c r="W62" s="163" t="s">
        <v>2797</v>
      </c>
      <c r="X62" s="163" t="s">
        <v>2798</v>
      </c>
      <c r="Y62" s="163" t="s">
        <v>2799</v>
      </c>
      <c r="Z62" s="163" t="s">
        <v>2800</v>
      </c>
      <c r="AA62" s="163" t="s">
        <v>2801</v>
      </c>
      <c r="AB62" s="163" t="s">
        <v>2817</v>
      </c>
      <c r="AC62" s="163" t="s">
        <v>2818</v>
      </c>
      <c r="AD62" s="163" t="s">
        <v>2819</v>
      </c>
      <c r="AE62" s="163" t="s">
        <v>2821</v>
      </c>
      <c r="AF62" s="163" t="s">
        <v>2822</v>
      </c>
      <c r="AG62" s="163" t="s">
        <v>2823</v>
      </c>
      <c r="AH62" s="163" t="s">
        <v>2824</v>
      </c>
      <c r="AI62" s="163" t="s">
        <v>2825</v>
      </c>
      <c r="AJ62" s="163" t="s">
        <v>2826</v>
      </c>
      <c r="AK62" s="163" t="s">
        <v>2827</v>
      </c>
      <c r="AL62" s="163" t="s">
        <v>2831</v>
      </c>
      <c r="AM62" s="163" t="s">
        <v>2832</v>
      </c>
      <c r="AN62" s="163" t="s">
        <v>2833</v>
      </c>
      <c r="AO62" s="163" t="s">
        <v>2834</v>
      </c>
      <c r="AP62" s="163" t="s">
        <v>3011</v>
      </c>
      <c r="AQ62" s="163" t="s">
        <v>3012</v>
      </c>
      <c r="AR62" s="163" t="s">
        <v>3013</v>
      </c>
      <c r="AS62" s="2953" t="s">
        <v>3014</v>
      </c>
      <c r="AT62" s="2953" t="s">
        <v>3015</v>
      </c>
      <c r="AU62" s="163" t="s">
        <v>3206</v>
      </c>
      <c r="AV62" s="163" t="s">
        <v>3207</v>
      </c>
      <c r="AW62" s="163" t="s">
        <v>3272</v>
      </c>
      <c r="AX62" s="163" t="s">
        <v>3273</v>
      </c>
      <c r="AY62" s="163" t="s">
        <v>3419</v>
      </c>
      <c r="AZ62" s="1058"/>
      <c r="BA62" s="1058"/>
      <c r="BB62" s="1058"/>
      <c r="BC62" s="1058"/>
      <c r="BD62" s="1058"/>
      <c r="BE62" s="1058"/>
      <c r="BF62" s="1058"/>
      <c r="BG62" s="1058"/>
      <c r="BH62" s="1058"/>
      <c r="BI62" s="94"/>
      <c r="BJ62" s="94"/>
      <c r="BK62" s="94"/>
      <c r="BL62" s="94"/>
      <c r="BM62" s="94"/>
      <c r="CA62" s="1164" t="e">
        <f t="shared" si="9"/>
        <v>#REF!</v>
      </c>
      <c r="CB62" s="1164" t="str">
        <f t="shared" si="10"/>
        <v/>
      </c>
      <c r="CC62" s="1164" t="str">
        <f t="shared" si="11"/>
        <v xml:space="preserve">* El número de Beneficiarios NO DEBE ser mayor que el Total. </v>
      </c>
      <c r="CD62" s="1164" t="e">
        <f t="shared" si="12"/>
        <v>#VALUE!</v>
      </c>
      <c r="CE62" s="1164" t="e">
        <f t="shared" si="13"/>
        <v>#VALUE!</v>
      </c>
      <c r="CF62" s="1164"/>
      <c r="CG62" s="1163" t="e">
        <f>IF(C62&lt;(#REF!+V62),1,0)</f>
        <v>#REF!</v>
      </c>
      <c r="CH62" s="1163">
        <f t="shared" si="14"/>
        <v>0</v>
      </c>
      <c r="CI62" s="1163">
        <f t="shared" si="15"/>
        <v>1</v>
      </c>
      <c r="CJ62" s="1163" t="e">
        <f t="shared" si="16"/>
        <v>#VALUE!</v>
      </c>
      <c r="CK62" s="1163" t="e">
        <f t="shared" si="17"/>
        <v>#VALUE!</v>
      </c>
      <c r="CL62" s="80"/>
      <c r="CM62" s="80"/>
      <c r="CN62" s="80"/>
      <c r="CO62" s="80"/>
      <c r="CP62" s="80"/>
      <c r="CQ62" s="80"/>
      <c r="CR62" s="80"/>
      <c r="CS62" s="80"/>
      <c r="CT62" s="80"/>
      <c r="CU62" s="80"/>
      <c r="CV62" s="80"/>
      <c r="CW62" s="80"/>
      <c r="CX62" s="80"/>
      <c r="CY62" s="80"/>
      <c r="CZ62" s="80"/>
      <c r="DA62" s="80"/>
    </row>
    <row r="63" spans="1:105" ht="16.350000000000001" customHeight="1" x14ac:dyDescent="0.2">
      <c r="A63" s="2948" t="s">
        <v>3411</v>
      </c>
      <c r="B63" s="879" t="s">
        <v>1677</v>
      </c>
      <c r="C63" s="2636" t="s">
        <v>2777</v>
      </c>
      <c r="D63" s="141" t="s">
        <v>2778</v>
      </c>
      <c r="E63" s="180" t="s">
        <v>2779</v>
      </c>
      <c r="F63" s="142" t="s">
        <v>2780</v>
      </c>
      <c r="G63" s="142" t="s">
        <v>2781</v>
      </c>
      <c r="H63" s="142" t="s">
        <v>2782</v>
      </c>
      <c r="I63" s="142" t="s">
        <v>2783</v>
      </c>
      <c r="J63" s="142" t="s">
        <v>2784</v>
      </c>
      <c r="K63" s="142" t="s">
        <v>2785</v>
      </c>
      <c r="L63" s="142" t="s">
        <v>2786</v>
      </c>
      <c r="M63" s="2396" t="s">
        <v>2787</v>
      </c>
      <c r="N63" s="2396" t="s">
        <v>2788</v>
      </c>
      <c r="O63" s="2396" t="s">
        <v>2789</v>
      </c>
      <c r="P63" s="2396" t="s">
        <v>2790</v>
      </c>
      <c r="Q63" s="2396" t="s">
        <v>2791</v>
      </c>
      <c r="R63" s="2396" t="s">
        <v>2792</v>
      </c>
      <c r="S63" s="2396" t="s">
        <v>2793</v>
      </c>
      <c r="T63" s="163" t="s">
        <v>2794</v>
      </c>
      <c r="U63" s="141" t="s">
        <v>2795</v>
      </c>
      <c r="V63" s="163" t="s">
        <v>2796</v>
      </c>
      <c r="W63" s="163" t="s">
        <v>2797</v>
      </c>
      <c r="X63" s="163" t="s">
        <v>2798</v>
      </c>
      <c r="Y63" s="163" t="s">
        <v>2799</v>
      </c>
      <c r="Z63" s="163" t="s">
        <v>2800</v>
      </c>
      <c r="AA63" s="163" t="s">
        <v>2801</v>
      </c>
      <c r="AB63" s="163" t="s">
        <v>2817</v>
      </c>
      <c r="AC63" s="163" t="s">
        <v>2818</v>
      </c>
      <c r="AD63" s="163" t="s">
        <v>2819</v>
      </c>
      <c r="AE63" s="163" t="s">
        <v>2821</v>
      </c>
      <c r="AF63" s="163" t="s">
        <v>2822</v>
      </c>
      <c r="AG63" s="163" t="s">
        <v>2823</v>
      </c>
      <c r="AH63" s="163" t="s">
        <v>2824</v>
      </c>
      <c r="AI63" s="163" t="s">
        <v>2825</v>
      </c>
      <c r="AJ63" s="163" t="s">
        <v>2826</v>
      </c>
      <c r="AK63" s="163" t="s">
        <v>2827</v>
      </c>
      <c r="AL63" s="163" t="s">
        <v>2831</v>
      </c>
      <c r="AM63" s="163" t="s">
        <v>2832</v>
      </c>
      <c r="AN63" s="163" t="s">
        <v>2833</v>
      </c>
      <c r="AO63" s="163" t="s">
        <v>2834</v>
      </c>
      <c r="AP63" s="163" t="s">
        <v>3011</v>
      </c>
      <c r="AQ63" s="163" t="s">
        <v>3012</v>
      </c>
      <c r="AR63" s="163" t="s">
        <v>3013</v>
      </c>
      <c r="AS63" s="2953" t="s">
        <v>3014</v>
      </c>
      <c r="AT63" s="2953" t="s">
        <v>3015</v>
      </c>
      <c r="AU63" s="163" t="s">
        <v>3206</v>
      </c>
      <c r="AV63" s="163" t="s">
        <v>3207</v>
      </c>
      <c r="AW63" s="163" t="s">
        <v>3272</v>
      </c>
      <c r="AX63" s="163" t="s">
        <v>3273</v>
      </c>
      <c r="AY63" s="163" t="s">
        <v>3419</v>
      </c>
      <c r="AZ63" s="1058"/>
      <c r="BA63" s="1058"/>
      <c r="BB63" s="1058"/>
      <c r="BC63" s="1058"/>
      <c r="BD63" s="1058"/>
      <c r="BE63" s="1058"/>
      <c r="BF63" s="1058"/>
      <c r="BG63" s="1058"/>
      <c r="BH63" s="1058"/>
      <c r="BI63" s="94"/>
      <c r="BJ63" s="94"/>
      <c r="BK63" s="94"/>
      <c r="BL63" s="94"/>
      <c r="BM63" s="94"/>
      <c r="CA63" s="1164" t="e">
        <f t="shared" si="9"/>
        <v>#REF!</v>
      </c>
      <c r="CB63" s="1164" t="str">
        <f t="shared" si="10"/>
        <v/>
      </c>
      <c r="CC63" s="1164" t="str">
        <f t="shared" si="11"/>
        <v xml:space="preserve">* El número de Beneficiarios NO DEBE ser mayor que el Total. </v>
      </c>
      <c r="CD63" s="1164" t="e">
        <f t="shared" si="12"/>
        <v>#VALUE!</v>
      </c>
      <c r="CE63" s="1164" t="e">
        <f t="shared" si="13"/>
        <v>#VALUE!</v>
      </c>
      <c r="CF63" s="1164"/>
      <c r="CG63" s="1163" t="e">
        <f>IF(C63&lt;(#REF!+V63),1,0)</f>
        <v>#REF!</v>
      </c>
      <c r="CH63" s="1163">
        <f t="shared" si="14"/>
        <v>0</v>
      </c>
      <c r="CI63" s="1163">
        <f t="shared" si="15"/>
        <v>1</v>
      </c>
      <c r="CJ63" s="1163" t="e">
        <f t="shared" si="16"/>
        <v>#VALUE!</v>
      </c>
      <c r="CK63" s="1163" t="e">
        <f t="shared" si="17"/>
        <v>#VALUE!</v>
      </c>
      <c r="CL63" s="80"/>
      <c r="CM63" s="80"/>
      <c r="CN63" s="80"/>
      <c r="CO63" s="80"/>
      <c r="CP63" s="80"/>
      <c r="CQ63" s="80"/>
      <c r="CR63" s="80"/>
      <c r="CS63" s="80"/>
      <c r="CT63" s="80"/>
      <c r="CU63" s="80"/>
      <c r="CV63" s="80"/>
      <c r="CW63" s="80"/>
      <c r="CX63" s="80"/>
      <c r="CY63" s="80"/>
      <c r="CZ63" s="80"/>
      <c r="DA63" s="80"/>
    </row>
    <row r="64" spans="1:105" ht="16.350000000000001" customHeight="1" x14ac:dyDescent="0.2">
      <c r="A64" s="2948" t="s">
        <v>3412</v>
      </c>
      <c r="B64" s="879" t="s">
        <v>1019</v>
      </c>
      <c r="C64" s="2636" t="s">
        <v>2777</v>
      </c>
      <c r="D64" s="141" t="s">
        <v>2778</v>
      </c>
      <c r="E64" s="180" t="s">
        <v>2779</v>
      </c>
      <c r="F64" s="142" t="s">
        <v>2780</v>
      </c>
      <c r="G64" s="142" t="s">
        <v>2781</v>
      </c>
      <c r="H64" s="142" t="s">
        <v>2782</v>
      </c>
      <c r="I64" s="142" t="s">
        <v>2783</v>
      </c>
      <c r="J64" s="142" t="s">
        <v>2784</v>
      </c>
      <c r="K64" s="142" t="s">
        <v>2785</v>
      </c>
      <c r="L64" s="142" t="s">
        <v>2786</v>
      </c>
      <c r="M64" s="2396" t="s">
        <v>2787</v>
      </c>
      <c r="N64" s="2396" t="s">
        <v>2788</v>
      </c>
      <c r="O64" s="2396" t="s">
        <v>2789</v>
      </c>
      <c r="P64" s="2396" t="s">
        <v>2790</v>
      </c>
      <c r="Q64" s="2396" t="s">
        <v>2791</v>
      </c>
      <c r="R64" s="2396" t="s">
        <v>2792</v>
      </c>
      <c r="S64" s="2396" t="s">
        <v>2793</v>
      </c>
      <c r="T64" s="163" t="s">
        <v>2794</v>
      </c>
      <c r="U64" s="141" t="s">
        <v>2795</v>
      </c>
      <c r="V64" s="163" t="s">
        <v>2796</v>
      </c>
      <c r="W64" s="163" t="s">
        <v>2797</v>
      </c>
      <c r="X64" s="163" t="s">
        <v>2798</v>
      </c>
      <c r="Y64" s="163" t="s">
        <v>2799</v>
      </c>
      <c r="Z64" s="163" t="s">
        <v>2800</v>
      </c>
      <c r="AA64" s="163" t="s">
        <v>2801</v>
      </c>
      <c r="AB64" s="163" t="s">
        <v>2817</v>
      </c>
      <c r="AC64" s="163" t="s">
        <v>2818</v>
      </c>
      <c r="AD64" s="163" t="s">
        <v>2819</v>
      </c>
      <c r="AE64" s="163" t="s">
        <v>2821</v>
      </c>
      <c r="AF64" s="163" t="s">
        <v>2822</v>
      </c>
      <c r="AG64" s="163" t="s">
        <v>2823</v>
      </c>
      <c r="AH64" s="163" t="s">
        <v>2824</v>
      </c>
      <c r="AI64" s="163" t="s">
        <v>2825</v>
      </c>
      <c r="AJ64" s="163" t="s">
        <v>2826</v>
      </c>
      <c r="AK64" s="163" t="s">
        <v>2827</v>
      </c>
      <c r="AL64" s="163" t="s">
        <v>2831</v>
      </c>
      <c r="AM64" s="163" t="s">
        <v>2832</v>
      </c>
      <c r="AN64" s="163" t="s">
        <v>2833</v>
      </c>
      <c r="AO64" s="163" t="s">
        <v>2834</v>
      </c>
      <c r="AP64" s="163" t="s">
        <v>3011</v>
      </c>
      <c r="AQ64" s="163" t="s">
        <v>3012</v>
      </c>
      <c r="AR64" s="163" t="s">
        <v>3013</v>
      </c>
      <c r="AS64" s="2953" t="s">
        <v>3014</v>
      </c>
      <c r="AT64" s="2953" t="s">
        <v>3015</v>
      </c>
      <c r="AU64" s="163" t="s">
        <v>3206</v>
      </c>
      <c r="AV64" s="163" t="s">
        <v>3207</v>
      </c>
      <c r="AW64" s="163" t="s">
        <v>3272</v>
      </c>
      <c r="AX64" s="163" t="s">
        <v>3273</v>
      </c>
      <c r="AY64" s="163" t="s">
        <v>3419</v>
      </c>
      <c r="AZ64" s="1058"/>
      <c r="BA64" s="1058"/>
      <c r="BB64" s="1058"/>
      <c r="BC64" s="1058"/>
      <c r="BD64" s="1058"/>
      <c r="BE64" s="1058"/>
      <c r="BF64" s="1058"/>
      <c r="BG64" s="1058"/>
      <c r="BH64" s="1058"/>
      <c r="BI64" s="94"/>
      <c r="BJ64" s="94"/>
      <c r="BK64" s="94"/>
      <c r="BL64" s="94"/>
      <c r="BM64" s="94"/>
      <c r="CA64" s="1164" t="e">
        <f t="shared" si="9"/>
        <v>#REF!</v>
      </c>
      <c r="CB64" s="1164" t="str">
        <f t="shared" si="10"/>
        <v/>
      </c>
      <c r="CC64" s="1164" t="str">
        <f t="shared" si="11"/>
        <v xml:space="preserve">* El número de Beneficiarios NO DEBE ser mayor que el Total. </v>
      </c>
      <c r="CD64" s="1164" t="e">
        <f t="shared" si="12"/>
        <v>#VALUE!</v>
      </c>
      <c r="CE64" s="1164" t="e">
        <f t="shared" si="13"/>
        <v>#VALUE!</v>
      </c>
      <c r="CF64" s="1164"/>
      <c r="CG64" s="1163" t="e">
        <f>IF(C64&lt;(#REF!+V64),1,0)</f>
        <v>#REF!</v>
      </c>
      <c r="CH64" s="1163">
        <f t="shared" si="14"/>
        <v>0</v>
      </c>
      <c r="CI64" s="1163">
        <f t="shared" si="15"/>
        <v>1</v>
      </c>
      <c r="CJ64" s="1163" t="e">
        <f t="shared" si="16"/>
        <v>#VALUE!</v>
      </c>
      <c r="CK64" s="1163" t="e">
        <f t="shared" si="17"/>
        <v>#VALUE!</v>
      </c>
      <c r="DA64" s="80"/>
    </row>
    <row r="65" spans="1:105" ht="16.350000000000001" customHeight="1" x14ac:dyDescent="0.2">
      <c r="A65" s="2948" t="s">
        <v>3413</v>
      </c>
      <c r="B65" s="879" t="s">
        <v>1020</v>
      </c>
      <c r="C65" s="2636" t="s">
        <v>2777</v>
      </c>
      <c r="D65" s="141" t="s">
        <v>2778</v>
      </c>
      <c r="E65" s="180" t="s">
        <v>2779</v>
      </c>
      <c r="F65" s="142" t="s">
        <v>2780</v>
      </c>
      <c r="G65" s="142" t="s">
        <v>2781</v>
      </c>
      <c r="H65" s="142" t="s">
        <v>2782</v>
      </c>
      <c r="I65" s="142" t="s">
        <v>2783</v>
      </c>
      <c r="J65" s="142" t="s">
        <v>2784</v>
      </c>
      <c r="K65" s="142" t="s">
        <v>2785</v>
      </c>
      <c r="L65" s="142" t="s">
        <v>2786</v>
      </c>
      <c r="M65" s="142" t="s">
        <v>2787</v>
      </c>
      <c r="N65" s="142" t="s">
        <v>2788</v>
      </c>
      <c r="O65" s="142" t="s">
        <v>2789</v>
      </c>
      <c r="P65" s="142" t="s">
        <v>2790</v>
      </c>
      <c r="Q65" s="142" t="s">
        <v>2791</v>
      </c>
      <c r="R65" s="142" t="s">
        <v>2792</v>
      </c>
      <c r="S65" s="142" t="s">
        <v>2793</v>
      </c>
      <c r="T65" s="163" t="s">
        <v>2794</v>
      </c>
      <c r="U65" s="141" t="s">
        <v>2795</v>
      </c>
      <c r="V65" s="163" t="s">
        <v>2796</v>
      </c>
      <c r="W65" s="163" t="s">
        <v>2797</v>
      </c>
      <c r="X65" s="163" t="s">
        <v>2798</v>
      </c>
      <c r="Y65" s="163" t="s">
        <v>2799</v>
      </c>
      <c r="Z65" s="163" t="s">
        <v>2800</v>
      </c>
      <c r="AA65" s="163" t="s">
        <v>2801</v>
      </c>
      <c r="AB65" s="163" t="s">
        <v>2817</v>
      </c>
      <c r="AC65" s="163" t="s">
        <v>2818</v>
      </c>
      <c r="AD65" s="163" t="s">
        <v>2819</v>
      </c>
      <c r="AE65" s="163" t="s">
        <v>2821</v>
      </c>
      <c r="AF65" s="163" t="s">
        <v>2822</v>
      </c>
      <c r="AG65" s="163" t="s">
        <v>2823</v>
      </c>
      <c r="AH65" s="163" t="s">
        <v>2824</v>
      </c>
      <c r="AI65" s="163" t="s">
        <v>2825</v>
      </c>
      <c r="AJ65" s="163" t="s">
        <v>2826</v>
      </c>
      <c r="AK65" s="163" t="s">
        <v>2827</v>
      </c>
      <c r="AL65" s="163" t="s">
        <v>2831</v>
      </c>
      <c r="AM65" s="163" t="s">
        <v>2832</v>
      </c>
      <c r="AN65" s="163" t="s">
        <v>2833</v>
      </c>
      <c r="AO65" s="163" t="s">
        <v>2834</v>
      </c>
      <c r="AP65" s="163" t="s">
        <v>3011</v>
      </c>
      <c r="AQ65" s="163" t="s">
        <v>3012</v>
      </c>
      <c r="AR65" s="163" t="s">
        <v>3013</v>
      </c>
      <c r="AS65" s="2953" t="s">
        <v>3014</v>
      </c>
      <c r="AT65" s="2953" t="s">
        <v>3015</v>
      </c>
      <c r="AU65" s="163" t="s">
        <v>3206</v>
      </c>
      <c r="AV65" s="163" t="s">
        <v>3207</v>
      </c>
      <c r="AW65" s="163" t="s">
        <v>3272</v>
      </c>
      <c r="AX65" s="163" t="s">
        <v>3273</v>
      </c>
      <c r="AY65" s="163" t="s">
        <v>3419</v>
      </c>
      <c r="AZ65" s="1058"/>
      <c r="BA65" s="1058"/>
      <c r="BB65" s="1058"/>
      <c r="BC65" s="1058"/>
      <c r="BD65" s="1058"/>
      <c r="BE65" s="1058"/>
      <c r="BF65" s="1058"/>
      <c r="BG65" s="1058"/>
      <c r="BH65" s="1058"/>
      <c r="BI65" s="94"/>
      <c r="BJ65" s="94"/>
      <c r="BK65" s="94"/>
      <c r="BL65" s="94"/>
      <c r="BM65" s="94"/>
      <c r="CA65" s="1164" t="e">
        <f t="shared" si="9"/>
        <v>#REF!</v>
      </c>
      <c r="CB65" s="1164" t="str">
        <f t="shared" si="10"/>
        <v/>
      </c>
      <c r="CC65" s="1164" t="str">
        <f t="shared" si="11"/>
        <v xml:space="preserve">* El número de Beneficiarios NO DEBE ser mayor que el Total. </v>
      </c>
      <c r="CD65" s="1164" t="e">
        <f t="shared" si="12"/>
        <v>#VALUE!</v>
      </c>
      <c r="CE65" s="1164" t="e">
        <f t="shared" si="13"/>
        <v>#VALUE!</v>
      </c>
      <c r="CF65" s="1164"/>
      <c r="CG65" s="1163" t="e">
        <f>IF(C65&lt;(#REF!+V65),1,0)</f>
        <v>#REF!</v>
      </c>
      <c r="CH65" s="1163">
        <f t="shared" si="14"/>
        <v>0</v>
      </c>
      <c r="CI65" s="1163">
        <f t="shared" si="15"/>
        <v>1</v>
      </c>
      <c r="CJ65" s="1163" t="e">
        <f t="shared" si="16"/>
        <v>#VALUE!</v>
      </c>
      <c r="CK65" s="1163" t="e">
        <f t="shared" si="17"/>
        <v>#VALUE!</v>
      </c>
      <c r="DA65" s="80"/>
    </row>
    <row r="66" spans="1:105" ht="16.350000000000001" customHeight="1" x14ac:dyDescent="0.2">
      <c r="A66" s="2948" t="s">
        <v>3414</v>
      </c>
      <c r="B66" s="179" t="s">
        <v>1652</v>
      </c>
      <c r="C66" s="2636" t="s">
        <v>2777</v>
      </c>
      <c r="D66" s="1257" t="s">
        <v>2778</v>
      </c>
      <c r="E66" s="1258" t="s">
        <v>2779</v>
      </c>
      <c r="F66" s="1259" t="s">
        <v>2780</v>
      </c>
      <c r="G66" s="1259" t="s">
        <v>2781</v>
      </c>
      <c r="H66" s="1259" t="s">
        <v>2782</v>
      </c>
      <c r="I66" s="1259" t="s">
        <v>2783</v>
      </c>
      <c r="J66" s="1259" t="s">
        <v>2784</v>
      </c>
      <c r="K66" s="1259" t="s">
        <v>2785</v>
      </c>
      <c r="L66" s="1259" t="s">
        <v>2786</v>
      </c>
      <c r="M66" s="142" t="s">
        <v>2787</v>
      </c>
      <c r="N66" s="142" t="s">
        <v>2788</v>
      </c>
      <c r="O66" s="142" t="s">
        <v>2789</v>
      </c>
      <c r="P66" s="142" t="s">
        <v>2790</v>
      </c>
      <c r="Q66" s="142" t="s">
        <v>2791</v>
      </c>
      <c r="R66" s="142" t="s">
        <v>2792</v>
      </c>
      <c r="S66" s="142" t="s">
        <v>2793</v>
      </c>
      <c r="T66" s="163" t="s">
        <v>2794</v>
      </c>
      <c r="U66" s="141" t="s">
        <v>2795</v>
      </c>
      <c r="V66" s="163" t="s">
        <v>2796</v>
      </c>
      <c r="W66" s="163" t="s">
        <v>2797</v>
      </c>
      <c r="X66" s="163" t="s">
        <v>2798</v>
      </c>
      <c r="Y66" s="163" t="s">
        <v>2799</v>
      </c>
      <c r="Z66" s="163" t="s">
        <v>2800</v>
      </c>
      <c r="AA66" s="163" t="s">
        <v>2801</v>
      </c>
      <c r="AB66" s="163" t="s">
        <v>2817</v>
      </c>
      <c r="AC66" s="163" t="s">
        <v>2818</v>
      </c>
      <c r="AD66" s="163" t="s">
        <v>2819</v>
      </c>
      <c r="AE66" s="163" t="s">
        <v>2821</v>
      </c>
      <c r="AF66" s="163" t="s">
        <v>2822</v>
      </c>
      <c r="AG66" s="163" t="s">
        <v>2823</v>
      </c>
      <c r="AH66" s="163" t="s">
        <v>2824</v>
      </c>
      <c r="AI66" s="163" t="s">
        <v>2825</v>
      </c>
      <c r="AJ66" s="163" t="s">
        <v>2826</v>
      </c>
      <c r="AK66" s="163" t="s">
        <v>2827</v>
      </c>
      <c r="AL66" s="163" t="s">
        <v>2831</v>
      </c>
      <c r="AM66" s="163" t="s">
        <v>2832</v>
      </c>
      <c r="AN66" s="163" t="s">
        <v>2833</v>
      </c>
      <c r="AO66" s="163" t="s">
        <v>2834</v>
      </c>
      <c r="AP66" s="163" t="s">
        <v>3011</v>
      </c>
      <c r="AQ66" s="163" t="s">
        <v>3012</v>
      </c>
      <c r="AR66" s="163" t="s">
        <v>3013</v>
      </c>
      <c r="AS66" s="2953" t="s">
        <v>3014</v>
      </c>
      <c r="AT66" s="2953" t="s">
        <v>3015</v>
      </c>
      <c r="AU66" s="163" t="s">
        <v>3206</v>
      </c>
      <c r="AV66" s="163" t="s">
        <v>3207</v>
      </c>
      <c r="AW66" s="163" t="s">
        <v>3272</v>
      </c>
      <c r="AX66" s="163" t="s">
        <v>3273</v>
      </c>
      <c r="AY66" s="163" t="s">
        <v>3419</v>
      </c>
      <c r="AZ66" s="1058"/>
      <c r="BA66" s="1058"/>
      <c r="BB66" s="1058"/>
      <c r="BC66" s="1058"/>
      <c r="BD66" s="1058"/>
      <c r="BE66" s="1058"/>
      <c r="BF66" s="1058"/>
      <c r="BG66" s="1058"/>
      <c r="BH66" s="1058"/>
      <c r="BI66" s="94"/>
      <c r="BJ66" s="94"/>
      <c r="BK66" s="94"/>
      <c r="BL66" s="94"/>
      <c r="BM66" s="94"/>
      <c r="CA66" s="1164" t="e">
        <f t="shared" si="9"/>
        <v>#REF!</v>
      </c>
      <c r="CB66" s="1164" t="str">
        <f t="shared" si="10"/>
        <v/>
      </c>
      <c r="CC66" s="1164" t="str">
        <f t="shared" si="11"/>
        <v xml:space="preserve">* El número de Beneficiarios NO DEBE ser mayor que el Total. </v>
      </c>
      <c r="CD66" s="1164" t="e">
        <f t="shared" si="12"/>
        <v>#VALUE!</v>
      </c>
      <c r="CE66" s="1164" t="e">
        <f t="shared" si="13"/>
        <v>#VALUE!</v>
      </c>
      <c r="CF66" s="1164"/>
      <c r="CG66" s="1163" t="e">
        <f>IF(C66&lt;(#REF!+V66),1,0)</f>
        <v>#REF!</v>
      </c>
      <c r="CH66" s="1163">
        <f t="shared" si="14"/>
        <v>0</v>
      </c>
      <c r="CI66" s="1163">
        <f t="shared" si="15"/>
        <v>1</v>
      </c>
      <c r="CJ66" s="1163" t="e">
        <f t="shared" si="16"/>
        <v>#VALUE!</v>
      </c>
      <c r="CK66" s="1163" t="e">
        <f t="shared" si="17"/>
        <v>#VALUE!</v>
      </c>
      <c r="DA66" s="80"/>
    </row>
    <row r="67" spans="1:105" ht="16.350000000000001" customHeight="1" x14ac:dyDescent="0.2">
      <c r="A67" s="2948" t="s">
        <v>3415</v>
      </c>
      <c r="B67" s="879" t="s">
        <v>1021</v>
      </c>
      <c r="C67" s="2636" t="s">
        <v>2777</v>
      </c>
      <c r="D67" s="141" t="s">
        <v>2778</v>
      </c>
      <c r="E67" s="180" t="s">
        <v>2779</v>
      </c>
      <c r="F67" s="142" t="s">
        <v>2780</v>
      </c>
      <c r="G67" s="142" t="s">
        <v>2781</v>
      </c>
      <c r="H67" s="142" t="s">
        <v>2782</v>
      </c>
      <c r="I67" s="142" t="s">
        <v>2783</v>
      </c>
      <c r="J67" s="142" t="s">
        <v>2784</v>
      </c>
      <c r="K67" s="142" t="s">
        <v>2785</v>
      </c>
      <c r="L67" s="142" t="s">
        <v>2786</v>
      </c>
      <c r="M67" s="142" t="s">
        <v>2787</v>
      </c>
      <c r="N67" s="142" t="s">
        <v>2788</v>
      </c>
      <c r="O67" s="142" t="s">
        <v>2789</v>
      </c>
      <c r="P67" s="142" t="s">
        <v>2790</v>
      </c>
      <c r="Q67" s="142" t="s">
        <v>2791</v>
      </c>
      <c r="R67" s="142" t="s">
        <v>2792</v>
      </c>
      <c r="S67" s="142" t="s">
        <v>2793</v>
      </c>
      <c r="T67" s="163" t="s">
        <v>2794</v>
      </c>
      <c r="U67" s="141" t="s">
        <v>2795</v>
      </c>
      <c r="V67" s="163" t="s">
        <v>2796</v>
      </c>
      <c r="W67" s="163" t="s">
        <v>2797</v>
      </c>
      <c r="X67" s="163" t="s">
        <v>2798</v>
      </c>
      <c r="Y67" s="163" t="s">
        <v>2799</v>
      </c>
      <c r="Z67" s="163" t="s">
        <v>2800</v>
      </c>
      <c r="AA67" s="163" t="s">
        <v>2801</v>
      </c>
      <c r="AB67" s="163" t="s">
        <v>2817</v>
      </c>
      <c r="AC67" s="163" t="s">
        <v>2818</v>
      </c>
      <c r="AD67" s="163" t="s">
        <v>2819</v>
      </c>
      <c r="AE67" s="163" t="s">
        <v>2821</v>
      </c>
      <c r="AF67" s="163" t="s">
        <v>2822</v>
      </c>
      <c r="AG67" s="163" t="s">
        <v>2823</v>
      </c>
      <c r="AH67" s="163" t="s">
        <v>2824</v>
      </c>
      <c r="AI67" s="163" t="s">
        <v>2825</v>
      </c>
      <c r="AJ67" s="163" t="s">
        <v>2826</v>
      </c>
      <c r="AK67" s="163" t="s">
        <v>2827</v>
      </c>
      <c r="AL67" s="163" t="s">
        <v>2831</v>
      </c>
      <c r="AM67" s="163" t="s">
        <v>2832</v>
      </c>
      <c r="AN67" s="163" t="s">
        <v>2833</v>
      </c>
      <c r="AO67" s="163" t="s">
        <v>2834</v>
      </c>
      <c r="AP67" s="163" t="s">
        <v>3011</v>
      </c>
      <c r="AQ67" s="163" t="s">
        <v>3012</v>
      </c>
      <c r="AR67" s="163" t="s">
        <v>3013</v>
      </c>
      <c r="AS67" s="2953" t="s">
        <v>3014</v>
      </c>
      <c r="AT67" s="2953" t="s">
        <v>3015</v>
      </c>
      <c r="AU67" s="163" t="s">
        <v>3206</v>
      </c>
      <c r="AV67" s="163" t="s">
        <v>3207</v>
      </c>
      <c r="AW67" s="163" t="s">
        <v>3272</v>
      </c>
      <c r="AX67" s="163" t="s">
        <v>3273</v>
      </c>
      <c r="AY67" s="163" t="s">
        <v>3419</v>
      </c>
      <c r="AZ67" s="1058"/>
      <c r="BA67" s="1058"/>
      <c r="BB67" s="1058"/>
      <c r="BC67" s="1058"/>
      <c r="BD67" s="1058"/>
      <c r="BE67" s="1058"/>
      <c r="BF67" s="1058"/>
      <c r="BG67" s="1058"/>
      <c r="BH67" s="1058"/>
      <c r="BI67" s="94"/>
      <c r="BJ67" s="94"/>
      <c r="BK67" s="94"/>
      <c r="BL67" s="94"/>
      <c r="BM67" s="94"/>
      <c r="CA67" s="1164" t="e">
        <f t="shared" si="9"/>
        <v>#REF!</v>
      </c>
      <c r="CB67" s="1164" t="str">
        <f t="shared" si="10"/>
        <v/>
      </c>
      <c r="CC67" s="1164" t="str">
        <f t="shared" si="11"/>
        <v xml:space="preserve">* El número de Beneficiarios NO DEBE ser mayor que el Total. </v>
      </c>
      <c r="CD67" s="1164" t="e">
        <f t="shared" si="12"/>
        <v>#VALUE!</v>
      </c>
      <c r="CE67" s="1164" t="e">
        <f t="shared" si="13"/>
        <v>#VALUE!</v>
      </c>
      <c r="CF67" s="1164"/>
      <c r="CG67" s="1163" t="e">
        <f>IF(C67&lt;(#REF!+V67),1,0)</f>
        <v>#REF!</v>
      </c>
      <c r="CH67" s="1163">
        <f t="shared" si="14"/>
        <v>0</v>
      </c>
      <c r="CI67" s="1163">
        <f t="shared" si="15"/>
        <v>1</v>
      </c>
      <c r="CJ67" s="1163" t="e">
        <f t="shared" si="16"/>
        <v>#VALUE!</v>
      </c>
      <c r="CK67" s="1163" t="e">
        <f t="shared" si="17"/>
        <v>#VALUE!</v>
      </c>
      <c r="DA67" s="80"/>
    </row>
    <row r="68" spans="1:105" ht="16.350000000000001" customHeight="1" x14ac:dyDescent="0.2">
      <c r="A68" s="2948" t="s">
        <v>3416</v>
      </c>
      <c r="B68" s="879" t="s">
        <v>1022</v>
      </c>
      <c r="C68" s="2636" t="s">
        <v>2777</v>
      </c>
      <c r="D68" s="141" t="s">
        <v>2778</v>
      </c>
      <c r="E68" s="180" t="s">
        <v>2779</v>
      </c>
      <c r="F68" s="142" t="s">
        <v>2780</v>
      </c>
      <c r="G68" s="142" t="s">
        <v>2781</v>
      </c>
      <c r="H68" s="142" t="s">
        <v>2782</v>
      </c>
      <c r="I68" s="142" t="s">
        <v>2783</v>
      </c>
      <c r="J68" s="142" t="s">
        <v>2784</v>
      </c>
      <c r="K68" s="142" t="s">
        <v>2785</v>
      </c>
      <c r="L68" s="142" t="s">
        <v>2786</v>
      </c>
      <c r="M68" s="142" t="s">
        <v>2787</v>
      </c>
      <c r="N68" s="142" t="s">
        <v>2788</v>
      </c>
      <c r="O68" s="142" t="s">
        <v>2789</v>
      </c>
      <c r="P68" s="142" t="s">
        <v>2790</v>
      </c>
      <c r="Q68" s="142" t="s">
        <v>2791</v>
      </c>
      <c r="R68" s="142" t="s">
        <v>2792</v>
      </c>
      <c r="S68" s="142" t="s">
        <v>2793</v>
      </c>
      <c r="T68" s="163" t="s">
        <v>2794</v>
      </c>
      <c r="U68" s="141" t="s">
        <v>2795</v>
      </c>
      <c r="V68" s="163" t="s">
        <v>2796</v>
      </c>
      <c r="W68" s="163" t="s">
        <v>2797</v>
      </c>
      <c r="X68" s="163" t="s">
        <v>2798</v>
      </c>
      <c r="Y68" s="163" t="s">
        <v>2799</v>
      </c>
      <c r="Z68" s="163" t="s">
        <v>2800</v>
      </c>
      <c r="AA68" s="163" t="s">
        <v>2801</v>
      </c>
      <c r="AB68" s="163" t="s">
        <v>2817</v>
      </c>
      <c r="AC68" s="163" t="s">
        <v>2818</v>
      </c>
      <c r="AD68" s="163" t="s">
        <v>2819</v>
      </c>
      <c r="AE68" s="163" t="s">
        <v>2821</v>
      </c>
      <c r="AF68" s="163" t="s">
        <v>2822</v>
      </c>
      <c r="AG68" s="163" t="s">
        <v>2823</v>
      </c>
      <c r="AH68" s="163" t="s">
        <v>2824</v>
      </c>
      <c r="AI68" s="163" t="s">
        <v>2825</v>
      </c>
      <c r="AJ68" s="163" t="s">
        <v>2826</v>
      </c>
      <c r="AK68" s="163" t="s">
        <v>2827</v>
      </c>
      <c r="AL68" s="163" t="s">
        <v>2831</v>
      </c>
      <c r="AM68" s="163" t="s">
        <v>2832</v>
      </c>
      <c r="AN68" s="163" t="s">
        <v>2833</v>
      </c>
      <c r="AO68" s="163" t="s">
        <v>2834</v>
      </c>
      <c r="AP68" s="163" t="s">
        <v>3011</v>
      </c>
      <c r="AQ68" s="163" t="s">
        <v>3012</v>
      </c>
      <c r="AR68" s="163" t="s">
        <v>3013</v>
      </c>
      <c r="AS68" s="2953" t="s">
        <v>3014</v>
      </c>
      <c r="AT68" s="2953" t="s">
        <v>3015</v>
      </c>
      <c r="AU68" s="163" t="s">
        <v>3206</v>
      </c>
      <c r="AV68" s="163" t="s">
        <v>3207</v>
      </c>
      <c r="AW68" s="163" t="s">
        <v>3272</v>
      </c>
      <c r="AX68" s="163" t="s">
        <v>3273</v>
      </c>
      <c r="AY68" s="163" t="s">
        <v>3419</v>
      </c>
      <c r="AZ68" s="1058"/>
      <c r="BA68" s="1058"/>
      <c r="BB68" s="1058"/>
      <c r="BC68" s="1058"/>
      <c r="BD68" s="1058"/>
      <c r="BE68" s="1058"/>
      <c r="BF68" s="1058"/>
      <c r="BG68" s="1058"/>
      <c r="BH68" s="1058"/>
      <c r="BI68" s="94"/>
      <c r="BJ68" s="94"/>
      <c r="BK68" s="94"/>
      <c r="BL68" s="94"/>
      <c r="BM68" s="94"/>
      <c r="CA68" s="1164" t="e">
        <f t="shared" si="9"/>
        <v>#REF!</v>
      </c>
      <c r="CB68" s="1164" t="str">
        <f t="shared" si="10"/>
        <v/>
      </c>
      <c r="CC68" s="1164" t="str">
        <f t="shared" si="11"/>
        <v xml:space="preserve">* El número de Beneficiarios NO DEBE ser mayor que el Total. </v>
      </c>
      <c r="CD68" s="1164" t="e">
        <f t="shared" si="12"/>
        <v>#VALUE!</v>
      </c>
      <c r="CE68" s="1164" t="e">
        <f t="shared" si="13"/>
        <v>#VALUE!</v>
      </c>
      <c r="CF68" s="1164"/>
      <c r="CG68" s="1163" t="e">
        <f>IF(C68&lt;(#REF!+V68),1,0)</f>
        <v>#REF!</v>
      </c>
      <c r="CH68" s="1163">
        <f t="shared" si="14"/>
        <v>0</v>
      </c>
      <c r="CI68" s="1163">
        <f t="shared" si="15"/>
        <v>1</v>
      </c>
      <c r="CJ68" s="1163" t="e">
        <f t="shared" si="16"/>
        <v>#VALUE!</v>
      </c>
      <c r="CK68" s="1163" t="e">
        <f t="shared" si="17"/>
        <v>#VALUE!</v>
      </c>
      <c r="DA68" s="80"/>
    </row>
    <row r="69" spans="1:105" ht="16.350000000000001" customHeight="1" x14ac:dyDescent="0.2">
      <c r="A69" s="2948" t="s">
        <v>3417</v>
      </c>
      <c r="B69" s="1185" t="s">
        <v>1570</v>
      </c>
      <c r="C69" s="2636" t="s">
        <v>2777</v>
      </c>
      <c r="D69" s="2577" t="s">
        <v>2778</v>
      </c>
      <c r="E69" s="2271" t="s">
        <v>2779</v>
      </c>
      <c r="F69" s="2396" t="s">
        <v>2780</v>
      </c>
      <c r="G69" s="2396" t="s">
        <v>2781</v>
      </c>
      <c r="H69" s="2396" t="s">
        <v>2782</v>
      </c>
      <c r="I69" s="2396" t="s">
        <v>2783</v>
      </c>
      <c r="J69" s="2396" t="s">
        <v>2784</v>
      </c>
      <c r="K69" s="2396" t="s">
        <v>2785</v>
      </c>
      <c r="L69" s="2396" t="s">
        <v>2786</v>
      </c>
      <c r="M69" s="2396" t="s">
        <v>2787</v>
      </c>
      <c r="N69" s="2396" t="s">
        <v>2788</v>
      </c>
      <c r="O69" s="2396" t="s">
        <v>2789</v>
      </c>
      <c r="P69" s="2396" t="s">
        <v>2790</v>
      </c>
      <c r="Q69" s="2396" t="s">
        <v>2791</v>
      </c>
      <c r="R69" s="2396" t="s">
        <v>2792</v>
      </c>
      <c r="S69" s="2396" t="s">
        <v>2793</v>
      </c>
      <c r="T69" s="2270" t="s">
        <v>2794</v>
      </c>
      <c r="U69" s="2598" t="s">
        <v>2795</v>
      </c>
      <c r="V69" s="163" t="s">
        <v>2796</v>
      </c>
      <c r="W69" s="163" t="s">
        <v>2797</v>
      </c>
      <c r="X69" s="163" t="s">
        <v>2798</v>
      </c>
      <c r="Y69" s="163" t="s">
        <v>2799</v>
      </c>
      <c r="Z69" s="163" t="s">
        <v>2800</v>
      </c>
      <c r="AA69" s="163" t="s">
        <v>2801</v>
      </c>
      <c r="AB69" s="163" t="s">
        <v>2817</v>
      </c>
      <c r="AC69" s="163" t="s">
        <v>2818</v>
      </c>
      <c r="AD69" s="163" t="s">
        <v>2819</v>
      </c>
      <c r="AE69" s="163" t="s">
        <v>2821</v>
      </c>
      <c r="AF69" s="163" t="s">
        <v>2822</v>
      </c>
      <c r="AG69" s="163" t="s">
        <v>2823</v>
      </c>
      <c r="AH69" s="163" t="s">
        <v>2824</v>
      </c>
      <c r="AI69" s="163" t="s">
        <v>2825</v>
      </c>
      <c r="AJ69" s="163" t="s">
        <v>2826</v>
      </c>
      <c r="AK69" s="163" t="s">
        <v>2827</v>
      </c>
      <c r="AL69" s="163" t="s">
        <v>2831</v>
      </c>
      <c r="AM69" s="163" t="s">
        <v>2832</v>
      </c>
      <c r="AN69" s="163" t="s">
        <v>2833</v>
      </c>
      <c r="AO69" s="163" t="s">
        <v>2834</v>
      </c>
      <c r="AP69" s="163" t="s">
        <v>3011</v>
      </c>
      <c r="AQ69" s="163" t="s">
        <v>3012</v>
      </c>
      <c r="AR69" s="163" t="s">
        <v>3013</v>
      </c>
      <c r="AS69" s="2953" t="s">
        <v>3014</v>
      </c>
      <c r="AT69" s="2953" t="s">
        <v>3015</v>
      </c>
      <c r="AU69" s="163" t="s">
        <v>3206</v>
      </c>
      <c r="AV69" s="163" t="s">
        <v>3207</v>
      </c>
      <c r="AW69" s="163" t="s">
        <v>3272</v>
      </c>
      <c r="AX69" s="163" t="s">
        <v>3273</v>
      </c>
      <c r="AY69" s="163" t="s">
        <v>3419</v>
      </c>
      <c r="AZ69" s="1058"/>
      <c r="BA69" s="1058"/>
      <c r="BB69" s="1058"/>
      <c r="BC69" s="1058"/>
      <c r="BD69" s="1058"/>
      <c r="BE69" s="1058"/>
      <c r="BF69" s="1058"/>
      <c r="BG69" s="1058"/>
      <c r="BH69" s="1058"/>
      <c r="BI69" s="94"/>
      <c r="BJ69" s="94"/>
      <c r="BK69" s="94"/>
      <c r="BL69" s="94"/>
      <c r="BM69" s="94"/>
      <c r="CA69" s="1164" t="e">
        <f t="shared" si="9"/>
        <v>#REF!</v>
      </c>
      <c r="CB69" s="1164" t="str">
        <f t="shared" si="10"/>
        <v/>
      </c>
      <c r="CC69" s="1164" t="str">
        <f t="shared" si="11"/>
        <v xml:space="preserve">* El número de Beneficiarios NO DEBE ser mayor que el Total. </v>
      </c>
      <c r="CD69" s="1164" t="e">
        <f t="shared" si="12"/>
        <v>#VALUE!</v>
      </c>
      <c r="CE69" s="1164" t="e">
        <f t="shared" si="13"/>
        <v>#VALUE!</v>
      </c>
      <c r="CF69" s="1164"/>
      <c r="CG69" s="1163" t="e">
        <f>IF(C69&lt;(#REF!+V69),1,0)</f>
        <v>#REF!</v>
      </c>
      <c r="CH69" s="1163">
        <f t="shared" si="14"/>
        <v>0</v>
      </c>
      <c r="CI69" s="1163">
        <f t="shared" si="15"/>
        <v>1</v>
      </c>
      <c r="CJ69" s="1163" t="e">
        <f t="shared" si="16"/>
        <v>#VALUE!</v>
      </c>
      <c r="CK69" s="1163" t="e">
        <f t="shared" si="17"/>
        <v>#VALUE!</v>
      </c>
      <c r="DA69" s="80"/>
    </row>
    <row r="70" spans="1:105" ht="16.350000000000001" customHeight="1" x14ac:dyDescent="0.2">
      <c r="A70" s="2948" t="s">
        <v>3418</v>
      </c>
      <c r="B70" s="1226" t="s">
        <v>1571</v>
      </c>
      <c r="C70" s="2757" t="s">
        <v>2777</v>
      </c>
      <c r="D70" s="2249" t="s">
        <v>2778</v>
      </c>
      <c r="E70" s="2346" t="s">
        <v>2779</v>
      </c>
      <c r="F70" s="2467" t="s">
        <v>2780</v>
      </c>
      <c r="G70" s="2467" t="s">
        <v>2781</v>
      </c>
      <c r="H70" s="2467" t="s">
        <v>2782</v>
      </c>
      <c r="I70" s="2467" t="s">
        <v>2783</v>
      </c>
      <c r="J70" s="2467" t="s">
        <v>2784</v>
      </c>
      <c r="K70" s="2467" t="s">
        <v>2785</v>
      </c>
      <c r="L70" s="2467" t="s">
        <v>2786</v>
      </c>
      <c r="M70" s="2467" t="s">
        <v>2787</v>
      </c>
      <c r="N70" s="2467" t="s">
        <v>2788</v>
      </c>
      <c r="O70" s="2467" t="s">
        <v>2789</v>
      </c>
      <c r="P70" s="2467" t="s">
        <v>2790</v>
      </c>
      <c r="Q70" s="2467" t="s">
        <v>2791</v>
      </c>
      <c r="R70" s="2467" t="s">
        <v>2792</v>
      </c>
      <c r="S70" s="2467" t="s">
        <v>2793</v>
      </c>
      <c r="T70" s="2348" t="s">
        <v>2794</v>
      </c>
      <c r="U70" s="2349" t="s">
        <v>2795</v>
      </c>
      <c r="V70" s="163" t="s">
        <v>2796</v>
      </c>
      <c r="W70" s="163" t="s">
        <v>2797</v>
      </c>
      <c r="X70" s="163" t="s">
        <v>2798</v>
      </c>
      <c r="Y70" s="163" t="s">
        <v>2799</v>
      </c>
      <c r="Z70" s="163" t="s">
        <v>2800</v>
      </c>
      <c r="AA70" s="163" t="s">
        <v>2801</v>
      </c>
      <c r="AB70" s="163" t="s">
        <v>2817</v>
      </c>
      <c r="AC70" s="163" t="s">
        <v>2818</v>
      </c>
      <c r="AD70" s="163" t="s">
        <v>2819</v>
      </c>
      <c r="AE70" s="163" t="s">
        <v>2821</v>
      </c>
      <c r="AF70" s="163" t="s">
        <v>2822</v>
      </c>
      <c r="AG70" s="163" t="s">
        <v>2823</v>
      </c>
      <c r="AH70" s="163" t="s">
        <v>2824</v>
      </c>
      <c r="AI70" s="163" t="s">
        <v>2825</v>
      </c>
      <c r="AJ70" s="163" t="s">
        <v>2826</v>
      </c>
      <c r="AK70" s="163" t="s">
        <v>2827</v>
      </c>
      <c r="AL70" s="163" t="s">
        <v>2831</v>
      </c>
      <c r="AM70" s="163" t="s">
        <v>2832</v>
      </c>
      <c r="AN70" s="163" t="s">
        <v>2833</v>
      </c>
      <c r="AO70" s="163" t="s">
        <v>2834</v>
      </c>
      <c r="AP70" s="163" t="s">
        <v>3011</v>
      </c>
      <c r="AQ70" s="163" t="s">
        <v>3012</v>
      </c>
      <c r="AR70" s="163" t="s">
        <v>3013</v>
      </c>
      <c r="AS70" s="2953" t="s">
        <v>3014</v>
      </c>
      <c r="AT70" s="2953" t="s">
        <v>3015</v>
      </c>
      <c r="AU70" s="163" t="s">
        <v>3206</v>
      </c>
      <c r="AV70" s="163" t="s">
        <v>3207</v>
      </c>
      <c r="AW70" s="163" t="s">
        <v>3272</v>
      </c>
      <c r="AX70" s="163" t="s">
        <v>3273</v>
      </c>
      <c r="AY70" s="163" t="s">
        <v>3419</v>
      </c>
      <c r="AZ70" s="1058"/>
      <c r="BA70" s="1058"/>
      <c r="BB70" s="1058"/>
      <c r="BC70" s="1058"/>
      <c r="BD70" s="1058"/>
      <c r="BE70" s="1058"/>
      <c r="BF70" s="1058"/>
      <c r="BG70" s="1058"/>
      <c r="BH70" s="1058"/>
      <c r="BI70" s="94"/>
      <c r="BJ70" s="94"/>
      <c r="BK70" s="94"/>
      <c r="BL70" s="94"/>
      <c r="BM70" s="94"/>
      <c r="CA70" s="1164" t="e">
        <f t="shared" si="9"/>
        <v>#REF!</v>
      </c>
      <c r="CB70" s="1164" t="str">
        <f t="shared" si="10"/>
        <v/>
      </c>
      <c r="CC70" s="1164" t="str">
        <f t="shared" si="11"/>
        <v xml:space="preserve">* El número de Beneficiarios NO DEBE ser mayor que el Total. </v>
      </c>
      <c r="CD70" s="1164" t="e">
        <f t="shared" si="12"/>
        <v>#VALUE!</v>
      </c>
      <c r="CE70" s="1164" t="e">
        <f t="shared" si="13"/>
        <v>#VALUE!</v>
      </c>
      <c r="CF70" s="1164"/>
      <c r="CG70" s="1163" t="e">
        <f>IF(C70&lt;(#REF!+V70),1,0)</f>
        <v>#REF!</v>
      </c>
      <c r="CH70" s="1163">
        <f t="shared" si="14"/>
        <v>0</v>
      </c>
      <c r="CI70" s="1163">
        <f t="shared" si="15"/>
        <v>1</v>
      </c>
      <c r="CJ70" s="1163" t="e">
        <f t="shared" si="16"/>
        <v>#VALUE!</v>
      </c>
      <c r="CK70" s="1163" t="e">
        <f t="shared" si="17"/>
        <v>#VALUE!</v>
      </c>
      <c r="DA70" s="80"/>
    </row>
    <row r="71" spans="1:105" s="83" customFormat="1" ht="16.350000000000001" customHeight="1" x14ac:dyDescent="0.15">
      <c r="A71" s="2954"/>
      <c r="B71" s="982" t="s">
        <v>42</v>
      </c>
      <c r="C71" s="187">
        <f>SUM(C11:C70)</f>
        <v>0</v>
      </c>
      <c r="D71" s="185">
        <f>SUM(D11:D70)</f>
        <v>0</v>
      </c>
      <c r="E71" s="188">
        <f>SUM(E11:E70)</f>
        <v>0</v>
      </c>
      <c r="F71" s="460">
        <f t="shared" ref="F71" si="18">SUM(F11:F70)</f>
        <v>0</v>
      </c>
      <c r="G71" s="460">
        <f t="shared" ref="G71" si="19">SUM(G11:G70)</f>
        <v>0</v>
      </c>
      <c r="H71" s="460">
        <f>SUM(H11:H70)</f>
        <v>0</v>
      </c>
      <c r="I71" s="460">
        <f t="shared" ref="I71" si="20">SUM(I11:I70)</f>
        <v>0</v>
      </c>
      <c r="J71" s="460">
        <f t="shared" ref="J71" si="21">SUM(J11:J70)</f>
        <v>0</v>
      </c>
      <c r="K71" s="460">
        <f t="shared" ref="K71" si="22">SUM(K11:K70)</f>
        <v>0</v>
      </c>
      <c r="L71" s="460">
        <f t="shared" ref="L71" si="23">SUM(L11:L70)</f>
        <v>0</v>
      </c>
      <c r="M71" s="460">
        <f t="shared" ref="M71" si="24">SUM(M11:M70)</f>
        <v>0</v>
      </c>
      <c r="N71" s="460">
        <f t="shared" ref="N71" si="25">SUM(N11:N70)</f>
        <v>0</v>
      </c>
      <c r="O71" s="460">
        <f t="shared" ref="O71" si="26">SUM(O11:O70)</f>
        <v>0</v>
      </c>
      <c r="P71" s="460">
        <f t="shared" ref="P71" si="27">SUM(P11:P70)</f>
        <v>0</v>
      </c>
      <c r="Q71" s="460">
        <f t="shared" ref="Q71" si="28">SUM(Q11:Q70)</f>
        <v>0</v>
      </c>
      <c r="R71" s="460">
        <f t="shared" ref="R71" si="29">SUM(R11:R70)</f>
        <v>0</v>
      </c>
      <c r="S71" s="460">
        <f t="shared" ref="S71" si="30">SUM(S11:S70)</f>
        <v>0</v>
      </c>
      <c r="T71" s="1868">
        <f t="shared" ref="T71" si="31">SUM(T11:T70)</f>
        <v>0</v>
      </c>
      <c r="U71" s="184">
        <f t="shared" ref="U71" si="32">SUM(U11:U70)</f>
        <v>0</v>
      </c>
      <c r="V71" s="184">
        <f>SUM(V11:V70)</f>
        <v>0</v>
      </c>
      <c r="W71" s="199">
        <f t="shared" ref="W71:AY71" si="33">SUM(V11:V70)</f>
        <v>0</v>
      </c>
      <c r="X71" s="184">
        <f t="shared" si="33"/>
        <v>0</v>
      </c>
      <c r="Y71" s="184">
        <f t="shared" si="33"/>
        <v>0</v>
      </c>
      <c r="Z71" s="460">
        <f t="shared" si="33"/>
        <v>0</v>
      </c>
      <c r="AA71" s="189">
        <f t="shared" si="33"/>
        <v>0</v>
      </c>
      <c r="AB71" s="185">
        <f t="shared" si="33"/>
        <v>0</v>
      </c>
      <c r="AC71" s="184">
        <f t="shared" si="33"/>
        <v>0</v>
      </c>
      <c r="AD71" s="460">
        <f t="shared" si="33"/>
        <v>0</v>
      </c>
      <c r="AE71" s="199">
        <f t="shared" si="33"/>
        <v>0</v>
      </c>
      <c r="AF71" s="184">
        <f t="shared" si="33"/>
        <v>0</v>
      </c>
      <c r="AG71" s="199">
        <f t="shared" si="33"/>
        <v>0</v>
      </c>
      <c r="AH71" s="185">
        <f t="shared" si="33"/>
        <v>0</v>
      </c>
      <c r="AI71" s="1106">
        <f t="shared" si="33"/>
        <v>0</v>
      </c>
      <c r="AJ71" s="1106">
        <f t="shared" si="33"/>
        <v>0</v>
      </c>
      <c r="AK71" s="184">
        <f t="shared" si="33"/>
        <v>0</v>
      </c>
      <c r="AL71" s="199">
        <f t="shared" si="33"/>
        <v>0</v>
      </c>
      <c r="AM71" s="185">
        <f t="shared" si="33"/>
        <v>0</v>
      </c>
      <c r="AN71" s="1106">
        <f t="shared" si="33"/>
        <v>0</v>
      </c>
      <c r="AO71" s="186">
        <f t="shared" si="33"/>
        <v>0</v>
      </c>
      <c r="AP71" s="186">
        <f t="shared" si="33"/>
        <v>0</v>
      </c>
      <c r="AQ71" s="186">
        <f t="shared" si="33"/>
        <v>0</v>
      </c>
      <c r="AR71" s="461">
        <f t="shared" si="33"/>
        <v>0</v>
      </c>
      <c r="AS71" s="671">
        <f t="shared" si="33"/>
        <v>0</v>
      </c>
      <c r="AT71" s="462">
        <f t="shared" si="33"/>
        <v>0</v>
      </c>
      <c r="AU71" s="671">
        <f t="shared" si="33"/>
        <v>0</v>
      </c>
      <c r="AV71" s="672">
        <f t="shared" si="33"/>
        <v>0</v>
      </c>
      <c r="AW71" s="614">
        <f t="shared" si="33"/>
        <v>0</v>
      </c>
      <c r="AX71" s="614">
        <f t="shared" si="33"/>
        <v>0</v>
      </c>
      <c r="AY71" s="614">
        <f t="shared" si="33"/>
        <v>0</v>
      </c>
      <c r="AZ71" s="927"/>
      <c r="BA71" s="927"/>
      <c r="BB71" s="927"/>
      <c r="BC71" s="927"/>
      <c r="BD71" s="927"/>
      <c r="BE71" s="927"/>
      <c r="BF71" s="927"/>
      <c r="BG71" s="927"/>
      <c r="BH71" s="927"/>
      <c r="BI71" s="927"/>
      <c r="BJ71" s="927"/>
      <c r="BK71" s="927"/>
      <c r="BL71" s="927"/>
      <c r="BM71" s="927"/>
      <c r="BN71" s="927"/>
      <c r="BZ71" s="411"/>
      <c r="CB71" s="926"/>
      <c r="CC71" s="926"/>
      <c r="CD71" s="926"/>
      <c r="CE71" s="926"/>
      <c r="CF71" s="926"/>
      <c r="CG71" s="926"/>
      <c r="CH71" s="1022"/>
      <c r="CI71" s="1022"/>
      <c r="CJ71" s="1022"/>
      <c r="CK71" s="1022"/>
      <c r="CL71" s="1022"/>
      <c r="CM71" s="926"/>
      <c r="CN71" s="926"/>
      <c r="CO71" s="926"/>
      <c r="CP71" s="926"/>
      <c r="CQ71" s="926"/>
      <c r="CR71" s="926"/>
      <c r="CS71" s="926"/>
      <c r="CT71" s="926"/>
      <c r="CU71" s="926"/>
      <c r="CV71" s="926"/>
      <c r="CW71" s="926"/>
      <c r="CX71" s="926"/>
      <c r="CY71" s="926"/>
      <c r="CZ71" s="926"/>
      <c r="DA71" s="926"/>
    </row>
    <row r="72" spans="1:105" ht="31.35" customHeight="1" x14ac:dyDescent="0.2">
      <c r="A72" s="1262"/>
      <c r="B72" s="5030" t="s">
        <v>2645</v>
      </c>
      <c r="C72" s="1292"/>
      <c r="D72" s="243"/>
      <c r="E72" s="243"/>
      <c r="F72" s="243"/>
      <c r="G72" s="243"/>
      <c r="H72" s="243"/>
      <c r="I72" s="243"/>
      <c r="J72" s="243"/>
      <c r="K72" s="243"/>
      <c r="L72" s="243"/>
      <c r="M72" s="243"/>
      <c r="N72" s="243"/>
      <c r="O72" s="243"/>
      <c r="P72" s="243"/>
      <c r="Q72" s="243"/>
      <c r="R72" s="243"/>
      <c r="S72" s="243"/>
      <c r="T72" s="243"/>
      <c r="U72" s="243"/>
      <c r="AY72" s="94"/>
      <c r="AZ72" s="94"/>
      <c r="BA72" s="94"/>
      <c r="BB72" s="94"/>
      <c r="BC72" s="94"/>
      <c r="BD72" s="94"/>
      <c r="BE72" s="94"/>
      <c r="BF72" s="94"/>
      <c r="BG72" s="94"/>
      <c r="BH72" s="94"/>
      <c r="BI72" s="94"/>
      <c r="BJ72" s="94"/>
      <c r="BK72" s="94"/>
      <c r="BL72" s="94"/>
      <c r="BM72" s="94"/>
      <c r="BN72" s="94"/>
      <c r="BO72" s="94"/>
      <c r="CH72" s="1020"/>
      <c r="CI72" s="1020"/>
      <c r="CJ72" s="1020"/>
      <c r="CK72" s="1020"/>
      <c r="CL72" s="1020"/>
    </row>
    <row r="73" spans="1:105" ht="16.350000000000001" customHeight="1" x14ac:dyDescent="0.2">
      <c r="B73" s="4759" t="s">
        <v>846</v>
      </c>
      <c r="C73" s="4734" t="s">
        <v>42</v>
      </c>
      <c r="D73" s="1871" t="s">
        <v>1485</v>
      </c>
      <c r="E73" s="133" t="s">
        <v>246</v>
      </c>
      <c r="F73" s="88" t="s">
        <v>389</v>
      </c>
      <c r="G73" s="88" t="s">
        <v>390</v>
      </c>
      <c r="H73" s="88" t="s">
        <v>391</v>
      </c>
      <c r="I73" s="1319" t="s">
        <v>392</v>
      </c>
      <c r="J73" s="1319" t="s">
        <v>393</v>
      </c>
      <c r="K73" s="1319" t="s">
        <v>1486</v>
      </c>
      <c r="L73" s="1319" t="s">
        <v>663</v>
      </c>
      <c r="M73" s="1319" t="s">
        <v>664</v>
      </c>
      <c r="N73" s="1319" t="s">
        <v>665</v>
      </c>
      <c r="O73" s="1319" t="s">
        <v>666</v>
      </c>
      <c r="P73" s="1319" t="s">
        <v>667</v>
      </c>
      <c r="Q73" s="1319" t="s">
        <v>668</v>
      </c>
      <c r="R73" s="1319" t="s">
        <v>669</v>
      </c>
      <c r="S73" s="1319" t="s">
        <v>670</v>
      </c>
      <c r="T73" s="1861" t="s">
        <v>1487</v>
      </c>
      <c r="U73" s="5032"/>
      <c r="AY73" s="94"/>
      <c r="AZ73" s="94"/>
      <c r="BA73" s="94"/>
      <c r="BB73" s="94"/>
      <c r="BC73" s="94"/>
      <c r="BD73" s="94"/>
      <c r="BE73" s="94"/>
      <c r="BF73" s="94"/>
      <c r="BG73" s="94"/>
      <c r="BH73" s="94"/>
      <c r="BI73" s="94"/>
      <c r="BJ73" s="94"/>
      <c r="BK73" s="94"/>
      <c r="BL73" s="94"/>
      <c r="BM73" s="94"/>
      <c r="BN73" s="94"/>
      <c r="BO73" s="94"/>
      <c r="CH73" s="1020"/>
      <c r="CI73" s="1020"/>
      <c r="CJ73" s="1020"/>
      <c r="CK73" s="1020"/>
      <c r="CL73" s="1020"/>
    </row>
    <row r="74" spans="1:105" ht="16.350000000000001" customHeight="1" x14ac:dyDescent="0.2">
      <c r="A74" s="2951" t="s">
        <v>3420</v>
      </c>
      <c r="B74" s="2700" t="s">
        <v>1026</v>
      </c>
      <c r="C74" s="2955" t="s">
        <v>2777</v>
      </c>
      <c r="D74" s="2956" t="s">
        <v>2778</v>
      </c>
      <c r="E74" s="2957" t="s">
        <v>2779</v>
      </c>
      <c r="F74" s="2957" t="s">
        <v>2780</v>
      </c>
      <c r="G74" s="2957" t="s">
        <v>2781</v>
      </c>
      <c r="H74" s="2957" t="s">
        <v>2782</v>
      </c>
      <c r="I74" s="2957" t="s">
        <v>2783</v>
      </c>
      <c r="J74" s="2957" t="s">
        <v>2784</v>
      </c>
      <c r="K74" s="2957" t="s">
        <v>2785</v>
      </c>
      <c r="L74" s="2957" t="s">
        <v>2786</v>
      </c>
      <c r="M74" s="2957" t="s">
        <v>2787</v>
      </c>
      <c r="N74" s="2957" t="s">
        <v>2788</v>
      </c>
      <c r="O74" s="2957" t="s">
        <v>2789</v>
      </c>
      <c r="P74" s="2957" t="s">
        <v>2790</v>
      </c>
      <c r="Q74" s="2957" t="s">
        <v>2791</v>
      </c>
      <c r="R74" s="2957" t="s">
        <v>2792</v>
      </c>
      <c r="S74" s="2957" t="s">
        <v>2793</v>
      </c>
      <c r="T74" s="2958" t="s">
        <v>2794</v>
      </c>
      <c r="U74" s="5032"/>
      <c r="AY74" s="94"/>
      <c r="AZ74" s="94"/>
      <c r="BA74" s="94"/>
      <c r="BB74" s="94"/>
      <c r="BC74" s="94"/>
      <c r="BD74" s="94"/>
      <c r="BE74" s="94"/>
      <c r="BF74" s="94"/>
      <c r="BG74" s="94"/>
      <c r="BH74" s="94"/>
      <c r="BI74" s="94"/>
      <c r="BJ74" s="94"/>
      <c r="BK74" s="94"/>
      <c r="BL74" s="94"/>
      <c r="BM74" s="94"/>
      <c r="BN74" s="94"/>
      <c r="BO74" s="94"/>
      <c r="CH74" s="1020"/>
      <c r="CI74" s="1020"/>
      <c r="CJ74" s="1020"/>
      <c r="CK74" s="1020"/>
      <c r="CL74" s="1020"/>
    </row>
    <row r="75" spans="1:105" ht="16.350000000000001" customHeight="1" x14ac:dyDescent="0.2">
      <c r="A75" s="2951" t="s">
        <v>3421</v>
      </c>
      <c r="B75" s="1582" t="s">
        <v>965</v>
      </c>
      <c r="C75" s="200" t="s">
        <v>2777</v>
      </c>
      <c r="D75" s="141" t="s">
        <v>2778</v>
      </c>
      <c r="E75" s="142" t="s">
        <v>2779</v>
      </c>
      <c r="F75" s="142" t="s">
        <v>2780</v>
      </c>
      <c r="G75" s="142" t="s">
        <v>2781</v>
      </c>
      <c r="H75" s="142" t="s">
        <v>2782</v>
      </c>
      <c r="I75" s="142" t="s">
        <v>2783</v>
      </c>
      <c r="J75" s="142" t="s">
        <v>2784</v>
      </c>
      <c r="K75" s="142" t="s">
        <v>2785</v>
      </c>
      <c r="L75" s="142" t="s">
        <v>2786</v>
      </c>
      <c r="M75" s="142" t="s">
        <v>2787</v>
      </c>
      <c r="N75" s="142" t="s">
        <v>2788</v>
      </c>
      <c r="O75" s="142" t="s">
        <v>2789</v>
      </c>
      <c r="P75" s="142" t="s">
        <v>2790</v>
      </c>
      <c r="Q75" s="142" t="s">
        <v>2791</v>
      </c>
      <c r="R75" s="142" t="s">
        <v>2792</v>
      </c>
      <c r="S75" s="142" t="s">
        <v>2793</v>
      </c>
      <c r="T75" s="163" t="s">
        <v>2794</v>
      </c>
      <c r="U75" s="5032"/>
      <c r="AY75" s="94"/>
      <c r="AZ75" s="94"/>
      <c r="BA75" s="94"/>
      <c r="BB75" s="94"/>
      <c r="BC75" s="94"/>
      <c r="BD75" s="94"/>
      <c r="BE75" s="94"/>
      <c r="BF75" s="94"/>
      <c r="BG75" s="94"/>
      <c r="BH75" s="94"/>
      <c r="BI75" s="94"/>
      <c r="BJ75" s="94"/>
      <c r="BK75" s="94"/>
      <c r="BL75" s="94"/>
      <c r="BM75" s="94"/>
      <c r="BN75" s="94"/>
      <c r="BO75" s="94"/>
      <c r="CH75" s="1020"/>
      <c r="CI75" s="1020"/>
      <c r="CJ75" s="1020"/>
      <c r="CK75" s="1020"/>
      <c r="CL75" s="1020"/>
    </row>
    <row r="76" spans="1:105" ht="16.350000000000001" customHeight="1" x14ac:dyDescent="0.2">
      <c r="A76" s="2951" t="s">
        <v>3422</v>
      </c>
      <c r="B76" s="2959" t="s">
        <v>1027</v>
      </c>
      <c r="C76" s="200" t="s">
        <v>2777</v>
      </c>
      <c r="D76" s="141" t="s">
        <v>2778</v>
      </c>
      <c r="E76" s="142" t="s">
        <v>2779</v>
      </c>
      <c r="F76" s="142" t="s">
        <v>2780</v>
      </c>
      <c r="G76" s="142" t="s">
        <v>2781</v>
      </c>
      <c r="H76" s="142" t="s">
        <v>2782</v>
      </c>
      <c r="I76" s="142" t="s">
        <v>2783</v>
      </c>
      <c r="J76" s="142" t="s">
        <v>2784</v>
      </c>
      <c r="K76" s="142" t="s">
        <v>2785</v>
      </c>
      <c r="L76" s="142" t="s">
        <v>2786</v>
      </c>
      <c r="M76" s="142" t="s">
        <v>2787</v>
      </c>
      <c r="N76" s="142" t="s">
        <v>2788</v>
      </c>
      <c r="O76" s="142" t="s">
        <v>2789</v>
      </c>
      <c r="P76" s="142" t="s">
        <v>2790</v>
      </c>
      <c r="Q76" s="142" t="s">
        <v>2791</v>
      </c>
      <c r="R76" s="142" t="s">
        <v>2792</v>
      </c>
      <c r="S76" s="142" t="s">
        <v>2793</v>
      </c>
      <c r="T76" s="163" t="s">
        <v>2794</v>
      </c>
      <c r="U76" s="5032"/>
      <c r="AY76" s="94"/>
      <c r="AZ76" s="94"/>
      <c r="BA76" s="94"/>
      <c r="BB76" s="94"/>
      <c r="BC76" s="94"/>
      <c r="BD76" s="94"/>
      <c r="BE76" s="94"/>
      <c r="BF76" s="94"/>
      <c r="BG76" s="94"/>
      <c r="BH76" s="94"/>
      <c r="BI76" s="94"/>
      <c r="BJ76" s="94"/>
      <c r="BK76" s="94"/>
      <c r="BL76" s="94"/>
      <c r="BM76" s="94"/>
      <c r="BN76" s="94"/>
      <c r="BO76" s="94"/>
      <c r="CH76" s="1020"/>
      <c r="CI76" s="1020"/>
      <c r="CJ76" s="1020"/>
      <c r="CK76" s="1020"/>
      <c r="CL76" s="1020"/>
    </row>
    <row r="77" spans="1:105" ht="16.350000000000001" customHeight="1" x14ac:dyDescent="0.2">
      <c r="A77" s="2951" t="s">
        <v>3423</v>
      </c>
      <c r="B77" s="2959" t="s">
        <v>1028</v>
      </c>
      <c r="C77" s="200" t="s">
        <v>2777</v>
      </c>
      <c r="D77" s="141" t="s">
        <v>2778</v>
      </c>
      <c r="E77" s="142" t="s">
        <v>2779</v>
      </c>
      <c r="F77" s="142" t="s">
        <v>2780</v>
      </c>
      <c r="G77" s="142" t="s">
        <v>2781</v>
      </c>
      <c r="H77" s="142" t="s">
        <v>2782</v>
      </c>
      <c r="I77" s="142" t="s">
        <v>2783</v>
      </c>
      <c r="J77" s="142" t="s">
        <v>2784</v>
      </c>
      <c r="K77" s="142" t="s">
        <v>2785</v>
      </c>
      <c r="L77" s="142" t="s">
        <v>2786</v>
      </c>
      <c r="M77" s="142" t="s">
        <v>2787</v>
      </c>
      <c r="N77" s="142" t="s">
        <v>2788</v>
      </c>
      <c r="O77" s="142" t="s">
        <v>2789</v>
      </c>
      <c r="P77" s="142" t="s">
        <v>2790</v>
      </c>
      <c r="Q77" s="142" t="s">
        <v>2791</v>
      </c>
      <c r="R77" s="142" t="s">
        <v>2792</v>
      </c>
      <c r="S77" s="142" t="s">
        <v>2793</v>
      </c>
      <c r="T77" s="163" t="s">
        <v>2794</v>
      </c>
      <c r="U77" s="5032"/>
      <c r="AY77" s="94"/>
      <c r="AZ77" s="94"/>
      <c r="BA77" s="94"/>
      <c r="BB77" s="94"/>
      <c r="BC77" s="94"/>
      <c r="BD77" s="94"/>
      <c r="BE77" s="94"/>
      <c r="BF77" s="94"/>
      <c r="BG77" s="94"/>
      <c r="BH77" s="94"/>
      <c r="BI77" s="94"/>
      <c r="BJ77" s="94"/>
      <c r="BK77" s="94"/>
      <c r="BL77" s="94"/>
      <c r="BM77" s="94"/>
      <c r="BN77" s="94"/>
      <c r="BO77" s="94"/>
      <c r="CH77" s="1020"/>
      <c r="CI77" s="1020"/>
      <c r="CJ77" s="1020"/>
      <c r="CK77" s="1020"/>
      <c r="CL77" s="1020"/>
    </row>
    <row r="78" spans="1:105" ht="16.350000000000001" customHeight="1" x14ac:dyDescent="0.2">
      <c r="A78" s="2951" t="s">
        <v>3424</v>
      </c>
      <c r="B78" s="2959" t="s">
        <v>1029</v>
      </c>
      <c r="C78" s="200" t="s">
        <v>2777</v>
      </c>
      <c r="D78" s="141" t="s">
        <v>2778</v>
      </c>
      <c r="E78" s="142" t="s">
        <v>2779</v>
      </c>
      <c r="F78" s="142" t="s">
        <v>2780</v>
      </c>
      <c r="G78" s="142" t="s">
        <v>2781</v>
      </c>
      <c r="H78" s="142" t="s">
        <v>2782</v>
      </c>
      <c r="I78" s="142" t="s">
        <v>2783</v>
      </c>
      <c r="J78" s="142" t="s">
        <v>2784</v>
      </c>
      <c r="K78" s="142" t="s">
        <v>2785</v>
      </c>
      <c r="L78" s="142" t="s">
        <v>2786</v>
      </c>
      <c r="M78" s="142" t="s">
        <v>2787</v>
      </c>
      <c r="N78" s="142" t="s">
        <v>2788</v>
      </c>
      <c r="O78" s="142" t="s">
        <v>2789</v>
      </c>
      <c r="P78" s="142" t="s">
        <v>2790</v>
      </c>
      <c r="Q78" s="142" t="s">
        <v>2791</v>
      </c>
      <c r="R78" s="142" t="s">
        <v>2792</v>
      </c>
      <c r="S78" s="142" t="s">
        <v>2793</v>
      </c>
      <c r="T78" s="163" t="s">
        <v>2794</v>
      </c>
      <c r="U78" s="5032"/>
      <c r="CH78" s="1020"/>
      <c r="CI78" s="1020"/>
      <c r="CJ78" s="1020"/>
      <c r="CK78" s="1020"/>
      <c r="CL78" s="1020"/>
    </row>
    <row r="79" spans="1:105" ht="16.350000000000001" customHeight="1" x14ac:dyDescent="0.2">
      <c r="A79" s="2951" t="s">
        <v>3425</v>
      </c>
      <c r="B79" s="2959" t="s">
        <v>1030</v>
      </c>
      <c r="C79" s="200" t="s">
        <v>2777</v>
      </c>
      <c r="D79" s="141" t="s">
        <v>2778</v>
      </c>
      <c r="E79" s="142" t="s">
        <v>2779</v>
      </c>
      <c r="F79" s="142" t="s">
        <v>2780</v>
      </c>
      <c r="G79" s="142" t="s">
        <v>2781</v>
      </c>
      <c r="H79" s="142" t="s">
        <v>2782</v>
      </c>
      <c r="I79" s="142" t="s">
        <v>2783</v>
      </c>
      <c r="J79" s="142" t="s">
        <v>2784</v>
      </c>
      <c r="K79" s="142" t="s">
        <v>2785</v>
      </c>
      <c r="L79" s="142" t="s">
        <v>2786</v>
      </c>
      <c r="M79" s="142" t="s">
        <v>2787</v>
      </c>
      <c r="N79" s="142" t="s">
        <v>2788</v>
      </c>
      <c r="O79" s="142" t="s">
        <v>2789</v>
      </c>
      <c r="P79" s="142" t="s">
        <v>2790</v>
      </c>
      <c r="Q79" s="142" t="s">
        <v>2791</v>
      </c>
      <c r="R79" s="142" t="s">
        <v>2792</v>
      </c>
      <c r="S79" s="142" t="s">
        <v>2793</v>
      </c>
      <c r="T79" s="163" t="s">
        <v>2794</v>
      </c>
      <c r="U79" s="5032"/>
      <c r="CH79" s="1020"/>
      <c r="CI79" s="1020"/>
      <c r="CJ79" s="1020"/>
      <c r="CK79" s="1020"/>
      <c r="CL79" s="1020"/>
    </row>
    <row r="80" spans="1:105" ht="16.350000000000001" customHeight="1" x14ac:dyDescent="0.2">
      <c r="A80" s="2951" t="s">
        <v>3426</v>
      </c>
      <c r="B80" s="2959" t="s">
        <v>498</v>
      </c>
      <c r="C80" s="200" t="s">
        <v>2777</v>
      </c>
      <c r="D80" s="141" t="s">
        <v>2778</v>
      </c>
      <c r="E80" s="142" t="s">
        <v>2779</v>
      </c>
      <c r="F80" s="142" t="s">
        <v>2780</v>
      </c>
      <c r="G80" s="142" t="s">
        <v>2781</v>
      </c>
      <c r="H80" s="142" t="s">
        <v>2782</v>
      </c>
      <c r="I80" s="142" t="s">
        <v>2783</v>
      </c>
      <c r="J80" s="142" t="s">
        <v>2784</v>
      </c>
      <c r="K80" s="142" t="s">
        <v>2785</v>
      </c>
      <c r="L80" s="142" t="s">
        <v>2786</v>
      </c>
      <c r="M80" s="142" t="s">
        <v>2787</v>
      </c>
      <c r="N80" s="142" t="s">
        <v>2788</v>
      </c>
      <c r="O80" s="142" t="s">
        <v>2789</v>
      </c>
      <c r="P80" s="142" t="s">
        <v>2790</v>
      </c>
      <c r="Q80" s="142" t="s">
        <v>2791</v>
      </c>
      <c r="R80" s="142" t="s">
        <v>2792</v>
      </c>
      <c r="S80" s="142" t="s">
        <v>2793</v>
      </c>
      <c r="T80" s="163" t="s">
        <v>2794</v>
      </c>
      <c r="U80" s="5032"/>
      <c r="CH80" s="1020"/>
      <c r="CI80" s="1020"/>
      <c r="CJ80" s="1020"/>
      <c r="CK80" s="1020"/>
      <c r="CL80" s="1020"/>
    </row>
    <row r="81" spans="1:90" ht="16.350000000000001" customHeight="1" x14ac:dyDescent="0.2">
      <c r="A81" s="2951" t="s">
        <v>3427</v>
      </c>
      <c r="B81" s="2959" t="s">
        <v>1031</v>
      </c>
      <c r="C81" s="200" t="s">
        <v>2777</v>
      </c>
      <c r="D81" s="141" t="s">
        <v>2778</v>
      </c>
      <c r="E81" s="142" t="s">
        <v>2779</v>
      </c>
      <c r="F81" s="142" t="s">
        <v>2780</v>
      </c>
      <c r="G81" s="142" t="s">
        <v>2781</v>
      </c>
      <c r="H81" s="142" t="s">
        <v>2782</v>
      </c>
      <c r="I81" s="142" t="s">
        <v>2783</v>
      </c>
      <c r="J81" s="142" t="s">
        <v>2784</v>
      </c>
      <c r="K81" s="142" t="s">
        <v>2785</v>
      </c>
      <c r="L81" s="142" t="s">
        <v>2786</v>
      </c>
      <c r="M81" s="142" t="s">
        <v>2787</v>
      </c>
      <c r="N81" s="142" t="s">
        <v>2788</v>
      </c>
      <c r="O81" s="142" t="s">
        <v>2789</v>
      </c>
      <c r="P81" s="142" t="s">
        <v>2790</v>
      </c>
      <c r="Q81" s="142" t="s">
        <v>2791</v>
      </c>
      <c r="R81" s="142" t="s">
        <v>2792</v>
      </c>
      <c r="S81" s="142" t="s">
        <v>2793</v>
      </c>
      <c r="T81" s="163" t="s">
        <v>2794</v>
      </c>
      <c r="U81" s="136"/>
      <c r="V81" s="190"/>
      <c r="W81" s="190"/>
      <c r="X81" s="190"/>
      <c r="Y81" s="190"/>
      <c r="Z81" s="190"/>
      <c r="AA81" s="190"/>
      <c r="AB81" s="190"/>
      <c r="AC81" s="190"/>
      <c r="AD81" s="190"/>
      <c r="AE81" s="190"/>
      <c r="AF81" s="190"/>
      <c r="AG81" s="190"/>
      <c r="AH81" s="190"/>
      <c r="AI81" s="190"/>
      <c r="AJ81" s="190"/>
      <c r="AK81" s="190"/>
      <c r="AL81" s="190"/>
      <c r="AM81" s="190"/>
      <c r="AN81" s="190"/>
      <c r="AO81" s="190"/>
      <c r="AP81" s="190"/>
      <c r="AQ81" s="190"/>
      <c r="AR81" s="190"/>
      <c r="CH81" s="1020"/>
      <c r="CI81" s="1020"/>
      <c r="CJ81" s="1020"/>
      <c r="CK81" s="1020"/>
      <c r="CL81" s="1020"/>
    </row>
    <row r="82" spans="1:90" ht="16.350000000000001" customHeight="1" x14ac:dyDescent="0.2">
      <c r="A82" s="2951" t="s">
        <v>3428</v>
      </c>
      <c r="B82" s="2959" t="s">
        <v>1032</v>
      </c>
      <c r="C82" s="200" t="s">
        <v>2777</v>
      </c>
      <c r="D82" s="141" t="s">
        <v>2778</v>
      </c>
      <c r="E82" s="142" t="s">
        <v>2779</v>
      </c>
      <c r="F82" s="142" t="s">
        <v>2780</v>
      </c>
      <c r="G82" s="142" t="s">
        <v>2781</v>
      </c>
      <c r="H82" s="142" t="s">
        <v>2782</v>
      </c>
      <c r="I82" s="142" t="s">
        <v>2783</v>
      </c>
      <c r="J82" s="142" t="s">
        <v>2784</v>
      </c>
      <c r="K82" s="142" t="s">
        <v>2785</v>
      </c>
      <c r="L82" s="142" t="s">
        <v>2786</v>
      </c>
      <c r="M82" s="142" t="s">
        <v>2787</v>
      </c>
      <c r="N82" s="142" t="s">
        <v>2788</v>
      </c>
      <c r="O82" s="142" t="s">
        <v>2789</v>
      </c>
      <c r="P82" s="142" t="s">
        <v>2790</v>
      </c>
      <c r="Q82" s="142" t="s">
        <v>2791</v>
      </c>
      <c r="R82" s="142" t="s">
        <v>2792</v>
      </c>
      <c r="S82" s="142" t="s">
        <v>2793</v>
      </c>
      <c r="T82" s="163" t="s">
        <v>2794</v>
      </c>
      <c r="U82" s="5032"/>
      <c r="CH82" s="1020"/>
      <c r="CI82" s="1020"/>
      <c r="CJ82" s="1020"/>
      <c r="CK82" s="1020"/>
      <c r="CL82" s="1020"/>
    </row>
    <row r="83" spans="1:90" ht="16.350000000000001" customHeight="1" x14ac:dyDescent="0.2">
      <c r="A83" s="2951" t="s">
        <v>3429</v>
      </c>
      <c r="B83" s="2959" t="s">
        <v>1033</v>
      </c>
      <c r="C83" s="200" t="s">
        <v>2777</v>
      </c>
      <c r="D83" s="141" t="s">
        <v>2778</v>
      </c>
      <c r="E83" s="142" t="s">
        <v>2779</v>
      </c>
      <c r="F83" s="142" t="s">
        <v>2780</v>
      </c>
      <c r="G83" s="142" t="s">
        <v>2781</v>
      </c>
      <c r="H83" s="142" t="s">
        <v>2782</v>
      </c>
      <c r="I83" s="142" t="s">
        <v>2783</v>
      </c>
      <c r="J83" s="142" t="s">
        <v>2784</v>
      </c>
      <c r="K83" s="142" t="s">
        <v>2785</v>
      </c>
      <c r="L83" s="142" t="s">
        <v>2786</v>
      </c>
      <c r="M83" s="142" t="s">
        <v>2787</v>
      </c>
      <c r="N83" s="142" t="s">
        <v>2788</v>
      </c>
      <c r="O83" s="142" t="s">
        <v>2789</v>
      </c>
      <c r="P83" s="142" t="s">
        <v>2790</v>
      </c>
      <c r="Q83" s="142" t="s">
        <v>2791</v>
      </c>
      <c r="R83" s="142" t="s">
        <v>2792</v>
      </c>
      <c r="S83" s="142" t="s">
        <v>2793</v>
      </c>
      <c r="T83" s="163" t="s">
        <v>2794</v>
      </c>
      <c r="U83" s="5032"/>
      <c r="CH83" s="1020"/>
      <c r="CI83" s="1020"/>
      <c r="CJ83" s="1020"/>
      <c r="CK83" s="1020"/>
      <c r="CL83" s="1020"/>
    </row>
    <row r="84" spans="1:90" ht="16.350000000000001" customHeight="1" x14ac:dyDescent="0.2">
      <c r="A84" s="2951" t="s">
        <v>3430</v>
      </c>
      <c r="B84" s="2960" t="s">
        <v>829</v>
      </c>
      <c r="C84" s="200" t="s">
        <v>2777</v>
      </c>
      <c r="D84" s="141" t="s">
        <v>2778</v>
      </c>
      <c r="E84" s="142" t="s">
        <v>2779</v>
      </c>
      <c r="F84" s="142" t="s">
        <v>2780</v>
      </c>
      <c r="G84" s="142" t="s">
        <v>2781</v>
      </c>
      <c r="H84" s="142" t="s">
        <v>2782</v>
      </c>
      <c r="I84" s="142" t="s">
        <v>2783</v>
      </c>
      <c r="J84" s="142" t="s">
        <v>2784</v>
      </c>
      <c r="K84" s="142" t="s">
        <v>2785</v>
      </c>
      <c r="L84" s="142" t="s">
        <v>2786</v>
      </c>
      <c r="M84" s="142" t="s">
        <v>2787</v>
      </c>
      <c r="N84" s="142" t="s">
        <v>2788</v>
      </c>
      <c r="O84" s="142" t="s">
        <v>2789</v>
      </c>
      <c r="P84" s="142" t="s">
        <v>2790</v>
      </c>
      <c r="Q84" s="142" t="s">
        <v>2791</v>
      </c>
      <c r="R84" s="142" t="s">
        <v>2792</v>
      </c>
      <c r="S84" s="142" t="s">
        <v>2793</v>
      </c>
      <c r="T84" s="163" t="s">
        <v>2794</v>
      </c>
      <c r="U84" s="5032"/>
      <c r="AS84" s="94"/>
      <c r="AT84" s="94"/>
      <c r="AU84" s="94"/>
      <c r="AV84" s="94"/>
      <c r="AW84" s="94"/>
      <c r="AX84" s="94"/>
      <c r="AY84" s="94"/>
      <c r="AZ84" s="94"/>
      <c r="BA84" s="94"/>
      <c r="BB84" s="94"/>
      <c r="BC84" s="94"/>
      <c r="BD84" s="94"/>
      <c r="BE84" s="94"/>
      <c r="BF84" s="94"/>
      <c r="CH84" s="1020"/>
      <c r="CI84" s="1020"/>
      <c r="CJ84" s="1020"/>
      <c r="CK84" s="1020"/>
      <c r="CL84" s="1020"/>
    </row>
    <row r="85" spans="1:90" ht="16.350000000000001" customHeight="1" x14ac:dyDescent="0.2">
      <c r="A85" s="2951" t="s">
        <v>3431</v>
      </c>
      <c r="B85" s="2960" t="s">
        <v>847</v>
      </c>
      <c r="C85" s="200" t="s">
        <v>2777</v>
      </c>
      <c r="D85" s="141" t="s">
        <v>2778</v>
      </c>
      <c r="E85" s="142" t="s">
        <v>2779</v>
      </c>
      <c r="F85" s="142" t="s">
        <v>2780</v>
      </c>
      <c r="G85" s="142" t="s">
        <v>2781</v>
      </c>
      <c r="H85" s="142" t="s">
        <v>2782</v>
      </c>
      <c r="I85" s="142" t="s">
        <v>2783</v>
      </c>
      <c r="J85" s="142" t="s">
        <v>2784</v>
      </c>
      <c r="K85" s="142" t="s">
        <v>2785</v>
      </c>
      <c r="L85" s="142" t="s">
        <v>2786</v>
      </c>
      <c r="M85" s="142" t="s">
        <v>2787</v>
      </c>
      <c r="N85" s="142" t="s">
        <v>2788</v>
      </c>
      <c r="O85" s="142" t="s">
        <v>2789</v>
      </c>
      <c r="P85" s="142" t="s">
        <v>2790</v>
      </c>
      <c r="Q85" s="142" t="s">
        <v>2791</v>
      </c>
      <c r="R85" s="142" t="s">
        <v>2792</v>
      </c>
      <c r="S85" s="142" t="s">
        <v>2793</v>
      </c>
      <c r="T85" s="163" t="s">
        <v>2794</v>
      </c>
      <c r="U85" s="5032"/>
      <c r="AS85" s="94"/>
      <c r="AT85" s="94"/>
      <c r="AU85" s="94"/>
      <c r="AV85" s="94"/>
      <c r="AW85" s="94"/>
      <c r="AX85" s="94"/>
      <c r="AY85" s="94"/>
      <c r="AZ85" s="94"/>
      <c r="BA85" s="94"/>
      <c r="BB85" s="94"/>
      <c r="BC85" s="94"/>
      <c r="BD85" s="94"/>
      <c r="BE85" s="94"/>
      <c r="BF85" s="94"/>
      <c r="CH85" s="1020"/>
      <c r="CI85" s="1020"/>
      <c r="CJ85" s="1020"/>
      <c r="CK85" s="1020"/>
      <c r="CL85" s="1020"/>
    </row>
    <row r="86" spans="1:90" ht="16.350000000000001" customHeight="1" x14ac:dyDescent="0.2">
      <c r="A86" s="2951" t="s">
        <v>3432</v>
      </c>
      <c r="B86" s="2960" t="s">
        <v>848</v>
      </c>
      <c r="C86" s="200" t="s">
        <v>2777</v>
      </c>
      <c r="D86" s="141" t="s">
        <v>2778</v>
      </c>
      <c r="E86" s="142" t="s">
        <v>2779</v>
      </c>
      <c r="F86" s="142" t="s">
        <v>2780</v>
      </c>
      <c r="G86" s="142" t="s">
        <v>2781</v>
      </c>
      <c r="H86" s="142" t="s">
        <v>2782</v>
      </c>
      <c r="I86" s="142" t="s">
        <v>2783</v>
      </c>
      <c r="J86" s="142" t="s">
        <v>2784</v>
      </c>
      <c r="K86" s="142" t="s">
        <v>2785</v>
      </c>
      <c r="L86" s="142" t="s">
        <v>2786</v>
      </c>
      <c r="M86" s="142" t="s">
        <v>2787</v>
      </c>
      <c r="N86" s="142" t="s">
        <v>2788</v>
      </c>
      <c r="O86" s="142" t="s">
        <v>2789</v>
      </c>
      <c r="P86" s="142" t="s">
        <v>2790</v>
      </c>
      <c r="Q86" s="142" t="s">
        <v>2791</v>
      </c>
      <c r="R86" s="142" t="s">
        <v>2792</v>
      </c>
      <c r="S86" s="142" t="s">
        <v>2793</v>
      </c>
      <c r="T86" s="163" t="s">
        <v>2794</v>
      </c>
      <c r="U86" s="5032"/>
      <c r="AS86" s="94"/>
      <c r="AT86" s="94"/>
      <c r="AU86" s="94"/>
      <c r="AV86" s="94"/>
      <c r="AW86" s="94"/>
      <c r="AX86" s="94"/>
      <c r="AY86" s="94"/>
      <c r="AZ86" s="94"/>
      <c r="BA86" s="94"/>
      <c r="BB86" s="94"/>
      <c r="BC86" s="94"/>
      <c r="BD86" s="94"/>
      <c r="BE86" s="94"/>
      <c r="BF86" s="94"/>
      <c r="CH86" s="1020"/>
      <c r="CI86" s="1020"/>
      <c r="CJ86" s="1020"/>
      <c r="CK86" s="1020"/>
      <c r="CL86" s="1020"/>
    </row>
    <row r="87" spans="1:90" ht="16.350000000000001" customHeight="1" x14ac:dyDescent="0.2">
      <c r="A87" s="2951" t="s">
        <v>3433</v>
      </c>
      <c r="B87" s="2961" t="s">
        <v>1034</v>
      </c>
      <c r="C87" s="2636" t="s">
        <v>2777</v>
      </c>
      <c r="D87" s="166" t="s">
        <v>2778</v>
      </c>
      <c r="E87" s="102" t="s">
        <v>2779</v>
      </c>
      <c r="F87" s="102" t="s">
        <v>2780</v>
      </c>
      <c r="G87" s="102" t="s">
        <v>2781</v>
      </c>
      <c r="H87" s="102" t="s">
        <v>2782</v>
      </c>
      <c r="I87" s="102" t="s">
        <v>2783</v>
      </c>
      <c r="J87" s="102" t="s">
        <v>2784</v>
      </c>
      <c r="K87" s="102" t="s">
        <v>2785</v>
      </c>
      <c r="L87" s="102" t="s">
        <v>2786</v>
      </c>
      <c r="M87" s="102" t="s">
        <v>2787</v>
      </c>
      <c r="N87" s="102" t="s">
        <v>2788</v>
      </c>
      <c r="O87" s="102" t="s">
        <v>2789</v>
      </c>
      <c r="P87" s="102" t="s">
        <v>2790</v>
      </c>
      <c r="Q87" s="102" t="s">
        <v>2791</v>
      </c>
      <c r="R87" s="102" t="s">
        <v>2792</v>
      </c>
      <c r="S87" s="102" t="s">
        <v>2793</v>
      </c>
      <c r="T87" s="125" t="s">
        <v>2794</v>
      </c>
      <c r="U87" s="5032"/>
      <c r="AS87" s="94"/>
      <c r="AT87" s="94"/>
      <c r="AU87" s="94"/>
      <c r="AV87" s="94"/>
      <c r="AW87" s="94"/>
      <c r="AX87" s="94"/>
      <c r="AY87" s="94"/>
      <c r="AZ87" s="94"/>
      <c r="BA87" s="94"/>
      <c r="BB87" s="94"/>
      <c r="BC87" s="94"/>
      <c r="BD87" s="94"/>
      <c r="BE87" s="94"/>
      <c r="BF87" s="94"/>
      <c r="CH87" s="1020"/>
      <c r="CI87" s="1020"/>
      <c r="CJ87" s="1020"/>
      <c r="CK87" s="1020"/>
      <c r="CL87" s="1020"/>
    </row>
    <row r="88" spans="1:90" ht="16.350000000000001" customHeight="1" x14ac:dyDescent="0.2">
      <c r="A88" s="2820"/>
      <c r="B88" s="5031" t="s">
        <v>149</v>
      </c>
      <c r="C88" s="187">
        <f t="shared" ref="C88:T88" si="34">SUM(C74:C87)</f>
        <v>0</v>
      </c>
      <c r="D88" s="4773">
        <f t="shared" si="34"/>
        <v>0</v>
      </c>
      <c r="E88" s="670">
        <f t="shared" si="34"/>
        <v>0</v>
      </c>
      <c r="F88" s="670">
        <f t="shared" si="34"/>
        <v>0</v>
      </c>
      <c r="G88" s="670">
        <f t="shared" si="34"/>
        <v>0</v>
      </c>
      <c r="H88" s="670">
        <f t="shared" si="34"/>
        <v>0</v>
      </c>
      <c r="I88" s="670">
        <f t="shared" si="34"/>
        <v>0</v>
      </c>
      <c r="J88" s="670">
        <f t="shared" si="34"/>
        <v>0</v>
      </c>
      <c r="K88" s="670">
        <f t="shared" si="34"/>
        <v>0</v>
      </c>
      <c r="L88" s="670">
        <f t="shared" si="34"/>
        <v>0</v>
      </c>
      <c r="M88" s="670">
        <f t="shared" si="34"/>
        <v>0</v>
      </c>
      <c r="N88" s="670">
        <f t="shared" si="34"/>
        <v>0</v>
      </c>
      <c r="O88" s="670">
        <f t="shared" si="34"/>
        <v>0</v>
      </c>
      <c r="P88" s="670">
        <f t="shared" si="34"/>
        <v>0</v>
      </c>
      <c r="Q88" s="670">
        <f t="shared" si="34"/>
        <v>0</v>
      </c>
      <c r="R88" s="670">
        <f t="shared" si="34"/>
        <v>0</v>
      </c>
      <c r="S88" s="670">
        <f t="shared" si="34"/>
        <v>0</v>
      </c>
      <c r="T88" s="4774">
        <f t="shared" si="34"/>
        <v>0</v>
      </c>
      <c r="U88" s="79"/>
      <c r="AS88" s="94"/>
      <c r="AT88" s="94"/>
      <c r="AU88" s="94"/>
      <c r="AV88" s="94"/>
      <c r="AW88" s="94"/>
      <c r="AX88" s="94"/>
      <c r="AY88" s="94"/>
      <c r="AZ88" s="94"/>
      <c r="BA88" s="94"/>
      <c r="BB88" s="94"/>
      <c r="BC88" s="94"/>
      <c r="BD88" s="94"/>
      <c r="BE88" s="94"/>
      <c r="BF88" s="94"/>
      <c r="CH88" s="1020"/>
      <c r="CI88" s="1020"/>
      <c r="CJ88" s="1020"/>
      <c r="CK88" s="1020"/>
      <c r="CL88" s="1020"/>
    </row>
    <row r="89" spans="1:90" ht="31.35" customHeight="1" x14ac:dyDescent="0.2">
      <c r="A89" s="1262"/>
      <c r="B89" s="5030" t="s">
        <v>878</v>
      </c>
      <c r="C89" s="152"/>
      <c r="D89" s="152"/>
      <c r="E89" s="152"/>
      <c r="F89" s="152"/>
      <c r="G89" s="152"/>
      <c r="H89" s="190"/>
      <c r="I89" s="190"/>
      <c r="J89" s="190"/>
      <c r="K89" s="190"/>
      <c r="L89" s="190"/>
      <c r="M89" s="190"/>
      <c r="N89" s="190"/>
      <c r="O89" s="190"/>
      <c r="P89" s="190"/>
      <c r="Q89" s="190"/>
      <c r="R89" s="190"/>
      <c r="S89" s="190"/>
      <c r="T89" s="190"/>
      <c r="U89" s="190"/>
      <c r="V89" s="190"/>
      <c r="W89" s="190"/>
      <c r="X89" s="190"/>
      <c r="Y89" s="190"/>
      <c r="Z89" s="190"/>
      <c r="AA89" s="190"/>
      <c r="AB89" s="190"/>
      <c r="AC89" s="154"/>
      <c r="AD89" s="154"/>
      <c r="AS89" s="94"/>
      <c r="AT89" s="94"/>
      <c r="AU89" s="94"/>
      <c r="AV89" s="94"/>
      <c r="AW89" s="94"/>
      <c r="AX89" s="94"/>
      <c r="AY89" s="94"/>
      <c r="AZ89" s="94"/>
      <c r="BA89" s="94"/>
      <c r="BB89" s="94"/>
      <c r="BC89" s="94"/>
      <c r="BD89" s="94"/>
      <c r="BE89" s="94"/>
      <c r="BF89" s="94"/>
      <c r="CH89" s="1020"/>
      <c r="CI89" s="1020"/>
      <c r="CJ89" s="1020"/>
      <c r="CK89" s="1020"/>
      <c r="CL89" s="1020"/>
    </row>
    <row r="90" spans="1:90" ht="16.350000000000001" customHeight="1" x14ac:dyDescent="0.2">
      <c r="B90" s="5545" t="s">
        <v>3</v>
      </c>
      <c r="C90" s="5546"/>
      <c r="D90" s="5545" t="s">
        <v>149</v>
      </c>
      <c r="E90" s="5630"/>
      <c r="F90" s="5546"/>
      <c r="G90" s="5105" t="s">
        <v>494</v>
      </c>
      <c r="H90" s="5137"/>
      <c r="I90" s="5137"/>
      <c r="J90" s="5137"/>
      <c r="K90" s="5137"/>
      <c r="L90" s="5137"/>
      <c r="M90" s="5137"/>
      <c r="N90" s="5137"/>
      <c r="O90" s="5137"/>
      <c r="P90" s="5137"/>
      <c r="Q90" s="5137"/>
      <c r="R90" s="5137"/>
      <c r="S90" s="5137"/>
      <c r="T90" s="5137"/>
      <c r="U90" s="5137"/>
      <c r="V90" s="5137"/>
      <c r="W90" s="5137"/>
      <c r="X90" s="5137"/>
      <c r="Y90" s="5137"/>
      <c r="Z90" s="5137"/>
      <c r="AA90" s="5137"/>
      <c r="AB90" s="5137"/>
      <c r="AC90" s="5137"/>
      <c r="AD90" s="5137"/>
      <c r="AE90" s="5137"/>
      <c r="AF90" s="5137"/>
      <c r="AG90" s="5137"/>
      <c r="AH90" s="5137"/>
      <c r="AI90" s="5137"/>
      <c r="AJ90" s="5137"/>
      <c r="AK90" s="5137"/>
      <c r="AL90" s="5137"/>
      <c r="AM90" s="5137"/>
      <c r="AN90" s="5106"/>
      <c r="AO90" s="5112" t="s">
        <v>1357</v>
      </c>
      <c r="AP90" s="5807" t="s">
        <v>1364</v>
      </c>
      <c r="AQ90" s="5805" t="s">
        <v>1359</v>
      </c>
      <c r="AR90" s="5794" t="s">
        <v>1358</v>
      </c>
      <c r="AS90" s="94"/>
      <c r="AT90" s="94"/>
      <c r="AU90" s="94"/>
      <c r="AV90" s="94"/>
      <c r="AW90" s="94"/>
      <c r="AX90" s="94"/>
      <c r="AY90" s="94"/>
      <c r="AZ90" s="94"/>
      <c r="BA90" s="94"/>
      <c r="BB90" s="94"/>
      <c r="BC90" s="94"/>
      <c r="BD90" s="94"/>
      <c r="BE90" s="94"/>
      <c r="BF90" s="94"/>
      <c r="CH90" s="1020"/>
      <c r="CI90" s="1020"/>
      <c r="CJ90" s="1020"/>
      <c r="CK90" s="1020"/>
      <c r="CL90" s="1020"/>
    </row>
    <row r="91" spans="1:90" ht="16.350000000000001" customHeight="1" x14ac:dyDescent="0.2">
      <c r="B91" s="5547"/>
      <c r="C91" s="5548"/>
      <c r="D91" s="5549"/>
      <c r="E91" s="5631"/>
      <c r="F91" s="5550"/>
      <c r="G91" s="5107" t="s">
        <v>350</v>
      </c>
      <c r="H91" s="5108"/>
      <c r="I91" s="5107" t="s">
        <v>351</v>
      </c>
      <c r="J91" s="5108"/>
      <c r="K91" s="5107" t="s">
        <v>352</v>
      </c>
      <c r="L91" s="5108"/>
      <c r="M91" s="5107" t="s">
        <v>319</v>
      </c>
      <c r="N91" s="5108"/>
      <c r="O91" s="5107" t="s">
        <v>10</v>
      </c>
      <c r="P91" s="5108"/>
      <c r="Q91" s="5105" t="s">
        <v>11</v>
      </c>
      <c r="R91" s="5106"/>
      <c r="S91" s="5105" t="s">
        <v>12</v>
      </c>
      <c r="T91" s="5106"/>
      <c r="U91" s="5105" t="s">
        <v>13</v>
      </c>
      <c r="V91" s="5106"/>
      <c r="W91" s="5105" t="s">
        <v>14</v>
      </c>
      <c r="X91" s="5106"/>
      <c r="Y91" s="5105" t="s">
        <v>15</v>
      </c>
      <c r="Z91" s="5106"/>
      <c r="AA91" s="5105" t="s">
        <v>16</v>
      </c>
      <c r="AB91" s="5106"/>
      <c r="AC91" s="5105" t="s">
        <v>17</v>
      </c>
      <c r="AD91" s="5106"/>
      <c r="AE91" s="5105" t="s">
        <v>18</v>
      </c>
      <c r="AF91" s="5106"/>
      <c r="AG91" s="5105" t="s">
        <v>19</v>
      </c>
      <c r="AH91" s="5106"/>
      <c r="AI91" s="5105" t="s">
        <v>20</v>
      </c>
      <c r="AJ91" s="5106"/>
      <c r="AK91" s="5105" t="s">
        <v>21</v>
      </c>
      <c r="AL91" s="5106"/>
      <c r="AM91" s="5105" t="s">
        <v>22</v>
      </c>
      <c r="AN91" s="5106"/>
      <c r="AO91" s="5113"/>
      <c r="AP91" s="5808"/>
      <c r="AQ91" s="5792"/>
      <c r="AR91" s="5795"/>
      <c r="AS91" s="94"/>
      <c r="AT91" s="94"/>
      <c r="AU91" s="94"/>
      <c r="AV91" s="94"/>
      <c r="AW91" s="94"/>
      <c r="AX91" s="94"/>
      <c r="AY91" s="94"/>
      <c r="AZ91" s="94"/>
      <c r="BA91" s="94"/>
      <c r="BB91" s="94"/>
      <c r="BC91" s="94"/>
      <c r="BD91" s="94"/>
      <c r="BE91" s="94"/>
      <c r="BF91" s="94"/>
      <c r="CH91" s="1020"/>
      <c r="CI91" s="1020"/>
      <c r="CJ91" s="1020"/>
      <c r="CK91" s="1020"/>
      <c r="CL91" s="1020"/>
    </row>
    <row r="92" spans="1:90" ht="16.350000000000001" customHeight="1" x14ac:dyDescent="0.2">
      <c r="B92" s="5549"/>
      <c r="C92" s="5550"/>
      <c r="D92" s="91" t="s">
        <v>184</v>
      </c>
      <c r="E92" s="89" t="s">
        <v>24</v>
      </c>
      <c r="F92" s="196" t="s">
        <v>25</v>
      </c>
      <c r="G92" s="236" t="s">
        <v>24</v>
      </c>
      <c r="H92" s="237" t="s">
        <v>25</v>
      </c>
      <c r="I92" s="236" t="s">
        <v>24</v>
      </c>
      <c r="J92" s="237" t="s">
        <v>25</v>
      </c>
      <c r="K92" s="236" t="s">
        <v>24</v>
      </c>
      <c r="L92" s="237" t="s">
        <v>25</v>
      </c>
      <c r="M92" s="236" t="s">
        <v>24</v>
      </c>
      <c r="N92" s="237" t="s">
        <v>25</v>
      </c>
      <c r="O92" s="236" t="s">
        <v>24</v>
      </c>
      <c r="P92" s="237" t="s">
        <v>25</v>
      </c>
      <c r="Q92" s="236" t="s">
        <v>24</v>
      </c>
      <c r="R92" s="237" t="s">
        <v>25</v>
      </c>
      <c r="S92" s="236" t="s">
        <v>24</v>
      </c>
      <c r="T92" s="237" t="s">
        <v>25</v>
      </c>
      <c r="U92" s="236" t="s">
        <v>24</v>
      </c>
      <c r="V92" s="237" t="s">
        <v>25</v>
      </c>
      <c r="W92" s="236" t="s">
        <v>24</v>
      </c>
      <c r="X92" s="237" t="s">
        <v>25</v>
      </c>
      <c r="Y92" s="236" t="s">
        <v>24</v>
      </c>
      <c r="Z92" s="237" t="s">
        <v>25</v>
      </c>
      <c r="AA92" s="236" t="s">
        <v>24</v>
      </c>
      <c r="AB92" s="237" t="s">
        <v>25</v>
      </c>
      <c r="AC92" s="236" t="s">
        <v>24</v>
      </c>
      <c r="AD92" s="237" t="s">
        <v>25</v>
      </c>
      <c r="AE92" s="236" t="s">
        <v>24</v>
      </c>
      <c r="AF92" s="237" t="s">
        <v>25</v>
      </c>
      <c r="AG92" s="236" t="s">
        <v>24</v>
      </c>
      <c r="AH92" s="237" t="s">
        <v>25</v>
      </c>
      <c r="AI92" s="236" t="s">
        <v>24</v>
      </c>
      <c r="AJ92" s="237" t="s">
        <v>25</v>
      </c>
      <c r="AK92" s="236" t="s">
        <v>24</v>
      </c>
      <c r="AL92" s="237" t="s">
        <v>25</v>
      </c>
      <c r="AM92" s="236" t="s">
        <v>24</v>
      </c>
      <c r="AN92" s="237" t="s">
        <v>25</v>
      </c>
      <c r="AO92" s="5114"/>
      <c r="AP92" s="5809"/>
      <c r="AQ92" s="5806"/>
      <c r="AR92" s="5796"/>
      <c r="AS92" s="94"/>
      <c r="AT92" s="94"/>
      <c r="AU92" s="94"/>
      <c r="AV92" s="94"/>
      <c r="AW92" s="94"/>
      <c r="AX92" s="94"/>
      <c r="AY92" s="94"/>
      <c r="AZ92" s="94"/>
      <c r="BA92" s="94"/>
      <c r="BB92" s="94"/>
      <c r="BC92" s="94"/>
      <c r="BD92" s="94"/>
      <c r="BE92" s="94"/>
      <c r="BF92" s="94"/>
      <c r="CH92" s="1020"/>
      <c r="CI92" s="1020"/>
      <c r="CJ92" s="1020"/>
      <c r="CK92" s="1020"/>
      <c r="CL92" s="1020"/>
    </row>
    <row r="93" spans="1:90" ht="16.350000000000001" customHeight="1" x14ac:dyDescent="0.2">
      <c r="A93" s="2948" t="s">
        <v>3434</v>
      </c>
      <c r="B93" s="5836" t="s">
        <v>495</v>
      </c>
      <c r="C93" s="5837"/>
      <c r="D93" s="3917" t="s">
        <v>2777</v>
      </c>
      <c r="E93" s="3918" t="s">
        <v>2778</v>
      </c>
      <c r="F93" s="3919" t="s">
        <v>2779</v>
      </c>
      <c r="G93" s="2962" t="s">
        <v>2780</v>
      </c>
      <c r="H93" s="2963" t="s">
        <v>2781</v>
      </c>
      <c r="I93" s="2962" t="s">
        <v>2782</v>
      </c>
      <c r="J93" s="2963" t="s">
        <v>2783</v>
      </c>
      <c r="K93" s="2962" t="s">
        <v>2784</v>
      </c>
      <c r="L93" s="2964" t="s">
        <v>2785</v>
      </c>
      <c r="M93" s="2962" t="s">
        <v>2786</v>
      </c>
      <c r="N93" s="2964" t="s">
        <v>2787</v>
      </c>
      <c r="O93" s="2962" t="s">
        <v>2788</v>
      </c>
      <c r="P93" s="2964" t="s">
        <v>2789</v>
      </c>
      <c r="Q93" s="2962" t="s">
        <v>2790</v>
      </c>
      <c r="R93" s="2964" t="s">
        <v>2791</v>
      </c>
      <c r="S93" s="2962" t="s">
        <v>2792</v>
      </c>
      <c r="T93" s="2964" t="s">
        <v>2793</v>
      </c>
      <c r="U93" s="2962" t="s">
        <v>2794</v>
      </c>
      <c r="V93" s="2964" t="s">
        <v>2795</v>
      </c>
      <c r="W93" s="2962" t="s">
        <v>2796</v>
      </c>
      <c r="X93" s="2964" t="s">
        <v>2797</v>
      </c>
      <c r="Y93" s="2962" t="s">
        <v>2798</v>
      </c>
      <c r="Z93" s="2964" t="s">
        <v>2799</v>
      </c>
      <c r="AA93" s="2962" t="s">
        <v>2800</v>
      </c>
      <c r="AB93" s="2964" t="s">
        <v>2801</v>
      </c>
      <c r="AC93" s="2962" t="s">
        <v>2817</v>
      </c>
      <c r="AD93" s="2964" t="s">
        <v>2818</v>
      </c>
      <c r="AE93" s="2962" t="s">
        <v>2819</v>
      </c>
      <c r="AF93" s="2964" t="s">
        <v>2821</v>
      </c>
      <c r="AG93" s="2962" t="s">
        <v>2822</v>
      </c>
      <c r="AH93" s="2964" t="s">
        <v>2823</v>
      </c>
      <c r="AI93" s="2962" t="s">
        <v>2824</v>
      </c>
      <c r="AJ93" s="2964" t="s">
        <v>2825</v>
      </c>
      <c r="AK93" s="2962" t="s">
        <v>2826</v>
      </c>
      <c r="AL93" s="2964" t="s">
        <v>2827</v>
      </c>
      <c r="AM93" s="2965" t="s">
        <v>2831</v>
      </c>
      <c r="AN93" s="2964" t="s">
        <v>2832</v>
      </c>
      <c r="AO93" s="2966" t="s">
        <v>2833</v>
      </c>
      <c r="AP93" s="2967" t="s">
        <v>2834</v>
      </c>
      <c r="AQ93" s="2968" t="s">
        <v>3011</v>
      </c>
      <c r="AR93" s="2963" t="s">
        <v>3012</v>
      </c>
      <c r="AS93" s="1165" t="str">
        <f>CB93&amp;CC93&amp;CD93&amp;CE93</f>
        <v xml:space="preserve">* El número de Beneficiarios NO DEBE ser mayor que el Total. * El número de Pueblos Originarios y/o Migrantes NO DEBE ser mayor que el Total. * El número de Controles NO DEBE ser mayor que el Total. </v>
      </c>
      <c r="AT93" s="1058"/>
      <c r="AU93" s="1058"/>
      <c r="AV93" s="1058"/>
      <c r="AW93" s="1058"/>
      <c r="AX93" s="1058"/>
      <c r="AY93" s="1058"/>
      <c r="AZ93" s="1058"/>
      <c r="BA93" s="1058"/>
      <c r="BB93" s="1058"/>
      <c r="BC93" s="1058"/>
      <c r="BD93" s="1058"/>
      <c r="BE93" s="94"/>
      <c r="BF93" s="94"/>
      <c r="CB93" s="1031" t="str">
        <f>IF(CH93=1,"* El número de Beneficiarios NO DEBE ser mayor que el Total. ","")</f>
        <v xml:space="preserve">* El número de Beneficiarios NO DEBE ser mayor que el Total. </v>
      </c>
      <c r="CC93" s="1031" t="str">
        <f>IF(CI93=1,"* No olvide digitar la columna Beneficiarios y/o Pueblos Originarios y/o Migrantes (Digite CEROS si no tiene.). ","")</f>
        <v/>
      </c>
      <c r="CD93" s="1031" t="str">
        <f>IF(CJ93=1,"* El número de Pueblos Originarios y/o Migrantes NO DEBE ser mayor que el Total. ","")</f>
        <v xml:space="preserve">* El número de Pueblos Originarios y/o Migrantes NO DEBE ser mayor que el Total. </v>
      </c>
      <c r="CE93" s="1031" t="str">
        <f>IF(CK93=1,"* El número de Controles NO DEBE ser mayor que el Total. ","")</f>
        <v xml:space="preserve">* El número de Controles NO DEBE ser mayor que el Total. </v>
      </c>
      <c r="CF93" s="1031"/>
      <c r="CG93" s="1031"/>
      <c r="CH93" s="1163">
        <f>IF(D93&lt;AO93,1,0)</f>
        <v>1</v>
      </c>
      <c r="CI93" s="1163">
        <f>IF(AND(D93&lt;&gt;0,OR(AO93="",AQ93="",AR93="")),1,0)</f>
        <v>0</v>
      </c>
      <c r="CJ93" s="1163">
        <f>IF(OR(D93&lt;AQ93,D93&lt;AR93),1,0)</f>
        <v>1</v>
      </c>
      <c r="CK93" s="1163">
        <f>IF(D93&lt;AP93,1,0)</f>
        <v>1</v>
      </c>
      <c r="CL93" s="1020"/>
    </row>
    <row r="94" spans="1:90" ht="16.350000000000001" customHeight="1" x14ac:dyDescent="0.2">
      <c r="A94" s="2948" t="s">
        <v>3435</v>
      </c>
      <c r="B94" s="5829" t="s">
        <v>288</v>
      </c>
      <c r="C94" s="2955" t="s">
        <v>496</v>
      </c>
      <c r="D94" s="3001" t="s">
        <v>2777</v>
      </c>
      <c r="E94" s="3920" t="s">
        <v>2778</v>
      </c>
      <c r="F94" s="3919" t="s">
        <v>2779</v>
      </c>
      <c r="G94" s="2969" t="s">
        <v>2780</v>
      </c>
      <c r="H94" s="2970" t="s">
        <v>2781</v>
      </c>
      <c r="I94" s="2969" t="s">
        <v>2782</v>
      </c>
      <c r="J94" s="2970" t="s">
        <v>2783</v>
      </c>
      <c r="K94" s="2969" t="s">
        <v>2784</v>
      </c>
      <c r="L94" s="2958" t="s">
        <v>2785</v>
      </c>
      <c r="M94" s="2969" t="s">
        <v>2786</v>
      </c>
      <c r="N94" s="2958" t="s">
        <v>2787</v>
      </c>
      <c r="O94" s="2969" t="s">
        <v>2788</v>
      </c>
      <c r="P94" s="2958" t="s">
        <v>2789</v>
      </c>
      <c r="Q94" s="2969" t="s">
        <v>2790</v>
      </c>
      <c r="R94" s="2958" t="s">
        <v>2791</v>
      </c>
      <c r="S94" s="2969" t="s">
        <v>2792</v>
      </c>
      <c r="T94" s="2958" t="s">
        <v>2793</v>
      </c>
      <c r="U94" s="2969" t="s">
        <v>2794</v>
      </c>
      <c r="V94" s="2958" t="s">
        <v>2795</v>
      </c>
      <c r="W94" s="2969" t="s">
        <v>2796</v>
      </c>
      <c r="X94" s="2958" t="s">
        <v>2797</v>
      </c>
      <c r="Y94" s="2969" t="s">
        <v>2798</v>
      </c>
      <c r="Z94" s="2958" t="s">
        <v>2799</v>
      </c>
      <c r="AA94" s="2969" t="s">
        <v>2800</v>
      </c>
      <c r="AB94" s="2958" t="s">
        <v>2801</v>
      </c>
      <c r="AC94" s="2969" t="s">
        <v>2817</v>
      </c>
      <c r="AD94" s="2958" t="s">
        <v>2818</v>
      </c>
      <c r="AE94" s="2969" t="s">
        <v>2819</v>
      </c>
      <c r="AF94" s="2958" t="s">
        <v>2821</v>
      </c>
      <c r="AG94" s="2969" t="s">
        <v>2822</v>
      </c>
      <c r="AH94" s="2958" t="s">
        <v>2823</v>
      </c>
      <c r="AI94" s="2969" t="s">
        <v>2824</v>
      </c>
      <c r="AJ94" s="2958" t="s">
        <v>2825</v>
      </c>
      <c r="AK94" s="2969" t="s">
        <v>2826</v>
      </c>
      <c r="AL94" s="2958" t="s">
        <v>2827</v>
      </c>
      <c r="AM94" s="2969" t="s">
        <v>2831</v>
      </c>
      <c r="AN94" s="2958" t="s">
        <v>2832</v>
      </c>
      <c r="AO94" s="2971" t="s">
        <v>2833</v>
      </c>
      <c r="AP94" s="2972" t="s">
        <v>2834</v>
      </c>
      <c r="AQ94" s="2973" t="s">
        <v>3011</v>
      </c>
      <c r="AR94" s="2974" t="s">
        <v>3012</v>
      </c>
      <c r="AS94" s="1165" t="str">
        <f t="shared" ref="AS94:AS101" si="35">CB94&amp;CC94&amp;CD94&amp;CE94</f>
        <v xml:space="preserve">* El número de Beneficiarios NO DEBE ser mayor que el Total. * El número de Pueblos Originarios y/o Migrantes NO DEBE ser mayor que el Total. * El número de Controles NO DEBE ser mayor que el Total. </v>
      </c>
      <c r="AT94" s="1058"/>
      <c r="AU94" s="1058"/>
      <c r="AV94" s="1058"/>
      <c r="AW94" s="1058"/>
      <c r="AX94" s="1058"/>
      <c r="AY94" s="1058"/>
      <c r="AZ94" s="1058"/>
      <c r="BA94" s="1058"/>
      <c r="BB94" s="1058"/>
      <c r="BC94" s="1058"/>
      <c r="BD94" s="1058"/>
      <c r="BE94" s="94"/>
      <c r="BF94" s="94"/>
      <c r="CB94" s="1031" t="str">
        <f t="shared" ref="CB94:CB100" si="36">IF(CH94=1,"* El número de Beneficiarios NO DEBE ser mayor que el Total. ","")</f>
        <v xml:space="preserve">* El número de Beneficiarios NO DEBE ser mayor que el Total. </v>
      </c>
      <c r="CC94" s="1031" t="str">
        <f t="shared" ref="CC94:CC100" si="37">IF(CI94=1,"* No olvide digitar la columna Beneficiarios y/o Pueblos Originarios y/o Migrantes (Digite CEROS si no tiene.). ","")</f>
        <v/>
      </c>
      <c r="CD94" s="1031" t="str">
        <f t="shared" ref="CD94:CD100" si="38">IF(CJ94=1,"* El número de Pueblos Originarios y/o Migrantes NO DEBE ser mayor que el Total. ","")</f>
        <v xml:space="preserve">* El número de Pueblos Originarios y/o Migrantes NO DEBE ser mayor que el Total. </v>
      </c>
      <c r="CE94" s="1031" t="str">
        <f t="shared" ref="CE94:CE100" si="39">IF(CK94=1,"* El número de Controles NO DEBE ser mayor que el Total. ","")</f>
        <v xml:space="preserve">* El número de Controles NO DEBE ser mayor que el Total. </v>
      </c>
      <c r="CF94" s="1031"/>
      <c r="CG94" s="1031"/>
      <c r="CH94" s="1163">
        <f>IF(F94&lt;AO94,1,0)</f>
        <v>1</v>
      </c>
      <c r="CI94" s="1163">
        <f>IF(AND(F94&lt;&gt;0,OR(AO94="",AQ94="",AR94="")),1,0)</f>
        <v>0</v>
      </c>
      <c r="CJ94" s="1163">
        <f>IF(OR(F94&lt;AQ94,F94&lt;AR94),1,0)</f>
        <v>1</v>
      </c>
      <c r="CK94" s="1163">
        <f>IF(F94&lt;AP94,1,0)</f>
        <v>1</v>
      </c>
      <c r="CL94" s="1020"/>
    </row>
    <row r="95" spans="1:90" ht="16.350000000000001" customHeight="1" x14ac:dyDescent="0.2">
      <c r="A95" s="2948" t="s">
        <v>3436</v>
      </c>
      <c r="B95" s="5103"/>
      <c r="C95" s="2447" t="s">
        <v>497</v>
      </c>
      <c r="D95" s="2885" t="s">
        <v>2777</v>
      </c>
      <c r="E95" s="3503" t="s">
        <v>2778</v>
      </c>
      <c r="F95" s="3485" t="s">
        <v>2779</v>
      </c>
      <c r="G95" s="141" t="s">
        <v>2780</v>
      </c>
      <c r="H95" s="163" t="s">
        <v>2781</v>
      </c>
      <c r="I95" s="141" t="s">
        <v>2782</v>
      </c>
      <c r="J95" s="163" t="s">
        <v>2783</v>
      </c>
      <c r="K95" s="141" t="s">
        <v>2784</v>
      </c>
      <c r="L95" s="163" t="s">
        <v>2785</v>
      </c>
      <c r="M95" s="141" t="s">
        <v>2786</v>
      </c>
      <c r="N95" s="163" t="s">
        <v>2787</v>
      </c>
      <c r="O95" s="141" t="s">
        <v>2788</v>
      </c>
      <c r="P95" s="163" t="s">
        <v>2789</v>
      </c>
      <c r="Q95" s="141" t="s">
        <v>2790</v>
      </c>
      <c r="R95" s="163" t="s">
        <v>2791</v>
      </c>
      <c r="S95" s="141" t="s">
        <v>2792</v>
      </c>
      <c r="T95" s="163" t="s">
        <v>2793</v>
      </c>
      <c r="U95" s="141" t="s">
        <v>2794</v>
      </c>
      <c r="V95" s="163" t="s">
        <v>2795</v>
      </c>
      <c r="W95" s="141" t="s">
        <v>2796</v>
      </c>
      <c r="X95" s="163" t="s">
        <v>2797</v>
      </c>
      <c r="Y95" s="141" t="s">
        <v>2798</v>
      </c>
      <c r="Z95" s="163" t="s">
        <v>2799</v>
      </c>
      <c r="AA95" s="141" t="s">
        <v>2800</v>
      </c>
      <c r="AB95" s="163" t="s">
        <v>2801</v>
      </c>
      <c r="AC95" s="141" t="s">
        <v>2817</v>
      </c>
      <c r="AD95" s="163" t="s">
        <v>2818</v>
      </c>
      <c r="AE95" s="141" t="s">
        <v>2819</v>
      </c>
      <c r="AF95" s="163" t="s">
        <v>2821</v>
      </c>
      <c r="AG95" s="141" t="s">
        <v>2822</v>
      </c>
      <c r="AH95" s="163" t="s">
        <v>2823</v>
      </c>
      <c r="AI95" s="141" t="s">
        <v>2824</v>
      </c>
      <c r="AJ95" s="163" t="s">
        <v>2825</v>
      </c>
      <c r="AK95" s="141" t="s">
        <v>2826</v>
      </c>
      <c r="AL95" s="163" t="s">
        <v>2827</v>
      </c>
      <c r="AM95" s="224" t="s">
        <v>2831</v>
      </c>
      <c r="AN95" s="163" t="s">
        <v>2832</v>
      </c>
      <c r="AO95" s="164" t="s">
        <v>2833</v>
      </c>
      <c r="AP95" s="513" t="s">
        <v>2834</v>
      </c>
      <c r="AQ95" s="180" t="s">
        <v>3011</v>
      </c>
      <c r="AR95" s="198" t="s">
        <v>3012</v>
      </c>
      <c r="AS95" s="1165" t="str">
        <f t="shared" si="35"/>
        <v xml:space="preserve">* El número de Beneficiarios NO DEBE ser mayor que el Total. * El número de Pueblos Originarios y/o Migrantes NO DEBE ser mayor que el Total. * El número de Controles NO DEBE ser mayor que el Total. </v>
      </c>
      <c r="AT95" s="1058"/>
      <c r="AU95" s="1058"/>
      <c r="AV95" s="1058"/>
      <c r="AW95" s="1058"/>
      <c r="AX95" s="1058"/>
      <c r="AY95" s="1058"/>
      <c r="AZ95" s="1058"/>
      <c r="BA95" s="1058"/>
      <c r="BB95" s="1058"/>
      <c r="BC95" s="1058"/>
      <c r="BD95" s="1058"/>
      <c r="BE95" s="94"/>
      <c r="BF95" s="94"/>
      <c r="CB95" s="1031" t="str">
        <f t="shared" si="36"/>
        <v xml:space="preserve">* El número de Beneficiarios NO DEBE ser mayor que el Total. </v>
      </c>
      <c r="CC95" s="1031" t="str">
        <f t="shared" si="37"/>
        <v/>
      </c>
      <c r="CD95" s="1031" t="str">
        <f t="shared" si="38"/>
        <v xml:space="preserve">* El número de Pueblos Originarios y/o Migrantes NO DEBE ser mayor que el Total. </v>
      </c>
      <c r="CE95" s="1031" t="str">
        <f t="shared" si="39"/>
        <v xml:space="preserve">* El número de Controles NO DEBE ser mayor que el Total. </v>
      </c>
      <c r="CF95" s="1031"/>
      <c r="CG95" s="1031"/>
      <c r="CH95" s="1163">
        <f t="shared" ref="CH95:CH100" si="40">IF(D95&lt;AO95,1,0)</f>
        <v>1</v>
      </c>
      <c r="CI95" s="1163">
        <f t="shared" ref="CI95:CI100" si="41">IF(AND(D95&lt;&gt;0,OR(AO95="",AQ95="",AR95="")),1,0)</f>
        <v>0</v>
      </c>
      <c r="CJ95" s="1163">
        <f t="shared" ref="CJ95:CJ100" si="42">IF(OR(D95&lt;AQ95,D95&lt;AR95),1,0)</f>
        <v>1</v>
      </c>
      <c r="CK95" s="1163">
        <f t="shared" ref="CK95:CK100" si="43">IF(D95&lt;AP95,1,0)</f>
        <v>1</v>
      </c>
      <c r="CL95" s="1020"/>
    </row>
    <row r="96" spans="1:90" ht="16.350000000000001" customHeight="1" x14ac:dyDescent="0.2">
      <c r="A96" s="2948" t="s">
        <v>3437</v>
      </c>
      <c r="B96" s="5343"/>
      <c r="C96" s="100" t="s">
        <v>498</v>
      </c>
      <c r="D96" s="3921" t="s">
        <v>2777</v>
      </c>
      <c r="E96" s="3922" t="s">
        <v>2778</v>
      </c>
      <c r="F96" s="3489" t="s">
        <v>2779</v>
      </c>
      <c r="G96" s="101" t="s">
        <v>2780</v>
      </c>
      <c r="H96" s="169" t="s">
        <v>2781</v>
      </c>
      <c r="I96" s="101" t="s">
        <v>2782</v>
      </c>
      <c r="J96" s="169" t="s">
        <v>2783</v>
      </c>
      <c r="K96" s="101" t="s">
        <v>2784</v>
      </c>
      <c r="L96" s="169" t="s">
        <v>2785</v>
      </c>
      <c r="M96" s="101" t="s">
        <v>2786</v>
      </c>
      <c r="N96" s="169" t="s">
        <v>2787</v>
      </c>
      <c r="O96" s="166" t="s">
        <v>2788</v>
      </c>
      <c r="P96" s="125" t="s">
        <v>2789</v>
      </c>
      <c r="Q96" s="166" t="s">
        <v>2790</v>
      </c>
      <c r="R96" s="125" t="s">
        <v>2791</v>
      </c>
      <c r="S96" s="166" t="s">
        <v>2792</v>
      </c>
      <c r="T96" s="125" t="s">
        <v>2793</v>
      </c>
      <c r="U96" s="166" t="s">
        <v>2794</v>
      </c>
      <c r="V96" s="125" t="s">
        <v>2795</v>
      </c>
      <c r="W96" s="166" t="s">
        <v>2796</v>
      </c>
      <c r="X96" s="125" t="s">
        <v>2797</v>
      </c>
      <c r="Y96" s="166" t="s">
        <v>2798</v>
      </c>
      <c r="Z96" s="125" t="s">
        <v>2799</v>
      </c>
      <c r="AA96" s="166" t="s">
        <v>2800</v>
      </c>
      <c r="AB96" s="168" t="s">
        <v>2801</v>
      </c>
      <c r="AC96" s="101" t="s">
        <v>2817</v>
      </c>
      <c r="AD96" s="169" t="s">
        <v>2818</v>
      </c>
      <c r="AE96" s="101" t="s">
        <v>2819</v>
      </c>
      <c r="AF96" s="169" t="s">
        <v>2821</v>
      </c>
      <c r="AG96" s="101" t="s">
        <v>2822</v>
      </c>
      <c r="AH96" s="169" t="s">
        <v>2823</v>
      </c>
      <c r="AI96" s="101" t="s">
        <v>2824</v>
      </c>
      <c r="AJ96" s="169" t="s">
        <v>2825</v>
      </c>
      <c r="AK96" s="101" t="s">
        <v>2826</v>
      </c>
      <c r="AL96" s="169" t="s">
        <v>2827</v>
      </c>
      <c r="AM96" s="101" t="s">
        <v>2831</v>
      </c>
      <c r="AN96" s="169" t="s">
        <v>2832</v>
      </c>
      <c r="AO96" s="105" t="s">
        <v>2833</v>
      </c>
      <c r="AP96" s="375" t="s">
        <v>2834</v>
      </c>
      <c r="AQ96" s="126" t="s">
        <v>3011</v>
      </c>
      <c r="AR96" s="168" t="s">
        <v>3012</v>
      </c>
      <c r="AS96" s="1165" t="str">
        <f t="shared" si="35"/>
        <v xml:space="preserve">* El número de Beneficiarios NO DEBE ser mayor que el Total. * El número de Pueblos Originarios y/o Migrantes NO DEBE ser mayor que el Total. * El número de Controles NO DEBE ser mayor que el Total. </v>
      </c>
      <c r="AT96" s="1058"/>
      <c r="AU96" s="1058"/>
      <c r="AV96" s="1058"/>
      <c r="AW96" s="1058"/>
      <c r="AX96" s="1058"/>
      <c r="AY96" s="1058"/>
      <c r="AZ96" s="1058"/>
      <c r="BA96" s="1058"/>
      <c r="BB96" s="1058"/>
      <c r="BC96" s="1058"/>
      <c r="BD96" s="1058"/>
      <c r="BE96" s="94"/>
      <c r="BF96" s="94"/>
      <c r="CB96" s="1031" t="str">
        <f t="shared" si="36"/>
        <v xml:space="preserve">* El número de Beneficiarios NO DEBE ser mayor que el Total. </v>
      </c>
      <c r="CC96" s="1031" t="str">
        <f t="shared" si="37"/>
        <v/>
      </c>
      <c r="CD96" s="1031" t="str">
        <f t="shared" si="38"/>
        <v xml:space="preserve">* El número de Pueblos Originarios y/o Migrantes NO DEBE ser mayor que el Total. </v>
      </c>
      <c r="CE96" s="1031" t="str">
        <f t="shared" si="39"/>
        <v xml:space="preserve">* El número de Controles NO DEBE ser mayor que el Total. </v>
      </c>
      <c r="CF96" s="1031"/>
      <c r="CG96" s="1031"/>
      <c r="CH96" s="1163">
        <f t="shared" si="40"/>
        <v>1</v>
      </c>
      <c r="CI96" s="1163">
        <f t="shared" si="41"/>
        <v>0</v>
      </c>
      <c r="CJ96" s="1163">
        <f t="shared" si="42"/>
        <v>1</v>
      </c>
      <c r="CK96" s="1163">
        <f t="shared" si="43"/>
        <v>1</v>
      </c>
      <c r="CL96" s="1020"/>
    </row>
    <row r="97" spans="1:91" ht="16.350000000000001" customHeight="1" x14ac:dyDescent="0.2">
      <c r="A97" s="2948" t="s">
        <v>3438</v>
      </c>
      <c r="B97" s="5838" t="s">
        <v>68</v>
      </c>
      <c r="C97" s="5839"/>
      <c r="D97" s="3898" t="s">
        <v>2777</v>
      </c>
      <c r="E97" s="3069" t="s">
        <v>2778</v>
      </c>
      <c r="F97" s="3496" t="s">
        <v>2779</v>
      </c>
      <c r="G97" s="2577" t="s">
        <v>2780</v>
      </c>
      <c r="H97" s="2975" t="s">
        <v>2781</v>
      </c>
      <c r="I97" s="2577" t="s">
        <v>2782</v>
      </c>
      <c r="J97" s="2975" t="s">
        <v>2783</v>
      </c>
      <c r="K97" s="2577" t="s">
        <v>2784</v>
      </c>
      <c r="L97" s="2270" t="s">
        <v>2785</v>
      </c>
      <c r="M97" s="2577" t="s">
        <v>2786</v>
      </c>
      <c r="N97" s="2270" t="s">
        <v>2787</v>
      </c>
      <c r="O97" s="2577" t="s">
        <v>2788</v>
      </c>
      <c r="P97" s="2270" t="s">
        <v>2789</v>
      </c>
      <c r="Q97" s="2577" t="s">
        <v>2790</v>
      </c>
      <c r="R97" s="2270" t="s">
        <v>2791</v>
      </c>
      <c r="S97" s="2577" t="s">
        <v>2792</v>
      </c>
      <c r="T97" s="2270" t="s">
        <v>2793</v>
      </c>
      <c r="U97" s="2577" t="s">
        <v>2794</v>
      </c>
      <c r="V97" s="2270" t="s">
        <v>2795</v>
      </c>
      <c r="W97" s="2577" t="s">
        <v>2796</v>
      </c>
      <c r="X97" s="2270" t="s">
        <v>2797</v>
      </c>
      <c r="Y97" s="2577" t="s">
        <v>2798</v>
      </c>
      <c r="Z97" s="2270" t="s">
        <v>2799</v>
      </c>
      <c r="AA97" s="2577" t="s">
        <v>2800</v>
      </c>
      <c r="AB97" s="2270" t="s">
        <v>2801</v>
      </c>
      <c r="AC97" s="2577" t="s">
        <v>2817</v>
      </c>
      <c r="AD97" s="2270" t="s">
        <v>2818</v>
      </c>
      <c r="AE97" s="2577" t="s">
        <v>2819</v>
      </c>
      <c r="AF97" s="2270" t="s">
        <v>2821</v>
      </c>
      <c r="AG97" s="2577" t="s">
        <v>2822</v>
      </c>
      <c r="AH97" s="2270" t="s">
        <v>2823</v>
      </c>
      <c r="AI97" s="2577" t="s">
        <v>2824</v>
      </c>
      <c r="AJ97" s="2975" t="s">
        <v>2825</v>
      </c>
      <c r="AK97" s="2577" t="s">
        <v>2826</v>
      </c>
      <c r="AL97" s="2975" t="s">
        <v>2827</v>
      </c>
      <c r="AM97" s="2598" t="s">
        <v>2831</v>
      </c>
      <c r="AN97" s="2270" t="s">
        <v>2832</v>
      </c>
      <c r="AO97" s="2580" t="s">
        <v>2833</v>
      </c>
      <c r="AP97" s="2976" t="s">
        <v>2834</v>
      </c>
      <c r="AQ97" s="2977" t="s">
        <v>3011</v>
      </c>
      <c r="AR97" s="2975" t="s">
        <v>3012</v>
      </c>
      <c r="AS97" s="1165" t="str">
        <f t="shared" si="35"/>
        <v xml:space="preserve">* El número de Beneficiarios NO DEBE ser mayor que el Total. * El número de Pueblos Originarios y/o Migrantes NO DEBE ser mayor que el Total. * El número de Controles NO DEBE ser mayor que el Total. </v>
      </c>
      <c r="AT97" s="1058"/>
      <c r="AU97" s="1058"/>
      <c r="AV97" s="1058"/>
      <c r="AW97" s="1058"/>
      <c r="AX97" s="1058"/>
      <c r="AY97" s="1058"/>
      <c r="AZ97" s="1058"/>
      <c r="BA97" s="1058"/>
      <c r="BB97" s="1058"/>
      <c r="BC97" s="1058"/>
      <c r="BD97" s="1058"/>
      <c r="BE97" s="94"/>
      <c r="BF97" s="94"/>
      <c r="CB97" s="1031" t="str">
        <f t="shared" si="36"/>
        <v xml:space="preserve">* El número de Beneficiarios NO DEBE ser mayor que el Total. </v>
      </c>
      <c r="CC97" s="1031" t="str">
        <f t="shared" si="37"/>
        <v/>
      </c>
      <c r="CD97" s="1031" t="str">
        <f t="shared" si="38"/>
        <v xml:space="preserve">* El número de Pueblos Originarios y/o Migrantes NO DEBE ser mayor que el Total. </v>
      </c>
      <c r="CE97" s="1031" t="str">
        <f t="shared" si="39"/>
        <v xml:space="preserve">* El número de Controles NO DEBE ser mayor que el Total. </v>
      </c>
      <c r="CF97" s="1031"/>
      <c r="CG97" s="1031"/>
      <c r="CH97" s="1163">
        <f t="shared" si="40"/>
        <v>1</v>
      </c>
      <c r="CI97" s="1163">
        <f t="shared" si="41"/>
        <v>0</v>
      </c>
      <c r="CJ97" s="1163">
        <f t="shared" si="42"/>
        <v>1</v>
      </c>
      <c r="CK97" s="1163">
        <f t="shared" si="43"/>
        <v>1</v>
      </c>
      <c r="CL97" s="1020"/>
    </row>
    <row r="98" spans="1:91" ht="16.350000000000001" customHeight="1" x14ac:dyDescent="0.2">
      <c r="A98" s="2948" t="s">
        <v>3439</v>
      </c>
      <c r="B98" s="5267" t="s">
        <v>1035</v>
      </c>
      <c r="C98" s="5268"/>
      <c r="D98" s="3502" t="s">
        <v>2777</v>
      </c>
      <c r="E98" s="3503" t="s">
        <v>2778</v>
      </c>
      <c r="F98" s="3485" t="s">
        <v>2779</v>
      </c>
      <c r="G98" s="141" t="s">
        <v>2780</v>
      </c>
      <c r="H98" s="198" t="s">
        <v>2781</v>
      </c>
      <c r="I98" s="141" t="s">
        <v>2782</v>
      </c>
      <c r="J98" s="198" t="s">
        <v>2783</v>
      </c>
      <c r="K98" s="141" t="s">
        <v>2784</v>
      </c>
      <c r="L98" s="163" t="s">
        <v>2785</v>
      </c>
      <c r="M98" s="141" t="s">
        <v>2786</v>
      </c>
      <c r="N98" s="163" t="s">
        <v>2787</v>
      </c>
      <c r="O98" s="141" t="s">
        <v>2788</v>
      </c>
      <c r="P98" s="163" t="s">
        <v>2789</v>
      </c>
      <c r="Q98" s="141" t="s">
        <v>2790</v>
      </c>
      <c r="R98" s="163" t="s">
        <v>2791</v>
      </c>
      <c r="S98" s="141" t="s">
        <v>2792</v>
      </c>
      <c r="T98" s="163" t="s">
        <v>2793</v>
      </c>
      <c r="U98" s="141" t="s">
        <v>2794</v>
      </c>
      <c r="V98" s="163" t="s">
        <v>2795</v>
      </c>
      <c r="W98" s="141" t="s">
        <v>2796</v>
      </c>
      <c r="X98" s="163" t="s">
        <v>2797</v>
      </c>
      <c r="Y98" s="141" t="s">
        <v>2798</v>
      </c>
      <c r="Z98" s="163" t="s">
        <v>2799</v>
      </c>
      <c r="AA98" s="141" t="s">
        <v>2800</v>
      </c>
      <c r="AB98" s="163" t="s">
        <v>2801</v>
      </c>
      <c r="AC98" s="141" t="s">
        <v>2817</v>
      </c>
      <c r="AD98" s="198" t="s">
        <v>2818</v>
      </c>
      <c r="AE98" s="141" t="s">
        <v>2819</v>
      </c>
      <c r="AF98" s="198" t="s">
        <v>2821</v>
      </c>
      <c r="AG98" s="141" t="s">
        <v>2822</v>
      </c>
      <c r="AH98" s="198" t="s">
        <v>2823</v>
      </c>
      <c r="AI98" s="141" t="s">
        <v>2824</v>
      </c>
      <c r="AJ98" s="198" t="s">
        <v>2825</v>
      </c>
      <c r="AK98" s="141" t="s">
        <v>2826</v>
      </c>
      <c r="AL98" s="198" t="s">
        <v>2827</v>
      </c>
      <c r="AM98" s="224" t="s">
        <v>2831</v>
      </c>
      <c r="AN98" s="163" t="s">
        <v>2832</v>
      </c>
      <c r="AO98" s="164" t="s">
        <v>2833</v>
      </c>
      <c r="AP98" s="513" t="s">
        <v>2834</v>
      </c>
      <c r="AQ98" s="180" t="s">
        <v>3011</v>
      </c>
      <c r="AR98" s="198" t="s">
        <v>3012</v>
      </c>
      <c r="AS98" s="1165" t="str">
        <f t="shared" si="35"/>
        <v xml:space="preserve">* El número de Beneficiarios NO DEBE ser mayor que el Total. * El número de Pueblos Originarios y/o Migrantes NO DEBE ser mayor que el Total. * El número de Controles NO DEBE ser mayor que el Total. </v>
      </c>
      <c r="AT98" s="1058"/>
      <c r="AU98" s="1058"/>
      <c r="AV98" s="1058"/>
      <c r="AW98" s="1058"/>
      <c r="AX98" s="1058"/>
      <c r="AY98" s="1058"/>
      <c r="AZ98" s="1058"/>
      <c r="BA98" s="1058"/>
      <c r="BB98" s="1058"/>
      <c r="BC98" s="1058"/>
      <c r="BD98" s="1058"/>
      <c r="BE98" s="94"/>
      <c r="BF98" s="94"/>
      <c r="CB98" s="1031" t="str">
        <f t="shared" si="36"/>
        <v xml:space="preserve">* El número de Beneficiarios NO DEBE ser mayor que el Total. </v>
      </c>
      <c r="CC98" s="1031" t="str">
        <f t="shared" si="37"/>
        <v/>
      </c>
      <c r="CD98" s="1031" t="str">
        <f t="shared" si="38"/>
        <v xml:space="preserve">* El número de Pueblos Originarios y/o Migrantes NO DEBE ser mayor que el Total. </v>
      </c>
      <c r="CE98" s="1031" t="str">
        <f t="shared" si="39"/>
        <v xml:space="preserve">* El número de Controles NO DEBE ser mayor que el Total. </v>
      </c>
      <c r="CF98" s="1031"/>
      <c r="CG98" s="1031"/>
      <c r="CH98" s="1163">
        <f t="shared" si="40"/>
        <v>1</v>
      </c>
      <c r="CI98" s="1163">
        <f t="shared" si="41"/>
        <v>0</v>
      </c>
      <c r="CJ98" s="1163">
        <f t="shared" si="42"/>
        <v>1</v>
      </c>
      <c r="CK98" s="1163">
        <f t="shared" si="43"/>
        <v>1</v>
      </c>
      <c r="CL98" s="1020"/>
    </row>
    <row r="99" spans="1:91" ht="16.350000000000001" customHeight="1" x14ac:dyDescent="0.2">
      <c r="A99" s="2948" t="s">
        <v>3440</v>
      </c>
      <c r="B99" s="5840" t="s">
        <v>281</v>
      </c>
      <c r="C99" s="5841"/>
      <c r="D99" s="3923" t="s">
        <v>2777</v>
      </c>
      <c r="E99" s="3924" t="s">
        <v>2778</v>
      </c>
      <c r="F99" s="3485" t="s">
        <v>2779</v>
      </c>
      <c r="G99" s="141" t="s">
        <v>2780</v>
      </c>
      <c r="H99" s="198" t="s">
        <v>2781</v>
      </c>
      <c r="I99" s="141" t="s">
        <v>2782</v>
      </c>
      <c r="J99" s="198" t="s">
        <v>2783</v>
      </c>
      <c r="K99" s="141" t="s">
        <v>2784</v>
      </c>
      <c r="L99" s="163" t="s">
        <v>2785</v>
      </c>
      <c r="M99" s="141" t="s">
        <v>2786</v>
      </c>
      <c r="N99" s="163" t="s">
        <v>2787</v>
      </c>
      <c r="O99" s="141" t="s">
        <v>2788</v>
      </c>
      <c r="P99" s="163" t="s">
        <v>2789</v>
      </c>
      <c r="Q99" s="141" t="s">
        <v>2790</v>
      </c>
      <c r="R99" s="163" t="s">
        <v>2791</v>
      </c>
      <c r="S99" s="141" t="s">
        <v>2792</v>
      </c>
      <c r="T99" s="163" t="s">
        <v>2793</v>
      </c>
      <c r="U99" s="141" t="s">
        <v>2794</v>
      </c>
      <c r="V99" s="163" t="s">
        <v>2795</v>
      </c>
      <c r="W99" s="141" t="s">
        <v>2796</v>
      </c>
      <c r="X99" s="163" t="s">
        <v>2797</v>
      </c>
      <c r="Y99" s="141" t="s">
        <v>2798</v>
      </c>
      <c r="Z99" s="163" t="s">
        <v>2799</v>
      </c>
      <c r="AA99" s="141" t="s">
        <v>2800</v>
      </c>
      <c r="AB99" s="163" t="s">
        <v>2801</v>
      </c>
      <c r="AC99" s="141" t="s">
        <v>2817</v>
      </c>
      <c r="AD99" s="198" t="s">
        <v>2818</v>
      </c>
      <c r="AE99" s="141" t="s">
        <v>2819</v>
      </c>
      <c r="AF99" s="198" t="s">
        <v>2821</v>
      </c>
      <c r="AG99" s="141" t="s">
        <v>2822</v>
      </c>
      <c r="AH99" s="198" t="s">
        <v>2823</v>
      </c>
      <c r="AI99" s="141" t="s">
        <v>2824</v>
      </c>
      <c r="AJ99" s="198" t="s">
        <v>2825</v>
      </c>
      <c r="AK99" s="141" t="s">
        <v>2826</v>
      </c>
      <c r="AL99" s="198" t="s">
        <v>2827</v>
      </c>
      <c r="AM99" s="224" t="s">
        <v>2831</v>
      </c>
      <c r="AN99" s="163" t="s">
        <v>2832</v>
      </c>
      <c r="AO99" s="164" t="s">
        <v>2833</v>
      </c>
      <c r="AP99" s="513" t="s">
        <v>2834</v>
      </c>
      <c r="AQ99" s="180" t="s">
        <v>3011</v>
      </c>
      <c r="AR99" s="198" t="s">
        <v>3012</v>
      </c>
      <c r="AS99" s="1165" t="str">
        <f t="shared" si="35"/>
        <v xml:space="preserve">* El número de Beneficiarios NO DEBE ser mayor que el Total. * El número de Pueblos Originarios y/o Migrantes NO DEBE ser mayor que el Total. * El número de Controles NO DEBE ser mayor que el Total. </v>
      </c>
      <c r="AT99" s="1058"/>
      <c r="AU99" s="1058"/>
      <c r="AV99" s="1058"/>
      <c r="AW99" s="1058"/>
      <c r="AX99" s="1058"/>
      <c r="AY99" s="1058"/>
      <c r="AZ99" s="1058"/>
      <c r="BA99" s="1058"/>
      <c r="BB99" s="1058"/>
      <c r="BC99" s="1058"/>
      <c r="BD99" s="1058"/>
      <c r="BE99" s="94"/>
      <c r="BF99" s="94"/>
      <c r="CB99" s="1031" t="str">
        <f t="shared" si="36"/>
        <v xml:space="preserve">* El número de Beneficiarios NO DEBE ser mayor que el Total. </v>
      </c>
      <c r="CC99" s="1031" t="str">
        <f t="shared" si="37"/>
        <v/>
      </c>
      <c r="CD99" s="1031" t="str">
        <f t="shared" si="38"/>
        <v xml:space="preserve">* El número de Pueblos Originarios y/o Migrantes NO DEBE ser mayor que el Total. </v>
      </c>
      <c r="CE99" s="1031" t="str">
        <f t="shared" si="39"/>
        <v xml:space="preserve">* El número de Controles NO DEBE ser mayor que el Total. </v>
      </c>
      <c r="CF99" s="1031"/>
      <c r="CG99" s="1031"/>
      <c r="CH99" s="1163">
        <f t="shared" si="40"/>
        <v>1</v>
      </c>
      <c r="CI99" s="1163">
        <f t="shared" si="41"/>
        <v>0</v>
      </c>
      <c r="CJ99" s="1163">
        <f t="shared" si="42"/>
        <v>1</v>
      </c>
      <c r="CK99" s="1163">
        <f t="shared" si="43"/>
        <v>1</v>
      </c>
      <c r="CL99" s="1020"/>
    </row>
    <row r="100" spans="1:91" ht="16.350000000000001" customHeight="1" x14ac:dyDescent="0.2">
      <c r="A100" s="2948" t="s">
        <v>3441</v>
      </c>
      <c r="B100" s="5267" t="s">
        <v>500</v>
      </c>
      <c r="C100" s="5268"/>
      <c r="D100" s="3923" t="s">
        <v>2777</v>
      </c>
      <c r="E100" s="3924" t="s">
        <v>2778</v>
      </c>
      <c r="F100" s="3485" t="s">
        <v>2779</v>
      </c>
      <c r="G100" s="141" t="s">
        <v>2780</v>
      </c>
      <c r="H100" s="198" t="s">
        <v>2781</v>
      </c>
      <c r="I100" s="141" t="s">
        <v>2782</v>
      </c>
      <c r="J100" s="198" t="s">
        <v>2783</v>
      </c>
      <c r="K100" s="141" t="s">
        <v>2784</v>
      </c>
      <c r="L100" s="163" t="s">
        <v>2785</v>
      </c>
      <c r="M100" s="141" t="s">
        <v>2786</v>
      </c>
      <c r="N100" s="163" t="s">
        <v>2787</v>
      </c>
      <c r="O100" s="141" t="s">
        <v>2788</v>
      </c>
      <c r="P100" s="163" t="s">
        <v>2789</v>
      </c>
      <c r="Q100" s="141" t="s">
        <v>2790</v>
      </c>
      <c r="R100" s="163" t="s">
        <v>2791</v>
      </c>
      <c r="S100" s="141" t="s">
        <v>2792</v>
      </c>
      <c r="T100" s="163" t="s">
        <v>2793</v>
      </c>
      <c r="U100" s="141" t="s">
        <v>2794</v>
      </c>
      <c r="V100" s="163" t="s">
        <v>2795</v>
      </c>
      <c r="W100" s="141" t="s">
        <v>2796</v>
      </c>
      <c r="X100" s="163" t="s">
        <v>2797</v>
      </c>
      <c r="Y100" s="141" t="s">
        <v>2798</v>
      </c>
      <c r="Z100" s="163" t="s">
        <v>2799</v>
      </c>
      <c r="AA100" s="141" t="s">
        <v>2800</v>
      </c>
      <c r="AB100" s="163" t="s">
        <v>2801</v>
      </c>
      <c r="AC100" s="141" t="s">
        <v>2817</v>
      </c>
      <c r="AD100" s="198" t="s">
        <v>2818</v>
      </c>
      <c r="AE100" s="141" t="s">
        <v>2819</v>
      </c>
      <c r="AF100" s="198" t="s">
        <v>2821</v>
      </c>
      <c r="AG100" s="141" t="s">
        <v>2822</v>
      </c>
      <c r="AH100" s="198" t="s">
        <v>2823</v>
      </c>
      <c r="AI100" s="141" t="s">
        <v>2824</v>
      </c>
      <c r="AJ100" s="198" t="s">
        <v>2825</v>
      </c>
      <c r="AK100" s="141" t="s">
        <v>2826</v>
      </c>
      <c r="AL100" s="198" t="s">
        <v>2827</v>
      </c>
      <c r="AM100" s="224" t="s">
        <v>2831</v>
      </c>
      <c r="AN100" s="163" t="s">
        <v>2832</v>
      </c>
      <c r="AO100" s="164" t="s">
        <v>2833</v>
      </c>
      <c r="AP100" s="513" t="s">
        <v>2834</v>
      </c>
      <c r="AQ100" s="180" t="s">
        <v>3011</v>
      </c>
      <c r="AR100" s="198" t="s">
        <v>3012</v>
      </c>
      <c r="AS100" s="1165" t="str">
        <f t="shared" si="35"/>
        <v xml:space="preserve">* El número de Beneficiarios NO DEBE ser mayor que el Total. * El número de Pueblos Originarios y/o Migrantes NO DEBE ser mayor que el Total. * El número de Controles NO DEBE ser mayor que el Total. </v>
      </c>
      <c r="AT100" s="1058"/>
      <c r="AU100" s="1058"/>
      <c r="AV100" s="1058"/>
      <c r="AW100" s="1058"/>
      <c r="AX100" s="1058"/>
      <c r="AY100" s="1058"/>
      <c r="AZ100" s="1058"/>
      <c r="BA100" s="1058"/>
      <c r="BB100" s="1058"/>
      <c r="BC100" s="1058"/>
      <c r="BD100" s="1058"/>
      <c r="BE100" s="94"/>
      <c r="BF100" s="94"/>
      <c r="CB100" s="1031" t="str">
        <f t="shared" si="36"/>
        <v xml:space="preserve">* El número de Beneficiarios NO DEBE ser mayor que el Total. </v>
      </c>
      <c r="CC100" s="1031" t="str">
        <f t="shared" si="37"/>
        <v/>
      </c>
      <c r="CD100" s="1031" t="str">
        <f t="shared" si="38"/>
        <v xml:space="preserve">* El número de Pueblos Originarios y/o Migrantes NO DEBE ser mayor que el Total. </v>
      </c>
      <c r="CE100" s="1031" t="str">
        <f t="shared" si="39"/>
        <v xml:space="preserve">* El número de Controles NO DEBE ser mayor que el Total. </v>
      </c>
      <c r="CF100" s="1031"/>
      <c r="CG100" s="1031"/>
      <c r="CH100" s="1163">
        <f t="shared" si="40"/>
        <v>1</v>
      </c>
      <c r="CI100" s="1163">
        <f t="shared" si="41"/>
        <v>0</v>
      </c>
      <c r="CJ100" s="1163">
        <f t="shared" si="42"/>
        <v>1</v>
      </c>
      <c r="CK100" s="1163">
        <f t="shared" si="43"/>
        <v>1</v>
      </c>
      <c r="CL100" s="1020"/>
    </row>
    <row r="101" spans="1:91" ht="16.350000000000001" customHeight="1" x14ac:dyDescent="0.2">
      <c r="A101" s="2948" t="s">
        <v>3442</v>
      </c>
      <c r="B101" s="5279" t="s">
        <v>501</v>
      </c>
      <c r="C101" s="5280"/>
      <c r="D101" s="3925" t="s">
        <v>2777</v>
      </c>
      <c r="E101" s="3926" t="s">
        <v>2778</v>
      </c>
      <c r="F101" s="3497" t="s">
        <v>2779</v>
      </c>
      <c r="G101" s="2245" t="s">
        <v>2780</v>
      </c>
      <c r="H101" s="240" t="s">
        <v>2781</v>
      </c>
      <c r="I101" s="2245" t="s">
        <v>2782</v>
      </c>
      <c r="J101" s="240" t="s">
        <v>2783</v>
      </c>
      <c r="K101" s="2245" t="s">
        <v>2784</v>
      </c>
      <c r="L101" s="183" t="s">
        <v>2785</v>
      </c>
      <c r="M101" s="2245" t="s">
        <v>2786</v>
      </c>
      <c r="N101" s="183" t="s">
        <v>2787</v>
      </c>
      <c r="O101" s="2245" t="s">
        <v>2788</v>
      </c>
      <c r="P101" s="183" t="s">
        <v>2789</v>
      </c>
      <c r="Q101" s="2245" t="s">
        <v>2790</v>
      </c>
      <c r="R101" s="183" t="s">
        <v>2791</v>
      </c>
      <c r="S101" s="2245" t="s">
        <v>2792</v>
      </c>
      <c r="T101" s="183" t="s">
        <v>2793</v>
      </c>
      <c r="U101" s="2245" t="s">
        <v>2794</v>
      </c>
      <c r="V101" s="183" t="s">
        <v>2795</v>
      </c>
      <c r="W101" s="2245" t="s">
        <v>2796</v>
      </c>
      <c r="X101" s="183" t="s">
        <v>2797</v>
      </c>
      <c r="Y101" s="2245" t="s">
        <v>2798</v>
      </c>
      <c r="Z101" s="183" t="s">
        <v>2799</v>
      </c>
      <c r="AA101" s="2245" t="s">
        <v>2800</v>
      </c>
      <c r="AB101" s="183" t="s">
        <v>2801</v>
      </c>
      <c r="AC101" s="2245" t="s">
        <v>2817</v>
      </c>
      <c r="AD101" s="240" t="s">
        <v>2818</v>
      </c>
      <c r="AE101" s="2245" t="s">
        <v>2819</v>
      </c>
      <c r="AF101" s="240" t="s">
        <v>2821</v>
      </c>
      <c r="AG101" s="2245" t="s">
        <v>2822</v>
      </c>
      <c r="AH101" s="240" t="s">
        <v>2823</v>
      </c>
      <c r="AI101" s="2245" t="s">
        <v>2824</v>
      </c>
      <c r="AJ101" s="240" t="s">
        <v>2825</v>
      </c>
      <c r="AK101" s="2245" t="s">
        <v>2826</v>
      </c>
      <c r="AL101" s="240" t="s">
        <v>2827</v>
      </c>
      <c r="AM101" s="2246" t="s">
        <v>2831</v>
      </c>
      <c r="AN101" s="183" t="s">
        <v>2832</v>
      </c>
      <c r="AO101" s="2324" t="s">
        <v>2833</v>
      </c>
      <c r="AP101" s="2632" t="s">
        <v>2834</v>
      </c>
      <c r="AQ101" s="144" t="s">
        <v>3011</v>
      </c>
      <c r="AR101" s="240" t="s">
        <v>3012</v>
      </c>
      <c r="AS101" s="1165" t="str">
        <f t="shared" si="35"/>
        <v xml:space="preserve">* El número de Beneficiarios NO DEBE ser mayor que el Total. * El número de Pueblos Originarios y/o Migrantes NO DEBE ser mayor que el Total. * El número de Controles NO DEBE ser mayor que el Total. </v>
      </c>
      <c r="AT101" s="1058"/>
      <c r="AU101" s="1058"/>
      <c r="AV101" s="1058"/>
      <c r="AW101" s="1058"/>
      <c r="AX101" s="1058"/>
      <c r="AY101" s="1058"/>
      <c r="AZ101" s="1058"/>
      <c r="BA101" s="1058"/>
      <c r="BB101" s="1058"/>
      <c r="BC101" s="1058"/>
      <c r="BD101" s="1058"/>
      <c r="BE101" s="94"/>
      <c r="BF101" s="94"/>
      <c r="CB101" s="1031" t="str">
        <f>IF(CH101=1,"* El número de Beneficiarios NO DEBE ser mayor que el Total. ","")</f>
        <v xml:space="preserve">* El número de Beneficiarios NO DEBE ser mayor que el Total. </v>
      </c>
      <c r="CC101" s="1031" t="str">
        <f>IF(CI101=1,"* No olvide digitar la columna Beneficiarios y/o Pueblos Originarios y/o Migrantes (Digite CEROS si no tiene.). ","")</f>
        <v/>
      </c>
      <c r="CD101" s="1031" t="str">
        <f>IF(CJ101=1,"* El número de Pueblos Originarios y/o Migrantes NO DEBE ser mayor que el Total. ","")</f>
        <v xml:space="preserve">* El número de Pueblos Originarios y/o Migrantes NO DEBE ser mayor que el Total. </v>
      </c>
      <c r="CE101" s="1031" t="str">
        <f>IF(CK101=1,"* El número de Controles NO DEBE ser mayor que el Total. ","")</f>
        <v xml:space="preserve">* El número de Controles NO DEBE ser mayor que el Total. </v>
      </c>
      <c r="CF101" s="1031"/>
      <c r="CG101" s="1031"/>
      <c r="CH101" s="1163">
        <f>IF(D101&lt;AO101,1,0)</f>
        <v>1</v>
      </c>
      <c r="CI101" s="1163">
        <f>IF(AND(D101&lt;&gt;0,OR(AO101="",AQ101="",AR101="")),1,0)</f>
        <v>0</v>
      </c>
      <c r="CJ101" s="1163">
        <f>IF(OR(D101&lt;AQ101,D101&lt;AR101),1,0)</f>
        <v>1</v>
      </c>
      <c r="CK101" s="1163">
        <f>IF(D101&lt;AP101,1,0)</f>
        <v>1</v>
      </c>
      <c r="CL101" s="1020"/>
    </row>
    <row r="102" spans="1:91" ht="16.350000000000001" customHeight="1" x14ac:dyDescent="0.2">
      <c r="A102" s="2527"/>
      <c r="B102" s="5834" t="s">
        <v>42</v>
      </c>
      <c r="C102" s="5835"/>
      <c r="D102" s="2978">
        <f t="shared" ref="D102:AR102" si="44">SUM(D93:D101)</f>
        <v>0</v>
      </c>
      <c r="E102" s="2978">
        <f t="shared" si="44"/>
        <v>0</v>
      </c>
      <c r="F102" s="2979">
        <f t="shared" si="44"/>
        <v>0</v>
      </c>
      <c r="G102" s="2980">
        <f t="shared" si="44"/>
        <v>0</v>
      </c>
      <c r="H102" s="2980">
        <f t="shared" si="44"/>
        <v>0</v>
      </c>
      <c r="I102" s="2980">
        <f t="shared" si="44"/>
        <v>0</v>
      </c>
      <c r="J102" s="2980">
        <f t="shared" si="44"/>
        <v>0</v>
      </c>
      <c r="K102" s="2980">
        <f t="shared" si="44"/>
        <v>0</v>
      </c>
      <c r="L102" s="2980">
        <f t="shared" si="44"/>
        <v>0</v>
      </c>
      <c r="M102" s="2980">
        <f t="shared" si="44"/>
        <v>0</v>
      </c>
      <c r="N102" s="2980">
        <f t="shared" si="44"/>
        <v>0</v>
      </c>
      <c r="O102" s="2980">
        <f t="shared" si="44"/>
        <v>0</v>
      </c>
      <c r="P102" s="2980">
        <f t="shared" si="44"/>
        <v>0</v>
      </c>
      <c r="Q102" s="2980">
        <f t="shared" si="44"/>
        <v>0</v>
      </c>
      <c r="R102" s="2980">
        <f t="shared" si="44"/>
        <v>0</v>
      </c>
      <c r="S102" s="2980">
        <f t="shared" si="44"/>
        <v>0</v>
      </c>
      <c r="T102" s="2980">
        <f t="shared" si="44"/>
        <v>0</v>
      </c>
      <c r="U102" s="2980">
        <f t="shared" si="44"/>
        <v>0</v>
      </c>
      <c r="V102" s="2980">
        <f t="shared" si="44"/>
        <v>0</v>
      </c>
      <c r="W102" s="2980">
        <f t="shared" si="44"/>
        <v>0</v>
      </c>
      <c r="X102" s="2980">
        <f t="shared" si="44"/>
        <v>0</v>
      </c>
      <c r="Y102" s="2980">
        <f t="shared" si="44"/>
        <v>0</v>
      </c>
      <c r="Z102" s="2980">
        <f t="shared" si="44"/>
        <v>0</v>
      </c>
      <c r="AA102" s="2980">
        <f t="shared" si="44"/>
        <v>0</v>
      </c>
      <c r="AB102" s="2980">
        <f t="shared" si="44"/>
        <v>0</v>
      </c>
      <c r="AC102" s="2980">
        <f t="shared" si="44"/>
        <v>0</v>
      </c>
      <c r="AD102" s="2980">
        <f t="shared" si="44"/>
        <v>0</v>
      </c>
      <c r="AE102" s="2980">
        <f t="shared" si="44"/>
        <v>0</v>
      </c>
      <c r="AF102" s="2980">
        <f t="shared" si="44"/>
        <v>0</v>
      </c>
      <c r="AG102" s="2980">
        <f t="shared" si="44"/>
        <v>0</v>
      </c>
      <c r="AH102" s="2980">
        <f t="shared" si="44"/>
        <v>0</v>
      </c>
      <c r="AI102" s="2980">
        <f t="shared" si="44"/>
        <v>0</v>
      </c>
      <c r="AJ102" s="2980">
        <f t="shared" si="44"/>
        <v>0</v>
      </c>
      <c r="AK102" s="2980">
        <f t="shared" si="44"/>
        <v>0</v>
      </c>
      <c r="AL102" s="2980">
        <f t="shared" si="44"/>
        <v>0</v>
      </c>
      <c r="AM102" s="2980">
        <f t="shared" si="44"/>
        <v>0</v>
      </c>
      <c r="AN102" s="2980">
        <f t="shared" si="44"/>
        <v>0</v>
      </c>
      <c r="AO102" s="2980">
        <f t="shared" si="44"/>
        <v>0</v>
      </c>
      <c r="AP102" s="2980">
        <f t="shared" si="44"/>
        <v>0</v>
      </c>
      <c r="AQ102" s="2980">
        <f t="shared" si="44"/>
        <v>0</v>
      </c>
      <c r="AR102" s="2980">
        <f t="shared" si="44"/>
        <v>0</v>
      </c>
      <c r="AS102" s="956" t="s">
        <v>884</v>
      </c>
      <c r="AT102" s="94"/>
      <c r="AU102" s="94"/>
      <c r="AV102" s="94"/>
      <c r="AW102" s="94"/>
      <c r="AX102" s="94"/>
      <c r="AY102" s="94"/>
      <c r="AZ102" s="94"/>
      <c r="BA102" s="94"/>
      <c r="BB102" s="94"/>
      <c r="BC102" s="94"/>
      <c r="BD102" s="94"/>
      <c r="BE102" s="94"/>
      <c r="BF102" s="94"/>
      <c r="CH102" s="1020"/>
      <c r="CI102" s="1020"/>
      <c r="CJ102" s="1020"/>
      <c r="CK102" s="1020"/>
      <c r="CL102" s="1020"/>
    </row>
    <row r="103" spans="1:91" ht="31.35" customHeight="1" x14ac:dyDescent="0.2">
      <c r="B103" s="1145" t="s">
        <v>1375</v>
      </c>
      <c r="C103" s="234"/>
      <c r="D103" s="234"/>
      <c r="E103" s="234"/>
      <c r="F103" s="234"/>
      <c r="G103" s="234"/>
      <c r="H103" s="463"/>
      <c r="I103" s="463"/>
      <c r="J103" s="463"/>
      <c r="K103" s="463"/>
      <c r="L103" s="219"/>
      <c r="M103" s="219"/>
      <c r="N103" s="219"/>
      <c r="O103" s="190"/>
      <c r="P103" s="190"/>
      <c r="Q103" s="190"/>
      <c r="R103" s="190"/>
      <c r="S103" s="190"/>
      <c r="T103" s="190"/>
      <c r="U103" s="190"/>
      <c r="V103" s="190"/>
      <c r="W103" s="190"/>
      <c r="X103" s="190"/>
      <c r="Y103" s="190"/>
      <c r="Z103" s="190"/>
      <c r="AA103" s="190"/>
      <c r="AB103" s="190"/>
      <c r="AC103" s="190"/>
      <c r="AD103" s="190"/>
      <c r="AE103" s="190"/>
      <c r="AF103" s="190"/>
      <c r="AG103" s="190"/>
      <c r="AH103" s="190"/>
      <c r="AI103" s="190"/>
      <c r="AJ103" s="190"/>
      <c r="AK103" s="190"/>
      <c r="AL103" s="190"/>
      <c r="AM103" s="190"/>
      <c r="AN103" s="190"/>
      <c r="AO103" s="190"/>
      <c r="AP103" s="190"/>
      <c r="AQ103" s="190"/>
      <c r="AR103" s="190"/>
      <c r="AS103" s="94"/>
      <c r="AT103" s="94"/>
      <c r="AU103" s="94"/>
      <c r="AV103" s="94"/>
      <c r="AW103" s="94"/>
      <c r="AX103" s="94"/>
      <c r="AY103" s="94"/>
      <c r="AZ103" s="94"/>
      <c r="BA103" s="94"/>
      <c r="BB103" s="94"/>
      <c r="BC103" s="94"/>
      <c r="BD103" s="94"/>
      <c r="BE103" s="94"/>
      <c r="BF103" s="94"/>
      <c r="CH103" s="1020"/>
      <c r="CI103" s="1020"/>
      <c r="CJ103" s="1020"/>
      <c r="CK103" s="1020"/>
      <c r="CL103" s="1020"/>
    </row>
    <row r="104" spans="1:91" ht="21.75" customHeight="1" x14ac:dyDescent="0.2">
      <c r="B104" s="5833" t="s">
        <v>177</v>
      </c>
      <c r="C104" s="5112" t="s">
        <v>3</v>
      </c>
      <c r="D104" s="5545" t="s">
        <v>149</v>
      </c>
      <c r="E104" s="5630"/>
      <c r="F104" s="5546"/>
      <c r="G104" s="5105" t="s">
        <v>494</v>
      </c>
      <c r="H104" s="5137"/>
      <c r="I104" s="5137"/>
      <c r="J104" s="5137"/>
      <c r="K104" s="5137"/>
      <c r="L104" s="5137"/>
      <c r="M104" s="5137"/>
      <c r="N104" s="5137"/>
      <c r="O104" s="5137"/>
      <c r="P104" s="5137"/>
      <c r="Q104" s="5137"/>
      <c r="R104" s="5137"/>
      <c r="S104" s="5137"/>
      <c r="T104" s="5137"/>
      <c r="U104" s="5137"/>
      <c r="V104" s="5137"/>
      <c r="W104" s="5137"/>
      <c r="X104" s="5137"/>
      <c r="Y104" s="5137"/>
      <c r="Z104" s="5137"/>
      <c r="AA104" s="5137"/>
      <c r="AB104" s="5137"/>
      <c r="AC104" s="5137"/>
      <c r="AD104" s="5137"/>
      <c r="AE104" s="5137"/>
      <c r="AF104" s="5137"/>
      <c r="AG104" s="5137"/>
      <c r="AH104" s="5137"/>
      <c r="AI104" s="5137"/>
      <c r="AJ104" s="5137"/>
      <c r="AK104" s="5137"/>
      <c r="AL104" s="5137"/>
      <c r="AM104" s="5137"/>
      <c r="AN104" s="5106"/>
      <c r="AO104" s="5827" t="s">
        <v>1357</v>
      </c>
      <c r="AP104" s="5801" t="s">
        <v>1363</v>
      </c>
      <c r="AQ104" s="5802"/>
      <c r="AR104" s="5791" t="s">
        <v>1359</v>
      </c>
      <c r="AS104" s="5794" t="s">
        <v>1358</v>
      </c>
      <c r="AT104" s="5529" t="s">
        <v>1483</v>
      </c>
      <c r="AU104" s="94"/>
      <c r="AV104" s="94"/>
      <c r="AW104" s="94"/>
      <c r="AX104" s="94"/>
      <c r="AY104" s="94"/>
      <c r="AZ104" s="94"/>
      <c r="BA104" s="94"/>
      <c r="BB104" s="94"/>
      <c r="BC104" s="94"/>
      <c r="BD104" s="94"/>
      <c r="BE104" s="94"/>
      <c r="BF104" s="94"/>
      <c r="BG104" s="94"/>
      <c r="BH104" s="94"/>
      <c r="BY104" s="80"/>
      <c r="CH104" s="1020"/>
      <c r="CI104" s="1020"/>
      <c r="CJ104" s="1020"/>
      <c r="CK104" s="1020"/>
      <c r="CL104" s="1020"/>
    </row>
    <row r="105" spans="1:91" ht="22.5" customHeight="1" x14ac:dyDescent="0.2">
      <c r="B105" s="5146"/>
      <c r="C105" s="5113"/>
      <c r="D105" s="5549"/>
      <c r="E105" s="5631"/>
      <c r="F105" s="5550"/>
      <c r="G105" s="5107" t="s">
        <v>350</v>
      </c>
      <c r="H105" s="5108"/>
      <c r="I105" s="5107" t="s">
        <v>351</v>
      </c>
      <c r="J105" s="5108"/>
      <c r="K105" s="5107" t="s">
        <v>352</v>
      </c>
      <c r="L105" s="5108"/>
      <c r="M105" s="5107" t="s">
        <v>319</v>
      </c>
      <c r="N105" s="5108"/>
      <c r="O105" s="5107" t="s">
        <v>10</v>
      </c>
      <c r="P105" s="5108"/>
      <c r="Q105" s="5105" t="s">
        <v>11</v>
      </c>
      <c r="R105" s="5106"/>
      <c r="S105" s="5105" t="s">
        <v>12</v>
      </c>
      <c r="T105" s="5106"/>
      <c r="U105" s="5105" t="s">
        <v>13</v>
      </c>
      <c r="V105" s="5106"/>
      <c r="W105" s="5105" t="s">
        <v>14</v>
      </c>
      <c r="X105" s="5106"/>
      <c r="Y105" s="5105" t="s">
        <v>15</v>
      </c>
      <c r="Z105" s="5106"/>
      <c r="AA105" s="5105" t="s">
        <v>16</v>
      </c>
      <c r="AB105" s="5106"/>
      <c r="AC105" s="5105" t="s">
        <v>17</v>
      </c>
      <c r="AD105" s="5106"/>
      <c r="AE105" s="5105" t="s">
        <v>18</v>
      </c>
      <c r="AF105" s="5106"/>
      <c r="AG105" s="5105" t="s">
        <v>19</v>
      </c>
      <c r="AH105" s="5106"/>
      <c r="AI105" s="5105" t="s">
        <v>20</v>
      </c>
      <c r="AJ105" s="5106"/>
      <c r="AK105" s="5105" t="s">
        <v>21</v>
      </c>
      <c r="AL105" s="5106"/>
      <c r="AM105" s="5105" t="s">
        <v>22</v>
      </c>
      <c r="AN105" s="5106"/>
      <c r="AO105" s="5408"/>
      <c r="AP105" s="5803"/>
      <c r="AQ105" s="5804"/>
      <c r="AR105" s="5792"/>
      <c r="AS105" s="5795"/>
      <c r="AT105" s="5810"/>
      <c r="AU105" s="94"/>
      <c r="AV105" s="94"/>
      <c r="AW105" s="94"/>
      <c r="AX105" s="94"/>
      <c r="AY105" s="94"/>
      <c r="AZ105" s="94"/>
      <c r="BA105" s="94"/>
      <c r="BB105" s="94"/>
      <c r="BC105" s="94"/>
      <c r="BD105" s="94"/>
      <c r="BE105" s="94"/>
      <c r="BF105" s="94"/>
      <c r="BG105" s="94"/>
      <c r="BH105" s="94"/>
      <c r="BY105" s="80"/>
      <c r="CH105" s="1020"/>
      <c r="CI105" s="1020"/>
      <c r="CJ105" s="1020"/>
      <c r="CK105" s="1020"/>
      <c r="CL105" s="1020"/>
    </row>
    <row r="106" spans="1:91" ht="24" customHeight="1" x14ac:dyDescent="0.2">
      <c r="B106" s="5147"/>
      <c r="C106" s="5114"/>
      <c r="D106" s="341" t="s">
        <v>184</v>
      </c>
      <c r="E106" s="535" t="s">
        <v>502</v>
      </c>
      <c r="F106" s="973" t="s">
        <v>307</v>
      </c>
      <c r="G106" s="236" t="s">
        <v>502</v>
      </c>
      <c r="H106" s="191" t="s">
        <v>307</v>
      </c>
      <c r="I106" s="253" t="s">
        <v>502</v>
      </c>
      <c r="J106" s="237" t="s">
        <v>307</v>
      </c>
      <c r="K106" s="236" t="s">
        <v>502</v>
      </c>
      <c r="L106" s="191" t="s">
        <v>307</v>
      </c>
      <c r="M106" s="236" t="s">
        <v>502</v>
      </c>
      <c r="N106" s="191" t="s">
        <v>307</v>
      </c>
      <c r="O106" s="236" t="s">
        <v>502</v>
      </c>
      <c r="P106" s="191" t="s">
        <v>307</v>
      </c>
      <c r="Q106" s="253" t="s">
        <v>502</v>
      </c>
      <c r="R106" s="237" t="s">
        <v>307</v>
      </c>
      <c r="S106" s="253" t="s">
        <v>502</v>
      </c>
      <c r="T106" s="237" t="s">
        <v>307</v>
      </c>
      <c r="U106" s="236" t="s">
        <v>502</v>
      </c>
      <c r="V106" s="191" t="s">
        <v>307</v>
      </c>
      <c r="W106" s="253" t="s">
        <v>502</v>
      </c>
      <c r="X106" s="237" t="s">
        <v>307</v>
      </c>
      <c r="Y106" s="253" t="s">
        <v>502</v>
      </c>
      <c r="Z106" s="237" t="s">
        <v>307</v>
      </c>
      <c r="AA106" s="236" t="s">
        <v>502</v>
      </c>
      <c r="AB106" s="191" t="s">
        <v>307</v>
      </c>
      <c r="AC106" s="236" t="s">
        <v>502</v>
      </c>
      <c r="AD106" s="191" t="s">
        <v>307</v>
      </c>
      <c r="AE106" s="253" t="s">
        <v>502</v>
      </c>
      <c r="AF106" s="237" t="s">
        <v>307</v>
      </c>
      <c r="AG106" s="253" t="s">
        <v>502</v>
      </c>
      <c r="AH106" s="237" t="s">
        <v>307</v>
      </c>
      <c r="AI106" s="236" t="s">
        <v>502</v>
      </c>
      <c r="AJ106" s="191" t="s">
        <v>307</v>
      </c>
      <c r="AK106" s="253" t="s">
        <v>502</v>
      </c>
      <c r="AL106" s="237" t="s">
        <v>307</v>
      </c>
      <c r="AM106" s="236" t="s">
        <v>502</v>
      </c>
      <c r="AN106" s="191" t="s">
        <v>307</v>
      </c>
      <c r="AO106" s="5409"/>
      <c r="AP106" s="1131" t="s">
        <v>1350</v>
      </c>
      <c r="AQ106" s="1132" t="s">
        <v>1351</v>
      </c>
      <c r="AR106" s="5793"/>
      <c r="AS106" s="5796"/>
      <c r="AT106" s="5530"/>
      <c r="AU106" s="94"/>
      <c r="AV106" s="94"/>
      <c r="AW106" s="94"/>
      <c r="AX106" s="94"/>
      <c r="AY106" s="94"/>
      <c r="AZ106" s="94"/>
      <c r="BA106" s="94"/>
      <c r="BB106" s="94"/>
      <c r="BC106" s="94"/>
      <c r="BD106" s="94"/>
      <c r="BE106" s="94"/>
      <c r="BF106" s="94"/>
      <c r="BG106" s="94"/>
      <c r="BH106" s="94"/>
      <c r="BY106" s="80"/>
      <c r="CH106" s="1020"/>
      <c r="CI106" s="1020"/>
      <c r="CJ106" s="1020"/>
      <c r="CK106" s="1020"/>
      <c r="CL106" s="1020"/>
    </row>
    <row r="107" spans="1:91" ht="16.350000000000001" customHeight="1" x14ac:dyDescent="0.2">
      <c r="A107" s="2948" t="s">
        <v>3443</v>
      </c>
      <c r="B107" s="5842" t="s">
        <v>503</v>
      </c>
      <c r="C107" s="2981" t="s">
        <v>495</v>
      </c>
      <c r="D107" s="3927" t="s">
        <v>2777</v>
      </c>
      <c r="E107" s="3928" t="s">
        <v>2778</v>
      </c>
      <c r="F107" s="2997" t="s">
        <v>2779</v>
      </c>
      <c r="G107" s="2956" t="s">
        <v>2780</v>
      </c>
      <c r="H107" s="2974" t="s">
        <v>2781</v>
      </c>
      <c r="I107" s="2956" t="s">
        <v>2782</v>
      </c>
      <c r="J107" s="2974" t="s">
        <v>2783</v>
      </c>
      <c r="K107" s="2956" t="s">
        <v>2784</v>
      </c>
      <c r="L107" s="2958" t="s">
        <v>2785</v>
      </c>
      <c r="M107" s="2956" t="s">
        <v>2786</v>
      </c>
      <c r="N107" s="2958" t="s">
        <v>2787</v>
      </c>
      <c r="O107" s="2956" t="s">
        <v>2788</v>
      </c>
      <c r="P107" s="2958" t="s">
        <v>2789</v>
      </c>
      <c r="Q107" s="2956" t="s">
        <v>2790</v>
      </c>
      <c r="R107" s="2958" t="s">
        <v>2791</v>
      </c>
      <c r="S107" s="2956" t="s">
        <v>2792</v>
      </c>
      <c r="T107" s="2958" t="s">
        <v>2793</v>
      </c>
      <c r="U107" s="2956" t="s">
        <v>2794</v>
      </c>
      <c r="V107" s="2958" t="s">
        <v>2795</v>
      </c>
      <c r="W107" s="2956" t="s">
        <v>2796</v>
      </c>
      <c r="X107" s="2958" t="s">
        <v>2797</v>
      </c>
      <c r="Y107" s="2956" t="s">
        <v>2798</v>
      </c>
      <c r="Z107" s="2958" t="s">
        <v>2799</v>
      </c>
      <c r="AA107" s="2956" t="s">
        <v>2800</v>
      </c>
      <c r="AB107" s="2958" t="s">
        <v>2801</v>
      </c>
      <c r="AC107" s="2956" t="s">
        <v>2817</v>
      </c>
      <c r="AD107" s="2958" t="s">
        <v>2818</v>
      </c>
      <c r="AE107" s="2956" t="s">
        <v>2819</v>
      </c>
      <c r="AF107" s="2958" t="s">
        <v>2821</v>
      </c>
      <c r="AG107" s="2956" t="s">
        <v>2822</v>
      </c>
      <c r="AH107" s="2958" t="s">
        <v>2823</v>
      </c>
      <c r="AI107" s="2956" t="s">
        <v>2824</v>
      </c>
      <c r="AJ107" s="2958" t="s">
        <v>2825</v>
      </c>
      <c r="AK107" s="2956" t="s">
        <v>2826</v>
      </c>
      <c r="AL107" s="2958" t="s">
        <v>2827</v>
      </c>
      <c r="AM107" s="2982" t="s">
        <v>2831</v>
      </c>
      <c r="AN107" s="2958" t="s">
        <v>2832</v>
      </c>
      <c r="AO107" s="2972" t="s">
        <v>2833</v>
      </c>
      <c r="AP107" s="2983" t="s">
        <v>2834</v>
      </c>
      <c r="AQ107" s="2984" t="s">
        <v>3011</v>
      </c>
      <c r="AR107" s="2973" t="s">
        <v>3012</v>
      </c>
      <c r="AS107" s="2974" t="s">
        <v>3013</v>
      </c>
      <c r="AT107" s="2974" t="s">
        <v>3014</v>
      </c>
      <c r="AU107" s="1162" t="e">
        <f>CB107&amp;CC107&amp;CD107&amp;CE107&amp;CF107&amp;CG107</f>
        <v>#VALUE!</v>
      </c>
      <c r="AV107" s="1058"/>
      <c r="AW107" s="1058"/>
      <c r="AX107" s="1058"/>
      <c r="AY107" s="1058"/>
      <c r="AZ107" s="1058"/>
      <c r="BA107" s="1058"/>
      <c r="BB107" s="1058"/>
      <c r="BC107" s="1058"/>
      <c r="BD107" s="1058"/>
      <c r="BE107" s="1058"/>
      <c r="BF107" s="94"/>
      <c r="BG107" s="94"/>
      <c r="BH107" s="94"/>
      <c r="BY107" s="80"/>
      <c r="CB107" s="1164" t="str">
        <f>IF(CH107=1,"* El número de Beneficiarios NO DEBE ser mayor que el Total ","")</f>
        <v xml:space="preserve">* El número de Beneficiarios NO DEBE ser mayor que el Total </v>
      </c>
      <c r="CC107" s="1164" t="str">
        <f>IF(CI107=1,"* No olvide digitar las columnas Beneficiarios y/o Trans y/o Pueblos Originarios y/o Migrantes y/o Niños, Niñas, Adolescentes y Jóvenes Población SENAME (Digite CEROS si no tiene.). ","")</f>
        <v/>
      </c>
      <c r="CD107" s="1164" t="e">
        <f>IF(CJ107=1,"* El número de Trans NO DEBE ser mayor que el Total. ","")</f>
        <v>#VALUE!</v>
      </c>
      <c r="CE107" s="1164" t="str">
        <f>IF(CK107=1,"* El número de Pueblos Originarios NO DEBE ser mayor que el Total. ","")</f>
        <v xml:space="preserve">* El número de Pueblos Originarios NO DEBE ser mayor que el Total. </v>
      </c>
      <c r="CF107" s="1164" t="str">
        <f>IF(CL107=1,"* El número de Migrantes NO DEBE ser mayor que el Total. ","")</f>
        <v xml:space="preserve">* El número de Migrantes NO DEBE ser mayor que el Total. </v>
      </c>
      <c r="CG107" s="1164" t="str">
        <f>IF(CM107=1,"* El número de Niños, Niñas, Adolescentes y Jóvenes Población SENAME NO DEBE ser mayor que el Total. ","")</f>
        <v xml:space="preserve">* El número de Niños, Niñas, Adolescentes y Jóvenes Población SENAME NO DEBE ser mayor que el Total. </v>
      </c>
      <c r="CH107" s="1163">
        <f>IF(D107&lt;AO107,1,0)</f>
        <v>1</v>
      </c>
      <c r="CI107" s="1163">
        <f>IF(AND(D107&lt;&gt;0,OR(AO107="",AP107="",AQ107="",AR107="",AS107="",AT107="")),1,0)</f>
        <v>0</v>
      </c>
      <c r="CJ107" s="1163" t="e">
        <f>IF(D107&lt;(AP107+AQ107),1,0)</f>
        <v>#VALUE!</v>
      </c>
      <c r="CK107" s="1163">
        <f>IF(D107&lt;AR107,1,0)</f>
        <v>1</v>
      </c>
      <c r="CL107" s="1163">
        <f>IF(D107&lt;AS107,1,0)</f>
        <v>1</v>
      </c>
      <c r="CM107" s="1031">
        <f>IF(D107&lt;AT107,1,0)</f>
        <v>1</v>
      </c>
    </row>
    <row r="108" spans="1:91" ht="16.350000000000001" customHeight="1" x14ac:dyDescent="0.2">
      <c r="A108" s="2951" t="s">
        <v>3444</v>
      </c>
      <c r="B108" s="5253"/>
      <c r="C108" s="465" t="s">
        <v>288</v>
      </c>
      <c r="D108" s="3504" t="s">
        <v>2777</v>
      </c>
      <c r="E108" s="3505" t="s">
        <v>2778</v>
      </c>
      <c r="F108" s="3484" t="s">
        <v>2779</v>
      </c>
      <c r="G108" s="166" t="s">
        <v>2780</v>
      </c>
      <c r="H108" s="168" t="s">
        <v>2781</v>
      </c>
      <c r="I108" s="166" t="s">
        <v>2782</v>
      </c>
      <c r="J108" s="168" t="s">
        <v>2783</v>
      </c>
      <c r="K108" s="166" t="s">
        <v>2784</v>
      </c>
      <c r="L108" s="125" t="s">
        <v>2785</v>
      </c>
      <c r="M108" s="166" t="s">
        <v>2786</v>
      </c>
      <c r="N108" s="125" t="s">
        <v>2787</v>
      </c>
      <c r="O108" s="166" t="s">
        <v>2788</v>
      </c>
      <c r="P108" s="125" t="s">
        <v>2789</v>
      </c>
      <c r="Q108" s="166" t="s">
        <v>2790</v>
      </c>
      <c r="R108" s="125" t="s">
        <v>2791</v>
      </c>
      <c r="S108" s="166" t="s">
        <v>2792</v>
      </c>
      <c r="T108" s="125" t="s">
        <v>2793</v>
      </c>
      <c r="U108" s="166" t="s">
        <v>2794</v>
      </c>
      <c r="V108" s="125" t="s">
        <v>2795</v>
      </c>
      <c r="W108" s="166" t="s">
        <v>2796</v>
      </c>
      <c r="X108" s="125" t="s">
        <v>2797</v>
      </c>
      <c r="Y108" s="166" t="s">
        <v>2798</v>
      </c>
      <c r="Z108" s="125" t="s">
        <v>2799</v>
      </c>
      <c r="AA108" s="166" t="s">
        <v>2800</v>
      </c>
      <c r="AB108" s="125" t="s">
        <v>2801</v>
      </c>
      <c r="AC108" s="166" t="s">
        <v>2817</v>
      </c>
      <c r="AD108" s="125" t="s">
        <v>2818</v>
      </c>
      <c r="AE108" s="166" t="s">
        <v>2819</v>
      </c>
      <c r="AF108" s="125" t="s">
        <v>2821</v>
      </c>
      <c r="AG108" s="166" t="s">
        <v>2822</v>
      </c>
      <c r="AH108" s="125" t="s">
        <v>2823</v>
      </c>
      <c r="AI108" s="166" t="s">
        <v>2824</v>
      </c>
      <c r="AJ108" s="125" t="s">
        <v>2825</v>
      </c>
      <c r="AK108" s="166" t="s">
        <v>2826</v>
      </c>
      <c r="AL108" s="125" t="s">
        <v>2827</v>
      </c>
      <c r="AM108" s="227" t="s">
        <v>2831</v>
      </c>
      <c r="AN108" s="125" t="s">
        <v>2832</v>
      </c>
      <c r="AO108" s="375" t="s">
        <v>2833</v>
      </c>
      <c r="AP108" s="635" t="s">
        <v>2834</v>
      </c>
      <c r="AQ108" s="533" t="s">
        <v>3011</v>
      </c>
      <c r="AR108" s="126" t="s">
        <v>3012</v>
      </c>
      <c r="AS108" s="168" t="s">
        <v>3013</v>
      </c>
      <c r="AT108" s="168" t="s">
        <v>3014</v>
      </c>
      <c r="AU108" s="1162" t="e">
        <f t="shared" ref="AU108:AU117" si="45">CB108&amp;CC108&amp;CD108&amp;CE108&amp;CF108&amp;CG108</f>
        <v>#VALUE!</v>
      </c>
      <c r="AV108" s="1058"/>
      <c r="AW108" s="1058"/>
      <c r="AX108" s="1058"/>
      <c r="AY108" s="1058"/>
      <c r="AZ108" s="1058"/>
      <c r="BA108" s="1058"/>
      <c r="BB108" s="1058"/>
      <c r="BC108" s="1058"/>
      <c r="BD108" s="1058"/>
      <c r="BE108" s="1058"/>
      <c r="BF108" s="94"/>
      <c r="BG108" s="94"/>
      <c r="BH108" s="94"/>
      <c r="BY108" s="80"/>
      <c r="CB108" s="1164" t="str">
        <f t="shared" ref="CB108:CB117" si="46">IF(CH108=1,"* El número de Beneficiarios NO DEBE ser mayor que el Total ","")</f>
        <v xml:space="preserve">* El número de Beneficiarios NO DEBE ser mayor que el Total </v>
      </c>
      <c r="CC108" s="1164" t="str">
        <f t="shared" ref="CC108:CC117" si="47">IF(CI108=1,"* No olvide digitar las columnas Beneficiarios y/o Trans y/o Pueblos Originarios y/o Migrantes y/o Niños, Niñas, Adolescentes y Jóvenes Población SENAME (Digite CEROS si no tiene.). ","")</f>
        <v/>
      </c>
      <c r="CD108" s="1164" t="e">
        <f t="shared" ref="CD108:CD117" si="48">IF(CJ108=1,"* El número de Trans NO DEBE ser mayor que el Total. ","")</f>
        <v>#VALUE!</v>
      </c>
      <c r="CE108" s="1164" t="str">
        <f t="shared" ref="CE108:CE117" si="49">IF(CK108=1,"* El número de Pueblos Originarios NO DEBE ser mayor que el Total. ","")</f>
        <v xml:space="preserve">* El número de Pueblos Originarios NO DEBE ser mayor que el Total. </v>
      </c>
      <c r="CF108" s="1164" t="str">
        <f t="shared" ref="CF108:CF117" si="50">IF(CL108=1,"* El número de Migrantes NO DEBE ser mayor que el Total. ","")</f>
        <v xml:space="preserve">* El número de Migrantes NO DEBE ser mayor que el Total. </v>
      </c>
      <c r="CG108" s="1164" t="str">
        <f t="shared" ref="CG108:CG117" si="51">IF(CM108=1,"* El número de Niños, Niñas, Adolescentes y Jóvenes Población SENAME NO DEBE ser mayor que el Total. ","")</f>
        <v xml:space="preserve">* El número de Niños, Niñas, Adolescentes y Jóvenes Población SENAME NO DEBE ser mayor que el Total. </v>
      </c>
      <c r="CH108" s="1163">
        <f t="shared" ref="CH108:CH117" si="52">IF(D108&lt;AO108,1,0)</f>
        <v>1</v>
      </c>
      <c r="CI108" s="1163">
        <f t="shared" ref="CI108:CI117" si="53">IF(AND(D108&lt;&gt;0,OR(AO108="",AP108="",AQ108="",AR108="",AS108="",AT108="")),1,0)</f>
        <v>0</v>
      </c>
      <c r="CJ108" s="1163" t="e">
        <f t="shared" ref="CJ108:CJ117" si="54">IF(D108&lt;(AP108+AQ108),1,0)</f>
        <v>#VALUE!</v>
      </c>
      <c r="CK108" s="1163">
        <f t="shared" ref="CK108:CK117" si="55">IF(D108&lt;AR108,1,0)</f>
        <v>1</v>
      </c>
      <c r="CL108" s="1163">
        <f t="shared" ref="CL108:CL117" si="56">IF(D108&lt;AS108,1,0)</f>
        <v>1</v>
      </c>
      <c r="CM108" s="1031">
        <f t="shared" ref="CM108:CM117" si="57">IF(D108&lt;AT108,1,0)</f>
        <v>1</v>
      </c>
    </row>
    <row r="109" spans="1:91" ht="16.350000000000001" customHeight="1" x14ac:dyDescent="0.2">
      <c r="A109" s="2951" t="s">
        <v>3445</v>
      </c>
      <c r="B109" s="5830" t="s">
        <v>504</v>
      </c>
      <c r="C109" s="2981" t="s">
        <v>495</v>
      </c>
      <c r="D109" s="3927" t="s">
        <v>2777</v>
      </c>
      <c r="E109" s="3928" t="s">
        <v>2778</v>
      </c>
      <c r="F109" s="2997" t="s">
        <v>2779</v>
      </c>
      <c r="G109" s="2956" t="s">
        <v>2780</v>
      </c>
      <c r="H109" s="2974" t="s">
        <v>2781</v>
      </c>
      <c r="I109" s="2956" t="s">
        <v>2782</v>
      </c>
      <c r="J109" s="2974" t="s">
        <v>2783</v>
      </c>
      <c r="K109" s="2956" t="s">
        <v>2784</v>
      </c>
      <c r="L109" s="2958" t="s">
        <v>2785</v>
      </c>
      <c r="M109" s="2956" t="s">
        <v>2786</v>
      </c>
      <c r="N109" s="2958" t="s">
        <v>2787</v>
      </c>
      <c r="O109" s="2956" t="s">
        <v>2788</v>
      </c>
      <c r="P109" s="2958" t="s">
        <v>2789</v>
      </c>
      <c r="Q109" s="2956" t="s">
        <v>2790</v>
      </c>
      <c r="R109" s="2958" t="s">
        <v>2791</v>
      </c>
      <c r="S109" s="2956" t="s">
        <v>2792</v>
      </c>
      <c r="T109" s="2958" t="s">
        <v>2793</v>
      </c>
      <c r="U109" s="2956" t="s">
        <v>2794</v>
      </c>
      <c r="V109" s="2958" t="s">
        <v>2795</v>
      </c>
      <c r="W109" s="2956" t="s">
        <v>2796</v>
      </c>
      <c r="X109" s="2958" t="s">
        <v>2797</v>
      </c>
      <c r="Y109" s="2956" t="s">
        <v>2798</v>
      </c>
      <c r="Z109" s="2958" t="s">
        <v>2799</v>
      </c>
      <c r="AA109" s="2956" t="s">
        <v>2800</v>
      </c>
      <c r="AB109" s="2958" t="s">
        <v>2801</v>
      </c>
      <c r="AC109" s="2956" t="s">
        <v>2817</v>
      </c>
      <c r="AD109" s="2958" t="s">
        <v>2818</v>
      </c>
      <c r="AE109" s="2956" t="s">
        <v>2819</v>
      </c>
      <c r="AF109" s="2958" t="s">
        <v>2821</v>
      </c>
      <c r="AG109" s="2956" t="s">
        <v>2822</v>
      </c>
      <c r="AH109" s="2958" t="s">
        <v>2823</v>
      </c>
      <c r="AI109" s="2956" t="s">
        <v>2824</v>
      </c>
      <c r="AJ109" s="2958" t="s">
        <v>2825</v>
      </c>
      <c r="AK109" s="2956" t="s">
        <v>2826</v>
      </c>
      <c r="AL109" s="2958" t="s">
        <v>2827</v>
      </c>
      <c r="AM109" s="2982" t="s">
        <v>2831</v>
      </c>
      <c r="AN109" s="2958" t="s">
        <v>2832</v>
      </c>
      <c r="AO109" s="2972" t="s">
        <v>2833</v>
      </c>
      <c r="AP109" s="2983" t="s">
        <v>2834</v>
      </c>
      <c r="AQ109" s="2984" t="s">
        <v>3011</v>
      </c>
      <c r="AR109" s="2973" t="s">
        <v>3012</v>
      </c>
      <c r="AS109" s="2974" t="s">
        <v>3013</v>
      </c>
      <c r="AT109" s="2974" t="s">
        <v>3014</v>
      </c>
      <c r="AU109" s="1162" t="e">
        <f t="shared" si="45"/>
        <v>#VALUE!</v>
      </c>
      <c r="AV109" s="1058"/>
      <c r="AW109" s="1058"/>
      <c r="AX109" s="1058"/>
      <c r="AY109" s="1058"/>
      <c r="AZ109" s="1058"/>
      <c r="BA109" s="1058"/>
      <c r="BB109" s="1058"/>
      <c r="BC109" s="1058"/>
      <c r="BD109" s="1058"/>
      <c r="BE109" s="1058"/>
      <c r="BF109" s="94"/>
      <c r="BG109" s="94"/>
      <c r="BH109" s="94"/>
      <c r="BY109" s="80"/>
      <c r="CB109" s="1164" t="str">
        <f t="shared" si="46"/>
        <v xml:space="preserve">* El número de Beneficiarios NO DEBE ser mayor que el Total </v>
      </c>
      <c r="CC109" s="1164" t="str">
        <f t="shared" si="47"/>
        <v/>
      </c>
      <c r="CD109" s="1164" t="e">
        <f t="shared" si="48"/>
        <v>#VALUE!</v>
      </c>
      <c r="CE109" s="1164" t="str">
        <f t="shared" si="49"/>
        <v xml:space="preserve">* El número de Pueblos Originarios NO DEBE ser mayor que el Total. </v>
      </c>
      <c r="CF109" s="1164" t="str">
        <f t="shared" si="50"/>
        <v xml:space="preserve">* El número de Migrantes NO DEBE ser mayor que el Total. </v>
      </c>
      <c r="CG109" s="1164" t="str">
        <f t="shared" si="51"/>
        <v xml:space="preserve">* El número de Niños, Niñas, Adolescentes y Jóvenes Población SENAME NO DEBE ser mayor que el Total. </v>
      </c>
      <c r="CH109" s="1163">
        <f t="shared" si="52"/>
        <v>1</v>
      </c>
      <c r="CI109" s="1163">
        <f t="shared" si="53"/>
        <v>0</v>
      </c>
      <c r="CJ109" s="1163" t="e">
        <f t="shared" si="54"/>
        <v>#VALUE!</v>
      </c>
      <c r="CK109" s="1163">
        <f t="shared" si="55"/>
        <v>1</v>
      </c>
      <c r="CL109" s="1163">
        <f t="shared" si="56"/>
        <v>1</v>
      </c>
      <c r="CM109" s="1031">
        <f t="shared" si="57"/>
        <v>1</v>
      </c>
    </row>
    <row r="110" spans="1:91" ht="16.350000000000001" customHeight="1" x14ac:dyDescent="0.2">
      <c r="A110" s="2951" t="s">
        <v>3446</v>
      </c>
      <c r="B110" s="5831"/>
      <c r="C110" s="466" t="s">
        <v>288</v>
      </c>
      <c r="D110" s="3502" t="s">
        <v>2777</v>
      </c>
      <c r="E110" s="3503" t="s">
        <v>2778</v>
      </c>
      <c r="F110" s="3485" t="s">
        <v>2779</v>
      </c>
      <c r="G110" s="141" t="s">
        <v>2780</v>
      </c>
      <c r="H110" s="198" t="s">
        <v>2781</v>
      </c>
      <c r="I110" s="141" t="s">
        <v>2782</v>
      </c>
      <c r="J110" s="198" t="s">
        <v>2783</v>
      </c>
      <c r="K110" s="141" t="s">
        <v>2784</v>
      </c>
      <c r="L110" s="163" t="s">
        <v>2785</v>
      </c>
      <c r="M110" s="141" t="s">
        <v>2786</v>
      </c>
      <c r="N110" s="163" t="s">
        <v>2787</v>
      </c>
      <c r="O110" s="141" t="s">
        <v>2788</v>
      </c>
      <c r="P110" s="163" t="s">
        <v>2789</v>
      </c>
      <c r="Q110" s="141" t="s">
        <v>2790</v>
      </c>
      <c r="R110" s="163" t="s">
        <v>2791</v>
      </c>
      <c r="S110" s="141" t="s">
        <v>2792</v>
      </c>
      <c r="T110" s="163" t="s">
        <v>2793</v>
      </c>
      <c r="U110" s="141" t="s">
        <v>2794</v>
      </c>
      <c r="V110" s="163" t="s">
        <v>2795</v>
      </c>
      <c r="W110" s="141" t="s">
        <v>2796</v>
      </c>
      <c r="X110" s="163" t="s">
        <v>2797</v>
      </c>
      <c r="Y110" s="141" t="s">
        <v>2798</v>
      </c>
      <c r="Z110" s="163" t="s">
        <v>2799</v>
      </c>
      <c r="AA110" s="141" t="s">
        <v>2800</v>
      </c>
      <c r="AB110" s="163" t="s">
        <v>2801</v>
      </c>
      <c r="AC110" s="141" t="s">
        <v>2817</v>
      </c>
      <c r="AD110" s="163" t="s">
        <v>2818</v>
      </c>
      <c r="AE110" s="141" t="s">
        <v>2819</v>
      </c>
      <c r="AF110" s="163" t="s">
        <v>2821</v>
      </c>
      <c r="AG110" s="141" t="s">
        <v>2822</v>
      </c>
      <c r="AH110" s="163" t="s">
        <v>2823</v>
      </c>
      <c r="AI110" s="141" t="s">
        <v>2824</v>
      </c>
      <c r="AJ110" s="163" t="s">
        <v>2825</v>
      </c>
      <c r="AK110" s="141" t="s">
        <v>2826</v>
      </c>
      <c r="AL110" s="163" t="s">
        <v>2827</v>
      </c>
      <c r="AM110" s="224" t="s">
        <v>2831</v>
      </c>
      <c r="AN110" s="163" t="s">
        <v>2832</v>
      </c>
      <c r="AO110" s="513" t="s">
        <v>2833</v>
      </c>
      <c r="AP110" s="592" t="s">
        <v>2834</v>
      </c>
      <c r="AQ110" s="498" t="s">
        <v>3011</v>
      </c>
      <c r="AR110" s="180" t="s">
        <v>3012</v>
      </c>
      <c r="AS110" s="198" t="s">
        <v>3013</v>
      </c>
      <c r="AT110" s="198" t="s">
        <v>3014</v>
      </c>
      <c r="AU110" s="1162" t="e">
        <f t="shared" si="45"/>
        <v>#VALUE!</v>
      </c>
      <c r="AV110" s="1058"/>
      <c r="AW110" s="1058"/>
      <c r="AX110" s="1058"/>
      <c r="AY110" s="1058"/>
      <c r="AZ110" s="1058"/>
      <c r="BA110" s="1058"/>
      <c r="BB110" s="1058"/>
      <c r="BC110" s="1058"/>
      <c r="BD110" s="1058"/>
      <c r="BE110" s="1058"/>
      <c r="BF110" s="94"/>
      <c r="BG110" s="94"/>
      <c r="BH110" s="94"/>
      <c r="BY110" s="80"/>
      <c r="CB110" s="1164" t="str">
        <f t="shared" si="46"/>
        <v xml:space="preserve">* El número de Beneficiarios NO DEBE ser mayor que el Total </v>
      </c>
      <c r="CC110" s="1164" t="str">
        <f t="shared" si="47"/>
        <v/>
      </c>
      <c r="CD110" s="1164" t="e">
        <f t="shared" si="48"/>
        <v>#VALUE!</v>
      </c>
      <c r="CE110" s="1164" t="str">
        <f t="shared" si="49"/>
        <v xml:space="preserve">* El número de Pueblos Originarios NO DEBE ser mayor que el Total. </v>
      </c>
      <c r="CF110" s="1164" t="str">
        <f t="shared" si="50"/>
        <v xml:space="preserve">* El número de Migrantes NO DEBE ser mayor que el Total. </v>
      </c>
      <c r="CG110" s="1164" t="str">
        <f t="shared" si="51"/>
        <v xml:space="preserve">* El número de Niños, Niñas, Adolescentes y Jóvenes Población SENAME NO DEBE ser mayor que el Total. </v>
      </c>
      <c r="CH110" s="1163">
        <f t="shared" si="52"/>
        <v>1</v>
      </c>
      <c r="CI110" s="1163">
        <f t="shared" si="53"/>
        <v>0</v>
      </c>
      <c r="CJ110" s="1163" t="e">
        <f t="shared" si="54"/>
        <v>#VALUE!</v>
      </c>
      <c r="CK110" s="1163">
        <f t="shared" si="55"/>
        <v>1</v>
      </c>
      <c r="CL110" s="1163">
        <f t="shared" si="56"/>
        <v>1</v>
      </c>
      <c r="CM110" s="1031">
        <f t="shared" si="57"/>
        <v>1</v>
      </c>
    </row>
    <row r="111" spans="1:91" ht="16.350000000000001" customHeight="1" x14ac:dyDescent="0.2">
      <c r="A111" s="2951" t="s">
        <v>3447</v>
      </c>
      <c r="B111" s="5832"/>
      <c r="C111" s="465" t="s">
        <v>3448</v>
      </c>
      <c r="D111" s="3504" t="s">
        <v>2777</v>
      </c>
      <c r="E111" s="3505" t="s">
        <v>2778</v>
      </c>
      <c r="F111" s="3484" t="s">
        <v>2779</v>
      </c>
      <c r="G111" s="166" t="s">
        <v>2780</v>
      </c>
      <c r="H111" s="168" t="s">
        <v>2781</v>
      </c>
      <c r="I111" s="166" t="s">
        <v>2782</v>
      </c>
      <c r="J111" s="168" t="s">
        <v>2783</v>
      </c>
      <c r="K111" s="166" t="s">
        <v>2784</v>
      </c>
      <c r="L111" s="125" t="s">
        <v>2785</v>
      </c>
      <c r="M111" s="166" t="s">
        <v>2786</v>
      </c>
      <c r="N111" s="125" t="s">
        <v>2787</v>
      </c>
      <c r="O111" s="166" t="s">
        <v>2788</v>
      </c>
      <c r="P111" s="125" t="s">
        <v>2789</v>
      </c>
      <c r="Q111" s="166" t="s">
        <v>2790</v>
      </c>
      <c r="R111" s="125" t="s">
        <v>2791</v>
      </c>
      <c r="S111" s="166" t="s">
        <v>2792</v>
      </c>
      <c r="T111" s="125" t="s">
        <v>2793</v>
      </c>
      <c r="U111" s="166" t="s">
        <v>2794</v>
      </c>
      <c r="V111" s="125" t="s">
        <v>2795</v>
      </c>
      <c r="W111" s="166" t="s">
        <v>2796</v>
      </c>
      <c r="X111" s="125" t="s">
        <v>2797</v>
      </c>
      <c r="Y111" s="166" t="s">
        <v>2798</v>
      </c>
      <c r="Z111" s="125" t="s">
        <v>2799</v>
      </c>
      <c r="AA111" s="166" t="s">
        <v>2800</v>
      </c>
      <c r="AB111" s="125" t="s">
        <v>2801</v>
      </c>
      <c r="AC111" s="166" t="s">
        <v>2817</v>
      </c>
      <c r="AD111" s="125" t="s">
        <v>2818</v>
      </c>
      <c r="AE111" s="166" t="s">
        <v>2819</v>
      </c>
      <c r="AF111" s="125" t="s">
        <v>2821</v>
      </c>
      <c r="AG111" s="166" t="s">
        <v>2822</v>
      </c>
      <c r="AH111" s="125" t="s">
        <v>2823</v>
      </c>
      <c r="AI111" s="166" t="s">
        <v>2824</v>
      </c>
      <c r="AJ111" s="125" t="s">
        <v>2825</v>
      </c>
      <c r="AK111" s="166" t="s">
        <v>2826</v>
      </c>
      <c r="AL111" s="125" t="s">
        <v>2827</v>
      </c>
      <c r="AM111" s="227" t="s">
        <v>2831</v>
      </c>
      <c r="AN111" s="125" t="s">
        <v>2832</v>
      </c>
      <c r="AO111" s="375" t="s">
        <v>2833</v>
      </c>
      <c r="AP111" s="635" t="s">
        <v>2834</v>
      </c>
      <c r="AQ111" s="533" t="s">
        <v>3011</v>
      </c>
      <c r="AR111" s="126" t="s">
        <v>3012</v>
      </c>
      <c r="AS111" s="168" t="s">
        <v>3013</v>
      </c>
      <c r="AT111" s="168" t="s">
        <v>3014</v>
      </c>
      <c r="AU111" s="1162" t="e">
        <f t="shared" si="45"/>
        <v>#VALUE!</v>
      </c>
      <c r="AV111" s="1058"/>
      <c r="AW111" s="1058"/>
      <c r="AX111" s="1058"/>
      <c r="AY111" s="1058"/>
      <c r="AZ111" s="1058"/>
      <c r="BA111" s="1058"/>
      <c r="BB111" s="1058"/>
      <c r="BC111" s="1058"/>
      <c r="BD111" s="1058"/>
      <c r="BE111" s="1058"/>
      <c r="BF111" s="94"/>
      <c r="BG111" s="94"/>
      <c r="BH111" s="94"/>
      <c r="BY111" s="80"/>
      <c r="CB111" s="1164" t="str">
        <f t="shared" si="46"/>
        <v xml:space="preserve">* El número de Beneficiarios NO DEBE ser mayor que el Total </v>
      </c>
      <c r="CC111" s="1164" t="str">
        <f t="shared" si="47"/>
        <v/>
      </c>
      <c r="CD111" s="1164" t="e">
        <f t="shared" si="48"/>
        <v>#VALUE!</v>
      </c>
      <c r="CE111" s="1164" t="str">
        <f t="shared" si="49"/>
        <v xml:space="preserve">* El número de Pueblos Originarios NO DEBE ser mayor que el Total. </v>
      </c>
      <c r="CF111" s="1164" t="str">
        <f t="shared" si="50"/>
        <v xml:space="preserve">* El número de Migrantes NO DEBE ser mayor que el Total. </v>
      </c>
      <c r="CG111" s="1164" t="str">
        <f t="shared" si="51"/>
        <v xml:space="preserve">* El número de Niños, Niñas, Adolescentes y Jóvenes Población SENAME NO DEBE ser mayor que el Total. </v>
      </c>
      <c r="CH111" s="1163">
        <f t="shared" si="52"/>
        <v>1</v>
      </c>
      <c r="CI111" s="1163">
        <f t="shared" si="53"/>
        <v>0</v>
      </c>
      <c r="CJ111" s="1163" t="e">
        <f t="shared" si="54"/>
        <v>#VALUE!</v>
      </c>
      <c r="CK111" s="1163">
        <f t="shared" si="55"/>
        <v>1</v>
      </c>
      <c r="CL111" s="1163">
        <f t="shared" si="56"/>
        <v>1</v>
      </c>
      <c r="CM111" s="1031">
        <f t="shared" si="57"/>
        <v>1</v>
      </c>
    </row>
    <row r="112" spans="1:91" ht="16.350000000000001" customHeight="1" x14ac:dyDescent="0.2">
      <c r="A112" s="2951" t="s">
        <v>3449</v>
      </c>
      <c r="B112" s="5828" t="s">
        <v>505</v>
      </c>
      <c r="C112" s="2981" t="s">
        <v>495</v>
      </c>
      <c r="D112" s="3927" t="s">
        <v>2777</v>
      </c>
      <c r="E112" s="3928" t="s">
        <v>2778</v>
      </c>
      <c r="F112" s="2997" t="s">
        <v>2779</v>
      </c>
      <c r="G112" s="2956" t="s">
        <v>2780</v>
      </c>
      <c r="H112" s="2974" t="s">
        <v>2781</v>
      </c>
      <c r="I112" s="2956" t="s">
        <v>2782</v>
      </c>
      <c r="J112" s="2974" t="s">
        <v>2783</v>
      </c>
      <c r="K112" s="2956" t="s">
        <v>2784</v>
      </c>
      <c r="L112" s="2958" t="s">
        <v>2785</v>
      </c>
      <c r="M112" s="2956" t="s">
        <v>2786</v>
      </c>
      <c r="N112" s="2958" t="s">
        <v>2787</v>
      </c>
      <c r="O112" s="2956" t="s">
        <v>2788</v>
      </c>
      <c r="P112" s="2958" t="s">
        <v>2789</v>
      </c>
      <c r="Q112" s="2956" t="s">
        <v>2790</v>
      </c>
      <c r="R112" s="2958" t="s">
        <v>2791</v>
      </c>
      <c r="S112" s="2956" t="s">
        <v>2792</v>
      </c>
      <c r="T112" s="2958" t="s">
        <v>2793</v>
      </c>
      <c r="U112" s="2956" t="s">
        <v>2794</v>
      </c>
      <c r="V112" s="2958" t="s">
        <v>2795</v>
      </c>
      <c r="W112" s="2956" t="s">
        <v>2796</v>
      </c>
      <c r="X112" s="2974" t="s">
        <v>2797</v>
      </c>
      <c r="Y112" s="2956" t="s">
        <v>2798</v>
      </c>
      <c r="Z112" s="2958" t="s">
        <v>2799</v>
      </c>
      <c r="AA112" s="2956" t="s">
        <v>2800</v>
      </c>
      <c r="AB112" s="2958" t="s">
        <v>2801</v>
      </c>
      <c r="AC112" s="2956" t="s">
        <v>2817</v>
      </c>
      <c r="AD112" s="2958" t="s">
        <v>2818</v>
      </c>
      <c r="AE112" s="2956" t="s">
        <v>2819</v>
      </c>
      <c r="AF112" s="2958" t="s">
        <v>2821</v>
      </c>
      <c r="AG112" s="2956" t="s">
        <v>2822</v>
      </c>
      <c r="AH112" s="2958" t="s">
        <v>2823</v>
      </c>
      <c r="AI112" s="2956" t="s">
        <v>2824</v>
      </c>
      <c r="AJ112" s="2958" t="s">
        <v>2825</v>
      </c>
      <c r="AK112" s="2956" t="s">
        <v>2826</v>
      </c>
      <c r="AL112" s="2958" t="s">
        <v>2827</v>
      </c>
      <c r="AM112" s="2982" t="s">
        <v>2831</v>
      </c>
      <c r="AN112" s="2958" t="s">
        <v>2832</v>
      </c>
      <c r="AO112" s="2972" t="s">
        <v>2833</v>
      </c>
      <c r="AP112" s="2983" t="s">
        <v>2834</v>
      </c>
      <c r="AQ112" s="2984" t="s">
        <v>3011</v>
      </c>
      <c r="AR112" s="2973" t="s">
        <v>3012</v>
      </c>
      <c r="AS112" s="2974" t="s">
        <v>3013</v>
      </c>
      <c r="AT112" s="2974" t="s">
        <v>3014</v>
      </c>
      <c r="AU112" s="1162" t="e">
        <f t="shared" si="45"/>
        <v>#VALUE!</v>
      </c>
      <c r="AV112" s="1058"/>
      <c r="AW112" s="1058"/>
      <c r="AX112" s="1058"/>
      <c r="AY112" s="1058"/>
      <c r="AZ112" s="1058"/>
      <c r="BA112" s="1058"/>
      <c r="BB112" s="1058"/>
      <c r="BC112" s="1058"/>
      <c r="BD112" s="1058"/>
      <c r="BE112" s="1058"/>
      <c r="BF112" s="94"/>
      <c r="BG112" s="94"/>
      <c r="BH112" s="94"/>
      <c r="BY112" s="80"/>
      <c r="CB112" s="1164" t="str">
        <f t="shared" si="46"/>
        <v xml:space="preserve">* El número de Beneficiarios NO DEBE ser mayor que el Total </v>
      </c>
      <c r="CC112" s="1164" t="str">
        <f t="shared" si="47"/>
        <v/>
      </c>
      <c r="CD112" s="1164" t="e">
        <f t="shared" si="48"/>
        <v>#VALUE!</v>
      </c>
      <c r="CE112" s="1164" t="str">
        <f t="shared" si="49"/>
        <v xml:space="preserve">* El número de Pueblos Originarios NO DEBE ser mayor que el Total. </v>
      </c>
      <c r="CF112" s="1164" t="str">
        <f t="shared" si="50"/>
        <v xml:space="preserve">* El número de Migrantes NO DEBE ser mayor que el Total. </v>
      </c>
      <c r="CG112" s="1164" t="str">
        <f t="shared" si="51"/>
        <v xml:space="preserve">* El número de Niños, Niñas, Adolescentes y Jóvenes Población SENAME NO DEBE ser mayor que el Total. </v>
      </c>
      <c r="CH112" s="1163">
        <f t="shared" si="52"/>
        <v>1</v>
      </c>
      <c r="CI112" s="1163">
        <f t="shared" si="53"/>
        <v>0</v>
      </c>
      <c r="CJ112" s="1163" t="e">
        <f t="shared" si="54"/>
        <v>#VALUE!</v>
      </c>
      <c r="CK112" s="1163">
        <f t="shared" si="55"/>
        <v>1</v>
      </c>
      <c r="CL112" s="1163">
        <f t="shared" si="56"/>
        <v>1</v>
      </c>
      <c r="CM112" s="1031">
        <f t="shared" si="57"/>
        <v>1</v>
      </c>
    </row>
    <row r="113" spans="1:91" ht="16.350000000000001" customHeight="1" x14ac:dyDescent="0.2">
      <c r="A113" s="2985" t="s">
        <v>3450</v>
      </c>
      <c r="B113" s="5258"/>
      <c r="C113" s="466" t="s">
        <v>288</v>
      </c>
      <c r="D113" s="3502" t="s">
        <v>2777</v>
      </c>
      <c r="E113" s="3503" t="s">
        <v>2778</v>
      </c>
      <c r="F113" s="3485" t="s">
        <v>2779</v>
      </c>
      <c r="G113" s="166" t="s">
        <v>2780</v>
      </c>
      <c r="H113" s="168" t="s">
        <v>2781</v>
      </c>
      <c r="I113" s="166" t="s">
        <v>2782</v>
      </c>
      <c r="J113" s="168" t="s">
        <v>2783</v>
      </c>
      <c r="K113" s="166" t="s">
        <v>2784</v>
      </c>
      <c r="L113" s="125" t="s">
        <v>2785</v>
      </c>
      <c r="M113" s="166" t="s">
        <v>2786</v>
      </c>
      <c r="N113" s="125" t="s">
        <v>2787</v>
      </c>
      <c r="O113" s="166" t="s">
        <v>2788</v>
      </c>
      <c r="P113" s="125" t="s">
        <v>2789</v>
      </c>
      <c r="Q113" s="166" t="s">
        <v>2790</v>
      </c>
      <c r="R113" s="125" t="s">
        <v>2791</v>
      </c>
      <c r="S113" s="166" t="s">
        <v>2792</v>
      </c>
      <c r="T113" s="125" t="s">
        <v>2793</v>
      </c>
      <c r="U113" s="166" t="s">
        <v>2794</v>
      </c>
      <c r="V113" s="125" t="s">
        <v>2795</v>
      </c>
      <c r="W113" s="166" t="s">
        <v>2796</v>
      </c>
      <c r="X113" s="125" t="s">
        <v>2797</v>
      </c>
      <c r="Y113" s="166" t="s">
        <v>2798</v>
      </c>
      <c r="Z113" s="125" t="s">
        <v>2799</v>
      </c>
      <c r="AA113" s="166" t="s">
        <v>2800</v>
      </c>
      <c r="AB113" s="125" t="s">
        <v>2801</v>
      </c>
      <c r="AC113" s="166" t="s">
        <v>2817</v>
      </c>
      <c r="AD113" s="125" t="s">
        <v>2818</v>
      </c>
      <c r="AE113" s="166" t="s">
        <v>2819</v>
      </c>
      <c r="AF113" s="125" t="s">
        <v>2821</v>
      </c>
      <c r="AG113" s="166" t="s">
        <v>2822</v>
      </c>
      <c r="AH113" s="125" t="s">
        <v>2823</v>
      </c>
      <c r="AI113" s="166" t="s">
        <v>2824</v>
      </c>
      <c r="AJ113" s="125" t="s">
        <v>2825</v>
      </c>
      <c r="AK113" s="166" t="s">
        <v>2826</v>
      </c>
      <c r="AL113" s="125" t="s">
        <v>2827</v>
      </c>
      <c r="AM113" s="227" t="s">
        <v>2831</v>
      </c>
      <c r="AN113" s="125" t="s">
        <v>2832</v>
      </c>
      <c r="AO113" s="375" t="s">
        <v>2833</v>
      </c>
      <c r="AP113" s="635" t="s">
        <v>2834</v>
      </c>
      <c r="AQ113" s="533" t="s">
        <v>3011</v>
      </c>
      <c r="AR113" s="126" t="s">
        <v>3012</v>
      </c>
      <c r="AS113" s="168" t="s">
        <v>3013</v>
      </c>
      <c r="AT113" s="168" t="s">
        <v>3014</v>
      </c>
      <c r="AU113" s="1162" t="e">
        <f t="shared" si="45"/>
        <v>#VALUE!</v>
      </c>
      <c r="AV113" s="1058"/>
      <c r="AW113" s="1058"/>
      <c r="AX113" s="1058"/>
      <c r="AY113" s="1058"/>
      <c r="AZ113" s="1058"/>
      <c r="BA113" s="1058"/>
      <c r="BB113" s="1058"/>
      <c r="BC113" s="1058"/>
      <c r="BD113" s="1058"/>
      <c r="BE113" s="1058"/>
      <c r="BF113" s="94"/>
      <c r="BG113" s="94"/>
      <c r="BH113" s="94"/>
      <c r="BY113" s="80"/>
      <c r="CB113" s="1164" t="str">
        <f t="shared" si="46"/>
        <v xml:space="preserve">* El número de Beneficiarios NO DEBE ser mayor que el Total </v>
      </c>
      <c r="CC113" s="1164" t="str">
        <f t="shared" si="47"/>
        <v/>
      </c>
      <c r="CD113" s="1164" t="e">
        <f t="shared" si="48"/>
        <v>#VALUE!</v>
      </c>
      <c r="CE113" s="1164" t="str">
        <f t="shared" si="49"/>
        <v xml:space="preserve">* El número de Pueblos Originarios NO DEBE ser mayor que el Total. </v>
      </c>
      <c r="CF113" s="1164" t="str">
        <f t="shared" si="50"/>
        <v xml:space="preserve">* El número de Migrantes NO DEBE ser mayor que el Total. </v>
      </c>
      <c r="CG113" s="1164" t="str">
        <f t="shared" si="51"/>
        <v xml:space="preserve">* El número de Niños, Niñas, Adolescentes y Jóvenes Población SENAME NO DEBE ser mayor que el Total. </v>
      </c>
      <c r="CH113" s="1163">
        <f t="shared" si="52"/>
        <v>1</v>
      </c>
      <c r="CI113" s="1163">
        <f t="shared" si="53"/>
        <v>0</v>
      </c>
      <c r="CJ113" s="1163" t="e">
        <f t="shared" si="54"/>
        <v>#VALUE!</v>
      </c>
      <c r="CK113" s="1163">
        <f t="shared" si="55"/>
        <v>1</v>
      </c>
      <c r="CL113" s="1163">
        <f t="shared" si="56"/>
        <v>1</v>
      </c>
      <c r="CM113" s="1031">
        <f t="shared" si="57"/>
        <v>1</v>
      </c>
    </row>
    <row r="114" spans="1:91" ht="16.350000000000001" customHeight="1" x14ac:dyDescent="0.2">
      <c r="A114" s="2951" t="s">
        <v>3451</v>
      </c>
      <c r="B114" s="5828" t="s">
        <v>506</v>
      </c>
      <c r="C114" s="2981" t="s">
        <v>495</v>
      </c>
      <c r="D114" s="3927" t="s">
        <v>2777</v>
      </c>
      <c r="E114" s="3928" t="s">
        <v>2778</v>
      </c>
      <c r="F114" s="2997" t="s">
        <v>2779</v>
      </c>
      <c r="G114" s="2956" t="s">
        <v>2780</v>
      </c>
      <c r="H114" s="2974" t="s">
        <v>2781</v>
      </c>
      <c r="I114" s="2956" t="s">
        <v>2782</v>
      </c>
      <c r="J114" s="2974" t="s">
        <v>2783</v>
      </c>
      <c r="K114" s="2956" t="s">
        <v>2784</v>
      </c>
      <c r="L114" s="2958" t="s">
        <v>2785</v>
      </c>
      <c r="M114" s="2956" t="s">
        <v>2786</v>
      </c>
      <c r="N114" s="2958" t="s">
        <v>2787</v>
      </c>
      <c r="O114" s="2956" t="s">
        <v>2788</v>
      </c>
      <c r="P114" s="2958" t="s">
        <v>2789</v>
      </c>
      <c r="Q114" s="2956" t="s">
        <v>2790</v>
      </c>
      <c r="R114" s="2958" t="s">
        <v>2791</v>
      </c>
      <c r="S114" s="2956" t="s">
        <v>2792</v>
      </c>
      <c r="T114" s="2958" t="s">
        <v>2793</v>
      </c>
      <c r="U114" s="2956" t="s">
        <v>2794</v>
      </c>
      <c r="V114" s="2958" t="s">
        <v>2795</v>
      </c>
      <c r="W114" s="2577" t="s">
        <v>2796</v>
      </c>
      <c r="X114" s="2270" t="s">
        <v>2797</v>
      </c>
      <c r="Y114" s="2577" t="s">
        <v>2798</v>
      </c>
      <c r="Z114" s="2270" t="s">
        <v>2799</v>
      </c>
      <c r="AA114" s="2577" t="s">
        <v>2800</v>
      </c>
      <c r="AB114" s="2270" t="s">
        <v>2801</v>
      </c>
      <c r="AC114" s="2577" t="s">
        <v>2817</v>
      </c>
      <c r="AD114" s="2270" t="s">
        <v>2818</v>
      </c>
      <c r="AE114" s="2577" t="s">
        <v>2819</v>
      </c>
      <c r="AF114" s="2270" t="s">
        <v>2821</v>
      </c>
      <c r="AG114" s="2577" t="s">
        <v>2822</v>
      </c>
      <c r="AH114" s="2270" t="s">
        <v>2823</v>
      </c>
      <c r="AI114" s="2577" t="s">
        <v>2824</v>
      </c>
      <c r="AJ114" s="2270" t="s">
        <v>2825</v>
      </c>
      <c r="AK114" s="2577" t="s">
        <v>2826</v>
      </c>
      <c r="AL114" s="2270" t="s">
        <v>2827</v>
      </c>
      <c r="AM114" s="2598" t="s">
        <v>2831</v>
      </c>
      <c r="AN114" s="2270" t="s">
        <v>2832</v>
      </c>
      <c r="AO114" s="2972" t="s">
        <v>2833</v>
      </c>
      <c r="AP114" s="2983" t="s">
        <v>2834</v>
      </c>
      <c r="AQ114" s="2984" t="s">
        <v>3011</v>
      </c>
      <c r="AR114" s="2973" t="s">
        <v>3012</v>
      </c>
      <c r="AS114" s="2974" t="s">
        <v>3013</v>
      </c>
      <c r="AT114" s="2974" t="s">
        <v>3014</v>
      </c>
      <c r="AU114" s="1162" t="e">
        <f t="shared" si="45"/>
        <v>#VALUE!</v>
      </c>
      <c r="AV114" s="1058"/>
      <c r="AW114" s="1058"/>
      <c r="AX114" s="1058"/>
      <c r="AY114" s="1058"/>
      <c r="AZ114" s="1058"/>
      <c r="BA114" s="1058"/>
      <c r="BB114" s="1058"/>
      <c r="BC114" s="1058"/>
      <c r="BD114" s="1058"/>
      <c r="BE114" s="1058"/>
      <c r="BF114" s="94"/>
      <c r="BG114" s="94"/>
      <c r="BH114" s="94"/>
      <c r="BY114" s="80"/>
      <c r="CB114" s="1164" t="str">
        <f t="shared" si="46"/>
        <v xml:space="preserve">* El número de Beneficiarios NO DEBE ser mayor que el Total </v>
      </c>
      <c r="CC114" s="1164" t="str">
        <f t="shared" si="47"/>
        <v/>
      </c>
      <c r="CD114" s="1164" t="e">
        <f t="shared" si="48"/>
        <v>#VALUE!</v>
      </c>
      <c r="CE114" s="1164" t="str">
        <f t="shared" si="49"/>
        <v xml:space="preserve">* El número de Pueblos Originarios NO DEBE ser mayor que el Total. </v>
      </c>
      <c r="CF114" s="1164" t="str">
        <f t="shared" si="50"/>
        <v xml:space="preserve">* El número de Migrantes NO DEBE ser mayor que el Total. </v>
      </c>
      <c r="CG114" s="1164" t="str">
        <f t="shared" si="51"/>
        <v xml:space="preserve">* El número de Niños, Niñas, Adolescentes y Jóvenes Población SENAME NO DEBE ser mayor que el Total. </v>
      </c>
      <c r="CH114" s="1163">
        <f t="shared" si="52"/>
        <v>1</v>
      </c>
      <c r="CI114" s="1163">
        <f t="shared" si="53"/>
        <v>0</v>
      </c>
      <c r="CJ114" s="1163" t="e">
        <f t="shared" si="54"/>
        <v>#VALUE!</v>
      </c>
      <c r="CK114" s="1163">
        <f t="shared" si="55"/>
        <v>1</v>
      </c>
      <c r="CL114" s="1163">
        <f t="shared" si="56"/>
        <v>1</v>
      </c>
      <c r="CM114" s="1031">
        <f t="shared" si="57"/>
        <v>1</v>
      </c>
    </row>
    <row r="115" spans="1:91" ht="16.350000000000001" customHeight="1" x14ac:dyDescent="0.2">
      <c r="A115" s="2951" t="s">
        <v>3452</v>
      </c>
      <c r="B115" s="5258"/>
      <c r="C115" s="466" t="s">
        <v>288</v>
      </c>
      <c r="D115" s="3502" t="s">
        <v>2777</v>
      </c>
      <c r="E115" s="3503" t="s">
        <v>2778</v>
      </c>
      <c r="F115" s="3485" t="s">
        <v>2779</v>
      </c>
      <c r="G115" s="166" t="s">
        <v>2780</v>
      </c>
      <c r="H115" s="168" t="s">
        <v>2781</v>
      </c>
      <c r="I115" s="166" t="s">
        <v>2782</v>
      </c>
      <c r="J115" s="168" t="s">
        <v>2783</v>
      </c>
      <c r="K115" s="166" t="s">
        <v>2784</v>
      </c>
      <c r="L115" s="125" t="s">
        <v>2785</v>
      </c>
      <c r="M115" s="166" t="s">
        <v>2786</v>
      </c>
      <c r="N115" s="125" t="s">
        <v>2787</v>
      </c>
      <c r="O115" s="166" t="s">
        <v>2788</v>
      </c>
      <c r="P115" s="125" t="s">
        <v>2789</v>
      </c>
      <c r="Q115" s="166" t="s">
        <v>2790</v>
      </c>
      <c r="R115" s="125" t="s">
        <v>2791</v>
      </c>
      <c r="S115" s="166" t="s">
        <v>2792</v>
      </c>
      <c r="T115" s="125" t="s">
        <v>2793</v>
      </c>
      <c r="U115" s="166" t="s">
        <v>2794</v>
      </c>
      <c r="V115" s="125" t="s">
        <v>2795</v>
      </c>
      <c r="W115" s="2249" t="s">
        <v>2796</v>
      </c>
      <c r="X115" s="2975" t="s">
        <v>2797</v>
      </c>
      <c r="Y115" s="2577" t="s">
        <v>2798</v>
      </c>
      <c r="Z115" s="2270" t="s">
        <v>2799</v>
      </c>
      <c r="AA115" s="2577" t="s">
        <v>2800</v>
      </c>
      <c r="AB115" s="2270" t="s">
        <v>2801</v>
      </c>
      <c r="AC115" s="2577" t="s">
        <v>2817</v>
      </c>
      <c r="AD115" s="2270" t="s">
        <v>2818</v>
      </c>
      <c r="AE115" s="2577" t="s">
        <v>2819</v>
      </c>
      <c r="AF115" s="2270" t="s">
        <v>2821</v>
      </c>
      <c r="AG115" s="2577" t="s">
        <v>2822</v>
      </c>
      <c r="AH115" s="2270" t="s">
        <v>2823</v>
      </c>
      <c r="AI115" s="2577" t="s">
        <v>2824</v>
      </c>
      <c r="AJ115" s="2270" t="s">
        <v>2825</v>
      </c>
      <c r="AK115" s="2577" t="s">
        <v>2826</v>
      </c>
      <c r="AL115" s="2270" t="s">
        <v>2827</v>
      </c>
      <c r="AM115" s="2598" t="s">
        <v>2831</v>
      </c>
      <c r="AN115" s="2270" t="s">
        <v>2832</v>
      </c>
      <c r="AO115" s="2976" t="s">
        <v>2833</v>
      </c>
      <c r="AP115" s="2755" t="s">
        <v>2834</v>
      </c>
      <c r="AQ115" s="2986" t="s">
        <v>3011</v>
      </c>
      <c r="AR115" s="2977" t="s">
        <v>3012</v>
      </c>
      <c r="AS115" s="2975" t="s">
        <v>3013</v>
      </c>
      <c r="AT115" s="2975" t="s">
        <v>3014</v>
      </c>
      <c r="AU115" s="1162" t="e">
        <f t="shared" si="45"/>
        <v>#VALUE!</v>
      </c>
      <c r="AV115" s="1058"/>
      <c r="AW115" s="1058"/>
      <c r="AX115" s="1058"/>
      <c r="AY115" s="1058"/>
      <c r="AZ115" s="1058"/>
      <c r="BA115" s="1058"/>
      <c r="BB115" s="1058"/>
      <c r="BC115" s="1058"/>
      <c r="BD115" s="1058"/>
      <c r="BE115" s="1058"/>
      <c r="BF115" s="94"/>
      <c r="BG115" s="94"/>
      <c r="BH115" s="94"/>
      <c r="BY115" s="80"/>
      <c r="CB115" s="1164" t="str">
        <f t="shared" si="46"/>
        <v xml:space="preserve">* El número de Beneficiarios NO DEBE ser mayor que el Total </v>
      </c>
      <c r="CC115" s="1164" t="str">
        <f t="shared" si="47"/>
        <v/>
      </c>
      <c r="CD115" s="1164" t="e">
        <f t="shared" si="48"/>
        <v>#VALUE!</v>
      </c>
      <c r="CE115" s="1164" t="str">
        <f t="shared" si="49"/>
        <v xml:space="preserve">* El número de Pueblos Originarios NO DEBE ser mayor que el Total. </v>
      </c>
      <c r="CF115" s="1164" t="str">
        <f t="shared" si="50"/>
        <v xml:space="preserve">* El número de Migrantes NO DEBE ser mayor que el Total. </v>
      </c>
      <c r="CG115" s="1164" t="str">
        <f t="shared" si="51"/>
        <v xml:space="preserve">* El número de Niños, Niñas, Adolescentes y Jóvenes Población SENAME NO DEBE ser mayor que el Total. </v>
      </c>
      <c r="CH115" s="1163">
        <f t="shared" si="52"/>
        <v>1</v>
      </c>
      <c r="CI115" s="1163">
        <f t="shared" si="53"/>
        <v>0</v>
      </c>
      <c r="CJ115" s="1163" t="e">
        <f t="shared" si="54"/>
        <v>#VALUE!</v>
      </c>
      <c r="CK115" s="1163">
        <f t="shared" si="55"/>
        <v>1</v>
      </c>
      <c r="CL115" s="1163">
        <f t="shared" si="56"/>
        <v>1</v>
      </c>
      <c r="CM115" s="1031">
        <f t="shared" si="57"/>
        <v>1</v>
      </c>
    </row>
    <row r="116" spans="1:91" ht="16.350000000000001" customHeight="1" x14ac:dyDescent="0.2">
      <c r="A116" s="2951" t="s">
        <v>3453</v>
      </c>
      <c r="B116" s="5829" t="s">
        <v>507</v>
      </c>
      <c r="C116" s="2987" t="s">
        <v>495</v>
      </c>
      <c r="D116" s="3929" t="s">
        <v>2777</v>
      </c>
      <c r="E116" s="3918" t="s">
        <v>2778</v>
      </c>
      <c r="F116" s="3919" t="s">
        <v>2779</v>
      </c>
      <c r="G116" s="2988" t="s">
        <v>2780</v>
      </c>
      <c r="H116" s="2989" t="s">
        <v>2781</v>
      </c>
      <c r="I116" s="2988" t="s">
        <v>2782</v>
      </c>
      <c r="J116" s="2989" t="s">
        <v>2783</v>
      </c>
      <c r="K116" s="2988" t="s">
        <v>2784</v>
      </c>
      <c r="L116" s="2989" t="s">
        <v>2785</v>
      </c>
      <c r="M116" s="218" t="s">
        <v>2786</v>
      </c>
      <c r="N116" s="2964" t="s">
        <v>2787</v>
      </c>
      <c r="O116" s="2962" t="s">
        <v>2788</v>
      </c>
      <c r="P116" s="2964" t="s">
        <v>2789</v>
      </c>
      <c r="Q116" s="2962" t="s">
        <v>2790</v>
      </c>
      <c r="R116" s="2964" t="s">
        <v>2791</v>
      </c>
      <c r="S116" s="2962" t="s">
        <v>2792</v>
      </c>
      <c r="T116" s="2964" t="s">
        <v>2793</v>
      </c>
      <c r="U116" s="2962" t="s">
        <v>2794</v>
      </c>
      <c r="V116" s="2964" t="s">
        <v>2795</v>
      </c>
      <c r="W116" s="2962" t="s">
        <v>2796</v>
      </c>
      <c r="X116" s="2964" t="s">
        <v>2797</v>
      </c>
      <c r="Y116" s="2962" t="s">
        <v>2798</v>
      </c>
      <c r="Z116" s="2964" t="s">
        <v>2799</v>
      </c>
      <c r="AA116" s="2962" t="s">
        <v>2800</v>
      </c>
      <c r="AB116" s="2964" t="s">
        <v>2801</v>
      </c>
      <c r="AC116" s="2962" t="s">
        <v>2817</v>
      </c>
      <c r="AD116" s="2964" t="s">
        <v>2818</v>
      </c>
      <c r="AE116" s="2962" t="s">
        <v>2819</v>
      </c>
      <c r="AF116" s="2964" t="s">
        <v>2821</v>
      </c>
      <c r="AG116" s="2962" t="s">
        <v>2822</v>
      </c>
      <c r="AH116" s="2964" t="s">
        <v>2823</v>
      </c>
      <c r="AI116" s="2962" t="s">
        <v>2824</v>
      </c>
      <c r="AJ116" s="2964" t="s">
        <v>2825</v>
      </c>
      <c r="AK116" s="2962" t="s">
        <v>2826</v>
      </c>
      <c r="AL116" s="2964" t="s">
        <v>2827</v>
      </c>
      <c r="AM116" s="2965" t="s">
        <v>2831</v>
      </c>
      <c r="AN116" s="2964" t="s">
        <v>2832</v>
      </c>
      <c r="AO116" s="2967" t="s">
        <v>2833</v>
      </c>
      <c r="AP116" s="2990" t="s">
        <v>2834</v>
      </c>
      <c r="AQ116" s="2991" t="s">
        <v>3011</v>
      </c>
      <c r="AR116" s="2968" t="s">
        <v>3012</v>
      </c>
      <c r="AS116" s="2963" t="s">
        <v>3013</v>
      </c>
      <c r="AT116" s="2963" t="s">
        <v>3014</v>
      </c>
      <c r="AU116" s="1162" t="e">
        <f t="shared" si="45"/>
        <v>#VALUE!</v>
      </c>
      <c r="AV116" s="1058"/>
      <c r="AW116" s="1058"/>
      <c r="AX116" s="1058"/>
      <c r="AY116" s="1058"/>
      <c r="AZ116" s="1058"/>
      <c r="BA116" s="1058"/>
      <c r="BB116" s="1058"/>
      <c r="BC116" s="1058"/>
      <c r="BD116" s="1058"/>
      <c r="BE116" s="1058"/>
      <c r="BF116" s="94"/>
      <c r="BG116" s="94"/>
      <c r="BH116" s="94"/>
      <c r="BY116" s="80"/>
      <c r="CB116" s="1164" t="str">
        <f t="shared" si="46"/>
        <v xml:space="preserve">* El número de Beneficiarios NO DEBE ser mayor que el Total </v>
      </c>
      <c r="CC116" s="1164" t="str">
        <f t="shared" si="47"/>
        <v/>
      </c>
      <c r="CD116" s="1164" t="e">
        <f t="shared" si="48"/>
        <v>#VALUE!</v>
      </c>
      <c r="CE116" s="1164" t="str">
        <f t="shared" si="49"/>
        <v xml:space="preserve">* El número de Pueblos Originarios NO DEBE ser mayor que el Total. </v>
      </c>
      <c r="CF116" s="1164" t="str">
        <f t="shared" si="50"/>
        <v xml:space="preserve">* El número de Migrantes NO DEBE ser mayor que el Total. </v>
      </c>
      <c r="CG116" s="1164" t="str">
        <f t="shared" si="51"/>
        <v xml:space="preserve">* El número de Niños, Niñas, Adolescentes y Jóvenes Población SENAME NO DEBE ser mayor que el Total. </v>
      </c>
      <c r="CH116" s="1163">
        <f>IF(D116&lt;AO116,1,0)</f>
        <v>1</v>
      </c>
      <c r="CI116" s="1163">
        <f t="shared" si="53"/>
        <v>0</v>
      </c>
      <c r="CJ116" s="1163" t="e">
        <f t="shared" si="54"/>
        <v>#VALUE!</v>
      </c>
      <c r="CK116" s="1163">
        <f t="shared" si="55"/>
        <v>1</v>
      </c>
      <c r="CL116" s="1163">
        <f t="shared" si="56"/>
        <v>1</v>
      </c>
      <c r="CM116" s="1031">
        <f t="shared" si="57"/>
        <v>1</v>
      </c>
    </row>
    <row r="117" spans="1:91" ht="16.350000000000001" customHeight="1" x14ac:dyDescent="0.2">
      <c r="A117" s="2951" t="s">
        <v>3454</v>
      </c>
      <c r="B117" s="5343"/>
      <c r="C117" s="465" t="s">
        <v>288</v>
      </c>
      <c r="D117" s="3504" t="s">
        <v>2777</v>
      </c>
      <c r="E117" s="3505" t="s">
        <v>2778</v>
      </c>
      <c r="F117" s="3484" t="s">
        <v>2779</v>
      </c>
      <c r="G117" s="101" t="s">
        <v>2780</v>
      </c>
      <c r="H117" s="169" t="s">
        <v>2781</v>
      </c>
      <c r="I117" s="101" t="s">
        <v>2782</v>
      </c>
      <c r="J117" s="169" t="s">
        <v>2783</v>
      </c>
      <c r="K117" s="101" t="s">
        <v>2784</v>
      </c>
      <c r="L117" s="169" t="s">
        <v>2785</v>
      </c>
      <c r="M117" s="2992" t="s">
        <v>2786</v>
      </c>
      <c r="N117" s="125" t="s">
        <v>2787</v>
      </c>
      <c r="O117" s="166" t="s">
        <v>2788</v>
      </c>
      <c r="P117" s="125" t="s">
        <v>2789</v>
      </c>
      <c r="Q117" s="166" t="s">
        <v>2790</v>
      </c>
      <c r="R117" s="125" t="s">
        <v>2791</v>
      </c>
      <c r="S117" s="166" t="s">
        <v>2792</v>
      </c>
      <c r="T117" s="125" t="s">
        <v>2793</v>
      </c>
      <c r="U117" s="166" t="s">
        <v>2794</v>
      </c>
      <c r="V117" s="125" t="s">
        <v>2795</v>
      </c>
      <c r="W117" s="166" t="s">
        <v>2796</v>
      </c>
      <c r="X117" s="125" t="s">
        <v>2797</v>
      </c>
      <c r="Y117" s="166" t="s">
        <v>2798</v>
      </c>
      <c r="Z117" s="125" t="s">
        <v>2799</v>
      </c>
      <c r="AA117" s="166" t="s">
        <v>2800</v>
      </c>
      <c r="AB117" s="125" t="s">
        <v>2801</v>
      </c>
      <c r="AC117" s="166" t="s">
        <v>2817</v>
      </c>
      <c r="AD117" s="125" t="s">
        <v>2818</v>
      </c>
      <c r="AE117" s="166" t="s">
        <v>2819</v>
      </c>
      <c r="AF117" s="125" t="s">
        <v>2821</v>
      </c>
      <c r="AG117" s="166" t="s">
        <v>2822</v>
      </c>
      <c r="AH117" s="125" t="s">
        <v>2823</v>
      </c>
      <c r="AI117" s="166" t="s">
        <v>2824</v>
      </c>
      <c r="AJ117" s="125" t="s">
        <v>2825</v>
      </c>
      <c r="AK117" s="166" t="s">
        <v>2826</v>
      </c>
      <c r="AL117" s="125" t="s">
        <v>2827</v>
      </c>
      <c r="AM117" s="227" t="s">
        <v>2831</v>
      </c>
      <c r="AN117" s="125" t="s">
        <v>2832</v>
      </c>
      <c r="AO117" s="375" t="s">
        <v>2833</v>
      </c>
      <c r="AP117" s="635" t="s">
        <v>2834</v>
      </c>
      <c r="AQ117" s="533" t="s">
        <v>3011</v>
      </c>
      <c r="AR117" s="126" t="s">
        <v>3012</v>
      </c>
      <c r="AS117" s="168" t="s">
        <v>3013</v>
      </c>
      <c r="AT117" s="168" t="s">
        <v>3014</v>
      </c>
      <c r="AU117" s="1162" t="e">
        <f t="shared" si="45"/>
        <v>#VALUE!</v>
      </c>
      <c r="AV117" s="1058"/>
      <c r="AW117" s="1058"/>
      <c r="AX117" s="1058"/>
      <c r="AY117" s="1058"/>
      <c r="AZ117" s="1058"/>
      <c r="BA117" s="1058"/>
      <c r="BB117" s="1058"/>
      <c r="BC117" s="1058"/>
      <c r="BD117" s="1058"/>
      <c r="BE117" s="1058"/>
      <c r="BF117" s="94"/>
      <c r="BG117" s="94"/>
      <c r="BH117" s="94"/>
      <c r="BY117" s="80"/>
      <c r="CB117" s="1164" t="str">
        <f t="shared" si="46"/>
        <v xml:space="preserve">* El número de Beneficiarios NO DEBE ser mayor que el Total </v>
      </c>
      <c r="CC117" s="1164" t="str">
        <f t="shared" si="47"/>
        <v/>
      </c>
      <c r="CD117" s="1164" t="e">
        <f t="shared" si="48"/>
        <v>#VALUE!</v>
      </c>
      <c r="CE117" s="1164" t="str">
        <f t="shared" si="49"/>
        <v xml:space="preserve">* El número de Pueblos Originarios NO DEBE ser mayor que el Total. </v>
      </c>
      <c r="CF117" s="1164" t="str">
        <f t="shared" si="50"/>
        <v xml:space="preserve">* El número de Migrantes NO DEBE ser mayor que el Total. </v>
      </c>
      <c r="CG117" s="1164" t="str">
        <f t="shared" si="51"/>
        <v xml:space="preserve">* El número de Niños, Niñas, Adolescentes y Jóvenes Población SENAME NO DEBE ser mayor que el Total. </v>
      </c>
      <c r="CH117" s="1163">
        <f t="shared" si="52"/>
        <v>1</v>
      </c>
      <c r="CI117" s="1163">
        <f t="shared" si="53"/>
        <v>0</v>
      </c>
      <c r="CJ117" s="1163" t="e">
        <f t="shared" si="54"/>
        <v>#VALUE!</v>
      </c>
      <c r="CK117" s="1163">
        <f t="shared" si="55"/>
        <v>1</v>
      </c>
      <c r="CL117" s="1163">
        <f t="shared" si="56"/>
        <v>1</v>
      </c>
      <c r="CM117" s="1031">
        <f t="shared" si="57"/>
        <v>1</v>
      </c>
    </row>
    <row r="118" spans="1:91" x14ac:dyDescent="0.2">
      <c r="AB118" s="190"/>
      <c r="AC118" s="190"/>
      <c r="AD118" s="190"/>
      <c r="AE118" s="190"/>
      <c r="AF118" s="190"/>
      <c r="AS118" s="80" t="s">
        <v>884</v>
      </c>
      <c r="AT118" s="94"/>
      <c r="AU118" s="94"/>
      <c r="AV118" s="94"/>
      <c r="AW118" s="94"/>
      <c r="AX118" s="94"/>
      <c r="AY118" s="94"/>
      <c r="AZ118" s="94"/>
      <c r="BA118" s="94"/>
      <c r="BB118" s="94"/>
      <c r="BC118" s="94"/>
      <c r="BD118" s="94"/>
      <c r="BE118" s="94"/>
      <c r="BF118" s="94"/>
      <c r="BG118" s="94"/>
      <c r="BH118" s="94"/>
      <c r="CH118" s="1020"/>
      <c r="CI118" s="1020"/>
      <c r="CJ118" s="1020"/>
      <c r="CK118" s="1020"/>
      <c r="CL118" s="1020"/>
    </row>
    <row r="119" spans="1:91" x14ac:dyDescent="0.2">
      <c r="AB119" s="190"/>
      <c r="AC119" s="190"/>
      <c r="AD119" s="190"/>
      <c r="AE119" s="190"/>
      <c r="AF119" s="190"/>
      <c r="AT119" s="94"/>
      <c r="AU119" s="94"/>
      <c r="AV119" s="94"/>
      <c r="AW119" s="94"/>
      <c r="AX119" s="94"/>
      <c r="AY119" s="94"/>
      <c r="AZ119" s="94"/>
      <c r="BA119" s="94"/>
      <c r="BB119" s="94"/>
      <c r="BC119" s="94"/>
      <c r="BD119" s="94"/>
      <c r="BE119" s="94"/>
      <c r="BF119" s="94"/>
      <c r="BG119" s="94"/>
      <c r="BH119" s="94"/>
      <c r="CH119" s="1020"/>
      <c r="CI119" s="1020"/>
      <c r="CJ119" s="1020"/>
      <c r="CK119" s="1020"/>
      <c r="CL119" s="1020"/>
    </row>
    <row r="120" spans="1:91" x14ac:dyDescent="0.2">
      <c r="AB120" s="190"/>
      <c r="AC120" s="190"/>
      <c r="AD120" s="190"/>
      <c r="AE120" s="190"/>
      <c r="AF120" s="190"/>
      <c r="AT120" s="94"/>
      <c r="AU120" s="94"/>
      <c r="AV120" s="94"/>
      <c r="AW120" s="94"/>
      <c r="AX120" s="94"/>
      <c r="AY120" s="94"/>
      <c r="AZ120" s="94"/>
      <c r="BA120" s="94"/>
      <c r="BB120" s="94"/>
      <c r="BC120" s="94"/>
      <c r="BD120" s="94"/>
      <c r="BE120" s="94"/>
      <c r="BF120" s="94"/>
      <c r="BG120" s="94"/>
      <c r="BH120" s="94"/>
    </row>
    <row r="121" spans="1:91" x14ac:dyDescent="0.2">
      <c r="AB121" s="190"/>
      <c r="AC121" s="190"/>
      <c r="AD121" s="190"/>
      <c r="AE121" s="190"/>
      <c r="AF121" s="190"/>
      <c r="AT121" s="94"/>
      <c r="AU121" s="94"/>
      <c r="AV121" s="94"/>
      <c r="AW121" s="94"/>
      <c r="AX121" s="94"/>
      <c r="AY121" s="94"/>
      <c r="AZ121" s="94"/>
      <c r="BA121" s="94"/>
      <c r="BB121" s="94"/>
      <c r="BC121" s="94"/>
      <c r="BD121" s="94"/>
      <c r="BE121" s="94"/>
    </row>
    <row r="122" spans="1:91" x14ac:dyDescent="0.2">
      <c r="AB122" s="190"/>
      <c r="AC122" s="190"/>
      <c r="AD122" s="190"/>
      <c r="AE122" s="190"/>
      <c r="AF122" s="190"/>
      <c r="AT122" s="94"/>
      <c r="AU122" s="94"/>
      <c r="AV122" s="94"/>
      <c r="AW122" s="94"/>
      <c r="AX122" s="94"/>
      <c r="AY122" s="94"/>
      <c r="AZ122" s="94"/>
      <c r="BA122" s="94"/>
      <c r="BB122" s="94"/>
      <c r="BC122" s="94"/>
      <c r="BD122" s="94"/>
      <c r="BE122" s="94"/>
    </row>
    <row r="123" spans="1:91" x14ac:dyDescent="0.2">
      <c r="AB123" s="190"/>
      <c r="AC123" s="190"/>
      <c r="AD123" s="190"/>
      <c r="AE123" s="190"/>
      <c r="AF123" s="190"/>
      <c r="AT123" s="94"/>
      <c r="AU123" s="94"/>
      <c r="AV123" s="94"/>
      <c r="AW123" s="94"/>
      <c r="AX123" s="94"/>
      <c r="AY123" s="94"/>
      <c r="AZ123" s="94"/>
      <c r="BA123" s="94"/>
      <c r="BB123" s="94"/>
      <c r="BC123" s="94"/>
      <c r="BD123" s="94"/>
      <c r="BE123" s="94"/>
    </row>
    <row r="124" spans="1:91" x14ac:dyDescent="0.2">
      <c r="A124" s="80" t="s">
        <v>3740</v>
      </c>
      <c r="AB124" s="190"/>
      <c r="AC124" s="190"/>
      <c r="AD124" s="190"/>
      <c r="AE124" s="190"/>
      <c r="AF124" s="190"/>
    </row>
    <row r="125" spans="1:91" x14ac:dyDescent="0.2">
      <c r="A125" s="4635" t="s">
        <v>3775</v>
      </c>
      <c r="AB125" s="190"/>
      <c r="AC125" s="190"/>
      <c r="AD125" s="190"/>
      <c r="AE125" s="190"/>
      <c r="AF125" s="190"/>
    </row>
    <row r="126" spans="1:91" x14ac:dyDescent="0.2">
      <c r="A126" s="4636" t="s">
        <v>3776</v>
      </c>
      <c r="AB126" s="190"/>
      <c r="AC126" s="190"/>
      <c r="AD126" s="190"/>
      <c r="AE126" s="190"/>
      <c r="AF126" s="190"/>
    </row>
    <row r="127" spans="1:91" x14ac:dyDescent="0.2">
      <c r="A127" s="4636" t="s">
        <v>3777</v>
      </c>
      <c r="AB127" s="190"/>
      <c r="AC127" s="190"/>
      <c r="AD127" s="190"/>
      <c r="AE127" s="190"/>
      <c r="AF127" s="190"/>
    </row>
    <row r="128" spans="1:91" x14ac:dyDescent="0.2">
      <c r="AB128" s="190"/>
      <c r="AC128" s="190"/>
      <c r="AD128" s="190"/>
      <c r="AE128" s="190"/>
      <c r="AF128" s="190"/>
      <c r="AG128" s="190"/>
      <c r="AH128" s="190"/>
      <c r="AI128" s="190"/>
      <c r="AJ128" s="190"/>
      <c r="AK128" s="190"/>
      <c r="AL128" s="190"/>
      <c r="AM128" s="190"/>
    </row>
    <row r="129" spans="2:44" x14ac:dyDescent="0.2">
      <c r="AB129" s="190"/>
      <c r="AC129" s="190"/>
      <c r="AD129" s="190"/>
      <c r="AE129" s="190"/>
      <c r="AF129" s="190"/>
      <c r="AG129" s="190"/>
      <c r="AH129" s="190"/>
      <c r="AI129" s="190"/>
      <c r="AJ129" s="190"/>
      <c r="AK129" s="190"/>
      <c r="AL129" s="190"/>
      <c r="AM129" s="190"/>
    </row>
    <row r="130" spans="2:44" x14ac:dyDescent="0.2">
      <c r="AB130" s="190"/>
      <c r="AC130" s="190"/>
      <c r="AD130" s="190"/>
      <c r="AE130" s="190"/>
      <c r="AF130" s="190"/>
      <c r="AG130" s="190"/>
      <c r="AH130" s="190"/>
      <c r="AI130" s="190"/>
      <c r="AJ130" s="190"/>
      <c r="AK130" s="190"/>
      <c r="AL130" s="190"/>
      <c r="AM130" s="190"/>
    </row>
    <row r="131" spans="2:44" x14ac:dyDescent="0.2">
      <c r="AB131" s="190"/>
      <c r="AC131" s="190"/>
      <c r="AD131" s="190"/>
      <c r="AE131" s="190"/>
      <c r="AF131" s="190"/>
      <c r="AG131" s="190"/>
      <c r="AH131" s="190"/>
      <c r="AI131" s="190"/>
      <c r="AJ131" s="190"/>
      <c r="AK131" s="190"/>
      <c r="AL131" s="190"/>
      <c r="AM131" s="190"/>
    </row>
    <row r="132" spans="2:44" x14ac:dyDescent="0.2">
      <c r="AB132" s="190"/>
      <c r="AC132" s="190"/>
      <c r="AD132" s="190"/>
      <c r="AE132" s="190"/>
      <c r="AF132" s="190"/>
      <c r="AG132" s="190"/>
      <c r="AH132" s="190"/>
      <c r="AI132" s="190"/>
      <c r="AJ132" s="190"/>
      <c r="AK132" s="190"/>
      <c r="AL132" s="190"/>
      <c r="AM132" s="190"/>
    </row>
    <row r="133" spans="2:44" x14ac:dyDescent="0.2">
      <c r="AB133" s="190"/>
      <c r="AC133" s="190"/>
      <c r="AD133" s="190"/>
      <c r="AE133" s="190"/>
      <c r="AF133" s="190"/>
      <c r="AG133" s="190"/>
      <c r="AH133" s="190"/>
      <c r="AI133" s="190"/>
      <c r="AJ133" s="190"/>
      <c r="AK133" s="190"/>
      <c r="AL133" s="190"/>
      <c r="AM133" s="190"/>
    </row>
    <row r="134" spans="2:44" x14ac:dyDescent="0.2">
      <c r="AB134" s="190"/>
      <c r="AC134" s="190"/>
      <c r="AD134" s="190"/>
      <c r="AE134" s="190"/>
      <c r="AF134" s="190"/>
      <c r="AG134" s="190"/>
      <c r="AH134" s="190"/>
      <c r="AI134" s="190"/>
      <c r="AJ134" s="190"/>
      <c r="AK134" s="190"/>
      <c r="AL134" s="190"/>
      <c r="AM134" s="190"/>
    </row>
    <row r="135" spans="2:44" x14ac:dyDescent="0.2">
      <c r="AB135" s="190"/>
      <c r="AC135" s="190"/>
      <c r="AD135" s="190"/>
      <c r="AE135" s="190"/>
      <c r="AF135" s="190"/>
      <c r="AG135" s="190"/>
      <c r="AH135" s="190"/>
      <c r="AI135" s="190"/>
      <c r="AJ135" s="190"/>
      <c r="AK135" s="190"/>
      <c r="AL135" s="190"/>
      <c r="AM135" s="190"/>
    </row>
    <row r="136" spans="2:44" x14ac:dyDescent="0.2">
      <c r="B136" s="190"/>
      <c r="C136" s="190"/>
      <c r="D136" s="190"/>
      <c r="E136" s="190"/>
      <c r="F136" s="190"/>
      <c r="G136" s="190"/>
      <c r="H136" s="190"/>
      <c r="I136" s="190"/>
      <c r="J136" s="190"/>
      <c r="K136" s="190"/>
      <c r="L136" s="190"/>
      <c r="M136" s="190"/>
      <c r="N136" s="190"/>
      <c r="O136" s="190"/>
      <c r="P136" s="190"/>
      <c r="Q136" s="190"/>
      <c r="R136" s="190"/>
      <c r="S136" s="190"/>
      <c r="T136" s="190"/>
      <c r="U136" s="190"/>
      <c r="V136" s="190"/>
      <c r="W136" s="190"/>
      <c r="X136" s="190"/>
      <c r="Y136" s="190"/>
      <c r="Z136" s="190"/>
      <c r="AA136" s="190"/>
      <c r="AB136" s="190"/>
      <c r="AC136" s="190"/>
      <c r="AD136" s="190"/>
      <c r="AE136" s="190"/>
      <c r="AF136" s="190"/>
      <c r="AG136" s="190"/>
      <c r="AH136" s="190"/>
      <c r="AI136" s="190"/>
      <c r="AJ136" s="298"/>
      <c r="AK136" s="190"/>
      <c r="AL136" s="190"/>
      <c r="AM136" s="190"/>
      <c r="AN136" s="190"/>
      <c r="AO136" s="190"/>
      <c r="AP136" s="190"/>
      <c r="AQ136" s="190"/>
      <c r="AR136" s="298"/>
    </row>
    <row r="192" ht="12.75" customHeight="1" x14ac:dyDescent="0.2"/>
    <row r="193" spans="2:105" s="206" customFormat="1" hidden="1" x14ac:dyDescent="0.2">
      <c r="B193" s="206">
        <f>SUM(C71,C88,D102,D107:D117,AW71,AS71:AT71,X71:AW71)</f>
        <v>0</v>
      </c>
      <c r="C193" s="206" t="e">
        <f>SUM(CH7:CL119)</f>
        <v>#VALUE!</v>
      </c>
      <c r="BY193" s="1016"/>
      <c r="BZ193" s="1016"/>
      <c r="CA193" s="1016"/>
      <c r="CB193" s="1016"/>
      <c r="CC193" s="1016"/>
      <c r="CD193" s="1016"/>
      <c r="CE193" s="1016"/>
      <c r="CF193" s="1016"/>
      <c r="CG193" s="1016"/>
      <c r="CH193" s="1016"/>
      <c r="CI193" s="1016"/>
      <c r="CJ193" s="1016"/>
      <c r="CK193" s="1016"/>
      <c r="CL193" s="1016"/>
      <c r="CM193" s="1016"/>
      <c r="CN193" s="1016"/>
      <c r="CO193" s="1016"/>
      <c r="CP193" s="1016"/>
      <c r="CQ193" s="1016"/>
      <c r="CR193" s="1016"/>
      <c r="CS193" s="1016"/>
      <c r="CT193" s="1016"/>
      <c r="CU193" s="1016"/>
      <c r="CV193" s="1016"/>
      <c r="CW193" s="1016"/>
      <c r="CX193" s="1016"/>
      <c r="CY193" s="1016"/>
      <c r="CZ193" s="1016"/>
      <c r="DA193" s="1016"/>
    </row>
  </sheetData>
  <mergeCells count="88">
    <mergeCell ref="A9:A10"/>
    <mergeCell ref="B114:B115"/>
    <mergeCell ref="B116:B117"/>
    <mergeCell ref="B109:B111"/>
    <mergeCell ref="B104:B106"/>
    <mergeCell ref="B102:C102"/>
    <mergeCell ref="B94:B96"/>
    <mergeCell ref="B90:C92"/>
    <mergeCell ref="B93:C93"/>
    <mergeCell ref="C104:C106"/>
    <mergeCell ref="B97:C97"/>
    <mergeCell ref="B98:C98"/>
    <mergeCell ref="B99:C99"/>
    <mergeCell ref="B100:C100"/>
    <mergeCell ref="B101:C101"/>
    <mergeCell ref="B107:B108"/>
    <mergeCell ref="B112:B113"/>
    <mergeCell ref="Q105:R105"/>
    <mergeCell ref="AG105:AH105"/>
    <mergeCell ref="D104:F105"/>
    <mergeCell ref="G104:AN104"/>
    <mergeCell ref="S105:T105"/>
    <mergeCell ref="U105:V105"/>
    <mergeCell ref="AI105:AJ105"/>
    <mergeCell ref="G105:H105"/>
    <mergeCell ref="I105:J105"/>
    <mergeCell ref="K105:L105"/>
    <mergeCell ref="M105:N105"/>
    <mergeCell ref="O105:P105"/>
    <mergeCell ref="D90:F91"/>
    <mergeCell ref="G90:AN90"/>
    <mergeCell ref="AM91:AN91"/>
    <mergeCell ref="AG91:AH91"/>
    <mergeCell ref="AI91:AJ91"/>
    <mergeCell ref="AK91:AL91"/>
    <mergeCell ref="Q91:R91"/>
    <mergeCell ref="S91:T91"/>
    <mergeCell ref="U91:V91"/>
    <mergeCell ref="G91:H91"/>
    <mergeCell ref="I91:J91"/>
    <mergeCell ref="K91:L91"/>
    <mergeCell ref="AO104:AO106"/>
    <mergeCell ref="O91:P91"/>
    <mergeCell ref="AA105:AB105"/>
    <mergeCell ref="AE105:AF105"/>
    <mergeCell ref="W105:X105"/>
    <mergeCell ref="Y105:Z105"/>
    <mergeCell ref="AK105:AL105"/>
    <mergeCell ref="AM105:AN105"/>
    <mergeCell ref="AC105:AD105"/>
    <mergeCell ref="AK8:AL9"/>
    <mergeCell ref="AH8:AI9"/>
    <mergeCell ref="M91:N91"/>
    <mergeCell ref="AA91:AB91"/>
    <mergeCell ref="AC91:AD91"/>
    <mergeCell ref="AE91:AF91"/>
    <mergeCell ref="B6:AE6"/>
    <mergeCell ref="B8:B10"/>
    <mergeCell ref="X8:AE8"/>
    <mergeCell ref="AT7:AV7"/>
    <mergeCell ref="AQ5:AQ7"/>
    <mergeCell ref="AR5:AS7"/>
    <mergeCell ref="AR8:AR10"/>
    <mergeCell ref="AU8:AW9"/>
    <mergeCell ref="AQ8:AQ10"/>
    <mergeCell ref="AS8:AT9"/>
    <mergeCell ref="AM8:AN9"/>
    <mergeCell ref="AF8:AG9"/>
    <mergeCell ref="X9:AA9"/>
    <mergeCell ref="C9:C10"/>
    <mergeCell ref="D9:T9"/>
    <mergeCell ref="AB9:AE9"/>
    <mergeCell ref="AX8:AY9"/>
    <mergeCell ref="U9:U10"/>
    <mergeCell ref="V9:W9"/>
    <mergeCell ref="C8:W8"/>
    <mergeCell ref="AR104:AR106"/>
    <mergeCell ref="AS104:AS106"/>
    <mergeCell ref="AR90:AR92"/>
    <mergeCell ref="AO8:AP9"/>
    <mergeCell ref="AP104:AQ105"/>
    <mergeCell ref="AQ90:AQ92"/>
    <mergeCell ref="AP90:AP92"/>
    <mergeCell ref="AT104:AT106"/>
    <mergeCell ref="AJ8:AJ10"/>
    <mergeCell ref="AO90:AO92"/>
    <mergeCell ref="W91:X91"/>
    <mergeCell ref="Y91:Z91"/>
  </mergeCells>
  <phoneticPr fontId="87" type="noConversion"/>
  <pageMargins left="0.7" right="0.7" top="0.75" bottom="0.75" header="0.3" footer="0.3"/>
  <pageSetup paperSize="9" orientation="portrait" r:id="rId1"/>
  <extLst>
    <ext xmlns:mx="http://schemas.microsoft.com/office/mac/excel/2008/main" uri="{64002731-A6B0-56B0-2670-7721B7C09600}">
      <mx:PLV Mode="0" OnePage="0" WScale="0"/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9">
    <tabColor theme="0"/>
  </sheetPr>
  <dimension ref="A1:DA212"/>
  <sheetViews>
    <sheetView showGridLines="0" zoomScaleNormal="100" workbookViewId="0"/>
  </sheetViews>
  <sheetFormatPr baseColWidth="10" defaultColWidth="11.42578125" defaultRowHeight="15" x14ac:dyDescent="0.25"/>
  <cols>
    <col min="1" max="1" width="14.5703125" style="4241" customWidth="1"/>
    <col min="2" max="2" width="44.7109375" customWidth="1"/>
    <col min="3" max="3" width="31.140625" customWidth="1"/>
    <col min="4" max="4" width="14.140625" customWidth="1"/>
    <col min="5" max="5" width="12.42578125" customWidth="1"/>
    <col min="6" max="7" width="10.42578125" customWidth="1"/>
    <col min="8" max="8" width="11.85546875" customWidth="1"/>
    <col min="9" max="9" width="11" customWidth="1"/>
    <col min="10" max="23" width="11.42578125" customWidth="1"/>
    <col min="24" max="24" width="13.5703125" customWidth="1"/>
    <col min="25" max="25" width="17.42578125" customWidth="1"/>
    <col min="26" max="26" width="16.140625" customWidth="1"/>
    <col min="27" max="27" width="13" customWidth="1"/>
    <col min="28" max="28" width="12.85546875" customWidth="1"/>
    <col min="29" max="29" width="13.28515625" customWidth="1"/>
    <col min="30" max="35" width="11.42578125" customWidth="1"/>
    <col min="36" max="36" width="14" customWidth="1"/>
    <col min="37" max="38" width="11.42578125" customWidth="1"/>
    <col min="42" max="42" width="12.7109375" customWidth="1"/>
    <col min="45" max="45" width="15.140625" customWidth="1"/>
    <col min="74" max="75" width="15.42578125" customWidth="1"/>
    <col min="76" max="78" width="15.7109375" customWidth="1"/>
    <col min="79" max="105" width="15.42578125" customWidth="1"/>
  </cols>
  <sheetData>
    <row r="1" spans="1:92" ht="16.350000000000001" customHeight="1" x14ac:dyDescent="0.25">
      <c r="B1" s="78" t="s">
        <v>910</v>
      </c>
      <c r="C1" s="983"/>
      <c r="D1" s="983"/>
      <c r="E1" s="983"/>
      <c r="F1" s="983"/>
      <c r="G1" s="983"/>
      <c r="H1" s="983"/>
      <c r="I1" s="983"/>
      <c r="J1" s="983"/>
      <c r="K1" s="983"/>
      <c r="L1" s="983"/>
      <c r="M1" s="983"/>
      <c r="N1" s="983"/>
      <c r="O1" s="983"/>
      <c r="P1" s="983"/>
      <c r="Q1" s="983"/>
      <c r="R1" s="983"/>
      <c r="S1" s="983"/>
      <c r="T1" s="983"/>
      <c r="U1" s="983"/>
      <c r="V1" s="983"/>
      <c r="W1" s="983"/>
      <c r="X1" s="983"/>
      <c r="Y1" s="983"/>
      <c r="Z1" s="983"/>
      <c r="AA1" s="983"/>
      <c r="AB1" s="983"/>
      <c r="AC1" s="983"/>
      <c r="AD1" s="983"/>
      <c r="AE1" s="983"/>
      <c r="AF1" s="983"/>
      <c r="AG1" s="983"/>
      <c r="AH1" s="983"/>
      <c r="AI1" s="983"/>
      <c r="AJ1" s="983"/>
      <c r="AK1" s="983"/>
      <c r="AL1" s="983"/>
      <c r="AM1" s="983"/>
      <c r="AN1" s="983"/>
      <c r="AO1" s="983"/>
      <c r="AP1" s="983"/>
      <c r="AQ1" s="983"/>
      <c r="AR1" s="983"/>
      <c r="AS1" s="983"/>
      <c r="AT1" s="983"/>
      <c r="AU1" s="983"/>
      <c r="AV1" s="983"/>
      <c r="AW1" s="983"/>
      <c r="AX1" s="983"/>
      <c r="AY1" s="983"/>
      <c r="AZ1" s="983"/>
      <c r="BA1" s="983"/>
      <c r="BB1" s="983"/>
      <c r="BC1" s="983"/>
      <c r="BD1" s="983"/>
      <c r="BE1" s="983"/>
      <c r="BF1" s="983"/>
      <c r="BG1" s="983"/>
      <c r="BH1" s="983"/>
      <c r="BI1" s="983"/>
      <c r="BJ1" s="983"/>
      <c r="BK1" s="983"/>
      <c r="BL1" s="983"/>
      <c r="BM1" s="983"/>
      <c r="BN1" s="983"/>
      <c r="BO1" s="983"/>
      <c r="BP1" s="983"/>
      <c r="BQ1" s="983"/>
      <c r="BR1" s="983"/>
      <c r="BS1" s="983"/>
      <c r="BT1" s="983"/>
      <c r="BU1" s="983"/>
      <c r="BV1" s="983"/>
      <c r="BW1" s="983"/>
      <c r="BX1" s="983"/>
      <c r="BY1" s="984"/>
      <c r="BZ1" s="984"/>
      <c r="CA1" s="984"/>
      <c r="CB1" s="985"/>
      <c r="CC1" s="985"/>
      <c r="CD1" s="985"/>
      <c r="CE1" s="985"/>
      <c r="CF1" s="985"/>
      <c r="CG1" s="985"/>
      <c r="CH1" s="985"/>
      <c r="CI1" s="985"/>
      <c r="CJ1" s="985"/>
      <c r="CK1" s="985"/>
      <c r="CL1" s="985"/>
      <c r="CM1" s="985"/>
      <c r="CN1" s="985"/>
    </row>
    <row r="2" spans="1:92" ht="16.350000000000001" customHeight="1" x14ac:dyDescent="0.25">
      <c r="B2" s="78" t="str">
        <f>CONCATENATE("COMUNA: ",[1]NOMBRE!B2," - ","( ",[1]NOMBRE!C2,[1]NOMBRE!D2,[1]NOMBRE!E2,[1]NOMBRE!F2,[1]NOMBRE!G2," )")</f>
        <v>COMUNA: 0 - ( 00000 )</v>
      </c>
      <c r="C2" s="983"/>
      <c r="D2" s="983"/>
      <c r="E2" s="983"/>
      <c r="F2" s="983"/>
      <c r="G2" s="983"/>
      <c r="H2" s="983"/>
      <c r="I2" s="983"/>
      <c r="J2" s="983"/>
      <c r="K2" s="983"/>
      <c r="L2" s="983"/>
      <c r="M2" s="983"/>
      <c r="N2" s="983"/>
      <c r="O2" s="983"/>
      <c r="P2" s="983"/>
      <c r="Q2" s="983"/>
      <c r="R2" s="983"/>
      <c r="S2" s="983"/>
      <c r="T2" s="983"/>
      <c r="U2" s="983"/>
      <c r="V2" s="983"/>
      <c r="W2" s="983"/>
      <c r="X2" s="983"/>
      <c r="Y2" s="983"/>
      <c r="Z2" s="983"/>
      <c r="AA2" s="983"/>
      <c r="AB2" s="983"/>
      <c r="AC2" s="983"/>
      <c r="AD2" s="983"/>
      <c r="AE2" s="983"/>
      <c r="AF2" s="983"/>
      <c r="AG2" s="983"/>
      <c r="AH2" s="983"/>
      <c r="AI2" s="983"/>
      <c r="AJ2" s="983"/>
      <c r="AK2" s="983"/>
      <c r="AL2" s="983"/>
      <c r="AM2" s="983"/>
      <c r="AN2" s="983"/>
      <c r="AO2" s="983"/>
      <c r="AP2" s="983"/>
      <c r="AQ2" s="983"/>
      <c r="AR2" s="983"/>
      <c r="AS2" s="983"/>
      <c r="AT2" s="983"/>
      <c r="AU2" s="983"/>
      <c r="AV2" s="983"/>
      <c r="AW2" s="983"/>
      <c r="AX2" s="983"/>
      <c r="AY2" s="983"/>
      <c r="AZ2" s="983"/>
      <c r="BA2" s="983"/>
      <c r="BB2" s="983"/>
      <c r="BC2" s="983"/>
      <c r="BD2" s="983"/>
      <c r="BE2" s="983"/>
      <c r="BF2" s="983"/>
      <c r="BG2" s="983"/>
      <c r="BH2" s="983"/>
      <c r="BI2" s="983"/>
      <c r="BJ2" s="983"/>
      <c r="BK2" s="983"/>
      <c r="BL2" s="983"/>
      <c r="BM2" s="983"/>
      <c r="BN2" s="983"/>
      <c r="BO2" s="983"/>
      <c r="BP2" s="983"/>
      <c r="BQ2" s="983"/>
      <c r="BR2" s="983"/>
      <c r="BS2" s="983"/>
      <c r="BT2" s="983"/>
      <c r="BU2" s="983"/>
      <c r="BV2" s="983"/>
      <c r="BW2" s="983"/>
      <c r="BX2" s="983"/>
      <c r="BY2" s="984"/>
      <c r="BZ2" s="984"/>
      <c r="CA2" s="984"/>
      <c r="CB2" s="985"/>
      <c r="CC2" s="985"/>
      <c r="CD2" s="985"/>
      <c r="CE2" s="985"/>
      <c r="CF2" s="985"/>
      <c r="CG2" s="985"/>
      <c r="CH2" s="985"/>
      <c r="CI2" s="985"/>
      <c r="CJ2" s="985"/>
      <c r="CK2" s="985"/>
      <c r="CL2" s="985"/>
      <c r="CM2" s="985"/>
      <c r="CN2" s="985"/>
    </row>
    <row r="3" spans="1:92" ht="16.350000000000001" customHeight="1" x14ac:dyDescent="0.25">
      <c r="B3" s="78" t="str">
        <f>CONCATENATE("ESTABLECIMIENTO/ESTRATEGIA: ",[1]NOMBRE!B3," - ","( ",[1]NOMBRE!C3,[1]NOMBRE!D3,[1]NOMBRE!E3,[1]NOMBRE!F3,[1]NOMBRE!G3,[1]NOMBRE!H3," )")</f>
        <v>ESTABLECIMIENTO/ESTRATEGIA: 0 - ( 000000 )</v>
      </c>
      <c r="C3" s="983"/>
      <c r="D3" s="983"/>
      <c r="E3" s="983"/>
      <c r="F3" s="983"/>
      <c r="G3" s="983"/>
      <c r="H3" s="983"/>
      <c r="I3" s="983"/>
      <c r="J3" s="983"/>
      <c r="K3" s="983"/>
      <c r="L3" s="983"/>
      <c r="M3" s="983"/>
      <c r="N3" s="983"/>
      <c r="O3" s="983"/>
      <c r="P3" s="983"/>
      <c r="Q3" s="983"/>
      <c r="R3" s="983"/>
      <c r="S3" s="983"/>
      <c r="T3" s="983"/>
      <c r="U3" s="983"/>
      <c r="V3" s="983"/>
      <c r="W3" s="983"/>
      <c r="X3" s="983"/>
      <c r="Y3" s="983"/>
      <c r="Z3" s="983"/>
      <c r="AA3" s="983"/>
      <c r="AB3" s="983"/>
      <c r="AC3" s="983"/>
      <c r="AD3" s="983"/>
      <c r="AE3" s="983"/>
      <c r="AF3" s="983"/>
      <c r="AG3" s="983"/>
      <c r="AH3" s="983"/>
      <c r="AI3" s="983"/>
      <c r="AJ3" s="983"/>
      <c r="AK3" s="983"/>
      <c r="AL3" s="983"/>
      <c r="AM3" s="983"/>
      <c r="AN3" s="983"/>
      <c r="AO3" s="983"/>
      <c r="AP3" s="983"/>
      <c r="AQ3" s="983"/>
      <c r="AR3" s="983"/>
      <c r="AS3" s="983"/>
      <c r="AT3" s="983"/>
      <c r="AU3" s="983"/>
      <c r="AV3" s="983"/>
      <c r="AW3" s="983"/>
      <c r="AX3" s="983"/>
      <c r="AY3" s="983"/>
      <c r="AZ3" s="983"/>
      <c r="BA3" s="983"/>
      <c r="BB3" s="983"/>
      <c r="BC3" s="983"/>
      <c r="BD3" s="983"/>
      <c r="BE3" s="983"/>
      <c r="BF3" s="983"/>
      <c r="BG3" s="983"/>
      <c r="BH3" s="983"/>
      <c r="BI3" s="983"/>
      <c r="BJ3" s="983"/>
      <c r="BK3" s="983"/>
      <c r="BL3" s="983"/>
      <c r="BM3" s="983"/>
      <c r="BN3" s="983"/>
      <c r="BO3" s="983"/>
      <c r="BP3" s="983"/>
      <c r="BQ3" s="983"/>
      <c r="BR3" s="983"/>
      <c r="BS3" s="983"/>
      <c r="BT3" s="983"/>
      <c r="BU3" s="983"/>
      <c r="BV3" s="983"/>
      <c r="BW3" s="983"/>
      <c r="BX3" s="983"/>
      <c r="BY3" s="984"/>
      <c r="BZ3" s="984"/>
      <c r="CA3" s="984"/>
      <c r="CB3" s="985"/>
      <c r="CC3" s="985"/>
      <c r="CD3" s="985"/>
      <c r="CE3" s="985"/>
      <c r="CF3" s="985"/>
      <c r="CG3" s="985"/>
      <c r="CH3" s="985"/>
      <c r="CI3" s="985"/>
      <c r="CJ3" s="985"/>
      <c r="CK3" s="985"/>
      <c r="CL3" s="985"/>
      <c r="CM3" s="985"/>
      <c r="CN3" s="985"/>
    </row>
    <row r="4" spans="1:92" ht="16.350000000000001" customHeight="1" x14ac:dyDescent="0.25">
      <c r="B4" s="78" t="str">
        <f>CONCATENATE("MES: ",[1]NOMBRE!B6," - ","( ",[1]NOMBRE!C6,[1]NOMBRE!D6," )")</f>
        <v>MES: 0 - ( 00 )</v>
      </c>
      <c r="C4" s="983"/>
      <c r="D4" s="983"/>
      <c r="E4" s="983"/>
      <c r="F4" s="983"/>
      <c r="G4" s="983"/>
      <c r="H4" s="983"/>
      <c r="I4" s="983"/>
      <c r="J4" s="983"/>
      <c r="K4" s="983"/>
      <c r="L4" s="983"/>
      <c r="M4" s="983"/>
      <c r="N4" s="983"/>
      <c r="O4" s="983"/>
      <c r="P4" s="983"/>
      <c r="Q4" s="983"/>
      <c r="R4" s="983"/>
      <c r="S4" s="983"/>
      <c r="T4" s="983"/>
      <c r="U4" s="983"/>
      <c r="V4" s="983"/>
      <c r="W4" s="983"/>
      <c r="X4" s="983"/>
      <c r="Y4" s="983"/>
      <c r="Z4" s="983"/>
      <c r="AA4" s="983"/>
      <c r="AB4" s="983"/>
      <c r="AC4" s="983"/>
      <c r="AD4" s="983"/>
      <c r="AE4" s="983"/>
      <c r="AF4" s="983"/>
      <c r="AG4" s="983"/>
      <c r="AH4" s="983"/>
      <c r="AI4" s="983"/>
      <c r="AJ4" s="983"/>
      <c r="AK4" s="983"/>
      <c r="AL4" s="983"/>
      <c r="AM4" s="983"/>
      <c r="AN4" s="983"/>
      <c r="AO4" s="983"/>
      <c r="AP4" s="983"/>
      <c r="AQ4" s="983"/>
      <c r="AR4" s="983"/>
      <c r="AS4" s="983"/>
      <c r="AT4" s="983"/>
      <c r="AU4" s="983"/>
      <c r="AV4" s="983"/>
      <c r="AW4" s="983"/>
      <c r="AX4" s="983"/>
      <c r="AY4" s="983"/>
      <c r="AZ4" s="983"/>
      <c r="BA4" s="983"/>
      <c r="BB4" s="983"/>
      <c r="BC4" s="983"/>
      <c r="BD4" s="983"/>
      <c r="BE4" s="983"/>
      <c r="BF4" s="983"/>
      <c r="BG4" s="983"/>
      <c r="BH4" s="983"/>
      <c r="BI4" s="983"/>
      <c r="BJ4" s="983"/>
      <c r="BK4" s="983"/>
      <c r="BL4" s="983"/>
      <c r="BM4" s="983"/>
      <c r="BN4" s="983"/>
      <c r="BO4" s="983"/>
      <c r="BP4" s="983"/>
      <c r="BQ4" s="983"/>
      <c r="BR4" s="983"/>
      <c r="BS4" s="983"/>
      <c r="BT4" s="983"/>
      <c r="BU4" s="983"/>
      <c r="BV4" s="983"/>
      <c r="BW4" s="983"/>
      <c r="BX4" s="983"/>
      <c r="BY4" s="984"/>
      <c r="BZ4" s="984"/>
      <c r="CA4" s="984"/>
      <c r="CB4" s="985"/>
      <c r="CC4" s="985"/>
      <c r="CD4" s="985"/>
      <c r="CE4" s="985"/>
      <c r="CF4" s="985"/>
      <c r="CG4" s="985"/>
      <c r="CH4" s="985"/>
      <c r="CI4" s="985"/>
      <c r="CJ4" s="985"/>
      <c r="CK4" s="985"/>
      <c r="CL4" s="985"/>
      <c r="CM4" s="985"/>
      <c r="CN4" s="985"/>
    </row>
    <row r="5" spans="1:92" ht="16.350000000000001" customHeight="1" x14ac:dyDescent="0.25">
      <c r="B5" s="78" t="str">
        <f>CONCATENATE("AÑO: ",[1]NOMBRE!B7)</f>
        <v>AÑO: 2020</v>
      </c>
      <c r="C5" s="983"/>
      <c r="D5" s="983"/>
      <c r="E5" s="983"/>
      <c r="F5" s="983"/>
      <c r="G5" s="983"/>
      <c r="H5" s="983"/>
      <c r="I5" s="983"/>
      <c r="J5" s="983"/>
      <c r="K5" s="983"/>
      <c r="L5" s="983"/>
      <c r="M5" s="983"/>
      <c r="N5" s="983"/>
      <c r="O5" s="983"/>
      <c r="P5" s="983"/>
      <c r="Q5" s="983"/>
      <c r="R5" s="983"/>
      <c r="S5" s="983"/>
      <c r="T5" s="983"/>
      <c r="U5" s="983"/>
      <c r="V5" s="983"/>
      <c r="W5" s="983"/>
      <c r="X5" s="983"/>
      <c r="Y5" s="983"/>
      <c r="Z5" s="983"/>
      <c r="AA5" s="983"/>
      <c r="AB5" s="983"/>
      <c r="AC5" s="983"/>
      <c r="AD5" s="983"/>
      <c r="AE5" s="983"/>
      <c r="AF5" s="983"/>
      <c r="AG5" s="983"/>
      <c r="AH5" s="983"/>
      <c r="AI5" s="983"/>
      <c r="AJ5" s="983"/>
      <c r="AK5" s="983"/>
      <c r="AL5" s="983"/>
      <c r="AM5" s="983"/>
      <c r="AN5" s="983"/>
      <c r="AO5" s="983"/>
      <c r="AP5" s="983"/>
      <c r="AQ5" s="986"/>
      <c r="AR5" s="983"/>
      <c r="AS5" s="983"/>
      <c r="AT5" s="983"/>
      <c r="AU5" s="983"/>
      <c r="AV5" s="983"/>
      <c r="AW5" s="983"/>
      <c r="AX5" s="983"/>
      <c r="AY5" s="983"/>
      <c r="AZ5" s="983"/>
      <c r="BA5" s="983"/>
      <c r="BB5" s="983"/>
      <c r="BC5" s="983"/>
      <c r="BD5" s="983"/>
      <c r="BE5" s="983"/>
      <c r="BF5" s="983"/>
      <c r="BG5" s="983"/>
      <c r="BH5" s="983"/>
      <c r="BI5" s="983"/>
      <c r="BJ5" s="983"/>
      <c r="BK5" s="983"/>
      <c r="BL5" s="983"/>
      <c r="BM5" s="983"/>
      <c r="BN5" s="983"/>
      <c r="BO5" s="983"/>
      <c r="BP5" s="983"/>
      <c r="BQ5" s="983"/>
      <c r="BR5" s="983"/>
      <c r="BS5" s="983"/>
      <c r="BT5" s="983"/>
      <c r="BU5" s="983"/>
      <c r="BV5" s="983"/>
      <c r="BW5" s="983"/>
      <c r="BX5" s="983"/>
      <c r="BY5" s="984"/>
      <c r="BZ5" s="984"/>
      <c r="CA5" s="984"/>
      <c r="CB5" s="985"/>
      <c r="CC5" s="985"/>
      <c r="CD5" s="985"/>
      <c r="CE5" s="985"/>
      <c r="CF5" s="985"/>
      <c r="CG5" s="985"/>
      <c r="CH5" s="985"/>
      <c r="CI5" s="985"/>
      <c r="CJ5" s="985"/>
      <c r="CK5" s="985"/>
      <c r="CL5" s="985"/>
      <c r="CM5" s="985"/>
      <c r="CN5" s="985"/>
    </row>
    <row r="6" spans="1:92" x14ac:dyDescent="0.25">
      <c r="B6" s="5811" t="s">
        <v>509</v>
      </c>
      <c r="C6" s="5811"/>
      <c r="D6" s="5811"/>
      <c r="E6" s="5811"/>
      <c r="F6" s="5811"/>
      <c r="G6" s="5811"/>
      <c r="H6" s="5811"/>
      <c r="I6" s="5811"/>
      <c r="J6" s="5811"/>
      <c r="K6" s="5811"/>
      <c r="L6" s="5811"/>
      <c r="M6" s="5811"/>
      <c r="N6" s="5811"/>
      <c r="O6" s="5811"/>
      <c r="P6" s="5811"/>
      <c r="Q6" s="4245"/>
      <c r="R6" s="4245"/>
      <c r="S6" s="4245"/>
      <c r="T6" s="4245"/>
      <c r="U6" s="331"/>
      <c r="V6" s="331"/>
      <c r="W6" s="331"/>
      <c r="X6" s="331"/>
      <c r="Y6" s="331"/>
      <c r="Z6" s="331"/>
      <c r="AA6" s="190"/>
      <c r="AB6" s="190"/>
      <c r="AC6" s="190"/>
      <c r="AD6" s="190"/>
      <c r="AE6" s="190"/>
      <c r="AF6" s="190"/>
      <c r="AG6" s="190"/>
      <c r="AH6" s="190"/>
      <c r="AI6" s="190"/>
      <c r="AJ6" s="190"/>
      <c r="AK6" s="190"/>
      <c r="AL6" s="190"/>
      <c r="AM6" s="190"/>
      <c r="AN6" s="190"/>
      <c r="AO6" s="190"/>
      <c r="AP6" s="190"/>
      <c r="AQ6" s="190"/>
      <c r="AR6" s="190"/>
      <c r="AS6" s="190"/>
      <c r="AT6" s="983"/>
      <c r="AU6" s="983"/>
      <c r="AV6" s="983"/>
      <c r="AW6" s="983"/>
      <c r="AX6" s="983"/>
      <c r="AY6" s="983"/>
      <c r="AZ6" s="983"/>
      <c r="BA6" s="983"/>
      <c r="BB6" s="983"/>
      <c r="BC6" s="983"/>
      <c r="BD6" s="983"/>
      <c r="BE6" s="983"/>
      <c r="BF6" s="983"/>
      <c r="BG6" s="983"/>
      <c r="BH6" s="983"/>
      <c r="BI6" s="983"/>
      <c r="BJ6" s="983"/>
      <c r="BK6" s="983"/>
      <c r="BL6" s="983"/>
      <c r="BM6" s="983"/>
      <c r="BN6" s="983"/>
      <c r="BO6" s="983"/>
      <c r="BP6" s="983"/>
      <c r="BQ6" s="983"/>
      <c r="BR6" s="983"/>
      <c r="BS6" s="983"/>
      <c r="BT6" s="983"/>
      <c r="BU6" s="983"/>
      <c r="BV6" s="983"/>
      <c r="BW6" s="983"/>
      <c r="BX6" s="983"/>
      <c r="BY6" s="984"/>
      <c r="BZ6" s="984"/>
      <c r="CA6" s="984"/>
      <c r="CB6" s="985"/>
      <c r="CC6" s="985"/>
      <c r="CD6" s="985"/>
      <c r="CE6" s="985"/>
      <c r="CF6" s="985"/>
      <c r="CG6" s="985"/>
      <c r="CH6" s="985"/>
      <c r="CI6" s="985"/>
      <c r="CJ6" s="985"/>
      <c r="CK6" s="985"/>
      <c r="CL6" s="985"/>
      <c r="CM6" s="985"/>
      <c r="CN6" s="985"/>
    </row>
    <row r="7" spans="1:92" ht="32.1" customHeight="1" x14ac:dyDescent="0.25">
      <c r="B7" s="86" t="s">
        <v>839</v>
      </c>
      <c r="C7" s="86"/>
      <c r="D7" s="86"/>
      <c r="E7" s="86"/>
      <c r="F7" s="86"/>
      <c r="G7" s="86"/>
      <c r="H7" s="86"/>
      <c r="I7" s="86"/>
      <c r="J7" s="86"/>
      <c r="K7" s="86"/>
      <c r="L7" s="86"/>
      <c r="M7" s="86"/>
      <c r="N7" s="86"/>
      <c r="O7" s="86"/>
      <c r="P7" s="86"/>
      <c r="Q7" s="190"/>
      <c r="R7" s="190"/>
      <c r="S7" s="190"/>
      <c r="T7" s="190"/>
      <c r="U7" s="190"/>
      <c r="V7" s="190"/>
      <c r="W7" s="190"/>
      <c r="X7" s="190"/>
      <c r="Y7" s="190"/>
      <c r="Z7" s="190"/>
      <c r="AA7" s="190"/>
      <c r="AB7" s="190"/>
      <c r="AC7" s="190"/>
      <c r="AD7" s="190"/>
      <c r="AE7" s="190"/>
      <c r="AF7" s="190"/>
      <c r="AG7" s="190"/>
      <c r="AH7" s="190"/>
      <c r="AI7" s="190"/>
      <c r="AJ7" s="190"/>
      <c r="AK7" s="190"/>
      <c r="AL7" s="190"/>
      <c r="AM7" s="190"/>
      <c r="AN7" s="190"/>
      <c r="AO7" s="190"/>
      <c r="AP7" s="190"/>
      <c r="AQ7" s="190"/>
      <c r="AR7" s="190"/>
      <c r="AS7" s="190"/>
      <c r="AT7" s="983"/>
      <c r="AU7" s="983"/>
      <c r="AV7" s="983"/>
      <c r="AW7" s="983"/>
      <c r="AX7" s="983"/>
      <c r="AY7" s="983"/>
      <c r="AZ7" s="983"/>
      <c r="BA7" s="983"/>
      <c r="BB7" s="983"/>
      <c r="BC7" s="983"/>
      <c r="BD7" s="983"/>
      <c r="BE7" s="983"/>
      <c r="BF7" s="983"/>
      <c r="BG7" s="983"/>
      <c r="BH7" s="983"/>
      <c r="BI7" s="983"/>
      <c r="BJ7" s="983"/>
      <c r="BK7" s="983"/>
      <c r="BL7" s="983"/>
      <c r="BM7" s="983"/>
      <c r="BN7" s="983"/>
      <c r="BO7" s="983"/>
      <c r="BP7" s="983"/>
      <c r="BQ7" s="983"/>
      <c r="BR7" s="983"/>
      <c r="BS7" s="983"/>
      <c r="BT7" s="983"/>
      <c r="BU7" s="983"/>
      <c r="BV7" s="983"/>
      <c r="BW7" s="983"/>
      <c r="BX7" s="983"/>
      <c r="BY7" s="983"/>
      <c r="BZ7" s="983"/>
      <c r="CA7" s="983"/>
      <c r="CB7" s="985"/>
      <c r="CC7" s="985"/>
      <c r="CD7" s="985"/>
      <c r="CE7" s="985"/>
      <c r="CF7" s="985"/>
      <c r="CG7" s="985"/>
      <c r="CH7" s="985"/>
      <c r="CI7" s="985"/>
      <c r="CJ7" s="985"/>
      <c r="CK7" s="985"/>
      <c r="CL7" s="985"/>
      <c r="CM7" s="985"/>
      <c r="CN7" s="985"/>
    </row>
    <row r="8" spans="1:92" ht="32.1" customHeight="1" x14ac:dyDescent="0.25">
      <c r="B8" s="2352" t="s">
        <v>834</v>
      </c>
      <c r="C8" s="2261"/>
      <c r="D8" s="2261"/>
      <c r="E8" s="2261"/>
      <c r="F8" s="2261"/>
      <c r="G8" s="2261"/>
      <c r="H8" s="2261"/>
      <c r="I8" s="2261"/>
      <c r="J8" s="2261"/>
      <c r="K8" s="2261"/>
      <c r="L8" s="2261"/>
      <c r="M8" s="2261"/>
      <c r="N8" s="2261"/>
      <c r="O8" s="480"/>
      <c r="P8" s="480"/>
      <c r="Q8" s="190"/>
      <c r="R8" s="190"/>
      <c r="S8" s="190"/>
      <c r="T8" s="190"/>
      <c r="U8" s="190"/>
      <c r="V8" s="190"/>
      <c r="W8" s="190"/>
      <c r="X8" s="190"/>
      <c r="Y8" s="190"/>
      <c r="Z8" s="190"/>
      <c r="AA8" s="190"/>
      <c r="AB8" s="190"/>
      <c r="AC8" s="190"/>
      <c r="AD8" s="190"/>
      <c r="AE8" s="190"/>
      <c r="AF8" s="190"/>
      <c r="AG8" s="190"/>
      <c r="AH8" s="190"/>
      <c r="AI8" s="190"/>
      <c r="AJ8" s="190"/>
      <c r="AK8" s="190"/>
      <c r="AL8" s="190"/>
      <c r="AM8" s="190"/>
      <c r="AN8" s="190"/>
      <c r="AO8" s="190"/>
      <c r="AP8" s="190"/>
      <c r="AQ8" s="190"/>
      <c r="AR8" s="190"/>
      <c r="AS8" s="190"/>
      <c r="AT8" s="987"/>
      <c r="AU8" s="987"/>
      <c r="AV8" s="987"/>
      <c r="AW8" s="987"/>
      <c r="AX8" s="987"/>
      <c r="AY8" s="987"/>
      <c r="AZ8" s="987"/>
      <c r="BA8" s="987"/>
      <c r="BB8" s="987"/>
      <c r="BC8" s="987"/>
      <c r="BD8" s="987"/>
      <c r="BE8" s="987"/>
      <c r="BF8" s="987"/>
      <c r="BG8" s="987"/>
      <c r="BH8" s="987"/>
      <c r="BI8" s="983"/>
      <c r="BJ8" s="983"/>
      <c r="BK8" s="983"/>
      <c r="BL8" s="983"/>
      <c r="BM8" s="983"/>
      <c r="BN8" s="983"/>
      <c r="BO8" s="983"/>
      <c r="BP8" s="983"/>
      <c r="BQ8" s="983"/>
      <c r="BR8" s="983"/>
      <c r="BS8" s="983"/>
      <c r="BT8" s="983"/>
      <c r="BU8" s="983"/>
      <c r="BV8" s="983"/>
      <c r="BW8" s="983"/>
      <c r="BX8" s="983"/>
      <c r="BY8" s="983"/>
      <c r="BZ8" s="983"/>
      <c r="CA8" s="983"/>
      <c r="CB8" s="985"/>
      <c r="CC8" s="985"/>
      <c r="CD8" s="985"/>
      <c r="CE8" s="985"/>
      <c r="CF8" s="985"/>
      <c r="CG8" s="985"/>
      <c r="CH8" s="1023"/>
      <c r="CI8" s="1023"/>
      <c r="CJ8" s="1023"/>
      <c r="CK8" s="1023"/>
      <c r="CL8" s="1023"/>
      <c r="CM8" s="1023"/>
      <c r="CN8" s="1023"/>
    </row>
    <row r="9" spans="1:92" ht="32.1" customHeight="1" x14ac:dyDescent="0.25">
      <c r="B9" s="5145" t="s">
        <v>510</v>
      </c>
      <c r="C9" s="5150" t="s">
        <v>511</v>
      </c>
      <c r="D9" s="5151"/>
      <c r="E9" s="5152"/>
      <c r="F9" s="5263" t="s">
        <v>406</v>
      </c>
      <c r="G9" s="5155"/>
      <c r="H9" s="5155"/>
      <c r="I9" s="5155"/>
      <c r="J9" s="5155"/>
      <c r="K9" s="5155"/>
      <c r="L9" s="5155"/>
      <c r="M9" s="5155"/>
      <c r="N9" s="5155"/>
      <c r="O9" s="5155"/>
      <c r="P9" s="5155"/>
      <c r="Q9" s="5155"/>
      <c r="R9" s="5155"/>
      <c r="S9" s="5155"/>
      <c r="T9" s="5155"/>
      <c r="U9" s="5155"/>
      <c r="V9" s="5155"/>
      <c r="W9" s="5155"/>
      <c r="X9" s="5155"/>
      <c r="Y9" s="5155"/>
      <c r="Z9" s="5155"/>
      <c r="AA9" s="5155"/>
      <c r="AB9" s="5155"/>
      <c r="AC9" s="5155"/>
      <c r="AD9" s="5155"/>
      <c r="AE9" s="5155"/>
      <c r="AF9" s="5155"/>
      <c r="AG9" s="5155"/>
      <c r="AH9" s="5155"/>
      <c r="AI9" s="5155"/>
      <c r="AJ9" s="5155"/>
      <c r="AK9" s="5155"/>
      <c r="AL9" s="5155"/>
      <c r="AM9" s="5264"/>
      <c r="AN9" s="5142" t="s">
        <v>1357</v>
      </c>
      <c r="AO9" s="5263" t="s">
        <v>512</v>
      </c>
      <c r="AP9" s="5155"/>
      <c r="AQ9" s="5155"/>
      <c r="AR9" s="5264"/>
      <c r="AS9" s="5142" t="s">
        <v>513</v>
      </c>
      <c r="AT9" s="5846" t="s">
        <v>1605</v>
      </c>
      <c r="AU9" s="987"/>
      <c r="AV9" s="987"/>
      <c r="AW9" s="987"/>
      <c r="AX9" s="987"/>
      <c r="AY9" s="987"/>
      <c r="AZ9" s="987"/>
      <c r="BA9" s="987"/>
      <c r="BB9" s="987"/>
      <c r="BC9" s="987"/>
      <c r="BD9" s="987"/>
      <c r="BE9" s="987"/>
      <c r="BF9" s="987"/>
      <c r="BG9" s="987"/>
      <c r="BH9" s="987"/>
      <c r="BI9" s="983"/>
      <c r="BJ9" s="983"/>
      <c r="BK9" s="983"/>
      <c r="BL9" s="983"/>
      <c r="BM9" s="983"/>
      <c r="BN9" s="983"/>
      <c r="BO9" s="983"/>
      <c r="BP9" s="983"/>
      <c r="BQ9" s="983"/>
      <c r="BR9" s="983"/>
      <c r="BS9" s="983"/>
      <c r="BT9" s="983"/>
      <c r="BU9" s="983"/>
      <c r="BV9" s="983"/>
      <c r="BW9" s="983"/>
      <c r="BX9" s="983"/>
      <c r="BY9" s="984"/>
      <c r="BZ9" s="984"/>
      <c r="CA9" s="984"/>
      <c r="CB9" s="985"/>
      <c r="CC9" s="985"/>
      <c r="CD9" s="985"/>
      <c r="CE9" s="985"/>
      <c r="CF9" s="985"/>
      <c r="CG9" s="985"/>
      <c r="CH9" s="1023"/>
      <c r="CI9" s="1023"/>
      <c r="CJ9" s="1023"/>
      <c r="CK9" s="1023"/>
      <c r="CL9" s="1023"/>
      <c r="CM9" s="1023"/>
      <c r="CN9" s="1023"/>
    </row>
    <row r="10" spans="1:92" ht="16.350000000000001" customHeight="1" x14ac:dyDescent="0.25">
      <c r="A10" s="5168" t="s">
        <v>2775</v>
      </c>
      <c r="B10" s="5146"/>
      <c r="C10" s="5844"/>
      <c r="D10" s="5317"/>
      <c r="E10" s="5297"/>
      <c r="F10" s="5263" t="s">
        <v>350</v>
      </c>
      <c r="G10" s="5264"/>
      <c r="H10" s="5263" t="s">
        <v>351</v>
      </c>
      <c r="I10" s="5264"/>
      <c r="J10" s="5263" t="s">
        <v>352</v>
      </c>
      <c r="K10" s="5264"/>
      <c r="L10" s="5263" t="s">
        <v>319</v>
      </c>
      <c r="M10" s="5264"/>
      <c r="N10" s="5263" t="s">
        <v>10</v>
      </c>
      <c r="O10" s="5264"/>
      <c r="P10" s="5261" t="s">
        <v>11</v>
      </c>
      <c r="Q10" s="5262"/>
      <c r="R10" s="5261" t="s">
        <v>12</v>
      </c>
      <c r="S10" s="5262"/>
      <c r="T10" s="5261" t="s">
        <v>13</v>
      </c>
      <c r="U10" s="5262"/>
      <c r="V10" s="5261" t="s">
        <v>14</v>
      </c>
      <c r="W10" s="5262"/>
      <c r="X10" s="5261" t="s">
        <v>15</v>
      </c>
      <c r="Y10" s="5262"/>
      <c r="Z10" s="5261" t="s">
        <v>16</v>
      </c>
      <c r="AA10" s="5262"/>
      <c r="AB10" s="5261" t="s">
        <v>17</v>
      </c>
      <c r="AC10" s="5262"/>
      <c r="AD10" s="5261" t="s">
        <v>18</v>
      </c>
      <c r="AE10" s="5262"/>
      <c r="AF10" s="5261" t="s">
        <v>19</v>
      </c>
      <c r="AG10" s="5262"/>
      <c r="AH10" s="5157" t="s">
        <v>20</v>
      </c>
      <c r="AI10" s="5157"/>
      <c r="AJ10" s="5261" t="s">
        <v>21</v>
      </c>
      <c r="AK10" s="5262"/>
      <c r="AL10" s="5157" t="s">
        <v>22</v>
      </c>
      <c r="AM10" s="5262"/>
      <c r="AN10" s="5103"/>
      <c r="AO10" s="5853" t="s">
        <v>514</v>
      </c>
      <c r="AP10" s="5848" t="s">
        <v>515</v>
      </c>
      <c r="AQ10" s="5848" t="s">
        <v>1251</v>
      </c>
      <c r="AR10" s="5850" t="s">
        <v>2657</v>
      </c>
      <c r="AS10" s="5103"/>
      <c r="AT10" s="5647"/>
      <c r="AU10" s="987"/>
      <c r="AV10" s="987"/>
      <c r="AW10" s="987"/>
      <c r="AX10" s="987"/>
      <c r="AY10" s="987"/>
      <c r="AZ10" s="987"/>
      <c r="BA10" s="987"/>
      <c r="BB10" s="987"/>
      <c r="BC10" s="987"/>
      <c r="BD10" s="987"/>
      <c r="BE10" s="987"/>
      <c r="BF10" s="987"/>
      <c r="BG10" s="987"/>
      <c r="BH10" s="987"/>
      <c r="BI10" s="983"/>
      <c r="BJ10" s="983"/>
      <c r="BK10" s="983"/>
      <c r="BL10" s="983"/>
      <c r="BM10" s="983"/>
      <c r="BN10" s="983"/>
      <c r="BO10" s="983"/>
      <c r="BP10" s="983"/>
      <c r="BQ10" s="983"/>
      <c r="BR10" s="983"/>
      <c r="BS10" s="983"/>
      <c r="BT10" s="983"/>
      <c r="BU10" s="983"/>
      <c r="BV10" s="983"/>
      <c r="BW10" s="983"/>
      <c r="BX10" s="983"/>
      <c r="BY10" s="984"/>
      <c r="BZ10" s="984"/>
      <c r="CA10" s="984"/>
      <c r="CB10" s="985"/>
      <c r="CC10" s="985"/>
      <c r="CD10" s="985"/>
      <c r="CE10" s="985"/>
      <c r="CF10" s="985"/>
      <c r="CG10" s="985"/>
      <c r="CH10" s="1023"/>
      <c r="CI10" s="1023"/>
      <c r="CJ10" s="1023"/>
      <c r="CK10" s="1023"/>
      <c r="CL10" s="1023"/>
      <c r="CM10" s="1023"/>
      <c r="CN10" s="1023"/>
    </row>
    <row r="11" spans="1:92" ht="32.1" customHeight="1" x14ac:dyDescent="0.25">
      <c r="A11" s="5168"/>
      <c r="B11" s="5843"/>
      <c r="C11" s="4367" t="s">
        <v>184</v>
      </c>
      <c r="D11" s="4368" t="s">
        <v>24</v>
      </c>
      <c r="E11" s="4232" t="s">
        <v>25</v>
      </c>
      <c r="F11" s="4369" t="s">
        <v>24</v>
      </c>
      <c r="G11" s="4268" t="s">
        <v>25</v>
      </c>
      <c r="H11" s="4369" t="s">
        <v>24</v>
      </c>
      <c r="I11" s="4268" t="s">
        <v>25</v>
      </c>
      <c r="J11" s="4369" t="s">
        <v>24</v>
      </c>
      <c r="K11" s="4268" t="s">
        <v>25</v>
      </c>
      <c r="L11" s="4369" t="s">
        <v>24</v>
      </c>
      <c r="M11" s="4268" t="s">
        <v>25</v>
      </c>
      <c r="N11" s="4369" t="s">
        <v>24</v>
      </c>
      <c r="O11" s="4268" t="s">
        <v>25</v>
      </c>
      <c r="P11" s="4369" t="s">
        <v>24</v>
      </c>
      <c r="Q11" s="4268" t="s">
        <v>25</v>
      </c>
      <c r="R11" s="4369" t="s">
        <v>24</v>
      </c>
      <c r="S11" s="4268" t="s">
        <v>25</v>
      </c>
      <c r="T11" s="4369" t="s">
        <v>24</v>
      </c>
      <c r="U11" s="4268" t="s">
        <v>25</v>
      </c>
      <c r="V11" s="4369" t="s">
        <v>24</v>
      </c>
      <c r="W11" s="4268" t="s">
        <v>25</v>
      </c>
      <c r="X11" s="4369" t="s">
        <v>24</v>
      </c>
      <c r="Y11" s="4268" t="s">
        <v>25</v>
      </c>
      <c r="Z11" s="4369" t="s">
        <v>24</v>
      </c>
      <c r="AA11" s="4268" t="s">
        <v>25</v>
      </c>
      <c r="AB11" s="4369" t="s">
        <v>24</v>
      </c>
      <c r="AC11" s="4268" t="s">
        <v>25</v>
      </c>
      <c r="AD11" s="4369" t="s">
        <v>24</v>
      </c>
      <c r="AE11" s="4268" t="s">
        <v>25</v>
      </c>
      <c r="AF11" s="4369" t="s">
        <v>24</v>
      </c>
      <c r="AG11" s="4268" t="s">
        <v>25</v>
      </c>
      <c r="AH11" s="4370" t="s">
        <v>24</v>
      </c>
      <c r="AI11" s="4250" t="s">
        <v>25</v>
      </c>
      <c r="AJ11" s="4369" t="s">
        <v>24</v>
      </c>
      <c r="AK11" s="4268" t="s">
        <v>25</v>
      </c>
      <c r="AL11" s="4370" t="s">
        <v>24</v>
      </c>
      <c r="AM11" s="4268" t="s">
        <v>25</v>
      </c>
      <c r="AN11" s="5845"/>
      <c r="AO11" s="5854"/>
      <c r="AP11" s="5849"/>
      <c r="AQ11" s="5849"/>
      <c r="AR11" s="5851"/>
      <c r="AS11" s="5845"/>
      <c r="AT11" s="5847"/>
      <c r="AU11" s="987"/>
      <c r="AV11" s="987"/>
      <c r="AW11" s="987"/>
      <c r="AX11" s="987"/>
      <c r="AY11" s="987"/>
      <c r="AZ11" s="987"/>
      <c r="BA11" s="987"/>
      <c r="BB11" s="987"/>
      <c r="BC11" s="987"/>
      <c r="BD11" s="987"/>
      <c r="BE11" s="987"/>
      <c r="BF11" s="987"/>
      <c r="BG11" s="987"/>
      <c r="BH11" s="987"/>
      <c r="BI11" s="983"/>
      <c r="BJ11" s="983"/>
      <c r="BK11" s="983"/>
      <c r="BL11" s="983"/>
      <c r="BM11" s="983"/>
      <c r="BN11" s="983"/>
      <c r="BO11" s="983"/>
      <c r="BP11" s="983"/>
      <c r="BQ11" s="983"/>
      <c r="BR11" s="983"/>
      <c r="BS11" s="983"/>
      <c r="BT11" s="983"/>
      <c r="BU11" s="983"/>
      <c r="BV11" s="983"/>
      <c r="BW11" s="983"/>
      <c r="BX11" s="983"/>
      <c r="BY11" s="984"/>
      <c r="BZ11" s="984"/>
      <c r="CA11" s="984"/>
      <c r="CB11" s="985"/>
      <c r="CC11" s="985"/>
      <c r="CD11" s="985"/>
      <c r="CE11" s="985"/>
      <c r="CF11" s="985"/>
      <c r="CG11" s="985"/>
      <c r="CH11" s="1023"/>
      <c r="CI11" s="1023"/>
      <c r="CJ11" s="1023"/>
      <c r="CK11" s="1023"/>
      <c r="CL11" s="1023"/>
      <c r="CM11" s="1023"/>
      <c r="CN11" s="1023"/>
    </row>
    <row r="12" spans="1:92" ht="16.350000000000001" customHeight="1" x14ac:dyDescent="0.25">
      <c r="A12" s="2949" t="s">
        <v>3455</v>
      </c>
      <c r="B12" s="4371" t="s">
        <v>516</v>
      </c>
      <c r="C12" s="4585" t="s">
        <v>2777</v>
      </c>
      <c r="D12" s="4586" t="s">
        <v>2778</v>
      </c>
      <c r="E12" s="4587" t="s">
        <v>2779</v>
      </c>
      <c r="F12" s="4318" t="s">
        <v>2780</v>
      </c>
      <c r="G12" s="4275" t="s">
        <v>2781</v>
      </c>
      <c r="H12" s="4318" t="s">
        <v>2782</v>
      </c>
      <c r="I12" s="4275" t="s">
        <v>2783</v>
      </c>
      <c r="J12" s="4318" t="s">
        <v>2784</v>
      </c>
      <c r="K12" s="4356" t="s">
        <v>2785</v>
      </c>
      <c r="L12" s="4318" t="s">
        <v>2786</v>
      </c>
      <c r="M12" s="4356" t="s">
        <v>2787</v>
      </c>
      <c r="N12" s="4318" t="s">
        <v>2788</v>
      </c>
      <c r="O12" s="4356" t="s">
        <v>2789</v>
      </c>
      <c r="P12" s="4318" t="s">
        <v>2790</v>
      </c>
      <c r="Q12" s="4356" t="s">
        <v>2791</v>
      </c>
      <c r="R12" s="4318" t="s">
        <v>2792</v>
      </c>
      <c r="S12" s="4356" t="s">
        <v>2793</v>
      </c>
      <c r="T12" s="4318" t="s">
        <v>2794</v>
      </c>
      <c r="U12" s="4356" t="s">
        <v>2795</v>
      </c>
      <c r="V12" s="4318" t="s">
        <v>2796</v>
      </c>
      <c r="W12" s="4356" t="s">
        <v>2797</v>
      </c>
      <c r="X12" s="4318" t="s">
        <v>2798</v>
      </c>
      <c r="Y12" s="4356" t="s">
        <v>2799</v>
      </c>
      <c r="Z12" s="4318" t="s">
        <v>2800</v>
      </c>
      <c r="AA12" s="4356" t="s">
        <v>2801</v>
      </c>
      <c r="AB12" s="4318" t="s">
        <v>2817</v>
      </c>
      <c r="AC12" s="4356" t="s">
        <v>2818</v>
      </c>
      <c r="AD12" s="4318" t="s">
        <v>2819</v>
      </c>
      <c r="AE12" s="4356" t="s">
        <v>2821</v>
      </c>
      <c r="AF12" s="4318" t="s">
        <v>2822</v>
      </c>
      <c r="AG12" s="4356" t="s">
        <v>2823</v>
      </c>
      <c r="AH12" s="4360" t="s">
        <v>2824</v>
      </c>
      <c r="AI12" s="4320" t="s">
        <v>2825</v>
      </c>
      <c r="AJ12" s="4318" t="s">
        <v>2826</v>
      </c>
      <c r="AK12" s="4356" t="s">
        <v>2827</v>
      </c>
      <c r="AL12" s="4348" t="s">
        <v>2831</v>
      </c>
      <c r="AM12" s="4356" t="s">
        <v>2832</v>
      </c>
      <c r="AN12" s="4348" t="s">
        <v>2833</v>
      </c>
      <c r="AO12" s="4318" t="s">
        <v>2834</v>
      </c>
      <c r="AP12" s="4319" t="s">
        <v>3011</v>
      </c>
      <c r="AQ12" s="4319" t="s">
        <v>3012</v>
      </c>
      <c r="AR12" s="4356" t="s">
        <v>3013</v>
      </c>
      <c r="AS12" s="4356" t="s">
        <v>3014</v>
      </c>
      <c r="AT12" s="4356" t="s">
        <v>3015</v>
      </c>
      <c r="AU12" s="4584"/>
      <c r="AV12" s="1058"/>
      <c r="AW12" s="1058"/>
      <c r="AX12" s="1058"/>
      <c r="AY12" s="1058"/>
      <c r="AZ12" s="1058"/>
      <c r="BA12" s="1058"/>
      <c r="BB12" s="1058"/>
      <c r="BC12" s="1058"/>
      <c r="BD12" s="1058"/>
      <c r="BE12" s="1058"/>
      <c r="BF12" s="987"/>
      <c r="BG12" s="987"/>
      <c r="BH12" s="987"/>
      <c r="BI12" s="983"/>
      <c r="BJ12" s="983"/>
      <c r="BK12" s="983"/>
      <c r="BL12" s="983"/>
      <c r="BM12" s="983"/>
      <c r="BN12" s="983"/>
      <c r="BO12" s="983"/>
      <c r="BP12" s="983"/>
      <c r="BQ12" s="983"/>
      <c r="BR12" s="983"/>
      <c r="BS12" s="983"/>
      <c r="BT12" s="983"/>
      <c r="BU12" s="983"/>
      <c r="BV12" s="983"/>
      <c r="BW12" s="983"/>
      <c r="BX12" s="983"/>
      <c r="BY12" s="984"/>
      <c r="BZ12" s="984"/>
      <c r="CA12" s="984" t="s">
        <v>3731</v>
      </c>
      <c r="CB12" s="985"/>
      <c r="CC12" s="985"/>
      <c r="CD12" s="985" t="s">
        <v>3732</v>
      </c>
      <c r="CE12" s="985"/>
      <c r="CF12" s="985"/>
      <c r="CG12" s="985">
        <v>1</v>
      </c>
      <c r="CH12" s="1023">
        <v>0</v>
      </c>
      <c r="CI12" s="1023">
        <v>0</v>
      </c>
      <c r="CJ12" s="1023">
        <v>1</v>
      </c>
      <c r="CK12" s="1023">
        <v>0</v>
      </c>
      <c r="CL12" s="1023"/>
      <c r="CM12" s="1023"/>
      <c r="CN12" s="1023"/>
    </row>
    <row r="13" spans="1:92" ht="16.350000000000001" customHeight="1" x14ac:dyDescent="0.25">
      <c r="A13" s="2949" t="s">
        <v>3456</v>
      </c>
      <c r="B13" s="4227" t="s">
        <v>517</v>
      </c>
      <c r="C13" s="4588" t="s">
        <v>2777</v>
      </c>
      <c r="D13" s="2998" t="s">
        <v>2778</v>
      </c>
      <c r="E13" s="4235" t="s">
        <v>2779</v>
      </c>
      <c r="F13" s="141" t="s">
        <v>2780</v>
      </c>
      <c r="G13" s="163" t="s">
        <v>2781</v>
      </c>
      <c r="H13" s="273" t="s">
        <v>2782</v>
      </c>
      <c r="I13" s="2347" t="s">
        <v>2783</v>
      </c>
      <c r="J13" s="273" t="s">
        <v>2784</v>
      </c>
      <c r="K13" s="163" t="s">
        <v>2785</v>
      </c>
      <c r="L13" s="141" t="s">
        <v>2786</v>
      </c>
      <c r="M13" s="163" t="s">
        <v>2787</v>
      </c>
      <c r="N13" s="141" t="s">
        <v>2788</v>
      </c>
      <c r="O13" s="163" t="s">
        <v>2789</v>
      </c>
      <c r="P13" s="141" t="s">
        <v>2790</v>
      </c>
      <c r="Q13" s="163" t="s">
        <v>2791</v>
      </c>
      <c r="R13" s="141" t="s">
        <v>2792</v>
      </c>
      <c r="S13" s="163" t="s">
        <v>2793</v>
      </c>
      <c r="T13" s="141" t="s">
        <v>2794</v>
      </c>
      <c r="U13" s="163" t="s">
        <v>2795</v>
      </c>
      <c r="V13" s="141" t="s">
        <v>2796</v>
      </c>
      <c r="W13" s="163" t="s">
        <v>2797</v>
      </c>
      <c r="X13" s="141" t="s">
        <v>2798</v>
      </c>
      <c r="Y13" s="163" t="s">
        <v>2799</v>
      </c>
      <c r="Z13" s="141" t="s">
        <v>2800</v>
      </c>
      <c r="AA13" s="163" t="s">
        <v>2801</v>
      </c>
      <c r="AB13" s="141" t="s">
        <v>2817</v>
      </c>
      <c r="AC13" s="163" t="s">
        <v>2818</v>
      </c>
      <c r="AD13" s="141" t="s">
        <v>2819</v>
      </c>
      <c r="AE13" s="163" t="s">
        <v>2821</v>
      </c>
      <c r="AF13" s="141" t="s">
        <v>2822</v>
      </c>
      <c r="AG13" s="163" t="s">
        <v>2823</v>
      </c>
      <c r="AH13" s="180" t="s">
        <v>2824</v>
      </c>
      <c r="AI13" s="247" t="s">
        <v>2825</v>
      </c>
      <c r="AJ13" s="141" t="s">
        <v>2826</v>
      </c>
      <c r="AK13" s="163" t="s">
        <v>2827</v>
      </c>
      <c r="AL13" s="143" t="s">
        <v>2831</v>
      </c>
      <c r="AM13" s="163" t="s">
        <v>2832</v>
      </c>
      <c r="AN13" s="143" t="s">
        <v>2833</v>
      </c>
      <c r="AO13" s="141" t="s">
        <v>2834</v>
      </c>
      <c r="AP13" s="142" t="s">
        <v>3011</v>
      </c>
      <c r="AQ13" s="142" t="s">
        <v>3012</v>
      </c>
      <c r="AR13" s="163" t="s">
        <v>3013</v>
      </c>
      <c r="AS13" s="163" t="s">
        <v>3014</v>
      </c>
      <c r="AT13" s="163" t="s">
        <v>3015</v>
      </c>
      <c r="AU13" s="2269"/>
      <c r="AV13" s="1058"/>
      <c r="AW13" s="1058"/>
      <c r="AX13" s="1058"/>
      <c r="AY13" s="1058"/>
      <c r="AZ13" s="1058"/>
      <c r="BA13" s="1058"/>
      <c r="BB13" s="1058"/>
      <c r="BC13" s="1058"/>
      <c r="BD13" s="1058"/>
      <c r="BE13" s="1058"/>
      <c r="BF13" s="987"/>
      <c r="BG13" s="987"/>
      <c r="BH13" s="987"/>
      <c r="BI13" s="983"/>
      <c r="BJ13" s="983"/>
      <c r="BK13" s="983"/>
      <c r="BL13" s="983"/>
      <c r="BM13" s="983"/>
      <c r="BN13" s="983"/>
      <c r="BO13" s="983"/>
      <c r="BP13" s="983"/>
      <c r="BQ13" s="983"/>
      <c r="BR13" s="983"/>
      <c r="BS13" s="983"/>
      <c r="BT13" s="983"/>
      <c r="BU13" s="983"/>
      <c r="BV13" s="983"/>
      <c r="BW13" s="983"/>
      <c r="BX13" s="983"/>
      <c r="BY13" s="984"/>
      <c r="BZ13" s="984"/>
      <c r="CA13" s="984"/>
      <c r="CB13" s="985"/>
      <c r="CC13" s="985"/>
      <c r="CD13" s="985"/>
      <c r="CE13" s="985"/>
      <c r="CF13" s="985"/>
      <c r="CG13" s="985"/>
      <c r="CH13" s="1023">
        <v>0</v>
      </c>
      <c r="CI13" s="1023">
        <v>0</v>
      </c>
      <c r="CJ13" s="1023">
        <v>0</v>
      </c>
      <c r="CK13" s="1023">
        <v>0</v>
      </c>
      <c r="CL13" s="1023"/>
      <c r="CM13" s="1023"/>
      <c r="CN13" s="1023"/>
    </row>
    <row r="14" spans="1:92" ht="16.350000000000001" customHeight="1" x14ac:dyDescent="0.25">
      <c r="A14" s="2949" t="s">
        <v>3457</v>
      </c>
      <c r="B14" s="201" t="s">
        <v>518</v>
      </c>
      <c r="C14" s="4247" t="s">
        <v>2777</v>
      </c>
      <c r="D14" s="4248" t="s">
        <v>2778</v>
      </c>
      <c r="E14" s="4233" t="s">
        <v>2779</v>
      </c>
      <c r="F14" s="166" t="s">
        <v>2780</v>
      </c>
      <c r="G14" s="168" t="s">
        <v>2781</v>
      </c>
      <c r="H14" s="166" t="s">
        <v>2782</v>
      </c>
      <c r="I14" s="168" t="s">
        <v>2783</v>
      </c>
      <c r="J14" s="166" t="s">
        <v>2784</v>
      </c>
      <c r="K14" s="125" t="s">
        <v>2785</v>
      </c>
      <c r="L14" s="166" t="s">
        <v>2786</v>
      </c>
      <c r="M14" s="125" t="s">
        <v>2787</v>
      </c>
      <c r="N14" s="166" t="s">
        <v>2788</v>
      </c>
      <c r="O14" s="125" t="s">
        <v>2789</v>
      </c>
      <c r="P14" s="166" t="s">
        <v>2790</v>
      </c>
      <c r="Q14" s="125" t="s">
        <v>2791</v>
      </c>
      <c r="R14" s="166" t="s">
        <v>2792</v>
      </c>
      <c r="S14" s="125" t="s">
        <v>2793</v>
      </c>
      <c r="T14" s="166" t="s">
        <v>2794</v>
      </c>
      <c r="U14" s="125" t="s">
        <v>2795</v>
      </c>
      <c r="V14" s="166" t="s">
        <v>2796</v>
      </c>
      <c r="W14" s="125" t="s">
        <v>2797</v>
      </c>
      <c r="X14" s="166" t="s">
        <v>2798</v>
      </c>
      <c r="Y14" s="125" t="s">
        <v>2799</v>
      </c>
      <c r="Z14" s="166" t="s">
        <v>2800</v>
      </c>
      <c r="AA14" s="125" t="s">
        <v>2801</v>
      </c>
      <c r="AB14" s="166" t="s">
        <v>2817</v>
      </c>
      <c r="AC14" s="125" t="s">
        <v>2818</v>
      </c>
      <c r="AD14" s="166" t="s">
        <v>2819</v>
      </c>
      <c r="AE14" s="125" t="s">
        <v>2821</v>
      </c>
      <c r="AF14" s="166" t="s">
        <v>2822</v>
      </c>
      <c r="AG14" s="125" t="s">
        <v>2823</v>
      </c>
      <c r="AH14" s="126" t="s">
        <v>2824</v>
      </c>
      <c r="AI14" s="270" t="s">
        <v>2825</v>
      </c>
      <c r="AJ14" s="166" t="s">
        <v>2826</v>
      </c>
      <c r="AK14" s="125" t="s">
        <v>2827</v>
      </c>
      <c r="AL14" s="265" t="s">
        <v>2831</v>
      </c>
      <c r="AM14" s="125" t="s">
        <v>2832</v>
      </c>
      <c r="AN14" s="265" t="s">
        <v>2833</v>
      </c>
      <c r="AO14" s="101" t="s">
        <v>2834</v>
      </c>
      <c r="AP14" s="103" t="s">
        <v>3011</v>
      </c>
      <c r="AQ14" s="103" t="s">
        <v>3012</v>
      </c>
      <c r="AR14" s="104" t="s">
        <v>3013</v>
      </c>
      <c r="AS14" s="104" t="s">
        <v>3014</v>
      </c>
      <c r="AT14" s="104" t="s">
        <v>3015</v>
      </c>
      <c r="AU14" s="2269"/>
      <c r="AV14" s="1058"/>
      <c r="AW14" s="1058"/>
      <c r="AX14" s="1058"/>
      <c r="AY14" s="1058"/>
      <c r="AZ14" s="1058"/>
      <c r="BA14" s="1058"/>
      <c r="BB14" s="1058"/>
      <c r="BC14" s="1058"/>
      <c r="BD14" s="1058"/>
      <c r="BE14" s="1058"/>
      <c r="BF14" s="987"/>
      <c r="BG14" s="987"/>
      <c r="BH14" s="987"/>
      <c r="BI14" s="983"/>
      <c r="BJ14" s="983"/>
      <c r="BK14" s="983"/>
      <c r="BL14" s="983"/>
      <c r="BM14" s="983"/>
      <c r="BN14" s="983"/>
      <c r="BO14" s="983"/>
      <c r="BP14" s="983"/>
      <c r="BQ14" s="983"/>
      <c r="BR14" s="983"/>
      <c r="BS14" s="983"/>
      <c r="BT14" s="983"/>
      <c r="BU14" s="983"/>
      <c r="BV14" s="983"/>
      <c r="BW14" s="983"/>
      <c r="BX14" s="983"/>
      <c r="BY14" s="984"/>
      <c r="BZ14" s="984"/>
      <c r="CA14" s="984"/>
      <c r="CB14" s="985"/>
      <c r="CC14" s="985"/>
      <c r="CD14" s="985"/>
      <c r="CE14" s="985"/>
      <c r="CF14" s="985"/>
      <c r="CG14" s="985"/>
      <c r="CH14" s="1023">
        <v>0</v>
      </c>
      <c r="CI14" s="1023">
        <v>0</v>
      </c>
      <c r="CJ14" s="1023"/>
      <c r="CK14" s="1023"/>
      <c r="CL14" s="1023"/>
      <c r="CM14" s="1023"/>
      <c r="CN14" s="1023"/>
    </row>
    <row r="15" spans="1:92" ht="32.1" customHeight="1" x14ac:dyDescent="0.25">
      <c r="A15" s="983"/>
      <c r="B15" s="5852" t="s">
        <v>835</v>
      </c>
      <c r="C15" s="5852"/>
      <c r="D15" s="5852"/>
      <c r="E15" s="5852"/>
      <c r="F15" s="5852"/>
      <c r="G15" s="5852"/>
      <c r="H15" s="5852"/>
      <c r="I15" s="5852"/>
      <c r="J15" s="5852"/>
      <c r="K15" s="5852"/>
      <c r="L15" s="5852"/>
      <c r="M15" s="5852"/>
      <c r="N15" s="5852"/>
      <c r="O15" s="4374"/>
      <c r="P15" s="4374"/>
      <c r="Q15" s="4374"/>
      <c r="R15" s="4374"/>
      <c r="S15" s="4374"/>
      <c r="T15" s="4374"/>
      <c r="U15" s="4374"/>
      <c r="V15" s="4374"/>
      <c r="W15" s="4374"/>
      <c r="X15" s="4374"/>
      <c r="Y15" s="4374"/>
      <c r="Z15" s="4374"/>
      <c r="AA15" s="219"/>
      <c r="AB15" s="219"/>
      <c r="AC15" s="219"/>
      <c r="AD15" s="219"/>
      <c r="AE15" s="219"/>
      <c r="AF15" s="219"/>
      <c r="AG15" s="219"/>
      <c r="AH15" s="219"/>
      <c r="AI15" s="219"/>
      <c r="AJ15" s="219"/>
      <c r="AK15" s="219"/>
      <c r="AL15" s="219"/>
      <c r="AM15" s="219"/>
      <c r="AN15" s="219"/>
      <c r="AO15" s="881"/>
      <c r="AP15" s="987"/>
      <c r="AQ15" s="987"/>
      <c r="AR15" s="987"/>
      <c r="AS15" s="987"/>
      <c r="AT15" s="987"/>
      <c r="AU15" s="987"/>
      <c r="AV15" s="987"/>
      <c r="AW15" s="987"/>
      <c r="AX15" s="987"/>
      <c r="AY15" s="987"/>
      <c r="AZ15" s="987"/>
      <c r="BA15" s="987"/>
      <c r="BB15" s="987"/>
      <c r="BC15" s="987"/>
      <c r="BD15" s="987"/>
      <c r="BE15" s="987"/>
      <c r="BF15" s="987"/>
      <c r="BG15" s="987"/>
      <c r="BH15" s="987"/>
      <c r="BI15" s="987"/>
      <c r="BJ15" s="987"/>
      <c r="BK15" s="983"/>
      <c r="BL15" s="983"/>
      <c r="BM15" s="983"/>
      <c r="BN15" s="983"/>
      <c r="BO15" s="983"/>
      <c r="BP15" s="983"/>
      <c r="BQ15" s="983"/>
      <c r="BR15" s="983"/>
      <c r="BS15" s="983"/>
      <c r="BT15" s="983"/>
      <c r="BU15" s="983"/>
      <c r="BV15" s="983"/>
      <c r="BW15" s="983"/>
      <c r="BX15" s="983"/>
      <c r="BY15" s="983"/>
      <c r="BZ15" s="983"/>
      <c r="CA15" s="983"/>
      <c r="CB15" s="985"/>
      <c r="CC15" s="985"/>
      <c r="CD15" s="985"/>
      <c r="CE15" s="985"/>
      <c r="CF15" s="985"/>
      <c r="CG15" s="985"/>
      <c r="CH15" s="1023"/>
      <c r="CI15" s="1023"/>
      <c r="CJ15" s="1023"/>
      <c r="CK15" s="1023"/>
      <c r="CL15" s="1023"/>
      <c r="CM15" s="1023"/>
      <c r="CN15" s="1023"/>
    </row>
    <row r="16" spans="1:92" ht="16.350000000000001" customHeight="1" x14ac:dyDescent="0.25">
      <c r="A16" s="983"/>
      <c r="B16" s="5145" t="s">
        <v>3</v>
      </c>
      <c r="C16" s="5150" t="s">
        <v>511</v>
      </c>
      <c r="D16" s="5151"/>
      <c r="E16" s="5152"/>
      <c r="F16" s="5263" t="s">
        <v>406</v>
      </c>
      <c r="G16" s="5155"/>
      <c r="H16" s="5155"/>
      <c r="I16" s="5155"/>
      <c r="J16" s="5155"/>
      <c r="K16" s="5155"/>
      <c r="L16" s="5155"/>
      <c r="M16" s="5155"/>
      <c r="N16" s="5155"/>
      <c r="O16" s="5155"/>
      <c r="P16" s="5155"/>
      <c r="Q16" s="5155"/>
      <c r="R16" s="5155"/>
      <c r="S16" s="5155"/>
      <c r="T16" s="5155"/>
      <c r="U16" s="5155"/>
      <c r="V16" s="5155"/>
      <c r="W16" s="5155"/>
      <c r="X16" s="5155"/>
      <c r="Y16" s="5155"/>
      <c r="Z16" s="5155"/>
      <c r="AA16" s="5155"/>
      <c r="AB16" s="5155"/>
      <c r="AC16" s="5155"/>
      <c r="AD16" s="5155"/>
      <c r="AE16" s="5155"/>
      <c r="AF16" s="5155"/>
      <c r="AG16" s="5155"/>
      <c r="AH16" s="5155"/>
      <c r="AI16" s="5155"/>
      <c r="AJ16" s="5155"/>
      <c r="AK16" s="5155"/>
      <c r="AL16" s="5155"/>
      <c r="AM16" s="5264"/>
      <c r="AN16" s="5142" t="s">
        <v>1357</v>
      </c>
      <c r="AO16" s="5846" t="s">
        <v>1605</v>
      </c>
      <c r="AP16" s="987"/>
      <c r="AQ16" s="987"/>
      <c r="AR16" s="987"/>
      <c r="AS16" s="987"/>
      <c r="AT16" s="987"/>
      <c r="AU16" s="987"/>
      <c r="AV16" s="987"/>
      <c r="AW16" s="987"/>
      <c r="AX16" s="987"/>
      <c r="AY16" s="987"/>
      <c r="AZ16" s="987"/>
      <c r="BA16" s="987"/>
      <c r="BB16" s="987"/>
      <c r="BC16" s="987"/>
      <c r="BD16" s="987"/>
      <c r="BE16" s="987"/>
      <c r="BF16" s="987"/>
      <c r="BG16" s="987"/>
      <c r="BH16" s="987"/>
      <c r="BI16" s="987"/>
      <c r="BJ16" s="987"/>
      <c r="BK16" s="983"/>
      <c r="BL16" s="983"/>
      <c r="BM16" s="983"/>
      <c r="BN16" s="983"/>
      <c r="BO16" s="983"/>
      <c r="BP16" s="983"/>
      <c r="BQ16" s="983"/>
      <c r="BR16" s="983"/>
      <c r="BS16" s="983"/>
      <c r="BT16" s="983"/>
      <c r="BU16" s="983"/>
      <c r="BV16" s="983"/>
      <c r="BW16" s="983"/>
      <c r="BX16" s="983"/>
      <c r="BY16" s="984"/>
      <c r="BZ16" s="984"/>
      <c r="CA16" s="984"/>
      <c r="CB16" s="985"/>
      <c r="CC16" s="985"/>
      <c r="CD16" s="985"/>
      <c r="CE16" s="985"/>
      <c r="CF16" s="985"/>
      <c r="CG16" s="985"/>
      <c r="CH16" s="1023"/>
      <c r="CI16" s="1023"/>
      <c r="CJ16" s="1023"/>
      <c r="CK16" s="1023"/>
      <c r="CL16" s="1023"/>
      <c r="CM16" s="1023"/>
      <c r="CN16" s="1023"/>
    </row>
    <row r="17" spans="1:92" ht="16.350000000000001" customHeight="1" x14ac:dyDescent="0.25">
      <c r="A17" s="983"/>
      <c r="B17" s="5146"/>
      <c r="C17" s="5844"/>
      <c r="D17" s="5317"/>
      <c r="E17" s="5297"/>
      <c r="F17" s="5263" t="s">
        <v>350</v>
      </c>
      <c r="G17" s="5264"/>
      <c r="H17" s="5263" t="s">
        <v>351</v>
      </c>
      <c r="I17" s="5264"/>
      <c r="J17" s="5263" t="s">
        <v>352</v>
      </c>
      <c r="K17" s="5264"/>
      <c r="L17" s="5263" t="s">
        <v>319</v>
      </c>
      <c r="M17" s="5264"/>
      <c r="N17" s="5263" t="s">
        <v>10</v>
      </c>
      <c r="O17" s="5264"/>
      <c r="P17" s="5261" t="s">
        <v>11</v>
      </c>
      <c r="Q17" s="5262"/>
      <c r="R17" s="5261" t="s">
        <v>12</v>
      </c>
      <c r="S17" s="5262"/>
      <c r="T17" s="5261" t="s">
        <v>13</v>
      </c>
      <c r="U17" s="5262"/>
      <c r="V17" s="5261" t="s">
        <v>14</v>
      </c>
      <c r="W17" s="5262"/>
      <c r="X17" s="5261" t="s">
        <v>15</v>
      </c>
      <c r="Y17" s="5262"/>
      <c r="Z17" s="5261" t="s">
        <v>16</v>
      </c>
      <c r="AA17" s="5262"/>
      <c r="AB17" s="5261" t="s">
        <v>17</v>
      </c>
      <c r="AC17" s="5262"/>
      <c r="AD17" s="5261" t="s">
        <v>18</v>
      </c>
      <c r="AE17" s="5262"/>
      <c r="AF17" s="5261" t="s">
        <v>19</v>
      </c>
      <c r="AG17" s="5262"/>
      <c r="AH17" s="5261" t="s">
        <v>20</v>
      </c>
      <c r="AI17" s="5262"/>
      <c r="AJ17" s="5261" t="s">
        <v>21</v>
      </c>
      <c r="AK17" s="5262"/>
      <c r="AL17" s="5261" t="s">
        <v>22</v>
      </c>
      <c r="AM17" s="5262"/>
      <c r="AN17" s="5103"/>
      <c r="AO17" s="5647"/>
      <c r="AP17" s="987"/>
      <c r="AQ17" s="987"/>
      <c r="AR17" s="987"/>
      <c r="AS17" s="987"/>
      <c r="AT17" s="987"/>
      <c r="AU17" s="987"/>
      <c r="AV17" s="987"/>
      <c r="AW17" s="987"/>
      <c r="AX17" s="987"/>
      <c r="AY17" s="987"/>
      <c r="AZ17" s="987"/>
      <c r="BA17" s="987"/>
      <c r="BB17" s="987"/>
      <c r="BC17" s="987"/>
      <c r="BD17" s="987"/>
      <c r="BE17" s="987"/>
      <c r="BF17" s="987"/>
      <c r="BG17" s="987"/>
      <c r="BH17" s="987"/>
      <c r="BI17" s="987"/>
      <c r="BJ17" s="987"/>
      <c r="BK17" s="983"/>
      <c r="BL17" s="983"/>
      <c r="BM17" s="983"/>
      <c r="BN17" s="983"/>
      <c r="BO17" s="983"/>
      <c r="BP17" s="983"/>
      <c r="BQ17" s="983"/>
      <c r="BR17" s="983"/>
      <c r="BS17" s="983"/>
      <c r="BT17" s="983"/>
      <c r="BU17" s="983"/>
      <c r="BV17" s="983"/>
      <c r="BW17" s="983"/>
      <c r="BX17" s="983"/>
      <c r="BY17" s="984"/>
      <c r="BZ17" s="984"/>
      <c r="CA17" s="984"/>
      <c r="CB17" s="985"/>
      <c r="CC17" s="985"/>
      <c r="CD17" s="985"/>
      <c r="CE17" s="985"/>
      <c r="CF17" s="985"/>
      <c r="CG17" s="985"/>
      <c r="CH17" s="1023"/>
      <c r="CI17" s="1023"/>
      <c r="CJ17" s="1023"/>
      <c r="CK17" s="1023"/>
      <c r="CL17" s="1023"/>
      <c r="CM17" s="1023"/>
      <c r="CN17" s="1023"/>
    </row>
    <row r="18" spans="1:92" ht="16.350000000000001" customHeight="1" x14ac:dyDescent="0.25">
      <c r="A18" s="983"/>
      <c r="B18" s="5843"/>
      <c r="C18" s="4589" t="s">
        <v>184</v>
      </c>
      <c r="D18" s="4590" t="s">
        <v>413</v>
      </c>
      <c r="E18" s="4297" t="s">
        <v>25</v>
      </c>
      <c r="F18" s="4336" t="s">
        <v>413</v>
      </c>
      <c r="G18" s="4266" t="s">
        <v>25</v>
      </c>
      <c r="H18" s="4336" t="s">
        <v>413</v>
      </c>
      <c r="I18" s="4266" t="s">
        <v>25</v>
      </c>
      <c r="J18" s="4336" t="s">
        <v>413</v>
      </c>
      <c r="K18" s="4266" t="s">
        <v>25</v>
      </c>
      <c r="L18" s="4336" t="s">
        <v>413</v>
      </c>
      <c r="M18" s="4266" t="s">
        <v>25</v>
      </c>
      <c r="N18" s="4336" t="s">
        <v>413</v>
      </c>
      <c r="O18" s="4266" t="s">
        <v>25</v>
      </c>
      <c r="P18" s="4336" t="s">
        <v>413</v>
      </c>
      <c r="Q18" s="4266" t="s">
        <v>25</v>
      </c>
      <c r="R18" s="4336" t="s">
        <v>413</v>
      </c>
      <c r="S18" s="4266" t="s">
        <v>25</v>
      </c>
      <c r="T18" s="4336" t="s">
        <v>413</v>
      </c>
      <c r="U18" s="4266" t="s">
        <v>25</v>
      </c>
      <c r="V18" s="4336" t="s">
        <v>413</v>
      </c>
      <c r="W18" s="4266" t="s">
        <v>25</v>
      </c>
      <c r="X18" s="4336" t="s">
        <v>413</v>
      </c>
      <c r="Y18" s="4266" t="s">
        <v>25</v>
      </c>
      <c r="Z18" s="4336" t="s">
        <v>413</v>
      </c>
      <c r="AA18" s="4266" t="s">
        <v>25</v>
      </c>
      <c r="AB18" s="4336" t="s">
        <v>413</v>
      </c>
      <c r="AC18" s="4266" t="s">
        <v>25</v>
      </c>
      <c r="AD18" s="4336" t="s">
        <v>413</v>
      </c>
      <c r="AE18" s="4266" t="s">
        <v>25</v>
      </c>
      <c r="AF18" s="4336" t="s">
        <v>413</v>
      </c>
      <c r="AG18" s="4266" t="s">
        <v>25</v>
      </c>
      <c r="AH18" s="4336" t="s">
        <v>413</v>
      </c>
      <c r="AI18" s="4266" t="s">
        <v>25</v>
      </c>
      <c r="AJ18" s="4336" t="s">
        <v>413</v>
      </c>
      <c r="AK18" s="4266" t="s">
        <v>25</v>
      </c>
      <c r="AL18" s="4336" t="s">
        <v>413</v>
      </c>
      <c r="AM18" s="4266" t="s">
        <v>25</v>
      </c>
      <c r="AN18" s="5845"/>
      <c r="AO18" s="5847"/>
      <c r="AP18" s="987"/>
      <c r="AQ18" s="987"/>
      <c r="AR18" s="987"/>
      <c r="AS18" s="987"/>
      <c r="AT18" s="987"/>
      <c r="AU18" s="987"/>
      <c r="AV18" s="987"/>
      <c r="AW18" s="987"/>
      <c r="AX18" s="987"/>
      <c r="AY18" s="987"/>
      <c r="AZ18" s="987"/>
      <c r="BA18" s="987"/>
      <c r="BB18" s="987"/>
      <c r="BC18" s="987"/>
      <c r="BD18" s="987"/>
      <c r="BE18" s="987"/>
      <c r="BF18" s="987"/>
      <c r="BG18" s="987"/>
      <c r="BH18" s="987"/>
      <c r="BI18" s="987"/>
      <c r="BJ18" s="987"/>
      <c r="BK18" s="983"/>
      <c r="BL18" s="983"/>
      <c r="BM18" s="983"/>
      <c r="BN18" s="983"/>
      <c r="BO18" s="983"/>
      <c r="BP18" s="983"/>
      <c r="BQ18" s="983"/>
      <c r="BR18" s="983"/>
      <c r="BS18" s="983"/>
      <c r="BT18" s="983"/>
      <c r="BU18" s="983"/>
      <c r="BV18" s="983"/>
      <c r="BW18" s="983"/>
      <c r="BX18" s="983"/>
      <c r="BY18" s="984"/>
      <c r="BZ18" s="984"/>
      <c r="CA18" s="984"/>
      <c r="CB18" s="985"/>
      <c r="CC18" s="985"/>
      <c r="CD18" s="985"/>
      <c r="CE18" s="985"/>
      <c r="CF18" s="985"/>
      <c r="CG18" s="985"/>
      <c r="CH18" s="1023"/>
      <c r="CI18" s="1023"/>
      <c r="CJ18" s="1023"/>
      <c r="CK18" s="1023"/>
      <c r="CL18" s="1023"/>
      <c r="CM18" s="1023"/>
      <c r="CN18" s="1023"/>
    </row>
    <row r="19" spans="1:92" ht="16.350000000000001" customHeight="1" x14ac:dyDescent="0.25">
      <c r="A19" s="2949" t="s">
        <v>3458</v>
      </c>
      <c r="B19" s="4379" t="s">
        <v>29</v>
      </c>
      <c r="C19" s="2885" t="s">
        <v>2777</v>
      </c>
      <c r="D19" s="2886" t="s">
        <v>2778</v>
      </c>
      <c r="E19" s="4591" t="s">
        <v>2779</v>
      </c>
      <c r="F19" s="2391" t="s">
        <v>2780</v>
      </c>
      <c r="G19" s="4378" t="s">
        <v>2781</v>
      </c>
      <c r="H19" s="2391" t="s">
        <v>2782</v>
      </c>
      <c r="I19" s="4378" t="s">
        <v>2783</v>
      </c>
      <c r="J19" s="2391" t="s">
        <v>2784</v>
      </c>
      <c r="K19" s="171" t="s">
        <v>2785</v>
      </c>
      <c r="L19" s="2391" t="s">
        <v>2786</v>
      </c>
      <c r="M19" s="171" t="s">
        <v>2787</v>
      </c>
      <c r="N19" s="2391" t="s">
        <v>2788</v>
      </c>
      <c r="O19" s="171" t="s">
        <v>2789</v>
      </c>
      <c r="P19" s="2392" t="s">
        <v>2790</v>
      </c>
      <c r="Q19" s="171" t="s">
        <v>2791</v>
      </c>
      <c r="R19" s="2392" t="s">
        <v>2792</v>
      </c>
      <c r="S19" s="171" t="s">
        <v>2793</v>
      </c>
      <c r="T19" s="2392" t="s">
        <v>2794</v>
      </c>
      <c r="U19" s="171" t="s">
        <v>2795</v>
      </c>
      <c r="V19" s="2392" t="s">
        <v>2796</v>
      </c>
      <c r="W19" s="171" t="s">
        <v>2797</v>
      </c>
      <c r="X19" s="2392" t="s">
        <v>2798</v>
      </c>
      <c r="Y19" s="171" t="s">
        <v>2799</v>
      </c>
      <c r="Z19" s="2392" t="s">
        <v>2800</v>
      </c>
      <c r="AA19" s="171" t="s">
        <v>2801</v>
      </c>
      <c r="AB19" s="2392" t="s">
        <v>2817</v>
      </c>
      <c r="AC19" s="171" t="s">
        <v>2818</v>
      </c>
      <c r="AD19" s="2392" t="s">
        <v>2819</v>
      </c>
      <c r="AE19" s="171" t="s">
        <v>2821</v>
      </c>
      <c r="AF19" s="2392" t="s">
        <v>2822</v>
      </c>
      <c r="AG19" s="171" t="s">
        <v>2823</v>
      </c>
      <c r="AH19" s="2392" t="s">
        <v>2824</v>
      </c>
      <c r="AI19" s="171" t="s">
        <v>2825</v>
      </c>
      <c r="AJ19" s="2392" t="s">
        <v>2826</v>
      </c>
      <c r="AK19" s="171" t="s">
        <v>2827</v>
      </c>
      <c r="AL19" s="2392" t="s">
        <v>2831</v>
      </c>
      <c r="AM19" s="171" t="s">
        <v>2832</v>
      </c>
      <c r="AN19" s="2393" t="s">
        <v>2833</v>
      </c>
      <c r="AO19" s="2393" t="s">
        <v>2834</v>
      </c>
      <c r="AP19" s="2269"/>
      <c r="AQ19" s="1058"/>
      <c r="AR19" s="1058"/>
      <c r="AS19" s="1058"/>
      <c r="AT19" s="1058"/>
      <c r="AU19" s="1058"/>
      <c r="AV19" s="1058"/>
      <c r="AW19" s="1058"/>
      <c r="AX19" s="1058"/>
      <c r="AY19" s="1058"/>
      <c r="AZ19" s="1058"/>
      <c r="BA19" s="987"/>
      <c r="BB19" s="987"/>
      <c r="BC19" s="987"/>
      <c r="BD19" s="987"/>
      <c r="BE19" s="987"/>
      <c r="BF19" s="987"/>
      <c r="BG19" s="987"/>
      <c r="BH19" s="987"/>
      <c r="BI19" s="987"/>
      <c r="BJ19" s="987"/>
      <c r="BK19" s="983"/>
      <c r="BL19" s="983"/>
      <c r="BM19" s="983"/>
      <c r="BN19" s="983"/>
      <c r="BO19" s="983"/>
      <c r="BP19" s="983"/>
      <c r="BQ19" s="983"/>
      <c r="BR19" s="983"/>
      <c r="BS19" s="983"/>
      <c r="BT19" s="983"/>
      <c r="BU19" s="983"/>
      <c r="BV19" s="983"/>
      <c r="BW19" s="983"/>
      <c r="BX19" s="983"/>
      <c r="BY19" s="984"/>
      <c r="BZ19" s="984"/>
      <c r="CA19" s="984"/>
      <c r="CB19" s="985"/>
      <c r="CC19" s="985"/>
      <c r="CD19" s="985"/>
      <c r="CE19" s="985"/>
      <c r="CF19" s="985"/>
      <c r="CG19" s="985">
        <v>0</v>
      </c>
      <c r="CH19" s="1023">
        <v>0</v>
      </c>
      <c r="CI19" s="1023">
        <v>0</v>
      </c>
      <c r="CJ19" s="1023"/>
      <c r="CK19" s="1023"/>
      <c r="CL19" s="1023"/>
      <c r="CM19" s="1023"/>
      <c r="CN19" s="1023"/>
    </row>
    <row r="20" spans="1:92" ht="16.350000000000001" customHeight="1" x14ac:dyDescent="0.25">
      <c r="A20" s="2949" t="s">
        <v>3459</v>
      </c>
      <c r="B20" s="4227" t="s">
        <v>41</v>
      </c>
      <c r="C20" s="2885" t="s">
        <v>2777</v>
      </c>
      <c r="D20" s="2886" t="s">
        <v>2778</v>
      </c>
      <c r="E20" s="4234" t="s">
        <v>2779</v>
      </c>
      <c r="F20" s="141" t="s">
        <v>2780</v>
      </c>
      <c r="G20" s="198" t="s">
        <v>2781</v>
      </c>
      <c r="H20" s="141" t="s">
        <v>2782</v>
      </c>
      <c r="I20" s="198" t="s">
        <v>2783</v>
      </c>
      <c r="J20" s="141" t="s">
        <v>2784</v>
      </c>
      <c r="K20" s="163" t="s">
        <v>2785</v>
      </c>
      <c r="L20" s="141" t="s">
        <v>2786</v>
      </c>
      <c r="M20" s="163" t="s">
        <v>2787</v>
      </c>
      <c r="N20" s="141" t="s">
        <v>2788</v>
      </c>
      <c r="O20" s="163" t="s">
        <v>2789</v>
      </c>
      <c r="P20" s="224" t="s">
        <v>2790</v>
      </c>
      <c r="Q20" s="163" t="s">
        <v>2791</v>
      </c>
      <c r="R20" s="224" t="s">
        <v>2792</v>
      </c>
      <c r="S20" s="163" t="s">
        <v>2793</v>
      </c>
      <c r="T20" s="224" t="s">
        <v>2794</v>
      </c>
      <c r="U20" s="163" t="s">
        <v>2795</v>
      </c>
      <c r="V20" s="224" t="s">
        <v>2796</v>
      </c>
      <c r="W20" s="163" t="s">
        <v>2797</v>
      </c>
      <c r="X20" s="224" t="s">
        <v>2798</v>
      </c>
      <c r="Y20" s="163" t="s">
        <v>2799</v>
      </c>
      <c r="Z20" s="224" t="s">
        <v>2800</v>
      </c>
      <c r="AA20" s="163" t="s">
        <v>2801</v>
      </c>
      <c r="AB20" s="224" t="s">
        <v>2817</v>
      </c>
      <c r="AC20" s="163" t="s">
        <v>2818</v>
      </c>
      <c r="AD20" s="224" t="s">
        <v>2819</v>
      </c>
      <c r="AE20" s="163" t="s">
        <v>2821</v>
      </c>
      <c r="AF20" s="224" t="s">
        <v>2822</v>
      </c>
      <c r="AG20" s="163" t="s">
        <v>2823</v>
      </c>
      <c r="AH20" s="224" t="s">
        <v>2824</v>
      </c>
      <c r="AI20" s="163" t="s">
        <v>2825</v>
      </c>
      <c r="AJ20" s="224" t="s">
        <v>2826</v>
      </c>
      <c r="AK20" s="163" t="s">
        <v>2827</v>
      </c>
      <c r="AL20" s="224" t="s">
        <v>2831</v>
      </c>
      <c r="AM20" s="163" t="s">
        <v>2832</v>
      </c>
      <c r="AN20" s="164" t="s">
        <v>2833</v>
      </c>
      <c r="AO20" s="164" t="s">
        <v>2834</v>
      </c>
      <c r="AP20" s="2269"/>
      <c r="AQ20" s="1058"/>
      <c r="AR20" s="1058"/>
      <c r="AS20" s="1058"/>
      <c r="AT20" s="1058"/>
      <c r="AU20" s="1058"/>
      <c r="AV20" s="1058"/>
      <c r="AW20" s="1058"/>
      <c r="AX20" s="1058"/>
      <c r="AY20" s="1058"/>
      <c r="AZ20" s="1058"/>
      <c r="BA20" s="987"/>
      <c r="BB20" s="987"/>
      <c r="BC20" s="987"/>
      <c r="BD20" s="987"/>
      <c r="BE20" s="987"/>
      <c r="BF20" s="987"/>
      <c r="BG20" s="987"/>
      <c r="BH20" s="987"/>
      <c r="BI20" s="987"/>
      <c r="BJ20" s="987"/>
      <c r="BK20" s="983"/>
      <c r="BL20" s="983"/>
      <c r="BM20" s="983"/>
      <c r="BN20" s="983"/>
      <c r="BO20" s="983"/>
      <c r="BP20" s="983"/>
      <c r="BQ20" s="983"/>
      <c r="BR20" s="983"/>
      <c r="BS20" s="983"/>
      <c r="BT20" s="983"/>
      <c r="BU20" s="983"/>
      <c r="BV20" s="983"/>
      <c r="BW20" s="983"/>
      <c r="BX20" s="983"/>
      <c r="BY20" s="984"/>
      <c r="BZ20" s="984"/>
      <c r="CA20" s="984"/>
      <c r="CB20" s="985"/>
      <c r="CC20" s="985"/>
      <c r="CD20" s="985"/>
      <c r="CE20" s="985"/>
      <c r="CF20" s="985"/>
      <c r="CG20" s="985"/>
      <c r="CH20" s="1023">
        <v>0</v>
      </c>
      <c r="CI20" s="1023">
        <v>0</v>
      </c>
      <c r="CJ20" s="1023"/>
      <c r="CK20" s="1023"/>
      <c r="CL20" s="1023"/>
      <c r="CM20" s="1023"/>
      <c r="CN20" s="1023"/>
    </row>
    <row r="21" spans="1:92" ht="16.350000000000001" customHeight="1" x14ac:dyDescent="0.25">
      <c r="A21" s="2949" t="s">
        <v>3460</v>
      </c>
      <c r="B21" s="4227" t="s">
        <v>30</v>
      </c>
      <c r="C21" s="2885" t="s">
        <v>2777</v>
      </c>
      <c r="D21" s="2886" t="s">
        <v>2778</v>
      </c>
      <c r="E21" s="4234" t="s">
        <v>2779</v>
      </c>
      <c r="F21" s="141" t="s">
        <v>2780</v>
      </c>
      <c r="G21" s="198" t="s">
        <v>2781</v>
      </c>
      <c r="H21" s="141" t="s">
        <v>2782</v>
      </c>
      <c r="I21" s="198" t="s">
        <v>2783</v>
      </c>
      <c r="J21" s="141" t="s">
        <v>2784</v>
      </c>
      <c r="K21" s="163" t="s">
        <v>2785</v>
      </c>
      <c r="L21" s="141" t="s">
        <v>2786</v>
      </c>
      <c r="M21" s="163" t="s">
        <v>2787</v>
      </c>
      <c r="N21" s="141" t="s">
        <v>2788</v>
      </c>
      <c r="O21" s="163" t="s">
        <v>2789</v>
      </c>
      <c r="P21" s="224" t="s">
        <v>2790</v>
      </c>
      <c r="Q21" s="163" t="s">
        <v>2791</v>
      </c>
      <c r="R21" s="224" t="s">
        <v>2792</v>
      </c>
      <c r="S21" s="163" t="s">
        <v>2793</v>
      </c>
      <c r="T21" s="224" t="s">
        <v>2794</v>
      </c>
      <c r="U21" s="163" t="s">
        <v>2795</v>
      </c>
      <c r="V21" s="224" t="s">
        <v>2796</v>
      </c>
      <c r="W21" s="163" t="s">
        <v>2797</v>
      </c>
      <c r="X21" s="224" t="s">
        <v>2798</v>
      </c>
      <c r="Y21" s="163" t="s">
        <v>2799</v>
      </c>
      <c r="Z21" s="224" t="s">
        <v>2800</v>
      </c>
      <c r="AA21" s="163" t="s">
        <v>2801</v>
      </c>
      <c r="AB21" s="224" t="s">
        <v>2817</v>
      </c>
      <c r="AC21" s="163" t="s">
        <v>2818</v>
      </c>
      <c r="AD21" s="224" t="s">
        <v>2819</v>
      </c>
      <c r="AE21" s="163" t="s">
        <v>2821</v>
      </c>
      <c r="AF21" s="224" t="s">
        <v>2822</v>
      </c>
      <c r="AG21" s="163" t="s">
        <v>2823</v>
      </c>
      <c r="AH21" s="224" t="s">
        <v>2824</v>
      </c>
      <c r="AI21" s="163" t="s">
        <v>2825</v>
      </c>
      <c r="AJ21" s="224" t="s">
        <v>2826</v>
      </c>
      <c r="AK21" s="163" t="s">
        <v>2827</v>
      </c>
      <c r="AL21" s="224" t="s">
        <v>2831</v>
      </c>
      <c r="AM21" s="163" t="s">
        <v>2832</v>
      </c>
      <c r="AN21" s="164" t="s">
        <v>2833</v>
      </c>
      <c r="AO21" s="164" t="s">
        <v>2834</v>
      </c>
      <c r="AP21" s="2269"/>
      <c r="AQ21" s="1058"/>
      <c r="AR21" s="1058"/>
      <c r="AS21" s="1058"/>
      <c r="AT21" s="1058"/>
      <c r="AU21" s="1058"/>
      <c r="AV21" s="1058"/>
      <c r="AW21" s="1058"/>
      <c r="AX21" s="1058"/>
      <c r="AY21" s="1058"/>
      <c r="AZ21" s="1058"/>
      <c r="BA21" s="987"/>
      <c r="BB21" s="987"/>
      <c r="BC21" s="987"/>
      <c r="BD21" s="987"/>
      <c r="BE21" s="987"/>
      <c r="BF21" s="987"/>
      <c r="BG21" s="987"/>
      <c r="BH21" s="987"/>
      <c r="BI21" s="987"/>
      <c r="BJ21" s="987"/>
      <c r="BK21" s="983"/>
      <c r="BL21" s="983"/>
      <c r="BM21" s="983"/>
      <c r="BN21" s="983"/>
      <c r="BO21" s="983"/>
      <c r="BP21" s="983"/>
      <c r="BQ21" s="983"/>
      <c r="BR21" s="983"/>
      <c r="BS21" s="983"/>
      <c r="BT21" s="983"/>
      <c r="BU21" s="983"/>
      <c r="BV21" s="983"/>
      <c r="BW21" s="983"/>
      <c r="BX21" s="983"/>
      <c r="BY21" s="984"/>
      <c r="BZ21" s="984"/>
      <c r="CA21" s="984"/>
      <c r="CB21" s="985"/>
      <c r="CC21" s="985"/>
      <c r="CD21" s="985"/>
      <c r="CE21" s="985"/>
      <c r="CF21" s="985"/>
      <c r="CG21" s="985"/>
      <c r="CH21" s="1023">
        <v>0</v>
      </c>
      <c r="CI21" s="1023">
        <v>0</v>
      </c>
      <c r="CJ21" s="1023"/>
      <c r="CK21" s="1023"/>
      <c r="CL21" s="1023"/>
      <c r="CM21" s="1023"/>
      <c r="CN21" s="1023"/>
    </row>
    <row r="22" spans="1:92" ht="16.350000000000001" customHeight="1" x14ac:dyDescent="0.25">
      <c r="A22" s="2949" t="s">
        <v>3461</v>
      </c>
      <c r="B22" s="4239" t="s">
        <v>1252</v>
      </c>
      <c r="C22" s="2887" t="s">
        <v>2777</v>
      </c>
      <c r="D22" s="2888" t="s">
        <v>2778</v>
      </c>
      <c r="E22" s="4233" t="s">
        <v>2779</v>
      </c>
      <c r="F22" s="166" t="s">
        <v>2780</v>
      </c>
      <c r="G22" s="168" t="s">
        <v>2781</v>
      </c>
      <c r="H22" s="166" t="s">
        <v>2782</v>
      </c>
      <c r="I22" s="168" t="s">
        <v>2783</v>
      </c>
      <c r="J22" s="166" t="s">
        <v>2784</v>
      </c>
      <c r="K22" s="125" t="s">
        <v>2785</v>
      </c>
      <c r="L22" s="166" t="s">
        <v>2786</v>
      </c>
      <c r="M22" s="125" t="s">
        <v>2787</v>
      </c>
      <c r="N22" s="166" t="s">
        <v>2788</v>
      </c>
      <c r="O22" s="125" t="s">
        <v>2789</v>
      </c>
      <c r="P22" s="227" t="s">
        <v>2790</v>
      </c>
      <c r="Q22" s="125" t="s">
        <v>2791</v>
      </c>
      <c r="R22" s="227" t="s">
        <v>2792</v>
      </c>
      <c r="S22" s="125" t="s">
        <v>2793</v>
      </c>
      <c r="T22" s="227" t="s">
        <v>2794</v>
      </c>
      <c r="U22" s="125" t="s">
        <v>2795</v>
      </c>
      <c r="V22" s="227" t="s">
        <v>2796</v>
      </c>
      <c r="W22" s="125" t="s">
        <v>2797</v>
      </c>
      <c r="X22" s="227" t="s">
        <v>2798</v>
      </c>
      <c r="Y22" s="125" t="s">
        <v>2799</v>
      </c>
      <c r="Z22" s="227" t="s">
        <v>2800</v>
      </c>
      <c r="AA22" s="125" t="s">
        <v>2801</v>
      </c>
      <c r="AB22" s="227" t="s">
        <v>2817</v>
      </c>
      <c r="AC22" s="125" t="s">
        <v>2818</v>
      </c>
      <c r="AD22" s="227" t="s">
        <v>2819</v>
      </c>
      <c r="AE22" s="125" t="s">
        <v>2821</v>
      </c>
      <c r="AF22" s="227" t="s">
        <v>2822</v>
      </c>
      <c r="AG22" s="125" t="s">
        <v>2823</v>
      </c>
      <c r="AH22" s="227" t="s">
        <v>2824</v>
      </c>
      <c r="AI22" s="125" t="s">
        <v>2825</v>
      </c>
      <c r="AJ22" s="227" t="s">
        <v>2826</v>
      </c>
      <c r="AK22" s="125" t="s">
        <v>2827</v>
      </c>
      <c r="AL22" s="227" t="s">
        <v>2831</v>
      </c>
      <c r="AM22" s="125" t="s">
        <v>2832</v>
      </c>
      <c r="AN22" s="105" t="s">
        <v>2833</v>
      </c>
      <c r="AO22" s="105" t="s">
        <v>2834</v>
      </c>
      <c r="AP22" s="2269"/>
      <c r="AQ22" s="1058"/>
      <c r="AR22" s="1058"/>
      <c r="AS22" s="1058"/>
      <c r="AT22" s="1058"/>
      <c r="AU22" s="1058"/>
      <c r="AV22" s="1058"/>
      <c r="AW22" s="1058"/>
      <c r="AX22" s="1058"/>
      <c r="AY22" s="1058"/>
      <c r="AZ22" s="1058"/>
      <c r="BA22" s="987"/>
      <c r="BB22" s="987"/>
      <c r="BC22" s="987"/>
      <c r="BD22" s="987"/>
      <c r="BE22" s="987"/>
      <c r="BF22" s="987"/>
      <c r="BG22" s="987"/>
      <c r="BH22" s="987"/>
      <c r="BI22" s="987"/>
      <c r="BJ22" s="987"/>
      <c r="BK22" s="983"/>
      <c r="BL22" s="983"/>
      <c r="BM22" s="983"/>
      <c r="BN22" s="983"/>
      <c r="BO22" s="983"/>
      <c r="BP22" s="983"/>
      <c r="BQ22" s="983"/>
      <c r="BR22" s="983"/>
      <c r="BS22" s="983"/>
      <c r="BT22" s="983"/>
      <c r="BU22" s="983"/>
      <c r="BV22" s="983"/>
      <c r="BW22" s="983"/>
      <c r="BX22" s="983"/>
      <c r="BY22" s="984"/>
      <c r="BZ22" s="984"/>
      <c r="CA22" s="984"/>
      <c r="CB22" s="985"/>
      <c r="CC22" s="985"/>
      <c r="CD22" s="985"/>
      <c r="CE22" s="985"/>
      <c r="CF22" s="985"/>
      <c r="CG22" s="985"/>
      <c r="CH22" s="1023">
        <v>0</v>
      </c>
      <c r="CI22" s="1023">
        <v>0</v>
      </c>
      <c r="CJ22" s="1023"/>
      <c r="CK22" s="1023"/>
      <c r="CL22" s="1023"/>
      <c r="CM22" s="1023"/>
      <c r="CN22" s="1023"/>
    </row>
    <row r="23" spans="1:92" ht="32.1" customHeight="1" x14ac:dyDescent="0.25">
      <c r="A23" s="983"/>
      <c r="B23" s="4240" t="s">
        <v>1339</v>
      </c>
      <c r="C23" s="177"/>
      <c r="D23" s="177"/>
      <c r="E23" s="177"/>
      <c r="F23" s="177"/>
      <c r="G23" s="177"/>
      <c r="H23" s="177"/>
      <c r="I23" s="177"/>
      <c r="J23" s="177"/>
      <c r="K23" s="177"/>
      <c r="L23" s="177"/>
      <c r="M23" s="85"/>
      <c r="N23" s="480"/>
      <c r="O23" s="480"/>
      <c r="P23" s="190"/>
      <c r="Q23" s="190"/>
      <c r="R23" s="190"/>
      <c r="S23" s="190"/>
      <c r="T23" s="190"/>
      <c r="U23" s="190"/>
      <c r="V23" s="190"/>
      <c r="W23" s="190"/>
      <c r="X23" s="190"/>
      <c r="Y23" s="219"/>
      <c r="Z23" s="219"/>
      <c r="AA23" s="219"/>
      <c r="AB23" s="219"/>
      <c r="AC23" s="219"/>
      <c r="AD23" s="219"/>
      <c r="AE23" s="219"/>
      <c r="AF23" s="219"/>
      <c r="AG23" s="219"/>
      <c r="AH23" s="219"/>
      <c r="AI23" s="219"/>
      <c r="AJ23" s="219"/>
      <c r="AK23" s="219"/>
      <c r="AL23" s="219"/>
      <c r="AM23" s="219"/>
      <c r="AN23" s="4374"/>
      <c r="AO23" s="881"/>
      <c r="AP23" s="987"/>
      <c r="AQ23" s="987"/>
      <c r="AR23" s="987"/>
      <c r="AS23" s="987"/>
      <c r="AT23" s="987"/>
      <c r="AU23" s="987"/>
      <c r="AV23" s="987"/>
      <c r="AW23" s="987"/>
      <c r="AX23" s="987"/>
      <c r="AY23" s="987"/>
      <c r="AZ23" s="987"/>
      <c r="BA23" s="987"/>
      <c r="BB23" s="987"/>
      <c r="BC23" s="987"/>
      <c r="BD23" s="987"/>
      <c r="BE23" s="987"/>
      <c r="BF23" s="987"/>
      <c r="BG23" s="987"/>
      <c r="BH23" s="987"/>
      <c r="BI23" s="987"/>
      <c r="BJ23" s="987"/>
      <c r="BK23" s="983"/>
      <c r="BL23" s="983"/>
      <c r="BM23" s="983"/>
      <c r="BN23" s="983"/>
      <c r="BO23" s="983"/>
      <c r="BP23" s="983"/>
      <c r="BQ23" s="983"/>
      <c r="BR23" s="983"/>
      <c r="BS23" s="983"/>
      <c r="BT23" s="983"/>
      <c r="BU23" s="983"/>
      <c r="BV23" s="983"/>
      <c r="BW23" s="983"/>
      <c r="BX23" s="983"/>
      <c r="BY23" s="983"/>
      <c r="BZ23" s="983"/>
      <c r="CA23" s="983"/>
      <c r="CB23" s="985"/>
      <c r="CC23" s="985"/>
      <c r="CD23" s="985"/>
      <c r="CE23" s="985"/>
      <c r="CF23" s="985"/>
      <c r="CG23" s="985"/>
      <c r="CH23" s="1023"/>
      <c r="CI23" s="1023"/>
      <c r="CJ23" s="1023"/>
      <c r="CK23" s="1023"/>
      <c r="CL23" s="1023"/>
      <c r="CM23" s="1023"/>
      <c r="CN23" s="1023"/>
    </row>
    <row r="24" spans="1:92" ht="16.350000000000001" customHeight="1" x14ac:dyDescent="0.25">
      <c r="A24" s="983"/>
      <c r="B24" s="5855" t="s">
        <v>3</v>
      </c>
      <c r="C24" s="5150" t="s">
        <v>511</v>
      </c>
      <c r="D24" s="5151"/>
      <c r="E24" s="5152"/>
      <c r="F24" s="5263" t="s">
        <v>406</v>
      </c>
      <c r="G24" s="5155"/>
      <c r="H24" s="5155"/>
      <c r="I24" s="5155"/>
      <c r="J24" s="5155"/>
      <c r="K24" s="5155"/>
      <c r="L24" s="5155"/>
      <c r="M24" s="5155"/>
      <c r="N24" s="5155"/>
      <c r="O24" s="5155"/>
      <c r="P24" s="5155"/>
      <c r="Q24" s="5155"/>
      <c r="R24" s="5155"/>
      <c r="S24" s="5155"/>
      <c r="T24" s="5155"/>
      <c r="U24" s="5155"/>
      <c r="V24" s="5155"/>
      <c r="W24" s="5155"/>
      <c r="X24" s="5155"/>
      <c r="Y24" s="5155"/>
      <c r="Z24" s="5155"/>
      <c r="AA24" s="5155"/>
      <c r="AB24" s="5155"/>
      <c r="AC24" s="5155"/>
      <c r="AD24" s="5155"/>
      <c r="AE24" s="5155"/>
      <c r="AF24" s="5155"/>
      <c r="AG24" s="5155"/>
      <c r="AH24" s="5155"/>
      <c r="AI24" s="5155"/>
      <c r="AJ24" s="5155"/>
      <c r="AK24" s="5155"/>
      <c r="AL24" s="5155"/>
      <c r="AM24" s="5264"/>
      <c r="AN24" s="5142" t="s">
        <v>1357</v>
      </c>
      <c r="AO24" s="5846" t="s">
        <v>1605</v>
      </c>
      <c r="AP24" s="987"/>
      <c r="AQ24" s="987"/>
      <c r="AR24" s="987"/>
      <c r="AS24" s="987"/>
      <c r="AT24" s="987"/>
      <c r="AU24" s="987"/>
      <c r="AV24" s="987"/>
      <c r="AW24" s="987"/>
      <c r="AX24" s="987"/>
      <c r="AY24" s="987"/>
      <c r="AZ24" s="987"/>
      <c r="BA24" s="987"/>
      <c r="BB24" s="987"/>
      <c r="BC24" s="987"/>
      <c r="BD24" s="987"/>
      <c r="BE24" s="987"/>
      <c r="BF24" s="987"/>
      <c r="BG24" s="987"/>
      <c r="BH24" s="987"/>
      <c r="BI24" s="987"/>
      <c r="BJ24" s="987"/>
      <c r="BK24" s="983"/>
      <c r="BL24" s="983"/>
      <c r="BM24" s="983"/>
      <c r="BN24" s="983"/>
      <c r="BO24" s="983"/>
      <c r="BP24" s="983"/>
      <c r="BQ24" s="983"/>
      <c r="BR24" s="983"/>
      <c r="BS24" s="983"/>
      <c r="BT24" s="983"/>
      <c r="BU24" s="983"/>
      <c r="BV24" s="983"/>
      <c r="BW24" s="983"/>
      <c r="BX24" s="983"/>
      <c r="BY24" s="984"/>
      <c r="BZ24" s="984"/>
      <c r="CA24" s="984"/>
      <c r="CB24" s="985"/>
      <c r="CC24" s="985"/>
      <c r="CD24" s="985"/>
      <c r="CE24" s="985"/>
      <c r="CF24" s="985"/>
      <c r="CG24" s="985"/>
      <c r="CH24" s="1023"/>
      <c r="CI24" s="1023"/>
      <c r="CJ24" s="1023"/>
      <c r="CK24" s="1023"/>
      <c r="CL24" s="1023"/>
      <c r="CM24" s="1023"/>
      <c r="CN24" s="1023"/>
    </row>
    <row r="25" spans="1:92" ht="16.350000000000001" customHeight="1" x14ac:dyDescent="0.25">
      <c r="A25" s="983"/>
      <c r="B25" s="5338"/>
      <c r="C25" s="5844"/>
      <c r="D25" s="5317"/>
      <c r="E25" s="5297"/>
      <c r="F25" s="5263" t="s">
        <v>350</v>
      </c>
      <c r="G25" s="5264"/>
      <c r="H25" s="5263" t="s">
        <v>351</v>
      </c>
      <c r="I25" s="5264"/>
      <c r="J25" s="5263" t="s">
        <v>352</v>
      </c>
      <c r="K25" s="5264"/>
      <c r="L25" s="5263" t="s">
        <v>319</v>
      </c>
      <c r="M25" s="5264"/>
      <c r="N25" s="5263" t="s">
        <v>10</v>
      </c>
      <c r="O25" s="5264"/>
      <c r="P25" s="5261" t="s">
        <v>11</v>
      </c>
      <c r="Q25" s="5262"/>
      <c r="R25" s="5261" t="s">
        <v>12</v>
      </c>
      <c r="S25" s="5262"/>
      <c r="T25" s="5261" t="s">
        <v>13</v>
      </c>
      <c r="U25" s="5262"/>
      <c r="V25" s="5261" t="s">
        <v>14</v>
      </c>
      <c r="W25" s="5262"/>
      <c r="X25" s="5261" t="s">
        <v>15</v>
      </c>
      <c r="Y25" s="5262"/>
      <c r="Z25" s="5261" t="s">
        <v>16</v>
      </c>
      <c r="AA25" s="5262"/>
      <c r="AB25" s="5261" t="s">
        <v>17</v>
      </c>
      <c r="AC25" s="5262"/>
      <c r="AD25" s="5261" t="s">
        <v>18</v>
      </c>
      <c r="AE25" s="5262"/>
      <c r="AF25" s="5261" t="s">
        <v>19</v>
      </c>
      <c r="AG25" s="5262"/>
      <c r="AH25" s="5261" t="s">
        <v>20</v>
      </c>
      <c r="AI25" s="5262"/>
      <c r="AJ25" s="5261" t="s">
        <v>21</v>
      </c>
      <c r="AK25" s="5262"/>
      <c r="AL25" s="5261" t="s">
        <v>22</v>
      </c>
      <c r="AM25" s="5262"/>
      <c r="AN25" s="5103"/>
      <c r="AO25" s="5647"/>
      <c r="AP25" s="987"/>
      <c r="AQ25" s="987"/>
      <c r="AR25" s="987"/>
      <c r="AS25" s="987"/>
      <c r="AT25" s="987"/>
      <c r="AU25" s="987"/>
      <c r="AV25" s="987"/>
      <c r="AW25" s="987"/>
      <c r="AX25" s="987"/>
      <c r="AY25" s="987"/>
      <c r="AZ25" s="987"/>
      <c r="BA25" s="987"/>
      <c r="BB25" s="987"/>
      <c r="BC25" s="987"/>
      <c r="BD25" s="987"/>
      <c r="BE25" s="987"/>
      <c r="BF25" s="987"/>
      <c r="BG25" s="987"/>
      <c r="BH25" s="987"/>
      <c r="BI25" s="987"/>
      <c r="BJ25" s="987"/>
      <c r="BK25" s="983"/>
      <c r="BL25" s="983"/>
      <c r="BM25" s="983"/>
      <c r="BN25" s="983"/>
      <c r="BO25" s="983"/>
      <c r="BP25" s="983"/>
      <c r="BQ25" s="983"/>
      <c r="BR25" s="983"/>
      <c r="BS25" s="983"/>
      <c r="BT25" s="983"/>
      <c r="BU25" s="983"/>
      <c r="BV25" s="983"/>
      <c r="BW25" s="983"/>
      <c r="BX25" s="983"/>
      <c r="BY25" s="984"/>
      <c r="BZ25" s="984"/>
      <c r="CA25" s="984"/>
      <c r="CB25" s="985"/>
      <c r="CC25" s="985"/>
      <c r="CD25" s="985"/>
      <c r="CE25" s="985"/>
      <c r="CF25" s="985"/>
      <c r="CG25" s="985"/>
      <c r="CH25" s="1023"/>
      <c r="CI25" s="1023"/>
      <c r="CJ25" s="1023"/>
      <c r="CK25" s="1023"/>
      <c r="CL25" s="1023"/>
      <c r="CM25" s="1023"/>
      <c r="CN25" s="1023"/>
    </row>
    <row r="26" spans="1:92" ht="16.350000000000001" customHeight="1" x14ac:dyDescent="0.25">
      <c r="A26" s="983"/>
      <c r="B26" s="5856"/>
      <c r="C26" s="4375" t="s">
        <v>184</v>
      </c>
      <c r="D26" s="4368" t="s">
        <v>413</v>
      </c>
      <c r="E26" s="4232" t="s">
        <v>25</v>
      </c>
      <c r="F26" s="4314" t="s">
        <v>413</v>
      </c>
      <c r="G26" s="4268" t="s">
        <v>25</v>
      </c>
      <c r="H26" s="4314" t="s">
        <v>413</v>
      </c>
      <c r="I26" s="4268" t="s">
        <v>25</v>
      </c>
      <c r="J26" s="4314" t="s">
        <v>413</v>
      </c>
      <c r="K26" s="4268" t="s">
        <v>25</v>
      </c>
      <c r="L26" s="4314" t="s">
        <v>413</v>
      </c>
      <c r="M26" s="4268" t="s">
        <v>25</v>
      </c>
      <c r="N26" s="4314" t="s">
        <v>413</v>
      </c>
      <c r="O26" s="4268" t="s">
        <v>25</v>
      </c>
      <c r="P26" s="4314" t="s">
        <v>413</v>
      </c>
      <c r="Q26" s="4268" t="s">
        <v>25</v>
      </c>
      <c r="R26" s="4314" t="s">
        <v>413</v>
      </c>
      <c r="S26" s="4268" t="s">
        <v>25</v>
      </c>
      <c r="T26" s="4314" t="s">
        <v>413</v>
      </c>
      <c r="U26" s="4268" t="s">
        <v>25</v>
      </c>
      <c r="V26" s="4314" t="s">
        <v>413</v>
      </c>
      <c r="W26" s="4268" t="s">
        <v>25</v>
      </c>
      <c r="X26" s="4314" t="s">
        <v>413</v>
      </c>
      <c r="Y26" s="4268" t="s">
        <v>25</v>
      </c>
      <c r="Z26" s="4314" t="s">
        <v>413</v>
      </c>
      <c r="AA26" s="4268" t="s">
        <v>25</v>
      </c>
      <c r="AB26" s="4314" t="s">
        <v>413</v>
      </c>
      <c r="AC26" s="4268" t="s">
        <v>25</v>
      </c>
      <c r="AD26" s="4314" t="s">
        <v>413</v>
      </c>
      <c r="AE26" s="4268" t="s">
        <v>25</v>
      </c>
      <c r="AF26" s="4314" t="s">
        <v>413</v>
      </c>
      <c r="AG26" s="4268" t="s">
        <v>25</v>
      </c>
      <c r="AH26" s="4314" t="s">
        <v>413</v>
      </c>
      <c r="AI26" s="4268" t="s">
        <v>25</v>
      </c>
      <c r="AJ26" s="4314" t="s">
        <v>413</v>
      </c>
      <c r="AK26" s="4268" t="s">
        <v>25</v>
      </c>
      <c r="AL26" s="4314" t="s">
        <v>413</v>
      </c>
      <c r="AM26" s="4268" t="s">
        <v>25</v>
      </c>
      <c r="AN26" s="5845"/>
      <c r="AO26" s="5847"/>
      <c r="AP26" s="987"/>
      <c r="AQ26" s="987"/>
      <c r="AR26" s="987"/>
      <c r="AS26" s="987"/>
      <c r="AT26" s="987"/>
      <c r="AU26" s="987"/>
      <c r="AV26" s="987"/>
      <c r="AW26" s="987"/>
      <c r="AX26" s="987"/>
      <c r="AY26" s="987"/>
      <c r="AZ26" s="987"/>
      <c r="BA26" s="987"/>
      <c r="BB26" s="987"/>
      <c r="BC26" s="987"/>
      <c r="BD26" s="987"/>
      <c r="BE26" s="987"/>
      <c r="BF26" s="987"/>
      <c r="BG26" s="987"/>
      <c r="BH26" s="987"/>
      <c r="BI26" s="987"/>
      <c r="BJ26" s="987"/>
      <c r="BK26" s="983"/>
      <c r="BL26" s="983"/>
      <c r="BM26" s="983"/>
      <c r="BN26" s="983"/>
      <c r="BO26" s="983"/>
      <c r="BP26" s="983"/>
      <c r="BQ26" s="983"/>
      <c r="BR26" s="983"/>
      <c r="BS26" s="983"/>
      <c r="BT26" s="983"/>
      <c r="BU26" s="983"/>
      <c r="BV26" s="983"/>
      <c r="BW26" s="983"/>
      <c r="BX26" s="983"/>
      <c r="BY26" s="984"/>
      <c r="BZ26" s="984"/>
      <c r="CA26" s="984"/>
      <c r="CB26" s="985"/>
      <c r="CC26" s="985"/>
      <c r="CD26" s="985"/>
      <c r="CE26" s="985"/>
      <c r="CF26" s="985"/>
      <c r="CG26" s="985"/>
      <c r="CH26" s="1023"/>
      <c r="CI26" s="1023"/>
      <c r="CJ26" s="1023"/>
      <c r="CK26" s="1023"/>
      <c r="CL26" s="1023"/>
      <c r="CM26" s="1023"/>
      <c r="CN26" s="1023"/>
    </row>
    <row r="27" spans="1:92" ht="16.350000000000001" customHeight="1" x14ac:dyDescent="0.25">
      <c r="A27" s="2949" t="s">
        <v>3462</v>
      </c>
      <c r="B27" s="4379" t="s">
        <v>29</v>
      </c>
      <c r="C27" s="4592" t="s">
        <v>2777</v>
      </c>
      <c r="D27" s="4593" t="s">
        <v>2778</v>
      </c>
      <c r="E27" s="4587" t="s">
        <v>2779</v>
      </c>
      <c r="F27" s="4318" t="s">
        <v>2780</v>
      </c>
      <c r="G27" s="4275" t="s">
        <v>2781</v>
      </c>
      <c r="H27" s="4318" t="s">
        <v>2782</v>
      </c>
      <c r="I27" s="4275" t="s">
        <v>2783</v>
      </c>
      <c r="J27" s="4318" t="s">
        <v>2784</v>
      </c>
      <c r="K27" s="4356" t="s">
        <v>2785</v>
      </c>
      <c r="L27" s="4318" t="s">
        <v>2786</v>
      </c>
      <c r="M27" s="4356" t="s">
        <v>2787</v>
      </c>
      <c r="N27" s="4318" t="s">
        <v>2788</v>
      </c>
      <c r="O27" s="4356" t="s">
        <v>2789</v>
      </c>
      <c r="P27" s="4273" t="s">
        <v>2790</v>
      </c>
      <c r="Q27" s="4356" t="s">
        <v>2791</v>
      </c>
      <c r="R27" s="4273" t="s">
        <v>2792</v>
      </c>
      <c r="S27" s="4356" t="s">
        <v>2793</v>
      </c>
      <c r="T27" s="4273" t="s">
        <v>2794</v>
      </c>
      <c r="U27" s="4356" t="s">
        <v>2795</v>
      </c>
      <c r="V27" s="4273" t="s">
        <v>2796</v>
      </c>
      <c r="W27" s="4356" t="s">
        <v>2797</v>
      </c>
      <c r="X27" s="4273" t="s">
        <v>2798</v>
      </c>
      <c r="Y27" s="4356" t="s">
        <v>2799</v>
      </c>
      <c r="Z27" s="4273" t="s">
        <v>2800</v>
      </c>
      <c r="AA27" s="4356" t="s">
        <v>2801</v>
      </c>
      <c r="AB27" s="4273" t="s">
        <v>2817</v>
      </c>
      <c r="AC27" s="4356" t="s">
        <v>2818</v>
      </c>
      <c r="AD27" s="4273" t="s">
        <v>2819</v>
      </c>
      <c r="AE27" s="4356" t="s">
        <v>2821</v>
      </c>
      <c r="AF27" s="4273" t="s">
        <v>2822</v>
      </c>
      <c r="AG27" s="4356" t="s">
        <v>2823</v>
      </c>
      <c r="AH27" s="4273" t="s">
        <v>2824</v>
      </c>
      <c r="AI27" s="4356" t="s">
        <v>2825</v>
      </c>
      <c r="AJ27" s="4273" t="s">
        <v>2826</v>
      </c>
      <c r="AK27" s="4356" t="s">
        <v>2827</v>
      </c>
      <c r="AL27" s="4273" t="s">
        <v>2831</v>
      </c>
      <c r="AM27" s="4356" t="s">
        <v>2832</v>
      </c>
      <c r="AN27" s="4357" t="s">
        <v>2833</v>
      </c>
      <c r="AO27" s="4357"/>
      <c r="AP27" s="2269"/>
      <c r="AQ27" s="1058"/>
      <c r="AR27" s="1058"/>
      <c r="AS27" s="1058"/>
      <c r="AT27" s="1058"/>
      <c r="AU27" s="1058"/>
      <c r="AV27" s="1058"/>
      <c r="AW27" s="1058"/>
      <c r="AX27" s="1058"/>
      <c r="AY27" s="1058"/>
      <c r="AZ27" s="1058"/>
      <c r="BA27" s="987"/>
      <c r="BB27" s="987"/>
      <c r="BC27" s="987"/>
      <c r="BD27" s="987"/>
      <c r="BE27" s="987"/>
      <c r="BF27" s="987"/>
      <c r="BG27" s="987"/>
      <c r="BH27" s="987"/>
      <c r="BI27" s="987"/>
      <c r="BJ27" s="987"/>
      <c r="BK27" s="983"/>
      <c r="BL27" s="983"/>
      <c r="BM27" s="983"/>
      <c r="BN27" s="983"/>
      <c r="BO27" s="983"/>
      <c r="BP27" s="983"/>
      <c r="BQ27" s="983"/>
      <c r="BR27" s="983"/>
      <c r="BS27" s="983"/>
      <c r="BT27" s="983"/>
      <c r="BU27" s="983"/>
      <c r="BV27" s="983"/>
      <c r="BW27" s="983"/>
      <c r="BX27" s="983"/>
      <c r="BY27" s="984"/>
      <c r="BZ27" s="984"/>
      <c r="CA27" s="984"/>
      <c r="CB27" s="985"/>
      <c r="CC27" s="985"/>
      <c r="CD27" s="985"/>
      <c r="CE27" s="985"/>
      <c r="CF27" s="985"/>
      <c r="CG27" s="985">
        <v>0</v>
      </c>
      <c r="CH27" s="1023">
        <v>0</v>
      </c>
      <c r="CI27" s="1023">
        <v>0</v>
      </c>
      <c r="CJ27" s="1023"/>
      <c r="CK27" s="1023"/>
      <c r="CL27" s="1023"/>
      <c r="CM27" s="1023"/>
      <c r="CN27" s="1023"/>
    </row>
    <row r="28" spans="1:92" ht="16.350000000000001" customHeight="1" x14ac:dyDescent="0.25">
      <c r="A28" s="2949" t="s">
        <v>3463</v>
      </c>
      <c r="B28" s="4227" t="s">
        <v>41</v>
      </c>
      <c r="C28" s="2885" t="s">
        <v>2777</v>
      </c>
      <c r="D28" s="2886" t="s">
        <v>2778</v>
      </c>
      <c r="E28" s="4234" t="s">
        <v>2779</v>
      </c>
      <c r="F28" s="141" t="s">
        <v>2780</v>
      </c>
      <c r="G28" s="198" t="s">
        <v>2781</v>
      </c>
      <c r="H28" s="141" t="s">
        <v>2782</v>
      </c>
      <c r="I28" s="198" t="s">
        <v>2783</v>
      </c>
      <c r="J28" s="141" t="s">
        <v>2784</v>
      </c>
      <c r="K28" s="163" t="s">
        <v>2785</v>
      </c>
      <c r="L28" s="141" t="s">
        <v>2786</v>
      </c>
      <c r="M28" s="163" t="s">
        <v>2787</v>
      </c>
      <c r="N28" s="141" t="s">
        <v>2788</v>
      </c>
      <c r="O28" s="163" t="s">
        <v>2789</v>
      </c>
      <c r="P28" s="224" t="s">
        <v>2790</v>
      </c>
      <c r="Q28" s="163" t="s">
        <v>2791</v>
      </c>
      <c r="R28" s="224" t="s">
        <v>2792</v>
      </c>
      <c r="S28" s="163" t="s">
        <v>2793</v>
      </c>
      <c r="T28" s="224" t="s">
        <v>2794</v>
      </c>
      <c r="U28" s="163" t="s">
        <v>2795</v>
      </c>
      <c r="V28" s="224" t="s">
        <v>2796</v>
      </c>
      <c r="W28" s="163" t="s">
        <v>2797</v>
      </c>
      <c r="X28" s="224" t="s">
        <v>2798</v>
      </c>
      <c r="Y28" s="163" t="s">
        <v>2799</v>
      </c>
      <c r="Z28" s="224" t="s">
        <v>2800</v>
      </c>
      <c r="AA28" s="163" t="s">
        <v>2801</v>
      </c>
      <c r="AB28" s="224" t="s">
        <v>2817</v>
      </c>
      <c r="AC28" s="163" t="s">
        <v>2818</v>
      </c>
      <c r="AD28" s="224" t="s">
        <v>2819</v>
      </c>
      <c r="AE28" s="163" t="s">
        <v>2821</v>
      </c>
      <c r="AF28" s="224" t="s">
        <v>2822</v>
      </c>
      <c r="AG28" s="163" t="s">
        <v>2823</v>
      </c>
      <c r="AH28" s="224" t="s">
        <v>2824</v>
      </c>
      <c r="AI28" s="163" t="s">
        <v>2825</v>
      </c>
      <c r="AJ28" s="224" t="s">
        <v>2826</v>
      </c>
      <c r="AK28" s="163" t="s">
        <v>2827</v>
      </c>
      <c r="AL28" s="224" t="s">
        <v>2831</v>
      </c>
      <c r="AM28" s="163" t="s">
        <v>2832</v>
      </c>
      <c r="AN28" s="164" t="s">
        <v>2833</v>
      </c>
      <c r="AO28" s="164" t="s">
        <v>2834</v>
      </c>
      <c r="AP28" s="2269"/>
      <c r="AQ28" s="1058"/>
      <c r="AR28" s="1058"/>
      <c r="AS28" s="1058"/>
      <c r="AT28" s="1058"/>
      <c r="AU28" s="1058"/>
      <c r="AV28" s="1058"/>
      <c r="AW28" s="1058"/>
      <c r="AX28" s="1058"/>
      <c r="AY28" s="1058"/>
      <c r="AZ28" s="1058"/>
      <c r="BA28" s="987"/>
      <c r="BB28" s="987"/>
      <c r="BC28" s="987"/>
      <c r="BD28" s="987"/>
      <c r="BE28" s="987"/>
      <c r="BF28" s="987"/>
      <c r="BG28" s="987"/>
      <c r="BH28" s="987"/>
      <c r="BI28" s="987"/>
      <c r="BJ28" s="987"/>
      <c r="BK28" s="983"/>
      <c r="BL28" s="983"/>
      <c r="BM28" s="983"/>
      <c r="BN28" s="983"/>
      <c r="BO28" s="983"/>
      <c r="BP28" s="983"/>
      <c r="BQ28" s="983"/>
      <c r="BR28" s="983"/>
      <c r="BS28" s="983"/>
      <c r="BT28" s="983"/>
      <c r="BU28" s="983"/>
      <c r="BV28" s="983"/>
      <c r="BW28" s="983"/>
      <c r="BX28" s="983"/>
      <c r="BY28" s="984"/>
      <c r="BZ28" s="984"/>
      <c r="CA28" s="984"/>
      <c r="CB28" s="985"/>
      <c r="CC28" s="985"/>
      <c r="CD28" s="985"/>
      <c r="CE28" s="985"/>
      <c r="CF28" s="985"/>
      <c r="CG28" s="985"/>
      <c r="CH28" s="1023">
        <v>0</v>
      </c>
      <c r="CI28" s="1023">
        <v>0</v>
      </c>
      <c r="CJ28" s="1023"/>
      <c r="CK28" s="1023"/>
      <c r="CL28" s="1023"/>
      <c r="CM28" s="1023"/>
      <c r="CN28" s="1023"/>
    </row>
    <row r="29" spans="1:92" ht="16.350000000000001" customHeight="1" x14ac:dyDescent="0.25">
      <c r="A29" s="2949" t="s">
        <v>3464</v>
      </c>
      <c r="B29" s="4227" t="s">
        <v>30</v>
      </c>
      <c r="C29" s="2885" t="s">
        <v>2777</v>
      </c>
      <c r="D29" s="2886" t="s">
        <v>2778</v>
      </c>
      <c r="E29" s="4234" t="s">
        <v>2779</v>
      </c>
      <c r="F29" s="141" t="s">
        <v>2780</v>
      </c>
      <c r="G29" s="198" t="s">
        <v>2781</v>
      </c>
      <c r="H29" s="141" t="s">
        <v>2782</v>
      </c>
      <c r="I29" s="198" t="s">
        <v>2783</v>
      </c>
      <c r="J29" s="141" t="s">
        <v>2784</v>
      </c>
      <c r="K29" s="163" t="s">
        <v>2785</v>
      </c>
      <c r="L29" s="141" t="s">
        <v>2786</v>
      </c>
      <c r="M29" s="163" t="s">
        <v>2787</v>
      </c>
      <c r="N29" s="141" t="s">
        <v>2788</v>
      </c>
      <c r="O29" s="163" t="s">
        <v>2789</v>
      </c>
      <c r="P29" s="224" t="s">
        <v>2790</v>
      </c>
      <c r="Q29" s="163" t="s">
        <v>2791</v>
      </c>
      <c r="R29" s="224" t="s">
        <v>2792</v>
      </c>
      <c r="S29" s="163" t="s">
        <v>2793</v>
      </c>
      <c r="T29" s="224" t="s">
        <v>2794</v>
      </c>
      <c r="U29" s="163" t="s">
        <v>2795</v>
      </c>
      <c r="V29" s="224" t="s">
        <v>2796</v>
      </c>
      <c r="W29" s="163" t="s">
        <v>2797</v>
      </c>
      <c r="X29" s="224" t="s">
        <v>2798</v>
      </c>
      <c r="Y29" s="163" t="s">
        <v>2799</v>
      </c>
      <c r="Z29" s="224" t="s">
        <v>2800</v>
      </c>
      <c r="AA29" s="163" t="s">
        <v>2801</v>
      </c>
      <c r="AB29" s="224" t="s">
        <v>2817</v>
      </c>
      <c r="AC29" s="163" t="s">
        <v>2818</v>
      </c>
      <c r="AD29" s="224" t="s">
        <v>2819</v>
      </c>
      <c r="AE29" s="163" t="s">
        <v>2821</v>
      </c>
      <c r="AF29" s="224" t="s">
        <v>2822</v>
      </c>
      <c r="AG29" s="163" t="s">
        <v>2823</v>
      </c>
      <c r="AH29" s="224" t="s">
        <v>2824</v>
      </c>
      <c r="AI29" s="163" t="s">
        <v>2825</v>
      </c>
      <c r="AJ29" s="224" t="s">
        <v>2826</v>
      </c>
      <c r="AK29" s="163" t="s">
        <v>2827</v>
      </c>
      <c r="AL29" s="224" t="s">
        <v>2831</v>
      </c>
      <c r="AM29" s="163" t="s">
        <v>2832</v>
      </c>
      <c r="AN29" s="164" t="s">
        <v>2833</v>
      </c>
      <c r="AO29" s="164" t="s">
        <v>2834</v>
      </c>
      <c r="AP29" s="2269"/>
      <c r="AQ29" s="1058"/>
      <c r="AR29" s="1058"/>
      <c r="AS29" s="1058"/>
      <c r="AT29" s="1058"/>
      <c r="AU29" s="1058"/>
      <c r="AV29" s="1058"/>
      <c r="AW29" s="1058"/>
      <c r="AX29" s="1058"/>
      <c r="AY29" s="1058"/>
      <c r="AZ29" s="1058"/>
      <c r="BA29" s="987"/>
      <c r="BB29" s="987"/>
      <c r="BC29" s="987"/>
      <c r="BD29" s="987"/>
      <c r="BE29" s="987"/>
      <c r="BF29" s="987"/>
      <c r="BG29" s="987"/>
      <c r="BH29" s="987"/>
      <c r="BI29" s="987"/>
      <c r="BJ29" s="987"/>
      <c r="BK29" s="983"/>
      <c r="BL29" s="983"/>
      <c r="BM29" s="983"/>
      <c r="BN29" s="983"/>
      <c r="BO29" s="983"/>
      <c r="BP29" s="983"/>
      <c r="BQ29" s="983"/>
      <c r="BR29" s="983"/>
      <c r="BS29" s="983"/>
      <c r="BT29" s="983"/>
      <c r="BU29" s="983"/>
      <c r="BV29" s="983"/>
      <c r="BW29" s="983"/>
      <c r="BX29" s="983"/>
      <c r="BY29" s="984"/>
      <c r="BZ29" s="984"/>
      <c r="CA29" s="984"/>
      <c r="CB29" s="985"/>
      <c r="CC29" s="985"/>
      <c r="CD29" s="985"/>
      <c r="CE29" s="985"/>
      <c r="CF29" s="985"/>
      <c r="CG29" s="985"/>
      <c r="CH29" s="1023">
        <v>0</v>
      </c>
      <c r="CI29" s="1023">
        <v>0</v>
      </c>
      <c r="CJ29" s="1023"/>
      <c r="CK29" s="1023"/>
      <c r="CL29" s="1023"/>
      <c r="CM29" s="1023"/>
      <c r="CN29" s="1023"/>
    </row>
    <row r="30" spans="1:92" ht="16.350000000000001" customHeight="1" x14ac:dyDescent="0.25">
      <c r="A30" s="2949" t="s">
        <v>3465</v>
      </c>
      <c r="B30" s="4227" t="s">
        <v>1253</v>
      </c>
      <c r="C30" s="2885" t="s">
        <v>2777</v>
      </c>
      <c r="D30" s="2886" t="s">
        <v>2778</v>
      </c>
      <c r="E30" s="4234" t="s">
        <v>2779</v>
      </c>
      <c r="F30" s="141" t="s">
        <v>2780</v>
      </c>
      <c r="G30" s="198" t="s">
        <v>2781</v>
      </c>
      <c r="H30" s="141" t="s">
        <v>2782</v>
      </c>
      <c r="I30" s="198" t="s">
        <v>2783</v>
      </c>
      <c r="J30" s="141" t="s">
        <v>2784</v>
      </c>
      <c r="K30" s="163" t="s">
        <v>2785</v>
      </c>
      <c r="L30" s="141" t="s">
        <v>2786</v>
      </c>
      <c r="M30" s="163" t="s">
        <v>2787</v>
      </c>
      <c r="N30" s="141" t="s">
        <v>2788</v>
      </c>
      <c r="O30" s="163" t="s">
        <v>2789</v>
      </c>
      <c r="P30" s="224" t="s">
        <v>2790</v>
      </c>
      <c r="Q30" s="163" t="s">
        <v>2791</v>
      </c>
      <c r="R30" s="224" t="s">
        <v>2792</v>
      </c>
      <c r="S30" s="163" t="s">
        <v>2793</v>
      </c>
      <c r="T30" s="224" t="s">
        <v>2794</v>
      </c>
      <c r="U30" s="163" t="s">
        <v>2795</v>
      </c>
      <c r="V30" s="224" t="s">
        <v>2796</v>
      </c>
      <c r="W30" s="163" t="s">
        <v>2797</v>
      </c>
      <c r="X30" s="224" t="s">
        <v>2798</v>
      </c>
      <c r="Y30" s="163" t="s">
        <v>2799</v>
      </c>
      <c r="Z30" s="224" t="s">
        <v>2800</v>
      </c>
      <c r="AA30" s="163" t="s">
        <v>2801</v>
      </c>
      <c r="AB30" s="224" t="s">
        <v>2817</v>
      </c>
      <c r="AC30" s="163" t="s">
        <v>2818</v>
      </c>
      <c r="AD30" s="224" t="s">
        <v>2819</v>
      </c>
      <c r="AE30" s="163" t="s">
        <v>2821</v>
      </c>
      <c r="AF30" s="224" t="s">
        <v>2822</v>
      </c>
      <c r="AG30" s="163" t="s">
        <v>2823</v>
      </c>
      <c r="AH30" s="224" t="s">
        <v>2824</v>
      </c>
      <c r="AI30" s="163" t="s">
        <v>2825</v>
      </c>
      <c r="AJ30" s="224" t="s">
        <v>2826</v>
      </c>
      <c r="AK30" s="163" t="s">
        <v>2827</v>
      </c>
      <c r="AL30" s="224" t="s">
        <v>2831</v>
      </c>
      <c r="AM30" s="163" t="s">
        <v>2832</v>
      </c>
      <c r="AN30" s="164" t="s">
        <v>2833</v>
      </c>
      <c r="AO30" s="164" t="s">
        <v>2834</v>
      </c>
      <c r="AP30" s="2269"/>
      <c r="AQ30" s="1058"/>
      <c r="AR30" s="1058"/>
      <c r="AS30" s="1058"/>
      <c r="AT30" s="1058"/>
      <c r="AU30" s="1058"/>
      <c r="AV30" s="1058"/>
      <c r="AW30" s="1058"/>
      <c r="AX30" s="1058"/>
      <c r="AY30" s="1058"/>
      <c r="AZ30" s="1058"/>
      <c r="BA30" s="987"/>
      <c r="BB30" s="987"/>
      <c r="BC30" s="987"/>
      <c r="BD30" s="987"/>
      <c r="BE30" s="987"/>
      <c r="BF30" s="987"/>
      <c r="BG30" s="987"/>
      <c r="BH30" s="987"/>
      <c r="BI30" s="987"/>
      <c r="BJ30" s="987"/>
      <c r="BK30" s="983"/>
      <c r="BL30" s="983"/>
      <c r="BM30" s="983"/>
      <c r="BN30" s="983"/>
      <c r="BO30" s="983"/>
      <c r="BP30" s="983"/>
      <c r="BQ30" s="983"/>
      <c r="BR30" s="983"/>
      <c r="BS30" s="983"/>
      <c r="BT30" s="983"/>
      <c r="BU30" s="983"/>
      <c r="BV30" s="983"/>
      <c r="BW30" s="983"/>
      <c r="BX30" s="983"/>
      <c r="BY30" s="984"/>
      <c r="BZ30" s="984"/>
      <c r="CA30" s="984"/>
      <c r="CB30" s="985"/>
      <c r="CC30" s="985"/>
      <c r="CD30" s="985"/>
      <c r="CE30" s="985"/>
      <c r="CF30" s="985"/>
      <c r="CG30" s="985"/>
      <c r="CH30" s="1023">
        <v>0</v>
      </c>
      <c r="CI30" s="1023">
        <v>0</v>
      </c>
      <c r="CJ30" s="1023"/>
      <c r="CK30" s="1023"/>
      <c r="CL30" s="1023"/>
      <c r="CM30" s="1023"/>
      <c r="CN30" s="1023"/>
    </row>
    <row r="31" spans="1:92" ht="16.350000000000001" customHeight="1" x14ac:dyDescent="0.25">
      <c r="A31" s="2949" t="s">
        <v>3466</v>
      </c>
      <c r="B31" s="4227" t="s">
        <v>69</v>
      </c>
      <c r="C31" s="2885" t="s">
        <v>2777</v>
      </c>
      <c r="D31" s="2886" t="s">
        <v>2778</v>
      </c>
      <c r="E31" s="4234" t="s">
        <v>2779</v>
      </c>
      <c r="F31" s="141" t="s">
        <v>2780</v>
      </c>
      <c r="G31" s="198" t="s">
        <v>2781</v>
      </c>
      <c r="H31" s="141" t="s">
        <v>2782</v>
      </c>
      <c r="I31" s="198" t="s">
        <v>2783</v>
      </c>
      <c r="J31" s="141" t="s">
        <v>2784</v>
      </c>
      <c r="K31" s="163" t="s">
        <v>2785</v>
      </c>
      <c r="L31" s="141" t="s">
        <v>2786</v>
      </c>
      <c r="M31" s="163" t="s">
        <v>2787</v>
      </c>
      <c r="N31" s="141" t="s">
        <v>2788</v>
      </c>
      <c r="O31" s="163" t="s">
        <v>2789</v>
      </c>
      <c r="P31" s="224" t="s">
        <v>2790</v>
      </c>
      <c r="Q31" s="163" t="s">
        <v>2791</v>
      </c>
      <c r="R31" s="224" t="s">
        <v>2792</v>
      </c>
      <c r="S31" s="163" t="s">
        <v>2793</v>
      </c>
      <c r="T31" s="224" t="s">
        <v>2794</v>
      </c>
      <c r="U31" s="163" t="s">
        <v>2795</v>
      </c>
      <c r="V31" s="224" t="s">
        <v>2796</v>
      </c>
      <c r="W31" s="163" t="s">
        <v>2797</v>
      </c>
      <c r="X31" s="224" t="s">
        <v>2798</v>
      </c>
      <c r="Y31" s="163" t="s">
        <v>2799</v>
      </c>
      <c r="Z31" s="224" t="s">
        <v>2800</v>
      </c>
      <c r="AA31" s="163" t="s">
        <v>2801</v>
      </c>
      <c r="AB31" s="224" t="s">
        <v>2817</v>
      </c>
      <c r="AC31" s="163" t="s">
        <v>2818</v>
      </c>
      <c r="AD31" s="224" t="s">
        <v>2819</v>
      </c>
      <c r="AE31" s="163" t="s">
        <v>2821</v>
      </c>
      <c r="AF31" s="224" t="s">
        <v>2822</v>
      </c>
      <c r="AG31" s="163" t="s">
        <v>2823</v>
      </c>
      <c r="AH31" s="224" t="s">
        <v>2824</v>
      </c>
      <c r="AI31" s="163" t="s">
        <v>2825</v>
      </c>
      <c r="AJ31" s="224" t="s">
        <v>2826</v>
      </c>
      <c r="AK31" s="163" t="s">
        <v>2827</v>
      </c>
      <c r="AL31" s="224" t="s">
        <v>2831</v>
      </c>
      <c r="AM31" s="163" t="s">
        <v>2832</v>
      </c>
      <c r="AN31" s="164" t="s">
        <v>2833</v>
      </c>
      <c r="AO31" s="164" t="s">
        <v>2834</v>
      </c>
      <c r="AP31" s="2269"/>
      <c r="AQ31" s="1058"/>
      <c r="AR31" s="1058"/>
      <c r="AS31" s="1058"/>
      <c r="AT31" s="1058"/>
      <c r="AU31" s="1058"/>
      <c r="AV31" s="1058"/>
      <c r="AW31" s="1058"/>
      <c r="AX31" s="1058"/>
      <c r="AY31" s="1058"/>
      <c r="AZ31" s="1058"/>
      <c r="BA31" s="987"/>
      <c r="BB31" s="987"/>
      <c r="BC31" s="987"/>
      <c r="BD31" s="987"/>
      <c r="BE31" s="987"/>
      <c r="BF31" s="987"/>
      <c r="BG31" s="987"/>
      <c r="BH31" s="987"/>
      <c r="BI31" s="987"/>
      <c r="BJ31" s="987"/>
      <c r="BK31" s="983"/>
      <c r="BL31" s="983"/>
      <c r="BM31" s="983"/>
      <c r="BN31" s="983"/>
      <c r="BO31" s="983"/>
      <c r="BP31" s="983"/>
      <c r="BQ31" s="983"/>
      <c r="BR31" s="983"/>
      <c r="BS31" s="983"/>
      <c r="BT31" s="983"/>
      <c r="BU31" s="983"/>
      <c r="BV31" s="983"/>
      <c r="BW31" s="983"/>
      <c r="BX31" s="983"/>
      <c r="BY31" s="984"/>
      <c r="BZ31" s="984"/>
      <c r="CA31" s="984"/>
      <c r="CB31" s="985"/>
      <c r="CC31" s="985"/>
      <c r="CD31" s="985"/>
      <c r="CE31" s="985"/>
      <c r="CF31" s="985"/>
      <c r="CG31" s="985"/>
      <c r="CH31" s="1023">
        <v>0</v>
      </c>
      <c r="CI31" s="1023">
        <v>0</v>
      </c>
      <c r="CJ31" s="1023"/>
      <c r="CK31" s="1023"/>
      <c r="CL31" s="1023"/>
      <c r="CM31" s="1023"/>
      <c r="CN31" s="1023"/>
    </row>
    <row r="32" spans="1:92" ht="16.350000000000001" customHeight="1" x14ac:dyDescent="0.25">
      <c r="A32" s="2949" t="s">
        <v>3467</v>
      </c>
      <c r="B32" s="4239" t="s">
        <v>285</v>
      </c>
      <c r="C32" s="2887" t="s">
        <v>2777</v>
      </c>
      <c r="D32" s="2888" t="s">
        <v>2778</v>
      </c>
      <c r="E32" s="4233" t="s">
        <v>2779</v>
      </c>
      <c r="F32" s="166" t="s">
        <v>2780</v>
      </c>
      <c r="G32" s="168" t="s">
        <v>2781</v>
      </c>
      <c r="H32" s="166" t="s">
        <v>2782</v>
      </c>
      <c r="I32" s="168" t="s">
        <v>2783</v>
      </c>
      <c r="J32" s="166" t="s">
        <v>2784</v>
      </c>
      <c r="K32" s="125" t="s">
        <v>2785</v>
      </c>
      <c r="L32" s="166" t="s">
        <v>2786</v>
      </c>
      <c r="M32" s="125" t="s">
        <v>2787</v>
      </c>
      <c r="N32" s="166" t="s">
        <v>2788</v>
      </c>
      <c r="O32" s="125" t="s">
        <v>2789</v>
      </c>
      <c r="P32" s="227" t="s">
        <v>2790</v>
      </c>
      <c r="Q32" s="125" t="s">
        <v>2791</v>
      </c>
      <c r="R32" s="227" t="s">
        <v>2792</v>
      </c>
      <c r="S32" s="125" t="s">
        <v>2793</v>
      </c>
      <c r="T32" s="227" t="s">
        <v>2794</v>
      </c>
      <c r="U32" s="125" t="s">
        <v>2795</v>
      </c>
      <c r="V32" s="227" t="s">
        <v>2796</v>
      </c>
      <c r="W32" s="125" t="s">
        <v>2797</v>
      </c>
      <c r="X32" s="227" t="s">
        <v>2798</v>
      </c>
      <c r="Y32" s="125" t="s">
        <v>2799</v>
      </c>
      <c r="Z32" s="227" t="s">
        <v>2800</v>
      </c>
      <c r="AA32" s="125" t="s">
        <v>2801</v>
      </c>
      <c r="AB32" s="227" t="s">
        <v>2817</v>
      </c>
      <c r="AC32" s="125" t="s">
        <v>2818</v>
      </c>
      <c r="AD32" s="227" t="s">
        <v>2819</v>
      </c>
      <c r="AE32" s="125" t="s">
        <v>2821</v>
      </c>
      <c r="AF32" s="227" t="s">
        <v>2822</v>
      </c>
      <c r="AG32" s="125" t="s">
        <v>2823</v>
      </c>
      <c r="AH32" s="227" t="s">
        <v>2824</v>
      </c>
      <c r="AI32" s="125" t="s">
        <v>2825</v>
      </c>
      <c r="AJ32" s="227" t="s">
        <v>2826</v>
      </c>
      <c r="AK32" s="125" t="s">
        <v>2827</v>
      </c>
      <c r="AL32" s="227" t="s">
        <v>2831</v>
      </c>
      <c r="AM32" s="125" t="s">
        <v>2832</v>
      </c>
      <c r="AN32" s="105" t="s">
        <v>2833</v>
      </c>
      <c r="AO32" s="105" t="s">
        <v>2834</v>
      </c>
      <c r="AP32" s="2269"/>
      <c r="AQ32" s="1058"/>
      <c r="AR32" s="1058"/>
      <c r="AS32" s="1058"/>
      <c r="AT32" s="1058"/>
      <c r="AU32" s="1058"/>
      <c r="AV32" s="1058"/>
      <c r="AW32" s="1058"/>
      <c r="AX32" s="1058"/>
      <c r="AY32" s="1058"/>
      <c r="AZ32" s="1058"/>
      <c r="BA32" s="987"/>
      <c r="BB32" s="987"/>
      <c r="BC32" s="987"/>
      <c r="BD32" s="987"/>
      <c r="BE32" s="987"/>
      <c r="BF32" s="987"/>
      <c r="BG32" s="987"/>
      <c r="BH32" s="987"/>
      <c r="BI32" s="987"/>
      <c r="BJ32" s="987"/>
      <c r="BK32" s="983"/>
      <c r="BL32" s="983"/>
      <c r="BM32" s="983"/>
      <c r="BN32" s="983"/>
      <c r="BO32" s="983"/>
      <c r="BP32" s="983"/>
      <c r="BQ32" s="983"/>
      <c r="BR32" s="983"/>
      <c r="BS32" s="983"/>
      <c r="BT32" s="983"/>
      <c r="BU32" s="983"/>
      <c r="BV32" s="983"/>
      <c r="BW32" s="983"/>
      <c r="BX32" s="983"/>
      <c r="BY32" s="984"/>
      <c r="BZ32" s="984"/>
      <c r="CA32" s="984"/>
      <c r="CB32" s="985"/>
      <c r="CC32" s="985"/>
      <c r="CD32" s="985"/>
      <c r="CE32" s="985"/>
      <c r="CF32" s="985"/>
      <c r="CG32" s="985"/>
      <c r="CH32" s="1023">
        <v>0</v>
      </c>
      <c r="CI32" s="1023">
        <v>0</v>
      </c>
      <c r="CJ32" s="1023"/>
      <c r="CK32" s="1023"/>
      <c r="CL32" s="1023"/>
      <c r="CM32" s="1023"/>
      <c r="CN32" s="1023"/>
    </row>
    <row r="33" spans="1:92" ht="32.1" customHeight="1" x14ac:dyDescent="0.25">
      <c r="A33" s="983"/>
      <c r="B33" s="4240" t="s">
        <v>1246</v>
      </c>
      <c r="C33" s="177"/>
      <c r="D33" s="177"/>
      <c r="E33" s="177"/>
      <c r="F33" s="177"/>
      <c r="G33" s="177"/>
      <c r="H33" s="177"/>
      <c r="I33" s="177"/>
      <c r="J33" s="177"/>
      <c r="K33" s="177"/>
      <c r="L33" s="177"/>
      <c r="M33" s="85"/>
      <c r="N33" s="480"/>
      <c r="O33" s="480"/>
      <c r="P33" s="190"/>
      <c r="Q33" s="190"/>
      <c r="R33" s="190"/>
      <c r="S33" s="190"/>
      <c r="T33" s="190"/>
      <c r="U33" s="190"/>
      <c r="V33" s="190"/>
      <c r="W33" s="190"/>
      <c r="X33" s="190"/>
      <c r="Y33" s="219"/>
      <c r="Z33" s="219"/>
      <c r="AA33" s="219"/>
      <c r="AB33" s="219"/>
      <c r="AC33" s="219"/>
      <c r="AD33" s="219"/>
      <c r="AE33" s="219"/>
      <c r="AF33" s="219"/>
      <c r="AG33" s="219"/>
      <c r="AH33" s="219"/>
      <c r="AI33" s="219"/>
      <c r="AJ33" s="219"/>
      <c r="AK33" s="219"/>
      <c r="AL33" s="219"/>
      <c r="AM33" s="219"/>
      <c r="AN33" s="4374"/>
      <c r="AO33" s="987"/>
      <c r="AP33" s="987"/>
      <c r="AQ33" s="987"/>
      <c r="AR33" s="987"/>
      <c r="AS33" s="987"/>
      <c r="AT33" s="987"/>
      <c r="AU33" s="987"/>
      <c r="AV33" s="987"/>
      <c r="AW33" s="987"/>
      <c r="AX33" s="987"/>
      <c r="AY33" s="987"/>
      <c r="AZ33" s="987"/>
      <c r="BA33" s="987"/>
      <c r="BB33" s="987"/>
      <c r="BC33" s="987"/>
      <c r="BD33" s="987"/>
      <c r="BE33" s="987"/>
      <c r="BF33" s="987"/>
      <c r="BG33" s="987"/>
      <c r="BH33" s="987"/>
      <c r="BI33" s="987"/>
      <c r="BJ33" s="987"/>
      <c r="BK33" s="983"/>
      <c r="BL33" s="983"/>
      <c r="BM33" s="983"/>
      <c r="BN33" s="983"/>
      <c r="BO33" s="983"/>
      <c r="BP33" s="983"/>
      <c r="BQ33" s="983"/>
      <c r="BR33" s="983"/>
      <c r="BS33" s="983"/>
      <c r="BT33" s="983"/>
      <c r="BU33" s="983"/>
      <c r="BV33" s="983"/>
      <c r="BW33" s="983"/>
      <c r="BX33" s="983"/>
      <c r="BY33" s="983"/>
      <c r="BZ33" s="983"/>
      <c r="CA33" s="983"/>
      <c r="CB33" s="985"/>
      <c r="CC33" s="985"/>
      <c r="CD33" s="985"/>
      <c r="CE33" s="985"/>
      <c r="CF33" s="985"/>
      <c r="CG33" s="985"/>
      <c r="CH33" s="1023"/>
      <c r="CI33" s="1023"/>
      <c r="CJ33" s="1023"/>
      <c r="CK33" s="1023"/>
      <c r="CL33" s="1023"/>
      <c r="CM33" s="1023"/>
      <c r="CN33" s="1023"/>
    </row>
    <row r="34" spans="1:92" ht="16.350000000000001" customHeight="1" x14ac:dyDescent="0.25">
      <c r="A34" s="983"/>
      <c r="B34" s="5855" t="s">
        <v>3</v>
      </c>
      <c r="C34" s="5150" t="s">
        <v>511</v>
      </c>
      <c r="D34" s="5151"/>
      <c r="E34" s="5152"/>
      <c r="F34" s="5263" t="s">
        <v>406</v>
      </c>
      <c r="G34" s="5155"/>
      <c r="H34" s="5155"/>
      <c r="I34" s="5155"/>
      <c r="J34" s="5155"/>
      <c r="K34" s="5155"/>
      <c r="L34" s="5155"/>
      <c r="M34" s="5155"/>
      <c r="N34" s="5155"/>
      <c r="O34" s="5155"/>
      <c r="P34" s="5155"/>
      <c r="Q34" s="5155"/>
      <c r="R34" s="5155"/>
      <c r="S34" s="5155"/>
      <c r="T34" s="5155"/>
      <c r="U34" s="5155"/>
      <c r="V34" s="5155"/>
      <c r="W34" s="5155"/>
      <c r="X34" s="5155"/>
      <c r="Y34" s="5155"/>
      <c r="Z34" s="5155"/>
      <c r="AA34" s="5155"/>
      <c r="AB34" s="5155"/>
      <c r="AC34" s="5155"/>
      <c r="AD34" s="5155"/>
      <c r="AE34" s="5155"/>
      <c r="AF34" s="5155"/>
      <c r="AG34" s="5155"/>
      <c r="AH34" s="5155"/>
      <c r="AI34" s="5155"/>
      <c r="AJ34" s="5155"/>
      <c r="AK34" s="5155"/>
      <c r="AL34" s="5155"/>
      <c r="AM34" s="5264"/>
      <c r="AN34" s="5142" t="s">
        <v>1357</v>
      </c>
      <c r="AO34" s="5846" t="s">
        <v>1605</v>
      </c>
      <c r="AP34" s="987"/>
      <c r="AQ34" s="987"/>
      <c r="AR34" s="987"/>
      <c r="AS34" s="987"/>
      <c r="AT34" s="987"/>
      <c r="AU34" s="987"/>
      <c r="AV34" s="987"/>
      <c r="AW34" s="987"/>
      <c r="AX34" s="987"/>
      <c r="AY34" s="987"/>
      <c r="AZ34" s="987"/>
      <c r="BA34" s="987"/>
      <c r="BB34" s="987"/>
      <c r="BC34" s="987"/>
      <c r="BD34" s="987"/>
      <c r="BE34" s="987"/>
      <c r="BF34" s="987"/>
      <c r="BG34" s="987"/>
      <c r="BH34" s="987"/>
      <c r="BI34" s="987"/>
      <c r="BJ34" s="987"/>
      <c r="BK34" s="983"/>
      <c r="BL34" s="983"/>
      <c r="BM34" s="983"/>
      <c r="BN34" s="983"/>
      <c r="BO34" s="983"/>
      <c r="BP34" s="983"/>
      <c r="BQ34" s="983"/>
      <c r="BR34" s="983"/>
      <c r="BS34" s="983"/>
      <c r="BT34" s="983"/>
      <c r="BU34" s="983"/>
      <c r="BV34" s="983"/>
      <c r="BW34" s="983"/>
      <c r="BX34" s="983"/>
      <c r="BY34" s="984"/>
      <c r="BZ34" s="984"/>
      <c r="CA34" s="984"/>
      <c r="CB34" s="985"/>
      <c r="CC34" s="985"/>
      <c r="CD34" s="985"/>
      <c r="CE34" s="985"/>
      <c r="CF34" s="985"/>
      <c r="CG34" s="985"/>
      <c r="CH34" s="1023"/>
      <c r="CI34" s="1023"/>
      <c r="CJ34" s="1023"/>
      <c r="CK34" s="1023"/>
      <c r="CL34" s="1023"/>
      <c r="CM34" s="1023"/>
      <c r="CN34" s="1023"/>
    </row>
    <row r="35" spans="1:92" ht="16.350000000000001" customHeight="1" x14ac:dyDescent="0.25">
      <c r="A35" s="983"/>
      <c r="B35" s="5338"/>
      <c r="C35" s="5844"/>
      <c r="D35" s="5317"/>
      <c r="E35" s="5297"/>
      <c r="F35" s="5263" t="s">
        <v>350</v>
      </c>
      <c r="G35" s="5264"/>
      <c r="H35" s="5263" t="s">
        <v>351</v>
      </c>
      <c r="I35" s="5264"/>
      <c r="J35" s="5263" t="s">
        <v>352</v>
      </c>
      <c r="K35" s="5264"/>
      <c r="L35" s="5263" t="s">
        <v>319</v>
      </c>
      <c r="M35" s="5264"/>
      <c r="N35" s="5263" t="s">
        <v>10</v>
      </c>
      <c r="O35" s="5264"/>
      <c r="P35" s="5261" t="s">
        <v>11</v>
      </c>
      <c r="Q35" s="5262"/>
      <c r="R35" s="5261" t="s">
        <v>12</v>
      </c>
      <c r="S35" s="5262"/>
      <c r="T35" s="5261" t="s">
        <v>13</v>
      </c>
      <c r="U35" s="5262"/>
      <c r="V35" s="5261" t="s">
        <v>14</v>
      </c>
      <c r="W35" s="5262"/>
      <c r="X35" s="5261" t="s">
        <v>15</v>
      </c>
      <c r="Y35" s="5262"/>
      <c r="Z35" s="5261" t="s">
        <v>16</v>
      </c>
      <c r="AA35" s="5262"/>
      <c r="AB35" s="5261" t="s">
        <v>17</v>
      </c>
      <c r="AC35" s="5262"/>
      <c r="AD35" s="5261" t="s">
        <v>18</v>
      </c>
      <c r="AE35" s="5262"/>
      <c r="AF35" s="5261" t="s">
        <v>19</v>
      </c>
      <c r="AG35" s="5262"/>
      <c r="AH35" s="5261" t="s">
        <v>20</v>
      </c>
      <c r="AI35" s="5262"/>
      <c r="AJ35" s="5261" t="s">
        <v>21</v>
      </c>
      <c r="AK35" s="5262"/>
      <c r="AL35" s="5261" t="s">
        <v>22</v>
      </c>
      <c r="AM35" s="5262"/>
      <c r="AN35" s="5103"/>
      <c r="AO35" s="5647"/>
      <c r="AP35" s="987"/>
      <c r="AQ35" s="987"/>
      <c r="AR35" s="987"/>
      <c r="AS35" s="987"/>
      <c r="AT35" s="987"/>
      <c r="AU35" s="987"/>
      <c r="AV35" s="987"/>
      <c r="AW35" s="987"/>
      <c r="AX35" s="987"/>
      <c r="AY35" s="987"/>
      <c r="AZ35" s="987"/>
      <c r="BA35" s="987"/>
      <c r="BB35" s="987"/>
      <c r="BC35" s="987"/>
      <c r="BD35" s="987"/>
      <c r="BE35" s="987"/>
      <c r="BF35" s="987"/>
      <c r="BG35" s="987"/>
      <c r="BH35" s="987"/>
      <c r="BI35" s="987"/>
      <c r="BJ35" s="987"/>
      <c r="BK35" s="983"/>
      <c r="BL35" s="983"/>
      <c r="BM35" s="983"/>
      <c r="BN35" s="983"/>
      <c r="BO35" s="983"/>
      <c r="BP35" s="983"/>
      <c r="BQ35" s="983"/>
      <c r="BR35" s="983"/>
      <c r="BS35" s="983"/>
      <c r="BT35" s="983"/>
      <c r="BU35" s="983"/>
      <c r="BV35" s="983"/>
      <c r="BW35" s="983"/>
      <c r="BX35" s="983"/>
      <c r="BY35" s="984"/>
      <c r="BZ35" s="984"/>
      <c r="CA35" s="984"/>
      <c r="CB35" s="985"/>
      <c r="CC35" s="985"/>
      <c r="CD35" s="985"/>
      <c r="CE35" s="985"/>
      <c r="CF35" s="985"/>
      <c r="CG35" s="985"/>
      <c r="CH35" s="1023"/>
      <c r="CI35" s="1023"/>
      <c r="CJ35" s="1023"/>
      <c r="CK35" s="1023"/>
      <c r="CL35" s="1023"/>
      <c r="CM35" s="1023"/>
      <c r="CN35" s="1023"/>
    </row>
    <row r="36" spans="1:92" ht="16.350000000000001" customHeight="1" x14ac:dyDescent="0.25">
      <c r="A36" s="983"/>
      <c r="B36" s="5856"/>
      <c r="C36" s="4375" t="s">
        <v>184</v>
      </c>
      <c r="D36" s="4368" t="s">
        <v>413</v>
      </c>
      <c r="E36" s="4232" t="s">
        <v>25</v>
      </c>
      <c r="F36" s="4265" t="s">
        <v>413</v>
      </c>
      <c r="G36" s="4266" t="s">
        <v>25</v>
      </c>
      <c r="H36" s="4265" t="s">
        <v>413</v>
      </c>
      <c r="I36" s="4266" t="s">
        <v>25</v>
      </c>
      <c r="J36" s="4265" t="s">
        <v>413</v>
      </c>
      <c r="K36" s="4266" t="s">
        <v>25</v>
      </c>
      <c r="L36" s="4265" t="s">
        <v>413</v>
      </c>
      <c r="M36" s="4266" t="s">
        <v>25</v>
      </c>
      <c r="N36" s="4265" t="s">
        <v>413</v>
      </c>
      <c r="O36" s="4266" t="s">
        <v>25</v>
      </c>
      <c r="P36" s="4265" t="s">
        <v>413</v>
      </c>
      <c r="Q36" s="4266" t="s">
        <v>25</v>
      </c>
      <c r="R36" s="4265" t="s">
        <v>413</v>
      </c>
      <c r="S36" s="4266" t="s">
        <v>25</v>
      </c>
      <c r="T36" s="4265" t="s">
        <v>413</v>
      </c>
      <c r="U36" s="4266" t="s">
        <v>25</v>
      </c>
      <c r="V36" s="4265" t="s">
        <v>413</v>
      </c>
      <c r="W36" s="4266" t="s">
        <v>25</v>
      </c>
      <c r="X36" s="4265" t="s">
        <v>413</v>
      </c>
      <c r="Y36" s="4266" t="s">
        <v>25</v>
      </c>
      <c r="Z36" s="4265" t="s">
        <v>413</v>
      </c>
      <c r="AA36" s="4266" t="s">
        <v>25</v>
      </c>
      <c r="AB36" s="4265" t="s">
        <v>413</v>
      </c>
      <c r="AC36" s="4266" t="s">
        <v>25</v>
      </c>
      <c r="AD36" s="4265" t="s">
        <v>413</v>
      </c>
      <c r="AE36" s="4266" t="s">
        <v>25</v>
      </c>
      <c r="AF36" s="4265" t="s">
        <v>413</v>
      </c>
      <c r="AG36" s="4266" t="s">
        <v>25</v>
      </c>
      <c r="AH36" s="4265" t="s">
        <v>413</v>
      </c>
      <c r="AI36" s="4266" t="s">
        <v>25</v>
      </c>
      <c r="AJ36" s="4265" t="s">
        <v>413</v>
      </c>
      <c r="AK36" s="4266" t="s">
        <v>25</v>
      </c>
      <c r="AL36" s="4265" t="s">
        <v>413</v>
      </c>
      <c r="AM36" s="4266" t="s">
        <v>25</v>
      </c>
      <c r="AN36" s="5845"/>
      <c r="AO36" s="5847"/>
      <c r="AP36" s="1172"/>
      <c r="AQ36" s="987"/>
      <c r="AR36" s="987"/>
      <c r="AS36" s="987"/>
      <c r="AT36" s="987"/>
      <c r="AU36" s="987"/>
      <c r="AV36" s="987"/>
      <c r="AW36" s="987"/>
      <c r="AX36" s="987"/>
      <c r="AY36" s="987"/>
      <c r="AZ36" s="987"/>
      <c r="BA36" s="987"/>
      <c r="BB36" s="987"/>
      <c r="BC36" s="987"/>
      <c r="BD36" s="987"/>
      <c r="BE36" s="987"/>
      <c r="BF36" s="987"/>
      <c r="BG36" s="987"/>
      <c r="BH36" s="987"/>
      <c r="BI36" s="987"/>
      <c r="BJ36" s="987"/>
      <c r="BK36" s="983"/>
      <c r="BL36" s="983"/>
      <c r="BM36" s="983"/>
      <c r="BN36" s="983"/>
      <c r="BO36" s="983"/>
      <c r="BP36" s="983"/>
      <c r="BQ36" s="983"/>
      <c r="BR36" s="983"/>
      <c r="BS36" s="983"/>
      <c r="BT36" s="983"/>
      <c r="BU36" s="983"/>
      <c r="BV36" s="983"/>
      <c r="BW36" s="983"/>
      <c r="BX36" s="983"/>
      <c r="BY36" s="984"/>
      <c r="BZ36" s="984"/>
      <c r="CA36" s="984"/>
      <c r="CB36" s="985"/>
      <c r="CC36" s="985"/>
      <c r="CD36" s="985"/>
      <c r="CE36" s="985"/>
      <c r="CF36" s="985"/>
      <c r="CG36" s="985"/>
      <c r="CH36" s="1023"/>
      <c r="CI36" s="1023"/>
      <c r="CJ36" s="1023"/>
      <c r="CK36" s="1023"/>
      <c r="CL36" s="1023"/>
      <c r="CM36" s="1023"/>
      <c r="CN36" s="1023"/>
    </row>
    <row r="37" spans="1:92" ht="16.350000000000001" customHeight="1" x14ac:dyDescent="0.25">
      <c r="A37" s="2949" t="s">
        <v>3468</v>
      </c>
      <c r="B37" s="4379" t="s">
        <v>29</v>
      </c>
      <c r="C37" s="4380" t="s">
        <v>2777</v>
      </c>
      <c r="D37" s="4381" t="s">
        <v>2778</v>
      </c>
      <c r="E37" s="4373" t="s">
        <v>2779</v>
      </c>
      <c r="F37" s="2391" t="s">
        <v>2780</v>
      </c>
      <c r="G37" s="4378" t="s">
        <v>2781</v>
      </c>
      <c r="H37" s="2391" t="s">
        <v>2782</v>
      </c>
      <c r="I37" s="4378" t="s">
        <v>2783</v>
      </c>
      <c r="J37" s="2391" t="s">
        <v>2784</v>
      </c>
      <c r="K37" s="171" t="s">
        <v>2785</v>
      </c>
      <c r="L37" s="2391" t="s">
        <v>2786</v>
      </c>
      <c r="M37" s="171" t="s">
        <v>2787</v>
      </c>
      <c r="N37" s="2391" t="s">
        <v>2788</v>
      </c>
      <c r="O37" s="171" t="s">
        <v>2789</v>
      </c>
      <c r="P37" s="2392" t="s">
        <v>2790</v>
      </c>
      <c r="Q37" s="171" t="s">
        <v>2791</v>
      </c>
      <c r="R37" s="2392" t="s">
        <v>2792</v>
      </c>
      <c r="S37" s="171" t="s">
        <v>2793</v>
      </c>
      <c r="T37" s="2392" t="s">
        <v>2794</v>
      </c>
      <c r="U37" s="171" t="s">
        <v>2795</v>
      </c>
      <c r="V37" s="2392" t="s">
        <v>2796</v>
      </c>
      <c r="W37" s="171" t="s">
        <v>2797</v>
      </c>
      <c r="X37" s="2392" t="s">
        <v>2798</v>
      </c>
      <c r="Y37" s="171" t="s">
        <v>2799</v>
      </c>
      <c r="Z37" s="2392" t="s">
        <v>2800</v>
      </c>
      <c r="AA37" s="171" t="s">
        <v>2801</v>
      </c>
      <c r="AB37" s="2392" t="s">
        <v>2817</v>
      </c>
      <c r="AC37" s="171" t="s">
        <v>2818</v>
      </c>
      <c r="AD37" s="2392" t="s">
        <v>2819</v>
      </c>
      <c r="AE37" s="171" t="s">
        <v>2821</v>
      </c>
      <c r="AF37" s="2392" t="s">
        <v>2822</v>
      </c>
      <c r="AG37" s="171" t="s">
        <v>2823</v>
      </c>
      <c r="AH37" s="2392" t="s">
        <v>2824</v>
      </c>
      <c r="AI37" s="171" t="s">
        <v>2825</v>
      </c>
      <c r="AJ37" s="2392" t="s">
        <v>2826</v>
      </c>
      <c r="AK37" s="171" t="s">
        <v>2827</v>
      </c>
      <c r="AL37" s="2392" t="s">
        <v>2831</v>
      </c>
      <c r="AM37" s="171" t="s">
        <v>2832</v>
      </c>
      <c r="AN37" s="164" t="s">
        <v>2833</v>
      </c>
      <c r="AO37" s="4357"/>
      <c r="AP37" s="2269"/>
      <c r="AQ37" s="1058"/>
      <c r="AR37" s="1058"/>
      <c r="AS37" s="1058"/>
      <c r="AT37" s="1058"/>
      <c r="AU37" s="1058"/>
      <c r="AV37" s="1058"/>
      <c r="AW37" s="1058"/>
      <c r="AX37" s="1058"/>
      <c r="AY37" s="1058"/>
      <c r="AZ37" s="1058"/>
      <c r="BA37" s="987"/>
      <c r="BB37" s="987"/>
      <c r="BC37" s="987"/>
      <c r="BD37" s="987"/>
      <c r="BE37" s="987"/>
      <c r="BF37" s="987"/>
      <c r="BG37" s="987"/>
      <c r="BH37" s="987"/>
      <c r="BI37" s="987"/>
      <c r="BJ37" s="987"/>
      <c r="BK37" s="983"/>
      <c r="BL37" s="983"/>
      <c r="BM37" s="983"/>
      <c r="BN37" s="983"/>
      <c r="BO37" s="983"/>
      <c r="BP37" s="983"/>
      <c r="BQ37" s="983"/>
      <c r="BR37" s="983"/>
      <c r="BS37" s="983"/>
      <c r="BT37" s="983"/>
      <c r="BU37" s="983"/>
      <c r="BV37" s="983"/>
      <c r="BW37" s="983"/>
      <c r="BX37" s="983"/>
      <c r="BY37" s="984"/>
      <c r="BZ37" s="984"/>
      <c r="CA37" s="984"/>
      <c r="CB37" s="985"/>
      <c r="CC37" s="985"/>
      <c r="CD37" s="985"/>
      <c r="CE37" s="985"/>
      <c r="CF37" s="985"/>
      <c r="CG37" s="985">
        <v>0</v>
      </c>
      <c r="CH37" s="1023">
        <v>0</v>
      </c>
      <c r="CI37" s="1023">
        <v>0</v>
      </c>
      <c r="CJ37" s="1023"/>
      <c r="CK37" s="1023"/>
      <c r="CL37" s="1023"/>
      <c r="CM37" s="1023"/>
      <c r="CN37" s="1023"/>
    </row>
    <row r="38" spans="1:92" ht="16.350000000000001" customHeight="1" x14ac:dyDescent="0.25">
      <c r="A38" s="2949" t="s">
        <v>3469</v>
      </c>
      <c r="B38" s="4227" t="s">
        <v>41</v>
      </c>
      <c r="C38" s="528" t="s">
        <v>2777</v>
      </c>
      <c r="D38" s="695" t="s">
        <v>2778</v>
      </c>
      <c r="E38" s="226" t="s">
        <v>2779</v>
      </c>
      <c r="F38" s="141" t="s">
        <v>2780</v>
      </c>
      <c r="G38" s="198" t="s">
        <v>2781</v>
      </c>
      <c r="H38" s="141" t="s">
        <v>2782</v>
      </c>
      <c r="I38" s="198" t="s">
        <v>2783</v>
      </c>
      <c r="J38" s="141" t="s">
        <v>2784</v>
      </c>
      <c r="K38" s="163" t="s">
        <v>2785</v>
      </c>
      <c r="L38" s="141" t="s">
        <v>2786</v>
      </c>
      <c r="M38" s="163" t="s">
        <v>2787</v>
      </c>
      <c r="N38" s="141" t="s">
        <v>2788</v>
      </c>
      <c r="O38" s="163" t="s">
        <v>2789</v>
      </c>
      <c r="P38" s="224" t="s">
        <v>2790</v>
      </c>
      <c r="Q38" s="163" t="s">
        <v>2791</v>
      </c>
      <c r="R38" s="224" t="s">
        <v>2792</v>
      </c>
      <c r="S38" s="163" t="s">
        <v>2793</v>
      </c>
      <c r="T38" s="224" t="s">
        <v>2794</v>
      </c>
      <c r="U38" s="163" t="s">
        <v>2795</v>
      </c>
      <c r="V38" s="224" t="s">
        <v>2796</v>
      </c>
      <c r="W38" s="163" t="s">
        <v>2797</v>
      </c>
      <c r="X38" s="224" t="s">
        <v>2798</v>
      </c>
      <c r="Y38" s="163" t="s">
        <v>2799</v>
      </c>
      <c r="Z38" s="224" t="s">
        <v>2800</v>
      </c>
      <c r="AA38" s="163" t="s">
        <v>2801</v>
      </c>
      <c r="AB38" s="224" t="s">
        <v>2817</v>
      </c>
      <c r="AC38" s="163" t="s">
        <v>2818</v>
      </c>
      <c r="AD38" s="224" t="s">
        <v>2819</v>
      </c>
      <c r="AE38" s="163" t="s">
        <v>2821</v>
      </c>
      <c r="AF38" s="224" t="s">
        <v>2822</v>
      </c>
      <c r="AG38" s="163" t="s">
        <v>2823</v>
      </c>
      <c r="AH38" s="224" t="s">
        <v>2824</v>
      </c>
      <c r="AI38" s="163" t="s">
        <v>2825</v>
      </c>
      <c r="AJ38" s="224" t="s">
        <v>2826</v>
      </c>
      <c r="AK38" s="163" t="s">
        <v>2827</v>
      </c>
      <c r="AL38" s="224" t="s">
        <v>2831</v>
      </c>
      <c r="AM38" s="163" t="s">
        <v>2832</v>
      </c>
      <c r="AN38" s="164" t="s">
        <v>2833</v>
      </c>
      <c r="AO38" s="164" t="s">
        <v>2834</v>
      </c>
      <c r="AP38" s="2269"/>
      <c r="AQ38" s="1058"/>
      <c r="AR38" s="1058"/>
      <c r="AS38" s="1058"/>
      <c r="AT38" s="1058"/>
      <c r="AU38" s="1058"/>
      <c r="AV38" s="1058"/>
      <c r="AW38" s="1058"/>
      <c r="AX38" s="1058"/>
      <c r="AY38" s="1058"/>
      <c r="AZ38" s="1058"/>
      <c r="BA38" s="987"/>
      <c r="BB38" s="987"/>
      <c r="BC38" s="987"/>
      <c r="BD38" s="987"/>
      <c r="BE38" s="987"/>
      <c r="BF38" s="987"/>
      <c r="BG38" s="987"/>
      <c r="BH38" s="987"/>
      <c r="BI38" s="987"/>
      <c r="BJ38" s="987"/>
      <c r="BK38" s="983"/>
      <c r="BL38" s="983"/>
      <c r="BM38" s="983"/>
      <c r="BN38" s="983"/>
      <c r="BO38" s="983"/>
      <c r="BP38" s="983"/>
      <c r="BQ38" s="983"/>
      <c r="BR38" s="983"/>
      <c r="BS38" s="983"/>
      <c r="BT38" s="983"/>
      <c r="BU38" s="983"/>
      <c r="BV38" s="983"/>
      <c r="BW38" s="983"/>
      <c r="BX38" s="983"/>
      <c r="BY38" s="984"/>
      <c r="BZ38" s="984"/>
      <c r="CA38" s="984"/>
      <c r="CB38" s="985"/>
      <c r="CC38" s="985"/>
      <c r="CD38" s="985"/>
      <c r="CE38" s="985"/>
      <c r="CF38" s="985"/>
      <c r="CG38" s="985"/>
      <c r="CH38" s="1023">
        <v>0</v>
      </c>
      <c r="CI38" s="1023">
        <v>0</v>
      </c>
      <c r="CJ38" s="1023"/>
      <c r="CK38" s="1023"/>
      <c r="CL38" s="1023"/>
      <c r="CM38" s="1023"/>
      <c r="CN38" s="1023"/>
    </row>
    <row r="39" spans="1:92" ht="16.350000000000001" customHeight="1" x14ac:dyDescent="0.25">
      <c r="A39" s="2949" t="s">
        <v>3470</v>
      </c>
      <c r="B39" s="4227" t="s">
        <v>30</v>
      </c>
      <c r="C39" s="528" t="s">
        <v>2777</v>
      </c>
      <c r="D39" s="695" t="s">
        <v>2778</v>
      </c>
      <c r="E39" s="226" t="s">
        <v>2779</v>
      </c>
      <c r="F39" s="141" t="s">
        <v>2780</v>
      </c>
      <c r="G39" s="198" t="s">
        <v>2781</v>
      </c>
      <c r="H39" s="141" t="s">
        <v>2782</v>
      </c>
      <c r="I39" s="198" t="s">
        <v>2783</v>
      </c>
      <c r="J39" s="141" t="s">
        <v>2784</v>
      </c>
      <c r="K39" s="163" t="s">
        <v>2785</v>
      </c>
      <c r="L39" s="141" t="s">
        <v>2786</v>
      </c>
      <c r="M39" s="163" t="s">
        <v>2787</v>
      </c>
      <c r="N39" s="141" t="s">
        <v>2788</v>
      </c>
      <c r="O39" s="163" t="s">
        <v>2789</v>
      </c>
      <c r="P39" s="224" t="s">
        <v>2790</v>
      </c>
      <c r="Q39" s="163" t="s">
        <v>2791</v>
      </c>
      <c r="R39" s="224" t="s">
        <v>2792</v>
      </c>
      <c r="S39" s="163" t="s">
        <v>2793</v>
      </c>
      <c r="T39" s="224" t="s">
        <v>2794</v>
      </c>
      <c r="U39" s="163" t="s">
        <v>2795</v>
      </c>
      <c r="V39" s="224" t="s">
        <v>2796</v>
      </c>
      <c r="W39" s="163" t="s">
        <v>2797</v>
      </c>
      <c r="X39" s="224" t="s">
        <v>2798</v>
      </c>
      <c r="Y39" s="163" t="s">
        <v>2799</v>
      </c>
      <c r="Z39" s="224" t="s">
        <v>2800</v>
      </c>
      <c r="AA39" s="163" t="s">
        <v>2801</v>
      </c>
      <c r="AB39" s="224" t="s">
        <v>2817</v>
      </c>
      <c r="AC39" s="163" t="s">
        <v>2818</v>
      </c>
      <c r="AD39" s="224" t="s">
        <v>2819</v>
      </c>
      <c r="AE39" s="163" t="s">
        <v>2821</v>
      </c>
      <c r="AF39" s="224" t="s">
        <v>2822</v>
      </c>
      <c r="AG39" s="163" t="s">
        <v>2823</v>
      </c>
      <c r="AH39" s="224" t="s">
        <v>2824</v>
      </c>
      <c r="AI39" s="163" t="s">
        <v>2825</v>
      </c>
      <c r="AJ39" s="224" t="s">
        <v>2826</v>
      </c>
      <c r="AK39" s="163" t="s">
        <v>2827</v>
      </c>
      <c r="AL39" s="224" t="s">
        <v>2831</v>
      </c>
      <c r="AM39" s="163" t="s">
        <v>2832</v>
      </c>
      <c r="AN39" s="164" t="s">
        <v>2833</v>
      </c>
      <c r="AO39" s="164" t="s">
        <v>2834</v>
      </c>
      <c r="AP39" s="2269"/>
      <c r="AQ39" s="1058"/>
      <c r="AR39" s="1058"/>
      <c r="AS39" s="1058"/>
      <c r="AT39" s="1058"/>
      <c r="AU39" s="1058"/>
      <c r="AV39" s="1058"/>
      <c r="AW39" s="1058"/>
      <c r="AX39" s="1058"/>
      <c r="AY39" s="1058"/>
      <c r="AZ39" s="1058"/>
      <c r="BA39" s="987"/>
      <c r="BB39" s="987"/>
      <c r="BC39" s="987"/>
      <c r="BD39" s="987"/>
      <c r="BE39" s="987"/>
      <c r="BF39" s="987"/>
      <c r="BG39" s="987"/>
      <c r="BH39" s="987"/>
      <c r="BI39" s="987"/>
      <c r="BJ39" s="987"/>
      <c r="BK39" s="983"/>
      <c r="BL39" s="983"/>
      <c r="BM39" s="983"/>
      <c r="BN39" s="983"/>
      <c r="BO39" s="983"/>
      <c r="BP39" s="983"/>
      <c r="BQ39" s="983"/>
      <c r="BR39" s="983"/>
      <c r="BS39" s="983"/>
      <c r="BT39" s="983"/>
      <c r="BU39" s="983"/>
      <c r="BV39" s="983"/>
      <c r="BW39" s="983"/>
      <c r="BX39" s="983"/>
      <c r="BY39" s="984"/>
      <c r="BZ39" s="984"/>
      <c r="CA39" s="984"/>
      <c r="CB39" s="985"/>
      <c r="CC39" s="985"/>
      <c r="CD39" s="985"/>
      <c r="CE39" s="985"/>
      <c r="CF39" s="985"/>
      <c r="CG39" s="985"/>
      <c r="CH39" s="1023">
        <v>0</v>
      </c>
      <c r="CI39" s="1023">
        <v>0</v>
      </c>
      <c r="CJ39" s="1023"/>
      <c r="CK39" s="1023"/>
      <c r="CL39" s="1023"/>
      <c r="CM39" s="1023"/>
      <c r="CN39" s="1023"/>
    </row>
    <row r="40" spans="1:92" ht="16.350000000000001" customHeight="1" x14ac:dyDescent="0.25">
      <c r="A40" s="2949" t="s">
        <v>3471</v>
      </c>
      <c r="B40" s="4227" t="s">
        <v>1253</v>
      </c>
      <c r="C40" s="528" t="s">
        <v>2777</v>
      </c>
      <c r="D40" s="695" t="s">
        <v>2778</v>
      </c>
      <c r="E40" s="226" t="s">
        <v>2779</v>
      </c>
      <c r="F40" s="141" t="s">
        <v>2780</v>
      </c>
      <c r="G40" s="198" t="s">
        <v>2781</v>
      </c>
      <c r="H40" s="141" t="s">
        <v>2782</v>
      </c>
      <c r="I40" s="198" t="s">
        <v>2783</v>
      </c>
      <c r="J40" s="141" t="s">
        <v>2784</v>
      </c>
      <c r="K40" s="163" t="s">
        <v>2785</v>
      </c>
      <c r="L40" s="141" t="s">
        <v>2786</v>
      </c>
      <c r="M40" s="163" t="s">
        <v>2787</v>
      </c>
      <c r="N40" s="141" t="s">
        <v>2788</v>
      </c>
      <c r="O40" s="163" t="s">
        <v>2789</v>
      </c>
      <c r="P40" s="224" t="s">
        <v>2790</v>
      </c>
      <c r="Q40" s="163" t="s">
        <v>2791</v>
      </c>
      <c r="R40" s="224" t="s">
        <v>2792</v>
      </c>
      <c r="S40" s="163" t="s">
        <v>2793</v>
      </c>
      <c r="T40" s="224" t="s">
        <v>2794</v>
      </c>
      <c r="U40" s="163" t="s">
        <v>2795</v>
      </c>
      <c r="V40" s="224" t="s">
        <v>2796</v>
      </c>
      <c r="W40" s="163" t="s">
        <v>2797</v>
      </c>
      <c r="X40" s="224" t="s">
        <v>2798</v>
      </c>
      <c r="Y40" s="163" t="s">
        <v>2799</v>
      </c>
      <c r="Z40" s="224" t="s">
        <v>2800</v>
      </c>
      <c r="AA40" s="163" t="s">
        <v>2801</v>
      </c>
      <c r="AB40" s="224" t="s">
        <v>2817</v>
      </c>
      <c r="AC40" s="163" t="s">
        <v>2818</v>
      </c>
      <c r="AD40" s="224" t="s">
        <v>2819</v>
      </c>
      <c r="AE40" s="163" t="s">
        <v>2821</v>
      </c>
      <c r="AF40" s="224" t="s">
        <v>2822</v>
      </c>
      <c r="AG40" s="163" t="s">
        <v>2823</v>
      </c>
      <c r="AH40" s="224" t="s">
        <v>2824</v>
      </c>
      <c r="AI40" s="163" t="s">
        <v>2825</v>
      </c>
      <c r="AJ40" s="224" t="s">
        <v>2826</v>
      </c>
      <c r="AK40" s="163" t="s">
        <v>2827</v>
      </c>
      <c r="AL40" s="224" t="s">
        <v>2831</v>
      </c>
      <c r="AM40" s="163" t="s">
        <v>2832</v>
      </c>
      <c r="AN40" s="164" t="s">
        <v>2833</v>
      </c>
      <c r="AO40" s="164" t="s">
        <v>2834</v>
      </c>
      <c r="AP40" s="2269"/>
      <c r="AQ40" s="1058"/>
      <c r="AR40" s="1058"/>
      <c r="AS40" s="1058"/>
      <c r="AT40" s="1058"/>
      <c r="AU40" s="1058"/>
      <c r="AV40" s="1058"/>
      <c r="AW40" s="1058"/>
      <c r="AX40" s="1058"/>
      <c r="AY40" s="1058"/>
      <c r="AZ40" s="1058"/>
      <c r="BA40" s="987"/>
      <c r="BB40" s="987"/>
      <c r="BC40" s="987"/>
      <c r="BD40" s="987"/>
      <c r="BE40" s="987"/>
      <c r="BF40" s="987"/>
      <c r="BG40" s="987"/>
      <c r="BH40" s="987"/>
      <c r="BI40" s="987"/>
      <c r="BJ40" s="987"/>
      <c r="BK40" s="983"/>
      <c r="BL40" s="983"/>
      <c r="BM40" s="983"/>
      <c r="BN40" s="983"/>
      <c r="BO40" s="983"/>
      <c r="BP40" s="983"/>
      <c r="BQ40" s="983"/>
      <c r="BR40" s="983"/>
      <c r="BS40" s="983"/>
      <c r="BT40" s="983"/>
      <c r="BU40" s="983"/>
      <c r="BV40" s="983"/>
      <c r="BW40" s="983"/>
      <c r="BX40" s="983"/>
      <c r="BY40" s="984"/>
      <c r="BZ40" s="984"/>
      <c r="CA40" s="984"/>
      <c r="CB40" s="985"/>
      <c r="CC40" s="985"/>
      <c r="CD40" s="985"/>
      <c r="CE40" s="985"/>
      <c r="CF40" s="985"/>
      <c r="CG40" s="985"/>
      <c r="CH40" s="1023">
        <v>0</v>
      </c>
      <c r="CI40" s="1023">
        <v>0</v>
      </c>
      <c r="CJ40" s="1023"/>
      <c r="CK40" s="1023"/>
      <c r="CL40" s="1023"/>
      <c r="CM40" s="1023"/>
      <c r="CN40" s="1023"/>
    </row>
    <row r="41" spans="1:92" ht="16.350000000000001" customHeight="1" x14ac:dyDescent="0.25">
      <c r="A41" s="2949" t="s">
        <v>3472</v>
      </c>
      <c r="B41" s="4227" t="s">
        <v>69</v>
      </c>
      <c r="C41" s="528" t="s">
        <v>2777</v>
      </c>
      <c r="D41" s="695" t="s">
        <v>2778</v>
      </c>
      <c r="E41" s="226" t="s">
        <v>2779</v>
      </c>
      <c r="F41" s="141" t="s">
        <v>2780</v>
      </c>
      <c r="G41" s="198" t="s">
        <v>2781</v>
      </c>
      <c r="H41" s="141" t="s">
        <v>2782</v>
      </c>
      <c r="I41" s="198" t="s">
        <v>2783</v>
      </c>
      <c r="J41" s="141" t="s">
        <v>2784</v>
      </c>
      <c r="K41" s="163" t="s">
        <v>2785</v>
      </c>
      <c r="L41" s="141" t="s">
        <v>2786</v>
      </c>
      <c r="M41" s="163" t="s">
        <v>2787</v>
      </c>
      <c r="N41" s="141" t="s">
        <v>2788</v>
      </c>
      <c r="O41" s="163" t="s">
        <v>2789</v>
      </c>
      <c r="P41" s="224" t="s">
        <v>2790</v>
      </c>
      <c r="Q41" s="163" t="s">
        <v>2791</v>
      </c>
      <c r="R41" s="224" t="s">
        <v>2792</v>
      </c>
      <c r="S41" s="163" t="s">
        <v>2793</v>
      </c>
      <c r="T41" s="224" t="s">
        <v>2794</v>
      </c>
      <c r="U41" s="163" t="s">
        <v>2795</v>
      </c>
      <c r="V41" s="224" t="s">
        <v>2796</v>
      </c>
      <c r="W41" s="163" t="s">
        <v>2797</v>
      </c>
      <c r="X41" s="224" t="s">
        <v>2798</v>
      </c>
      <c r="Y41" s="163" t="s">
        <v>2799</v>
      </c>
      <c r="Z41" s="224" t="s">
        <v>2800</v>
      </c>
      <c r="AA41" s="163" t="s">
        <v>2801</v>
      </c>
      <c r="AB41" s="224" t="s">
        <v>2817</v>
      </c>
      <c r="AC41" s="163" t="s">
        <v>2818</v>
      </c>
      <c r="AD41" s="224" t="s">
        <v>2819</v>
      </c>
      <c r="AE41" s="163" t="s">
        <v>2821</v>
      </c>
      <c r="AF41" s="224" t="s">
        <v>2822</v>
      </c>
      <c r="AG41" s="163" t="s">
        <v>2823</v>
      </c>
      <c r="AH41" s="224" t="s">
        <v>2824</v>
      </c>
      <c r="AI41" s="163" t="s">
        <v>2825</v>
      </c>
      <c r="AJ41" s="224" t="s">
        <v>2826</v>
      </c>
      <c r="AK41" s="163" t="s">
        <v>2827</v>
      </c>
      <c r="AL41" s="224" t="s">
        <v>2831</v>
      </c>
      <c r="AM41" s="163" t="s">
        <v>2832</v>
      </c>
      <c r="AN41" s="164" t="s">
        <v>2833</v>
      </c>
      <c r="AO41" s="164" t="s">
        <v>2834</v>
      </c>
      <c r="AP41" s="2269"/>
      <c r="AQ41" s="1058"/>
      <c r="AR41" s="1058"/>
      <c r="AS41" s="1058"/>
      <c r="AT41" s="1058"/>
      <c r="AU41" s="1058"/>
      <c r="AV41" s="1058"/>
      <c r="AW41" s="1058"/>
      <c r="AX41" s="1058"/>
      <c r="AY41" s="1058"/>
      <c r="AZ41" s="1058"/>
      <c r="BA41" s="987"/>
      <c r="BB41" s="987"/>
      <c r="BC41" s="987"/>
      <c r="BD41" s="987"/>
      <c r="BE41" s="987"/>
      <c r="BF41" s="987"/>
      <c r="BG41" s="987"/>
      <c r="BH41" s="987"/>
      <c r="BI41" s="987"/>
      <c r="BJ41" s="987"/>
      <c r="BK41" s="983"/>
      <c r="BL41" s="983"/>
      <c r="BM41" s="983"/>
      <c r="BN41" s="983"/>
      <c r="BO41" s="983"/>
      <c r="BP41" s="983"/>
      <c r="BQ41" s="983"/>
      <c r="BR41" s="983"/>
      <c r="BS41" s="983"/>
      <c r="BT41" s="983"/>
      <c r="BU41" s="983"/>
      <c r="BV41" s="983"/>
      <c r="BW41" s="983"/>
      <c r="BX41" s="983"/>
      <c r="BY41" s="984"/>
      <c r="BZ41" s="984"/>
      <c r="CA41" s="984"/>
      <c r="CB41" s="985"/>
      <c r="CC41" s="985"/>
      <c r="CD41" s="985"/>
      <c r="CE41" s="985"/>
      <c r="CF41" s="985"/>
      <c r="CG41" s="985"/>
      <c r="CH41" s="1023">
        <v>0</v>
      </c>
      <c r="CI41" s="1023">
        <v>0</v>
      </c>
      <c r="CJ41" s="1023"/>
      <c r="CK41" s="1023"/>
      <c r="CL41" s="1023"/>
      <c r="CM41" s="1023"/>
      <c r="CN41" s="1023"/>
    </row>
    <row r="42" spans="1:92" ht="16.350000000000001" customHeight="1" x14ac:dyDescent="0.25">
      <c r="A42" s="2949" t="s">
        <v>3473</v>
      </c>
      <c r="B42" s="4239" t="s">
        <v>285</v>
      </c>
      <c r="C42" s="529" t="s">
        <v>2777</v>
      </c>
      <c r="D42" s="696" t="s">
        <v>2778</v>
      </c>
      <c r="E42" s="217" t="s">
        <v>2779</v>
      </c>
      <c r="F42" s="166" t="s">
        <v>2780</v>
      </c>
      <c r="G42" s="168" t="s">
        <v>2781</v>
      </c>
      <c r="H42" s="166" t="s">
        <v>2782</v>
      </c>
      <c r="I42" s="168" t="s">
        <v>2783</v>
      </c>
      <c r="J42" s="166" t="s">
        <v>2784</v>
      </c>
      <c r="K42" s="125" t="s">
        <v>2785</v>
      </c>
      <c r="L42" s="166" t="s">
        <v>2786</v>
      </c>
      <c r="M42" s="125" t="s">
        <v>2787</v>
      </c>
      <c r="N42" s="166" t="s">
        <v>2788</v>
      </c>
      <c r="O42" s="125" t="s">
        <v>2789</v>
      </c>
      <c r="P42" s="227" t="s">
        <v>2790</v>
      </c>
      <c r="Q42" s="125" t="s">
        <v>2791</v>
      </c>
      <c r="R42" s="227" t="s">
        <v>2792</v>
      </c>
      <c r="S42" s="125" t="s">
        <v>2793</v>
      </c>
      <c r="T42" s="227" t="s">
        <v>2794</v>
      </c>
      <c r="U42" s="125" t="s">
        <v>2795</v>
      </c>
      <c r="V42" s="227" t="s">
        <v>2796</v>
      </c>
      <c r="W42" s="125" t="s">
        <v>2797</v>
      </c>
      <c r="X42" s="227" t="s">
        <v>2798</v>
      </c>
      <c r="Y42" s="125" t="s">
        <v>2799</v>
      </c>
      <c r="Z42" s="227" t="s">
        <v>2800</v>
      </c>
      <c r="AA42" s="125" t="s">
        <v>2801</v>
      </c>
      <c r="AB42" s="227" t="s">
        <v>2817</v>
      </c>
      <c r="AC42" s="125" t="s">
        <v>2818</v>
      </c>
      <c r="AD42" s="227" t="s">
        <v>2819</v>
      </c>
      <c r="AE42" s="125" t="s">
        <v>2821</v>
      </c>
      <c r="AF42" s="227" t="s">
        <v>2822</v>
      </c>
      <c r="AG42" s="125" t="s">
        <v>2823</v>
      </c>
      <c r="AH42" s="227" t="s">
        <v>2824</v>
      </c>
      <c r="AI42" s="125" t="s">
        <v>2825</v>
      </c>
      <c r="AJ42" s="227" t="s">
        <v>2826</v>
      </c>
      <c r="AK42" s="125" t="s">
        <v>2827</v>
      </c>
      <c r="AL42" s="227" t="s">
        <v>2831</v>
      </c>
      <c r="AM42" s="125" t="s">
        <v>2832</v>
      </c>
      <c r="AN42" s="105" t="s">
        <v>2833</v>
      </c>
      <c r="AO42" s="105" t="s">
        <v>2834</v>
      </c>
      <c r="AP42" s="2269"/>
      <c r="AQ42" s="1058"/>
      <c r="AR42" s="1058"/>
      <c r="AS42" s="1058"/>
      <c r="AT42" s="1058"/>
      <c r="AU42" s="1058"/>
      <c r="AV42" s="1058"/>
      <c r="AW42" s="1058"/>
      <c r="AX42" s="1058"/>
      <c r="AY42" s="1058"/>
      <c r="AZ42" s="1058"/>
      <c r="BA42" s="987"/>
      <c r="BB42" s="987"/>
      <c r="BC42" s="987"/>
      <c r="BD42" s="987"/>
      <c r="BE42" s="987"/>
      <c r="BF42" s="987"/>
      <c r="BG42" s="987"/>
      <c r="BH42" s="987"/>
      <c r="BI42" s="987"/>
      <c r="BJ42" s="987"/>
      <c r="BK42" s="983"/>
      <c r="BL42" s="983"/>
      <c r="BM42" s="983"/>
      <c r="BN42" s="983"/>
      <c r="BO42" s="983"/>
      <c r="BP42" s="983"/>
      <c r="BQ42" s="983"/>
      <c r="BR42" s="983"/>
      <c r="BS42" s="983"/>
      <c r="BT42" s="983"/>
      <c r="BU42" s="983"/>
      <c r="BV42" s="983"/>
      <c r="BW42" s="983"/>
      <c r="BX42" s="983"/>
      <c r="BY42" s="984"/>
      <c r="BZ42" s="984"/>
      <c r="CA42" s="984"/>
      <c r="CB42" s="985"/>
      <c r="CC42" s="985"/>
      <c r="CD42" s="985"/>
      <c r="CE42" s="985"/>
      <c r="CF42" s="985"/>
      <c r="CG42" s="985"/>
      <c r="CH42" s="1023">
        <v>0</v>
      </c>
      <c r="CI42" s="1023">
        <v>0</v>
      </c>
      <c r="CJ42" s="1023"/>
      <c r="CK42" s="1023"/>
      <c r="CL42" s="1023"/>
      <c r="CM42" s="1023"/>
      <c r="CN42" s="1023"/>
    </row>
    <row r="43" spans="1:92" ht="32.1" customHeight="1" x14ac:dyDescent="0.25">
      <c r="A43" s="983"/>
      <c r="B43" s="4240" t="s">
        <v>1245</v>
      </c>
      <c r="C43" s="177"/>
      <c r="D43" s="177"/>
      <c r="E43" s="177"/>
      <c r="F43" s="177"/>
      <c r="G43" s="177"/>
      <c r="H43" s="177"/>
      <c r="I43" s="177"/>
      <c r="J43" s="177"/>
      <c r="K43" s="177"/>
      <c r="L43" s="177"/>
      <c r="M43" s="85"/>
      <c r="N43" s="480"/>
      <c r="O43" s="480"/>
      <c r="P43" s="190"/>
      <c r="Q43" s="190"/>
      <c r="R43" s="190"/>
      <c r="S43" s="190"/>
      <c r="T43" s="190"/>
      <c r="U43" s="190"/>
      <c r="V43" s="190"/>
      <c r="W43" s="190"/>
      <c r="X43" s="190"/>
      <c r="Y43" s="219"/>
      <c r="Z43" s="219"/>
      <c r="AA43" s="219"/>
      <c r="AB43" s="219"/>
      <c r="AC43" s="219"/>
      <c r="AD43" s="219"/>
      <c r="AE43" s="219"/>
      <c r="AF43" s="219"/>
      <c r="AG43" s="219"/>
      <c r="AH43" s="219"/>
      <c r="AI43" s="219"/>
      <c r="AJ43" s="219"/>
      <c r="AK43" s="219"/>
      <c r="AL43" s="219"/>
      <c r="AM43" s="219"/>
      <c r="AN43" s="4374"/>
      <c r="AO43" s="987"/>
      <c r="AP43" s="987"/>
      <c r="AQ43" s="987"/>
      <c r="AR43" s="987"/>
      <c r="AS43" s="987"/>
      <c r="AT43" s="987"/>
      <c r="AU43" s="987"/>
      <c r="AV43" s="987"/>
      <c r="AW43" s="987"/>
      <c r="AX43" s="987"/>
      <c r="AY43" s="987"/>
      <c r="AZ43" s="987"/>
      <c r="BA43" s="987"/>
      <c r="BB43" s="987"/>
      <c r="BC43" s="987"/>
      <c r="BD43" s="987"/>
      <c r="BE43" s="987"/>
      <c r="BF43" s="987"/>
      <c r="BG43" s="987"/>
      <c r="BH43" s="987"/>
      <c r="BI43" s="987"/>
      <c r="BJ43" s="987"/>
      <c r="BK43" s="983"/>
      <c r="BL43" s="983"/>
      <c r="BM43" s="983"/>
      <c r="BN43" s="983"/>
      <c r="BO43" s="983"/>
      <c r="BP43" s="983"/>
      <c r="BQ43" s="983"/>
      <c r="BR43" s="983"/>
      <c r="BS43" s="983"/>
      <c r="BT43" s="983"/>
      <c r="BU43" s="983"/>
      <c r="BV43" s="983"/>
      <c r="BW43" s="983"/>
      <c r="BX43" s="983"/>
      <c r="BY43" s="983"/>
      <c r="BZ43" s="983"/>
      <c r="CA43" s="983"/>
      <c r="CB43" s="985"/>
      <c r="CC43" s="985"/>
      <c r="CD43" s="985"/>
      <c r="CE43" s="985"/>
      <c r="CF43" s="985"/>
      <c r="CG43" s="985"/>
      <c r="CH43" s="1023"/>
      <c r="CI43" s="1023"/>
      <c r="CJ43" s="1023"/>
      <c r="CK43" s="1023"/>
      <c r="CL43" s="1023"/>
      <c r="CM43" s="1023"/>
      <c r="CN43" s="1023"/>
    </row>
    <row r="44" spans="1:92" ht="16.350000000000001" customHeight="1" x14ac:dyDescent="0.25">
      <c r="A44" s="983"/>
      <c r="B44" s="5855" t="s">
        <v>3</v>
      </c>
      <c r="C44" s="5150" t="s">
        <v>511</v>
      </c>
      <c r="D44" s="5151"/>
      <c r="E44" s="5152"/>
      <c r="F44" s="5263" t="s">
        <v>406</v>
      </c>
      <c r="G44" s="5155"/>
      <c r="H44" s="5155"/>
      <c r="I44" s="5155"/>
      <c r="J44" s="5155"/>
      <c r="K44" s="5155"/>
      <c r="L44" s="5155"/>
      <c r="M44" s="5155"/>
      <c r="N44" s="5155"/>
      <c r="O44" s="5155"/>
      <c r="P44" s="5155"/>
      <c r="Q44" s="5155"/>
      <c r="R44" s="5155"/>
      <c r="S44" s="5155"/>
      <c r="T44" s="5155"/>
      <c r="U44" s="5155"/>
      <c r="V44" s="5155"/>
      <c r="W44" s="5155"/>
      <c r="X44" s="5155"/>
      <c r="Y44" s="5155"/>
      <c r="Z44" s="5155"/>
      <c r="AA44" s="5155"/>
      <c r="AB44" s="5155"/>
      <c r="AC44" s="5155"/>
      <c r="AD44" s="5155"/>
      <c r="AE44" s="5155"/>
      <c r="AF44" s="5155"/>
      <c r="AG44" s="5155"/>
      <c r="AH44" s="5155"/>
      <c r="AI44" s="5155"/>
      <c r="AJ44" s="5155"/>
      <c r="AK44" s="5155"/>
      <c r="AL44" s="5155"/>
      <c r="AM44" s="5264"/>
      <c r="AN44" s="5142" t="s">
        <v>1357</v>
      </c>
      <c r="AO44" s="5846" t="s">
        <v>1605</v>
      </c>
      <c r="AP44" s="987"/>
      <c r="AQ44" s="987"/>
      <c r="AR44" s="987"/>
      <c r="AS44" s="987"/>
      <c r="AT44" s="987"/>
      <c r="AU44" s="987"/>
      <c r="AV44" s="987"/>
      <c r="AW44" s="987"/>
      <c r="AX44" s="987"/>
      <c r="AY44" s="987"/>
      <c r="AZ44" s="987"/>
      <c r="BA44" s="987"/>
      <c r="BB44" s="987"/>
      <c r="BC44" s="987"/>
      <c r="BD44" s="987"/>
      <c r="BE44" s="987"/>
      <c r="BF44" s="987"/>
      <c r="BG44" s="987"/>
      <c r="BH44" s="987"/>
      <c r="BI44" s="987"/>
      <c r="BJ44" s="987"/>
      <c r="BK44" s="983"/>
      <c r="BL44" s="983"/>
      <c r="BM44" s="983"/>
      <c r="BN44" s="983"/>
      <c r="BO44" s="983"/>
      <c r="BP44" s="983"/>
      <c r="BQ44" s="983"/>
      <c r="BR44" s="983"/>
      <c r="BS44" s="983"/>
      <c r="BT44" s="983"/>
      <c r="BU44" s="983"/>
      <c r="BV44" s="983"/>
      <c r="BW44" s="983"/>
      <c r="BX44" s="983"/>
      <c r="BY44" s="984"/>
      <c r="BZ44" s="984"/>
      <c r="CA44" s="984"/>
      <c r="CB44" s="985"/>
      <c r="CC44" s="985"/>
      <c r="CD44" s="985"/>
      <c r="CE44" s="985"/>
      <c r="CF44" s="985"/>
      <c r="CG44" s="985"/>
      <c r="CH44" s="1023"/>
      <c r="CI44" s="1023"/>
      <c r="CJ44" s="1023"/>
      <c r="CK44" s="1023"/>
      <c r="CL44" s="1023"/>
      <c r="CM44" s="1023"/>
      <c r="CN44" s="1023"/>
    </row>
    <row r="45" spans="1:92" ht="16.350000000000001" customHeight="1" x14ac:dyDescent="0.25">
      <c r="A45" s="983"/>
      <c r="B45" s="5338"/>
      <c r="C45" s="5844"/>
      <c r="D45" s="5317"/>
      <c r="E45" s="5297"/>
      <c r="F45" s="5263" t="s">
        <v>350</v>
      </c>
      <c r="G45" s="5264"/>
      <c r="H45" s="5263" t="s">
        <v>351</v>
      </c>
      <c r="I45" s="5264"/>
      <c r="J45" s="5263" t="s">
        <v>352</v>
      </c>
      <c r="K45" s="5264"/>
      <c r="L45" s="5263" t="s">
        <v>319</v>
      </c>
      <c r="M45" s="5264"/>
      <c r="N45" s="5263" t="s">
        <v>10</v>
      </c>
      <c r="O45" s="5264"/>
      <c r="P45" s="5261" t="s">
        <v>11</v>
      </c>
      <c r="Q45" s="5262"/>
      <c r="R45" s="5261" t="s">
        <v>12</v>
      </c>
      <c r="S45" s="5262"/>
      <c r="T45" s="5261" t="s">
        <v>13</v>
      </c>
      <c r="U45" s="5262"/>
      <c r="V45" s="5261" t="s">
        <v>14</v>
      </c>
      <c r="W45" s="5262"/>
      <c r="X45" s="5261" t="s">
        <v>15</v>
      </c>
      <c r="Y45" s="5262"/>
      <c r="Z45" s="5261" t="s">
        <v>16</v>
      </c>
      <c r="AA45" s="5262"/>
      <c r="AB45" s="5261" t="s">
        <v>17</v>
      </c>
      <c r="AC45" s="5262"/>
      <c r="AD45" s="5261" t="s">
        <v>18</v>
      </c>
      <c r="AE45" s="5262"/>
      <c r="AF45" s="5261" t="s">
        <v>19</v>
      </c>
      <c r="AG45" s="5262"/>
      <c r="AH45" s="5261" t="s">
        <v>20</v>
      </c>
      <c r="AI45" s="5262"/>
      <c r="AJ45" s="5261" t="s">
        <v>21</v>
      </c>
      <c r="AK45" s="5262"/>
      <c r="AL45" s="5261" t="s">
        <v>22</v>
      </c>
      <c r="AM45" s="5262"/>
      <c r="AN45" s="5103"/>
      <c r="AO45" s="5647"/>
      <c r="AP45" s="987"/>
      <c r="AQ45" s="987"/>
      <c r="AR45" s="987"/>
      <c r="AS45" s="987"/>
      <c r="AT45" s="987"/>
      <c r="AU45" s="987"/>
      <c r="AV45" s="987"/>
      <c r="AW45" s="987"/>
      <c r="AX45" s="987"/>
      <c r="AY45" s="987"/>
      <c r="AZ45" s="987"/>
      <c r="BA45" s="987"/>
      <c r="BB45" s="987"/>
      <c r="BC45" s="987"/>
      <c r="BD45" s="987"/>
      <c r="BE45" s="987"/>
      <c r="BF45" s="987"/>
      <c r="BG45" s="987"/>
      <c r="BH45" s="987"/>
      <c r="BI45" s="987"/>
      <c r="BJ45" s="987"/>
      <c r="BK45" s="983"/>
      <c r="BL45" s="983"/>
      <c r="BM45" s="983"/>
      <c r="BN45" s="983"/>
      <c r="BO45" s="983"/>
      <c r="BP45" s="983"/>
      <c r="BQ45" s="983"/>
      <c r="BR45" s="983"/>
      <c r="BS45" s="983"/>
      <c r="BT45" s="983"/>
      <c r="BU45" s="983"/>
      <c r="BV45" s="983"/>
      <c r="BW45" s="983"/>
      <c r="BX45" s="983"/>
      <c r="BY45" s="984"/>
      <c r="BZ45" s="984"/>
      <c r="CA45" s="984"/>
      <c r="CB45" s="985"/>
      <c r="CC45" s="985"/>
      <c r="CD45" s="985"/>
      <c r="CE45" s="985"/>
      <c r="CF45" s="985"/>
      <c r="CG45" s="985"/>
      <c r="CH45" s="1023"/>
      <c r="CI45" s="1023"/>
      <c r="CJ45" s="1023"/>
      <c r="CK45" s="1023"/>
      <c r="CL45" s="1023"/>
      <c r="CM45" s="1023"/>
      <c r="CN45" s="1023"/>
    </row>
    <row r="46" spans="1:92" ht="16.350000000000001" customHeight="1" x14ac:dyDescent="0.25">
      <c r="A46" s="983"/>
      <c r="B46" s="5856"/>
      <c r="C46" s="4375" t="s">
        <v>184</v>
      </c>
      <c r="D46" s="4368" t="s">
        <v>413</v>
      </c>
      <c r="E46" s="4232" t="s">
        <v>25</v>
      </c>
      <c r="F46" s="4314" t="s">
        <v>413</v>
      </c>
      <c r="G46" s="4268" t="s">
        <v>25</v>
      </c>
      <c r="H46" s="4314" t="s">
        <v>413</v>
      </c>
      <c r="I46" s="4268" t="s">
        <v>25</v>
      </c>
      <c r="J46" s="4314" t="s">
        <v>413</v>
      </c>
      <c r="K46" s="4268" t="s">
        <v>25</v>
      </c>
      <c r="L46" s="4314" t="s">
        <v>413</v>
      </c>
      <c r="M46" s="4268" t="s">
        <v>25</v>
      </c>
      <c r="N46" s="4314" t="s">
        <v>413</v>
      </c>
      <c r="O46" s="4268" t="s">
        <v>25</v>
      </c>
      <c r="P46" s="4314" t="s">
        <v>413</v>
      </c>
      <c r="Q46" s="4268" t="s">
        <v>25</v>
      </c>
      <c r="R46" s="4314" t="s">
        <v>413</v>
      </c>
      <c r="S46" s="4268" t="s">
        <v>25</v>
      </c>
      <c r="T46" s="4314" t="s">
        <v>413</v>
      </c>
      <c r="U46" s="4268" t="s">
        <v>25</v>
      </c>
      <c r="V46" s="4314" t="s">
        <v>413</v>
      </c>
      <c r="W46" s="4268" t="s">
        <v>25</v>
      </c>
      <c r="X46" s="4314" t="s">
        <v>413</v>
      </c>
      <c r="Y46" s="4268" t="s">
        <v>25</v>
      </c>
      <c r="Z46" s="4314" t="s">
        <v>413</v>
      </c>
      <c r="AA46" s="4268" t="s">
        <v>25</v>
      </c>
      <c r="AB46" s="4314" t="s">
        <v>413</v>
      </c>
      <c r="AC46" s="4268" t="s">
        <v>25</v>
      </c>
      <c r="AD46" s="4314" t="s">
        <v>413</v>
      </c>
      <c r="AE46" s="4268" t="s">
        <v>25</v>
      </c>
      <c r="AF46" s="4314" t="s">
        <v>413</v>
      </c>
      <c r="AG46" s="4268" t="s">
        <v>25</v>
      </c>
      <c r="AH46" s="4314" t="s">
        <v>413</v>
      </c>
      <c r="AI46" s="4268" t="s">
        <v>25</v>
      </c>
      <c r="AJ46" s="4314" t="s">
        <v>413</v>
      </c>
      <c r="AK46" s="4268" t="s">
        <v>25</v>
      </c>
      <c r="AL46" s="4314" t="s">
        <v>413</v>
      </c>
      <c r="AM46" s="4268" t="s">
        <v>25</v>
      </c>
      <c r="AN46" s="5845"/>
      <c r="AO46" s="5847"/>
      <c r="AP46" s="987"/>
      <c r="AQ46" s="987"/>
      <c r="AR46" s="987"/>
      <c r="AS46" s="987"/>
      <c r="AT46" s="987"/>
      <c r="AU46" s="987"/>
      <c r="AV46" s="987"/>
      <c r="AW46" s="987"/>
      <c r="AX46" s="987"/>
      <c r="AY46" s="987"/>
      <c r="AZ46" s="987"/>
      <c r="BA46" s="987"/>
      <c r="BB46" s="987"/>
      <c r="BC46" s="987"/>
      <c r="BD46" s="987"/>
      <c r="BE46" s="987"/>
      <c r="BF46" s="987"/>
      <c r="BG46" s="987"/>
      <c r="BH46" s="987"/>
      <c r="BI46" s="987"/>
      <c r="BJ46" s="987"/>
      <c r="BK46" s="983"/>
      <c r="BL46" s="983"/>
      <c r="BM46" s="983"/>
      <c r="BN46" s="983"/>
      <c r="BO46" s="983"/>
      <c r="BP46" s="983"/>
      <c r="BQ46" s="983"/>
      <c r="BR46" s="983"/>
      <c r="BS46" s="983"/>
      <c r="BT46" s="983"/>
      <c r="BU46" s="983"/>
      <c r="BV46" s="983"/>
      <c r="BW46" s="983"/>
      <c r="BX46" s="983"/>
      <c r="BY46" s="984"/>
      <c r="BZ46" s="984"/>
      <c r="CA46" s="984"/>
      <c r="CB46" s="985"/>
      <c r="CC46" s="985"/>
      <c r="CD46" s="985"/>
      <c r="CE46" s="985"/>
      <c r="CF46" s="985"/>
      <c r="CG46" s="985"/>
      <c r="CH46" s="1023"/>
      <c r="CI46" s="1023"/>
      <c r="CJ46" s="1023"/>
      <c r="CK46" s="1023"/>
      <c r="CL46" s="1023"/>
      <c r="CM46" s="1023"/>
      <c r="CN46" s="1023"/>
    </row>
    <row r="47" spans="1:92" ht="16.350000000000001" customHeight="1" x14ac:dyDescent="0.25">
      <c r="A47" s="2949" t="s">
        <v>3474</v>
      </c>
      <c r="B47" s="4379" t="s">
        <v>29</v>
      </c>
      <c r="C47" s="4592" t="s">
        <v>2777</v>
      </c>
      <c r="D47" s="4593" t="s">
        <v>2778</v>
      </c>
      <c r="E47" s="4587" t="s">
        <v>2779</v>
      </c>
      <c r="F47" s="4318" t="s">
        <v>2780</v>
      </c>
      <c r="G47" s="4275" t="s">
        <v>2781</v>
      </c>
      <c r="H47" s="4318" t="s">
        <v>2782</v>
      </c>
      <c r="I47" s="4275" t="s">
        <v>2783</v>
      </c>
      <c r="J47" s="4318" t="s">
        <v>2784</v>
      </c>
      <c r="K47" s="4356" t="s">
        <v>2785</v>
      </c>
      <c r="L47" s="4318" t="s">
        <v>2786</v>
      </c>
      <c r="M47" s="4356" t="s">
        <v>2787</v>
      </c>
      <c r="N47" s="4318" t="s">
        <v>2788</v>
      </c>
      <c r="O47" s="4356" t="s">
        <v>2789</v>
      </c>
      <c r="P47" s="4273" t="s">
        <v>2790</v>
      </c>
      <c r="Q47" s="4356" t="s">
        <v>2791</v>
      </c>
      <c r="R47" s="4273" t="s">
        <v>2792</v>
      </c>
      <c r="S47" s="4356" t="s">
        <v>2793</v>
      </c>
      <c r="T47" s="4273" t="s">
        <v>2794</v>
      </c>
      <c r="U47" s="4356" t="s">
        <v>2795</v>
      </c>
      <c r="V47" s="4273" t="s">
        <v>2796</v>
      </c>
      <c r="W47" s="4356" t="s">
        <v>2797</v>
      </c>
      <c r="X47" s="4273" t="s">
        <v>2798</v>
      </c>
      <c r="Y47" s="4356" t="s">
        <v>2799</v>
      </c>
      <c r="Z47" s="4273" t="s">
        <v>2800</v>
      </c>
      <c r="AA47" s="4356" t="s">
        <v>2801</v>
      </c>
      <c r="AB47" s="4273" t="s">
        <v>2817</v>
      </c>
      <c r="AC47" s="4356" t="s">
        <v>2818</v>
      </c>
      <c r="AD47" s="4273" t="s">
        <v>2819</v>
      </c>
      <c r="AE47" s="4356" t="s">
        <v>2821</v>
      </c>
      <c r="AF47" s="4273" t="s">
        <v>2822</v>
      </c>
      <c r="AG47" s="4356" t="s">
        <v>2823</v>
      </c>
      <c r="AH47" s="4273" t="s">
        <v>2824</v>
      </c>
      <c r="AI47" s="4356" t="s">
        <v>2825</v>
      </c>
      <c r="AJ47" s="4273" t="s">
        <v>2826</v>
      </c>
      <c r="AK47" s="4356" t="s">
        <v>2827</v>
      </c>
      <c r="AL47" s="4273" t="s">
        <v>2831</v>
      </c>
      <c r="AM47" s="4356" t="s">
        <v>2832</v>
      </c>
      <c r="AN47" s="4357" t="s">
        <v>2833</v>
      </c>
      <c r="AO47" s="4357"/>
      <c r="AP47" s="2269"/>
      <c r="AQ47" s="1058"/>
      <c r="AR47" s="1058"/>
      <c r="AS47" s="1058"/>
      <c r="AT47" s="1058"/>
      <c r="AU47" s="1058"/>
      <c r="AV47" s="1058"/>
      <c r="AW47" s="1058"/>
      <c r="AX47" s="1058"/>
      <c r="AY47" s="1058"/>
      <c r="AZ47" s="1058"/>
      <c r="BA47" s="987"/>
      <c r="BB47" s="987"/>
      <c r="BC47" s="987"/>
      <c r="BD47" s="987"/>
      <c r="BE47" s="987"/>
      <c r="BF47" s="987"/>
      <c r="BG47" s="987"/>
      <c r="BH47" s="987"/>
      <c r="BI47" s="987"/>
      <c r="BJ47" s="987"/>
      <c r="BK47" s="983"/>
      <c r="BL47" s="983"/>
      <c r="BM47" s="983"/>
      <c r="BN47" s="983"/>
      <c r="BO47" s="983"/>
      <c r="BP47" s="983"/>
      <c r="BQ47" s="983"/>
      <c r="BR47" s="983"/>
      <c r="BS47" s="983"/>
      <c r="BT47" s="983"/>
      <c r="BU47" s="983"/>
      <c r="BV47" s="983"/>
      <c r="BW47" s="983"/>
      <c r="BX47" s="983"/>
      <c r="BY47" s="984"/>
      <c r="BZ47" s="984"/>
      <c r="CA47" s="984"/>
      <c r="CB47" s="985"/>
      <c r="CC47" s="985"/>
      <c r="CD47" s="985"/>
      <c r="CE47" s="985"/>
      <c r="CF47" s="985"/>
      <c r="CG47" s="985">
        <v>0</v>
      </c>
      <c r="CH47" s="1023">
        <v>0</v>
      </c>
      <c r="CI47" s="1023">
        <v>0</v>
      </c>
      <c r="CJ47" s="1023"/>
      <c r="CK47" s="1023"/>
      <c r="CL47" s="1023"/>
      <c r="CM47" s="1023"/>
      <c r="CN47" s="1023"/>
    </row>
    <row r="48" spans="1:92" ht="16.350000000000001" customHeight="1" x14ac:dyDescent="0.25">
      <c r="A48" s="2949" t="s">
        <v>3475</v>
      </c>
      <c r="B48" s="4227" t="s">
        <v>41</v>
      </c>
      <c r="C48" s="2885" t="s">
        <v>2777</v>
      </c>
      <c r="D48" s="2886" t="s">
        <v>2778</v>
      </c>
      <c r="E48" s="4234" t="s">
        <v>2779</v>
      </c>
      <c r="F48" s="141" t="s">
        <v>2780</v>
      </c>
      <c r="G48" s="198" t="s">
        <v>2781</v>
      </c>
      <c r="H48" s="141" t="s">
        <v>2782</v>
      </c>
      <c r="I48" s="198" t="s">
        <v>2783</v>
      </c>
      <c r="J48" s="141" t="s">
        <v>2784</v>
      </c>
      <c r="K48" s="163" t="s">
        <v>2785</v>
      </c>
      <c r="L48" s="141" t="s">
        <v>2786</v>
      </c>
      <c r="M48" s="163" t="s">
        <v>2787</v>
      </c>
      <c r="N48" s="141" t="s">
        <v>2788</v>
      </c>
      <c r="O48" s="163" t="s">
        <v>2789</v>
      </c>
      <c r="P48" s="224" t="s">
        <v>2790</v>
      </c>
      <c r="Q48" s="163" t="s">
        <v>2791</v>
      </c>
      <c r="R48" s="224" t="s">
        <v>2792</v>
      </c>
      <c r="S48" s="163" t="s">
        <v>2793</v>
      </c>
      <c r="T48" s="224" t="s">
        <v>2794</v>
      </c>
      <c r="U48" s="163" t="s">
        <v>2795</v>
      </c>
      <c r="V48" s="224" t="s">
        <v>2796</v>
      </c>
      <c r="W48" s="163" t="s">
        <v>2797</v>
      </c>
      <c r="X48" s="224" t="s">
        <v>2798</v>
      </c>
      <c r="Y48" s="163" t="s">
        <v>2799</v>
      </c>
      <c r="Z48" s="224" t="s">
        <v>2800</v>
      </c>
      <c r="AA48" s="163" t="s">
        <v>2801</v>
      </c>
      <c r="AB48" s="224" t="s">
        <v>2817</v>
      </c>
      <c r="AC48" s="163" t="s">
        <v>2818</v>
      </c>
      <c r="AD48" s="224" t="s">
        <v>2819</v>
      </c>
      <c r="AE48" s="163" t="s">
        <v>2821</v>
      </c>
      <c r="AF48" s="224" t="s">
        <v>2822</v>
      </c>
      <c r="AG48" s="163" t="s">
        <v>2823</v>
      </c>
      <c r="AH48" s="224" t="s">
        <v>2824</v>
      </c>
      <c r="AI48" s="163" t="s">
        <v>2825</v>
      </c>
      <c r="AJ48" s="224" t="s">
        <v>2826</v>
      </c>
      <c r="AK48" s="163" t="s">
        <v>2827</v>
      </c>
      <c r="AL48" s="224" t="s">
        <v>2831</v>
      </c>
      <c r="AM48" s="163" t="s">
        <v>2832</v>
      </c>
      <c r="AN48" s="164" t="s">
        <v>2833</v>
      </c>
      <c r="AO48" s="164" t="s">
        <v>2834</v>
      </c>
      <c r="AP48" s="2269"/>
      <c r="AQ48" s="1058"/>
      <c r="AR48" s="1058"/>
      <c r="AS48" s="1058"/>
      <c r="AT48" s="1058"/>
      <c r="AU48" s="1058"/>
      <c r="AV48" s="1058"/>
      <c r="AW48" s="1058"/>
      <c r="AX48" s="1058"/>
      <c r="AY48" s="1058"/>
      <c r="AZ48" s="1058"/>
      <c r="BA48" s="987"/>
      <c r="BB48" s="987"/>
      <c r="BC48" s="987"/>
      <c r="BD48" s="987"/>
      <c r="BE48" s="987"/>
      <c r="BF48" s="987"/>
      <c r="BG48" s="987"/>
      <c r="BH48" s="987"/>
      <c r="BI48" s="987"/>
      <c r="BJ48" s="987"/>
      <c r="BK48" s="983"/>
      <c r="BL48" s="983"/>
      <c r="BM48" s="983"/>
      <c r="BN48" s="983"/>
      <c r="BO48" s="983"/>
      <c r="BP48" s="983"/>
      <c r="BQ48" s="983"/>
      <c r="BR48" s="983"/>
      <c r="BS48" s="983"/>
      <c r="BT48" s="983"/>
      <c r="BU48" s="983"/>
      <c r="BV48" s="983"/>
      <c r="BW48" s="983"/>
      <c r="BX48" s="983"/>
      <c r="BY48" s="984"/>
      <c r="BZ48" s="984"/>
      <c r="CA48" s="984"/>
      <c r="CB48" s="985"/>
      <c r="CC48" s="985"/>
      <c r="CD48" s="985"/>
      <c r="CE48" s="985"/>
      <c r="CF48" s="985"/>
      <c r="CG48" s="985"/>
      <c r="CH48" s="1023">
        <v>0</v>
      </c>
      <c r="CI48" s="1023">
        <v>0</v>
      </c>
      <c r="CJ48" s="1023"/>
      <c r="CK48" s="1023"/>
      <c r="CL48" s="1023"/>
      <c r="CM48" s="1023"/>
      <c r="CN48" s="1023"/>
    </row>
    <row r="49" spans="1:105" ht="16.350000000000001" customHeight="1" x14ac:dyDescent="0.25">
      <c r="A49" s="2949" t="s">
        <v>3476</v>
      </c>
      <c r="B49" s="4227" t="s">
        <v>30</v>
      </c>
      <c r="C49" s="2885" t="s">
        <v>2777</v>
      </c>
      <c r="D49" s="2886" t="s">
        <v>2778</v>
      </c>
      <c r="E49" s="4234" t="s">
        <v>2779</v>
      </c>
      <c r="F49" s="141" t="s">
        <v>2780</v>
      </c>
      <c r="G49" s="198" t="s">
        <v>2781</v>
      </c>
      <c r="H49" s="141" t="s">
        <v>2782</v>
      </c>
      <c r="I49" s="198" t="s">
        <v>2783</v>
      </c>
      <c r="J49" s="141" t="s">
        <v>2784</v>
      </c>
      <c r="K49" s="163" t="s">
        <v>2785</v>
      </c>
      <c r="L49" s="141" t="s">
        <v>2786</v>
      </c>
      <c r="M49" s="163" t="s">
        <v>2787</v>
      </c>
      <c r="N49" s="141" t="s">
        <v>2788</v>
      </c>
      <c r="O49" s="163" t="s">
        <v>2789</v>
      </c>
      <c r="P49" s="224" t="s">
        <v>2790</v>
      </c>
      <c r="Q49" s="163" t="s">
        <v>2791</v>
      </c>
      <c r="R49" s="224" t="s">
        <v>2792</v>
      </c>
      <c r="S49" s="163" t="s">
        <v>2793</v>
      </c>
      <c r="T49" s="224" t="s">
        <v>2794</v>
      </c>
      <c r="U49" s="163" t="s">
        <v>2795</v>
      </c>
      <c r="V49" s="224" t="s">
        <v>2796</v>
      </c>
      <c r="W49" s="163" t="s">
        <v>2797</v>
      </c>
      <c r="X49" s="224" t="s">
        <v>2798</v>
      </c>
      <c r="Y49" s="163" t="s">
        <v>2799</v>
      </c>
      <c r="Z49" s="224" t="s">
        <v>2800</v>
      </c>
      <c r="AA49" s="163" t="s">
        <v>2801</v>
      </c>
      <c r="AB49" s="224" t="s">
        <v>2817</v>
      </c>
      <c r="AC49" s="163" t="s">
        <v>2818</v>
      </c>
      <c r="AD49" s="224" t="s">
        <v>2819</v>
      </c>
      <c r="AE49" s="163" t="s">
        <v>2821</v>
      </c>
      <c r="AF49" s="224" t="s">
        <v>2822</v>
      </c>
      <c r="AG49" s="163" t="s">
        <v>2823</v>
      </c>
      <c r="AH49" s="224" t="s">
        <v>2824</v>
      </c>
      <c r="AI49" s="163" t="s">
        <v>2825</v>
      </c>
      <c r="AJ49" s="224" t="s">
        <v>2826</v>
      </c>
      <c r="AK49" s="163" t="s">
        <v>2827</v>
      </c>
      <c r="AL49" s="224" t="s">
        <v>2831</v>
      </c>
      <c r="AM49" s="163" t="s">
        <v>2832</v>
      </c>
      <c r="AN49" s="164" t="s">
        <v>2833</v>
      </c>
      <c r="AO49" s="164" t="s">
        <v>2834</v>
      </c>
      <c r="AP49" s="2269"/>
      <c r="AQ49" s="1058"/>
      <c r="AR49" s="1058"/>
      <c r="AS49" s="1058"/>
      <c r="AT49" s="1058"/>
      <c r="AU49" s="1058"/>
      <c r="AV49" s="1058"/>
      <c r="AW49" s="1058"/>
      <c r="AX49" s="1058"/>
      <c r="AY49" s="1058"/>
      <c r="AZ49" s="1058"/>
      <c r="BA49" s="987"/>
      <c r="BB49" s="987"/>
      <c r="BC49" s="987"/>
      <c r="BD49" s="987"/>
      <c r="BE49" s="987"/>
      <c r="BF49" s="987"/>
      <c r="BG49" s="987"/>
      <c r="BH49" s="987"/>
      <c r="BI49" s="987"/>
      <c r="BJ49" s="987"/>
      <c r="BK49" s="983"/>
      <c r="BL49" s="983"/>
      <c r="BM49" s="983"/>
      <c r="BN49" s="983"/>
      <c r="BO49" s="983"/>
      <c r="BP49" s="983"/>
      <c r="BQ49" s="983"/>
      <c r="BR49" s="983"/>
      <c r="BS49" s="983"/>
      <c r="BT49" s="983"/>
      <c r="BU49" s="983"/>
      <c r="BV49" s="983"/>
      <c r="BW49" s="983"/>
      <c r="BX49" s="983"/>
      <c r="BY49" s="984"/>
      <c r="BZ49" s="984"/>
      <c r="CA49" s="984"/>
      <c r="CB49" s="985"/>
      <c r="CC49" s="985"/>
      <c r="CD49" s="985"/>
      <c r="CE49" s="985"/>
      <c r="CF49" s="985"/>
      <c r="CG49" s="985"/>
      <c r="CH49" s="1023">
        <v>0</v>
      </c>
      <c r="CI49" s="1023">
        <v>0</v>
      </c>
      <c r="CJ49" s="1023"/>
      <c r="CK49" s="1023"/>
      <c r="CL49" s="1023"/>
      <c r="CM49" s="1023"/>
      <c r="CN49" s="1023"/>
      <c r="CO49" s="985"/>
      <c r="CP49" s="985"/>
      <c r="CQ49" s="985"/>
      <c r="CR49" s="985"/>
      <c r="CS49" s="985"/>
      <c r="CT49" s="985"/>
      <c r="CU49" s="985"/>
      <c r="CV49" s="985"/>
      <c r="CW49" s="985"/>
      <c r="CX49" s="985"/>
      <c r="CY49" s="985"/>
      <c r="CZ49" s="985"/>
      <c r="DA49" s="985"/>
    </row>
    <row r="50" spans="1:105" ht="16.350000000000001" customHeight="1" x14ac:dyDescent="0.25">
      <c r="A50" s="2949" t="s">
        <v>3477</v>
      </c>
      <c r="B50" s="4227" t="s">
        <v>1253</v>
      </c>
      <c r="C50" s="2885" t="s">
        <v>2777</v>
      </c>
      <c r="D50" s="2886" t="s">
        <v>2778</v>
      </c>
      <c r="E50" s="4234" t="s">
        <v>2779</v>
      </c>
      <c r="F50" s="141" t="s">
        <v>2780</v>
      </c>
      <c r="G50" s="198" t="s">
        <v>2781</v>
      </c>
      <c r="H50" s="141" t="s">
        <v>2782</v>
      </c>
      <c r="I50" s="198" t="s">
        <v>2783</v>
      </c>
      <c r="J50" s="141" t="s">
        <v>2784</v>
      </c>
      <c r="K50" s="163" t="s">
        <v>2785</v>
      </c>
      <c r="L50" s="141" t="s">
        <v>2786</v>
      </c>
      <c r="M50" s="163" t="s">
        <v>2787</v>
      </c>
      <c r="N50" s="141" t="s">
        <v>2788</v>
      </c>
      <c r="O50" s="163" t="s">
        <v>2789</v>
      </c>
      <c r="P50" s="224" t="s">
        <v>2790</v>
      </c>
      <c r="Q50" s="163" t="s">
        <v>2791</v>
      </c>
      <c r="R50" s="224" t="s">
        <v>2792</v>
      </c>
      <c r="S50" s="163" t="s">
        <v>2793</v>
      </c>
      <c r="T50" s="224" t="s">
        <v>2794</v>
      </c>
      <c r="U50" s="163" t="s">
        <v>2795</v>
      </c>
      <c r="V50" s="224" t="s">
        <v>2796</v>
      </c>
      <c r="W50" s="163" t="s">
        <v>2797</v>
      </c>
      <c r="X50" s="224" t="s">
        <v>2798</v>
      </c>
      <c r="Y50" s="163" t="s">
        <v>2799</v>
      </c>
      <c r="Z50" s="224" t="s">
        <v>2800</v>
      </c>
      <c r="AA50" s="163" t="s">
        <v>2801</v>
      </c>
      <c r="AB50" s="224" t="s">
        <v>2817</v>
      </c>
      <c r="AC50" s="163" t="s">
        <v>2818</v>
      </c>
      <c r="AD50" s="224" t="s">
        <v>2819</v>
      </c>
      <c r="AE50" s="163" t="s">
        <v>2821</v>
      </c>
      <c r="AF50" s="224" t="s">
        <v>2822</v>
      </c>
      <c r="AG50" s="163" t="s">
        <v>2823</v>
      </c>
      <c r="AH50" s="224" t="s">
        <v>2824</v>
      </c>
      <c r="AI50" s="163" t="s">
        <v>2825</v>
      </c>
      <c r="AJ50" s="224" t="s">
        <v>2826</v>
      </c>
      <c r="AK50" s="163" t="s">
        <v>2827</v>
      </c>
      <c r="AL50" s="224" t="s">
        <v>2831</v>
      </c>
      <c r="AM50" s="163" t="s">
        <v>2832</v>
      </c>
      <c r="AN50" s="164" t="s">
        <v>2833</v>
      </c>
      <c r="AO50" s="164" t="s">
        <v>2834</v>
      </c>
      <c r="AP50" s="2269"/>
      <c r="AQ50" s="1058"/>
      <c r="AR50" s="1058"/>
      <c r="AS50" s="1058"/>
      <c r="AT50" s="1058"/>
      <c r="AU50" s="1058"/>
      <c r="AV50" s="1058"/>
      <c r="AW50" s="1058"/>
      <c r="AX50" s="1058"/>
      <c r="AY50" s="1058"/>
      <c r="AZ50" s="1058"/>
      <c r="BA50" s="987"/>
      <c r="BB50" s="987"/>
      <c r="BC50" s="987"/>
      <c r="BD50" s="987"/>
      <c r="BE50" s="987"/>
      <c r="BF50" s="987"/>
      <c r="BG50" s="987"/>
      <c r="BH50" s="987"/>
      <c r="BI50" s="987"/>
      <c r="BJ50" s="987"/>
      <c r="BK50" s="983"/>
      <c r="BL50" s="983"/>
      <c r="BM50" s="983"/>
      <c r="BN50" s="983"/>
      <c r="BO50" s="983"/>
      <c r="BP50" s="983"/>
      <c r="BQ50" s="983"/>
      <c r="BR50" s="983"/>
      <c r="BS50" s="983"/>
      <c r="BT50" s="983"/>
      <c r="BU50" s="983"/>
      <c r="BV50" s="983"/>
      <c r="BW50" s="983"/>
      <c r="BX50" s="983"/>
      <c r="BY50" s="984"/>
      <c r="BZ50" s="984"/>
      <c r="CA50" s="984"/>
      <c r="CB50" s="985"/>
      <c r="CC50" s="985"/>
      <c r="CD50" s="985"/>
      <c r="CE50" s="985"/>
      <c r="CF50" s="985"/>
      <c r="CG50" s="985"/>
      <c r="CH50" s="1023">
        <v>0</v>
      </c>
      <c r="CI50" s="1023">
        <v>0</v>
      </c>
      <c r="CJ50" s="1023"/>
      <c r="CK50" s="1023"/>
      <c r="CL50" s="1023"/>
      <c r="CM50" s="1023"/>
      <c r="CN50" s="1023"/>
      <c r="CO50" s="985"/>
      <c r="CP50" s="985"/>
      <c r="CQ50" s="985"/>
      <c r="CR50" s="985"/>
      <c r="CS50" s="985"/>
      <c r="CT50" s="985"/>
      <c r="CU50" s="985"/>
      <c r="CV50" s="985"/>
      <c r="CW50" s="985"/>
      <c r="CX50" s="985"/>
      <c r="CY50" s="985"/>
      <c r="CZ50" s="985"/>
      <c r="DA50" s="985"/>
    </row>
    <row r="51" spans="1:105" ht="16.350000000000001" customHeight="1" x14ac:dyDescent="0.25">
      <c r="A51" s="2949" t="s">
        <v>3478</v>
      </c>
      <c r="B51" s="4227" t="s">
        <v>69</v>
      </c>
      <c r="C51" s="2885" t="s">
        <v>2777</v>
      </c>
      <c r="D51" s="2886" t="s">
        <v>2778</v>
      </c>
      <c r="E51" s="4234" t="s">
        <v>2779</v>
      </c>
      <c r="F51" s="141" t="s">
        <v>2780</v>
      </c>
      <c r="G51" s="198" t="s">
        <v>2781</v>
      </c>
      <c r="H51" s="141" t="s">
        <v>2782</v>
      </c>
      <c r="I51" s="198" t="s">
        <v>2783</v>
      </c>
      <c r="J51" s="141" t="s">
        <v>2784</v>
      </c>
      <c r="K51" s="163" t="s">
        <v>2785</v>
      </c>
      <c r="L51" s="141" t="s">
        <v>2786</v>
      </c>
      <c r="M51" s="163" t="s">
        <v>2787</v>
      </c>
      <c r="N51" s="141" t="s">
        <v>2788</v>
      </c>
      <c r="O51" s="163" t="s">
        <v>2789</v>
      </c>
      <c r="P51" s="224" t="s">
        <v>2790</v>
      </c>
      <c r="Q51" s="163" t="s">
        <v>2791</v>
      </c>
      <c r="R51" s="224" t="s">
        <v>2792</v>
      </c>
      <c r="S51" s="163" t="s">
        <v>2793</v>
      </c>
      <c r="T51" s="224" t="s">
        <v>2794</v>
      </c>
      <c r="U51" s="163" t="s">
        <v>2795</v>
      </c>
      <c r="V51" s="224" t="s">
        <v>2796</v>
      </c>
      <c r="W51" s="163" t="s">
        <v>2797</v>
      </c>
      <c r="X51" s="224" t="s">
        <v>2798</v>
      </c>
      <c r="Y51" s="163" t="s">
        <v>2799</v>
      </c>
      <c r="Z51" s="224" t="s">
        <v>2800</v>
      </c>
      <c r="AA51" s="163" t="s">
        <v>2801</v>
      </c>
      <c r="AB51" s="224" t="s">
        <v>2817</v>
      </c>
      <c r="AC51" s="163" t="s">
        <v>2818</v>
      </c>
      <c r="AD51" s="224" t="s">
        <v>2819</v>
      </c>
      <c r="AE51" s="163" t="s">
        <v>2821</v>
      </c>
      <c r="AF51" s="224" t="s">
        <v>2822</v>
      </c>
      <c r="AG51" s="163" t="s">
        <v>2823</v>
      </c>
      <c r="AH51" s="224" t="s">
        <v>2824</v>
      </c>
      <c r="AI51" s="163" t="s">
        <v>2825</v>
      </c>
      <c r="AJ51" s="224" t="s">
        <v>2826</v>
      </c>
      <c r="AK51" s="163" t="s">
        <v>2827</v>
      </c>
      <c r="AL51" s="224" t="s">
        <v>2831</v>
      </c>
      <c r="AM51" s="163" t="s">
        <v>2832</v>
      </c>
      <c r="AN51" s="164" t="s">
        <v>2833</v>
      </c>
      <c r="AO51" s="164" t="s">
        <v>2834</v>
      </c>
      <c r="AP51" s="2269"/>
      <c r="AQ51" s="1058"/>
      <c r="AR51" s="1058"/>
      <c r="AS51" s="1058"/>
      <c r="AT51" s="1058"/>
      <c r="AU51" s="1058"/>
      <c r="AV51" s="1058"/>
      <c r="AW51" s="1058"/>
      <c r="AX51" s="1058"/>
      <c r="AY51" s="1058"/>
      <c r="AZ51" s="1058"/>
      <c r="BA51" s="987"/>
      <c r="BB51" s="987"/>
      <c r="BC51" s="987"/>
      <c r="BD51" s="987"/>
      <c r="BE51" s="987"/>
      <c r="BF51" s="987"/>
      <c r="BG51" s="987"/>
      <c r="BH51" s="987"/>
      <c r="BI51" s="987"/>
      <c r="BJ51" s="987"/>
      <c r="BK51" s="983"/>
      <c r="BL51" s="983"/>
      <c r="BM51" s="983"/>
      <c r="BN51" s="983"/>
      <c r="BO51" s="983"/>
      <c r="BP51" s="983"/>
      <c r="BQ51" s="983"/>
      <c r="BR51" s="983"/>
      <c r="BS51" s="983"/>
      <c r="BT51" s="983"/>
      <c r="BU51" s="983"/>
      <c r="BV51" s="983"/>
      <c r="BW51" s="983"/>
      <c r="BX51" s="983"/>
      <c r="BY51" s="984"/>
      <c r="BZ51" s="984"/>
      <c r="CA51" s="984"/>
      <c r="CB51" s="985"/>
      <c r="CC51" s="985"/>
      <c r="CD51" s="985"/>
      <c r="CE51" s="985"/>
      <c r="CF51" s="985"/>
      <c r="CG51" s="985"/>
      <c r="CH51" s="1023">
        <v>0</v>
      </c>
      <c r="CI51" s="1023">
        <v>0</v>
      </c>
      <c r="CJ51" s="1023"/>
      <c r="CK51" s="1023"/>
      <c r="CL51" s="1023"/>
      <c r="CM51" s="1023"/>
      <c r="CN51" s="1023"/>
      <c r="CO51" s="985"/>
      <c r="CP51" s="985"/>
      <c r="CQ51" s="985"/>
      <c r="CR51" s="985"/>
      <c r="CS51" s="985"/>
      <c r="CT51" s="985"/>
      <c r="CU51" s="985"/>
      <c r="CV51" s="985"/>
      <c r="CW51" s="985"/>
      <c r="CX51" s="985"/>
      <c r="CY51" s="985"/>
      <c r="CZ51" s="985"/>
      <c r="DA51" s="985"/>
    </row>
    <row r="52" spans="1:105" ht="16.350000000000001" customHeight="1" x14ac:dyDescent="0.25">
      <c r="A52" s="2949" t="s">
        <v>3479</v>
      </c>
      <c r="B52" s="4239" t="s">
        <v>285</v>
      </c>
      <c r="C52" s="2887" t="s">
        <v>2777</v>
      </c>
      <c r="D52" s="2888" t="s">
        <v>2778</v>
      </c>
      <c r="E52" s="4233" t="s">
        <v>2779</v>
      </c>
      <c r="F52" s="166" t="s">
        <v>2780</v>
      </c>
      <c r="G52" s="168" t="s">
        <v>2781</v>
      </c>
      <c r="H52" s="166" t="s">
        <v>2782</v>
      </c>
      <c r="I52" s="168" t="s">
        <v>2783</v>
      </c>
      <c r="J52" s="166" t="s">
        <v>2784</v>
      </c>
      <c r="K52" s="125" t="s">
        <v>2785</v>
      </c>
      <c r="L52" s="166" t="s">
        <v>2786</v>
      </c>
      <c r="M52" s="125" t="s">
        <v>2787</v>
      </c>
      <c r="N52" s="166" t="s">
        <v>2788</v>
      </c>
      <c r="O52" s="125" t="s">
        <v>2789</v>
      </c>
      <c r="P52" s="227" t="s">
        <v>2790</v>
      </c>
      <c r="Q52" s="125" t="s">
        <v>2791</v>
      </c>
      <c r="R52" s="227" t="s">
        <v>2792</v>
      </c>
      <c r="S52" s="125" t="s">
        <v>2793</v>
      </c>
      <c r="T52" s="227" t="s">
        <v>2794</v>
      </c>
      <c r="U52" s="125" t="s">
        <v>2795</v>
      </c>
      <c r="V52" s="227" t="s">
        <v>2796</v>
      </c>
      <c r="W52" s="125" t="s">
        <v>2797</v>
      </c>
      <c r="X52" s="227" t="s">
        <v>2798</v>
      </c>
      <c r="Y52" s="125" t="s">
        <v>2799</v>
      </c>
      <c r="Z52" s="227" t="s">
        <v>2800</v>
      </c>
      <c r="AA52" s="125" t="s">
        <v>2801</v>
      </c>
      <c r="AB52" s="227" t="s">
        <v>2817</v>
      </c>
      <c r="AC52" s="125" t="s">
        <v>2818</v>
      </c>
      <c r="AD52" s="227" t="s">
        <v>2819</v>
      </c>
      <c r="AE52" s="125" t="s">
        <v>2821</v>
      </c>
      <c r="AF52" s="227" t="s">
        <v>2822</v>
      </c>
      <c r="AG52" s="125" t="s">
        <v>2823</v>
      </c>
      <c r="AH52" s="227" t="s">
        <v>2824</v>
      </c>
      <c r="AI52" s="125" t="s">
        <v>2825</v>
      </c>
      <c r="AJ52" s="227" t="s">
        <v>2826</v>
      </c>
      <c r="AK52" s="125" t="s">
        <v>2827</v>
      </c>
      <c r="AL52" s="227" t="s">
        <v>2831</v>
      </c>
      <c r="AM52" s="125" t="s">
        <v>2832</v>
      </c>
      <c r="AN52" s="105" t="s">
        <v>2833</v>
      </c>
      <c r="AO52" s="105" t="s">
        <v>2834</v>
      </c>
      <c r="AP52" s="2269"/>
      <c r="AQ52" s="1058"/>
      <c r="AR52" s="1058"/>
      <c r="AS52" s="1058"/>
      <c r="AT52" s="1058"/>
      <c r="AU52" s="1058"/>
      <c r="AV52" s="1058"/>
      <c r="AW52" s="1058"/>
      <c r="AX52" s="1058"/>
      <c r="AY52" s="1058"/>
      <c r="AZ52" s="1058"/>
      <c r="BA52" s="987"/>
      <c r="BB52" s="987"/>
      <c r="BC52" s="987"/>
      <c r="BD52" s="987"/>
      <c r="BE52" s="987"/>
      <c r="BF52" s="987"/>
      <c r="BG52" s="987"/>
      <c r="BH52" s="987"/>
      <c r="BI52" s="987"/>
      <c r="BJ52" s="987"/>
      <c r="BK52" s="983"/>
      <c r="BL52" s="983"/>
      <c r="BM52" s="983"/>
      <c r="BN52" s="983"/>
      <c r="BO52" s="983"/>
      <c r="BP52" s="983"/>
      <c r="BQ52" s="983"/>
      <c r="BR52" s="983"/>
      <c r="BS52" s="983"/>
      <c r="BT52" s="983"/>
      <c r="BU52" s="983"/>
      <c r="BV52" s="983"/>
      <c r="BW52" s="983"/>
      <c r="BX52" s="983"/>
      <c r="BY52" s="984"/>
      <c r="BZ52" s="984"/>
      <c r="CA52" s="984"/>
      <c r="CB52" s="985"/>
      <c r="CC52" s="985"/>
      <c r="CD52" s="985"/>
      <c r="CE52" s="985"/>
      <c r="CF52" s="985"/>
      <c r="CG52" s="985"/>
      <c r="CH52" s="1023">
        <v>0</v>
      </c>
      <c r="CI52" s="1023">
        <v>0</v>
      </c>
      <c r="CJ52" s="1023"/>
      <c r="CK52" s="1023"/>
      <c r="CL52" s="1023"/>
      <c r="CM52" s="1023"/>
      <c r="CN52" s="1023"/>
      <c r="CO52" s="985"/>
      <c r="CP52" s="985"/>
      <c r="CQ52" s="985"/>
      <c r="CR52" s="985"/>
      <c r="CS52" s="985"/>
      <c r="CT52" s="985"/>
      <c r="CU52" s="985"/>
      <c r="CV52" s="985"/>
      <c r="CW52" s="985"/>
      <c r="CX52" s="985"/>
      <c r="CY52" s="985"/>
      <c r="CZ52" s="985"/>
      <c r="DA52" s="985"/>
    </row>
    <row r="53" spans="1:105" s="2448" customFormat="1" ht="32.1" customHeight="1" x14ac:dyDescent="0.2">
      <c r="B53" s="4382" t="s">
        <v>1352</v>
      </c>
      <c r="C53" s="4382"/>
      <c r="D53" s="4382"/>
      <c r="E53" s="4382"/>
      <c r="F53" s="4382"/>
      <c r="G53" s="4382"/>
      <c r="H53" s="4382"/>
      <c r="I53" s="4382"/>
      <c r="J53" s="4382"/>
      <c r="K53" s="4382"/>
      <c r="L53" s="4382"/>
      <c r="M53" s="4382"/>
      <c r="N53" s="4382"/>
      <c r="O53" s="352"/>
      <c r="P53" s="352"/>
      <c r="Q53" s="219"/>
      <c r="R53" s="219"/>
      <c r="S53" s="219"/>
      <c r="T53" s="219"/>
      <c r="U53" s="219"/>
      <c r="V53" s="219"/>
      <c r="W53" s="219"/>
      <c r="X53" s="219"/>
      <c r="Y53" s="219"/>
      <c r="Z53" s="219"/>
      <c r="AO53" s="190"/>
      <c r="AP53" s="190"/>
      <c r="AQ53" s="190"/>
      <c r="AR53" s="190"/>
      <c r="AS53" s="881"/>
      <c r="AT53" s="881"/>
      <c r="AU53" s="190"/>
      <c r="AV53" s="190"/>
      <c r="AW53" s="190"/>
      <c r="AX53" s="190"/>
      <c r="AY53" s="190"/>
      <c r="AZ53" s="190"/>
      <c r="BA53" s="190"/>
      <c r="BB53" s="190"/>
      <c r="BC53" s="190"/>
      <c r="BD53" s="190"/>
      <c r="BE53" s="190"/>
      <c r="BF53" s="190"/>
      <c r="BG53" s="190"/>
      <c r="BH53" s="190"/>
      <c r="BI53" s="190"/>
      <c r="BJ53" s="190"/>
      <c r="BK53" s="190"/>
      <c r="BL53" s="190"/>
      <c r="BM53" s="190"/>
      <c r="BN53" s="190"/>
      <c r="BO53" s="190"/>
      <c r="BP53" s="190"/>
      <c r="BQ53" s="190"/>
      <c r="BR53" s="190"/>
      <c r="BS53" s="190"/>
      <c r="BT53" s="190"/>
      <c r="BU53" s="190"/>
      <c r="BV53" s="190"/>
      <c r="BW53" s="190"/>
      <c r="BX53" s="190"/>
      <c r="BY53" s="190"/>
      <c r="BZ53" s="190"/>
      <c r="CA53" s="190"/>
      <c r="CB53" s="1015"/>
      <c r="CC53" s="1015"/>
      <c r="CD53" s="1015"/>
      <c r="CE53" s="1015"/>
      <c r="CF53" s="1015"/>
      <c r="CG53" s="1015"/>
      <c r="CH53" s="1024"/>
      <c r="CI53" s="1024"/>
      <c r="CJ53" s="1024"/>
      <c r="CK53" s="1024"/>
      <c r="CL53" s="1024"/>
      <c r="CM53" s="1024"/>
      <c r="CN53" s="1024"/>
      <c r="CO53" s="1015"/>
      <c r="CP53" s="1015"/>
      <c r="CQ53" s="1015"/>
      <c r="CR53" s="1015"/>
      <c r="CS53" s="1015"/>
      <c r="CT53" s="1015"/>
      <c r="CU53" s="1015"/>
      <c r="CV53" s="1015"/>
      <c r="CW53" s="1015"/>
      <c r="CX53" s="1015"/>
      <c r="CY53" s="1015"/>
      <c r="CZ53" s="1015"/>
      <c r="DA53" s="1015"/>
    </row>
    <row r="54" spans="1:105" ht="16.350000000000001" customHeight="1" x14ac:dyDescent="0.25">
      <c r="A54" s="983"/>
      <c r="B54" s="5142" t="s">
        <v>519</v>
      </c>
      <c r="C54" s="5862" t="s">
        <v>42</v>
      </c>
      <c r="D54" s="5863"/>
      <c r="E54" s="5864"/>
      <c r="F54" s="5868" t="s">
        <v>406</v>
      </c>
      <c r="G54" s="5869"/>
      <c r="H54" s="5869"/>
      <c r="I54" s="5869"/>
      <c r="J54" s="5869"/>
      <c r="K54" s="5869"/>
      <c r="L54" s="5869"/>
      <c r="M54" s="5869"/>
      <c r="N54" s="5869"/>
      <c r="O54" s="5869"/>
      <c r="P54" s="5869"/>
      <c r="Q54" s="5869"/>
      <c r="R54" s="5869"/>
      <c r="S54" s="5869"/>
      <c r="T54" s="5869"/>
      <c r="U54" s="5869"/>
      <c r="V54" s="5869"/>
      <c r="W54" s="5869"/>
      <c r="X54" s="5869"/>
      <c r="Y54" s="5869"/>
      <c r="Z54" s="5869"/>
      <c r="AA54" s="5869"/>
      <c r="AB54" s="5869"/>
      <c r="AC54" s="5869"/>
      <c r="AD54" s="5869"/>
      <c r="AE54" s="5869"/>
      <c r="AF54" s="5869"/>
      <c r="AG54" s="5869"/>
      <c r="AH54" s="5869"/>
      <c r="AI54" s="5869"/>
      <c r="AJ54" s="5869"/>
      <c r="AK54" s="5869"/>
      <c r="AL54" s="5869"/>
      <c r="AM54" s="5870"/>
      <c r="AN54" s="5857" t="s">
        <v>1449</v>
      </c>
      <c r="AO54" s="5858"/>
      <c r="AP54" s="331"/>
      <c r="AQ54" s="331"/>
      <c r="AR54" s="331"/>
      <c r="AS54" s="935"/>
      <c r="AT54" s="935"/>
      <c r="AU54" s="331"/>
      <c r="AV54" s="983"/>
      <c r="AW54" s="983"/>
      <c r="AX54" s="983"/>
      <c r="AY54" s="983"/>
      <c r="AZ54" s="983"/>
      <c r="BA54" s="983"/>
      <c r="BB54" s="983"/>
      <c r="BC54" s="983"/>
      <c r="BD54" s="983"/>
      <c r="BE54" s="983"/>
      <c r="BF54" s="983"/>
      <c r="BG54" s="983"/>
      <c r="BH54" s="983"/>
      <c r="BI54" s="983"/>
      <c r="BJ54" s="983"/>
      <c r="BK54" s="983"/>
      <c r="BL54" s="983"/>
      <c r="BM54" s="983"/>
      <c r="BN54" s="983"/>
      <c r="BO54" s="983"/>
      <c r="BP54" s="983"/>
      <c r="BQ54" s="983"/>
      <c r="BR54" s="983"/>
      <c r="BS54" s="983"/>
      <c r="BT54" s="983"/>
      <c r="BU54" s="983"/>
      <c r="BV54" s="983"/>
      <c r="BW54" s="983"/>
      <c r="BX54" s="983"/>
      <c r="BY54" s="983"/>
      <c r="BZ54" s="983"/>
      <c r="CA54" s="984"/>
      <c r="CB54" s="985"/>
      <c r="CC54" s="985"/>
      <c r="CD54" s="985"/>
      <c r="CE54" s="985"/>
      <c r="CF54" s="985"/>
      <c r="CG54" s="985"/>
      <c r="CH54" s="1023"/>
      <c r="CI54" s="1023"/>
      <c r="CJ54" s="1023"/>
      <c r="CK54" s="1023"/>
      <c r="CL54" s="1023"/>
      <c r="CM54" s="1023"/>
      <c r="CN54" s="1023"/>
      <c r="CO54" s="985"/>
      <c r="CP54" s="985"/>
      <c r="CQ54" s="985"/>
      <c r="CR54" s="985"/>
      <c r="CS54" s="985"/>
      <c r="CT54" s="985"/>
      <c r="CU54" s="985"/>
      <c r="CV54" s="985"/>
      <c r="CW54" s="985"/>
      <c r="CX54" s="985"/>
      <c r="CY54" s="985"/>
      <c r="CZ54" s="985"/>
      <c r="DA54" s="985"/>
    </row>
    <row r="55" spans="1:105" ht="16.350000000000001" customHeight="1" x14ac:dyDescent="0.25">
      <c r="A55" s="983"/>
      <c r="B55" s="5113"/>
      <c r="C55" s="5865"/>
      <c r="D55" s="5866"/>
      <c r="E55" s="5867"/>
      <c r="F55" s="5263" t="s">
        <v>350</v>
      </c>
      <c r="G55" s="5264"/>
      <c r="H55" s="5263" t="s">
        <v>351</v>
      </c>
      <c r="I55" s="5264"/>
      <c r="J55" s="5263" t="s">
        <v>352</v>
      </c>
      <c r="K55" s="5264"/>
      <c r="L55" s="5263" t="s">
        <v>319</v>
      </c>
      <c r="M55" s="5264"/>
      <c r="N55" s="5263" t="s">
        <v>10</v>
      </c>
      <c r="O55" s="5264"/>
      <c r="P55" s="5261" t="s">
        <v>11</v>
      </c>
      <c r="Q55" s="5262"/>
      <c r="R55" s="5261" t="s">
        <v>12</v>
      </c>
      <c r="S55" s="5262"/>
      <c r="T55" s="5261" t="s">
        <v>13</v>
      </c>
      <c r="U55" s="5262"/>
      <c r="V55" s="5261" t="s">
        <v>14</v>
      </c>
      <c r="W55" s="5157"/>
      <c r="X55" s="5261" t="s">
        <v>15</v>
      </c>
      <c r="Y55" s="5262"/>
      <c r="Z55" s="5261" t="s">
        <v>16</v>
      </c>
      <c r="AA55" s="5262"/>
      <c r="AB55" s="5261" t="s">
        <v>17</v>
      </c>
      <c r="AC55" s="5262"/>
      <c r="AD55" s="5261" t="s">
        <v>18</v>
      </c>
      <c r="AE55" s="5262"/>
      <c r="AF55" s="5261" t="s">
        <v>19</v>
      </c>
      <c r="AG55" s="5262"/>
      <c r="AH55" s="5261" t="s">
        <v>20</v>
      </c>
      <c r="AI55" s="5262"/>
      <c r="AJ55" s="5261" t="s">
        <v>21</v>
      </c>
      <c r="AK55" s="5262"/>
      <c r="AL55" s="5261" t="s">
        <v>22</v>
      </c>
      <c r="AM55" s="5262"/>
      <c r="AN55" s="5859"/>
      <c r="AO55" s="5860"/>
      <c r="AP55" s="935"/>
      <c r="AQ55" s="935"/>
      <c r="AR55" s="935"/>
      <c r="AS55" s="935"/>
      <c r="AT55" s="935"/>
      <c r="AU55" s="935"/>
      <c r="AV55" s="987"/>
      <c r="AW55" s="987"/>
      <c r="AX55" s="987"/>
      <c r="AY55" s="987"/>
      <c r="AZ55" s="987"/>
      <c r="BA55" s="987"/>
      <c r="BB55" s="987"/>
      <c r="BC55" s="987"/>
      <c r="BD55" s="987"/>
      <c r="BE55" s="983"/>
      <c r="BF55" s="983"/>
      <c r="BG55" s="983"/>
      <c r="BH55" s="983"/>
      <c r="BI55" s="983"/>
      <c r="BJ55" s="983"/>
      <c r="BK55" s="983"/>
      <c r="BL55" s="983"/>
      <c r="BM55" s="983"/>
      <c r="BN55" s="983"/>
      <c r="BO55" s="983"/>
      <c r="BP55" s="983"/>
      <c r="BQ55" s="983"/>
      <c r="BR55" s="983"/>
      <c r="BS55" s="983"/>
      <c r="BT55" s="983"/>
      <c r="BU55" s="983"/>
      <c r="BV55" s="983"/>
      <c r="BW55" s="983"/>
      <c r="BX55" s="983"/>
      <c r="BY55" s="983"/>
      <c r="BZ55" s="983"/>
      <c r="CA55" s="984"/>
      <c r="CB55" s="985"/>
      <c r="CC55" s="985"/>
      <c r="CD55" s="985"/>
      <c r="CE55" s="985"/>
      <c r="CF55" s="985"/>
      <c r="CG55" s="985"/>
      <c r="CH55" s="1023"/>
      <c r="CI55" s="1023"/>
      <c r="CJ55" s="1023"/>
      <c r="CK55" s="1023"/>
      <c r="CL55" s="1023"/>
      <c r="CM55" s="1023"/>
      <c r="CN55" s="1023"/>
      <c r="CO55" s="985"/>
      <c r="CP55" s="985"/>
      <c r="CQ55" s="985"/>
      <c r="CR55" s="985"/>
      <c r="CS55" s="985"/>
      <c r="CT55" s="985"/>
      <c r="CU55" s="985"/>
      <c r="CV55" s="985"/>
      <c r="CW55" s="985"/>
      <c r="CX55" s="985"/>
      <c r="CY55" s="985"/>
      <c r="CZ55" s="985"/>
      <c r="DA55" s="985"/>
    </row>
    <row r="56" spans="1:105" ht="32.1" customHeight="1" x14ac:dyDescent="0.25">
      <c r="A56" s="983"/>
      <c r="B56" s="5861"/>
      <c r="C56" s="4369" t="s">
        <v>184</v>
      </c>
      <c r="D56" s="4315" t="s">
        <v>24</v>
      </c>
      <c r="E56" s="4266" t="s">
        <v>25</v>
      </c>
      <c r="F56" s="4336" t="s">
        <v>24</v>
      </c>
      <c r="G56" s="4266" t="s">
        <v>25</v>
      </c>
      <c r="H56" s="4336" t="s">
        <v>24</v>
      </c>
      <c r="I56" s="4266" t="s">
        <v>25</v>
      </c>
      <c r="J56" s="4336" t="s">
        <v>24</v>
      </c>
      <c r="K56" s="4266" t="s">
        <v>25</v>
      </c>
      <c r="L56" s="4336" t="s">
        <v>24</v>
      </c>
      <c r="M56" s="4266" t="s">
        <v>25</v>
      </c>
      <c r="N56" s="4336" t="s">
        <v>24</v>
      </c>
      <c r="O56" s="4266" t="s">
        <v>25</v>
      </c>
      <c r="P56" s="4336" t="s">
        <v>24</v>
      </c>
      <c r="Q56" s="4266" t="s">
        <v>25</v>
      </c>
      <c r="R56" s="4336" t="s">
        <v>24</v>
      </c>
      <c r="S56" s="4266" t="s">
        <v>25</v>
      </c>
      <c r="T56" s="4336" t="s">
        <v>24</v>
      </c>
      <c r="U56" s="4266" t="s">
        <v>25</v>
      </c>
      <c r="V56" s="4336" t="s">
        <v>24</v>
      </c>
      <c r="W56" s="4249" t="s">
        <v>25</v>
      </c>
      <c r="X56" s="4336" t="s">
        <v>24</v>
      </c>
      <c r="Y56" s="4266" t="s">
        <v>25</v>
      </c>
      <c r="Z56" s="4336" t="s">
        <v>24</v>
      </c>
      <c r="AA56" s="4266" t="s">
        <v>25</v>
      </c>
      <c r="AB56" s="4336" t="s">
        <v>24</v>
      </c>
      <c r="AC56" s="4266" t="s">
        <v>25</v>
      </c>
      <c r="AD56" s="4336" t="s">
        <v>24</v>
      </c>
      <c r="AE56" s="4266" t="s">
        <v>25</v>
      </c>
      <c r="AF56" s="4336" t="s">
        <v>24</v>
      </c>
      <c r="AG56" s="4266" t="s">
        <v>25</v>
      </c>
      <c r="AH56" s="4336" t="s">
        <v>24</v>
      </c>
      <c r="AI56" s="4266" t="s">
        <v>25</v>
      </c>
      <c r="AJ56" s="4336" t="s">
        <v>24</v>
      </c>
      <c r="AK56" s="4266" t="s">
        <v>25</v>
      </c>
      <c r="AL56" s="4336" t="s">
        <v>24</v>
      </c>
      <c r="AM56" s="4266" t="s">
        <v>25</v>
      </c>
      <c r="AN56" s="4383" t="s">
        <v>1444</v>
      </c>
      <c r="AO56" s="4384" t="s">
        <v>1445</v>
      </c>
      <c r="AP56" s="935"/>
      <c r="AQ56" s="935"/>
      <c r="AR56" s="935"/>
      <c r="AS56" s="935"/>
      <c r="AT56" s="935"/>
      <c r="AU56" s="935"/>
      <c r="AV56" s="987"/>
      <c r="AW56" s="987"/>
      <c r="AX56" s="987"/>
      <c r="AY56" s="987"/>
      <c r="AZ56" s="987"/>
      <c r="BA56" s="987"/>
      <c r="BB56" s="987"/>
      <c r="BC56" s="987"/>
      <c r="BD56" s="987"/>
      <c r="BE56" s="983"/>
      <c r="BF56" s="983"/>
      <c r="BG56" s="983"/>
      <c r="BH56" s="983"/>
      <c r="BI56" s="983"/>
      <c r="BJ56" s="983"/>
      <c r="BK56" s="983"/>
      <c r="BL56" s="983"/>
      <c r="BM56" s="983"/>
      <c r="BN56" s="983"/>
      <c r="BO56" s="983"/>
      <c r="BP56" s="983"/>
      <c r="BQ56" s="983"/>
      <c r="BR56" s="983"/>
      <c r="BS56" s="983"/>
      <c r="BT56" s="983"/>
      <c r="BU56" s="983"/>
      <c r="BV56" s="983"/>
      <c r="BW56" s="983"/>
      <c r="BX56" s="983"/>
      <c r="BY56" s="983"/>
      <c r="BZ56" s="983"/>
      <c r="CA56" s="984"/>
      <c r="CB56" s="985"/>
      <c r="CC56" s="985"/>
      <c r="CD56" s="985"/>
      <c r="CE56" s="985"/>
      <c r="CF56" s="985"/>
      <c r="CG56" s="985"/>
      <c r="CH56" s="1023"/>
      <c r="CI56" s="1023"/>
      <c r="CJ56" s="1023"/>
      <c r="CK56" s="1023"/>
      <c r="CL56" s="1023"/>
      <c r="CM56" s="1023"/>
      <c r="CN56" s="1023"/>
      <c r="CO56" s="985"/>
      <c r="CP56" s="985"/>
      <c r="CQ56" s="985"/>
      <c r="CR56" s="985"/>
      <c r="CS56" s="985"/>
      <c r="CT56" s="985"/>
      <c r="CU56" s="985"/>
      <c r="CV56" s="985"/>
      <c r="CW56" s="985"/>
      <c r="CX56" s="985"/>
      <c r="CY56" s="985"/>
      <c r="CZ56" s="985"/>
      <c r="DA56" s="985"/>
    </row>
    <row r="57" spans="1:105" ht="16.350000000000001" customHeight="1" x14ac:dyDescent="0.25">
      <c r="A57" s="2949" t="s">
        <v>3480</v>
      </c>
      <c r="B57" s="4451" t="s">
        <v>520</v>
      </c>
      <c r="C57" s="4592" t="s">
        <v>2777</v>
      </c>
      <c r="D57" s="4593" t="s">
        <v>2778</v>
      </c>
      <c r="E57" s="4587" t="s">
        <v>2779</v>
      </c>
      <c r="F57" s="4318" t="s">
        <v>2780</v>
      </c>
      <c r="G57" s="4275" t="s">
        <v>2781</v>
      </c>
      <c r="H57" s="4318" t="s">
        <v>2782</v>
      </c>
      <c r="I57" s="4356" t="s">
        <v>2783</v>
      </c>
      <c r="J57" s="4318" t="s">
        <v>2784</v>
      </c>
      <c r="K57" s="4356" t="s">
        <v>2785</v>
      </c>
      <c r="L57" s="4318" t="s">
        <v>2786</v>
      </c>
      <c r="M57" s="4356" t="s">
        <v>2787</v>
      </c>
      <c r="N57" s="4318" t="s">
        <v>2788</v>
      </c>
      <c r="O57" s="4356" t="s">
        <v>2789</v>
      </c>
      <c r="P57" s="4318" t="s">
        <v>2790</v>
      </c>
      <c r="Q57" s="4356" t="s">
        <v>2791</v>
      </c>
      <c r="R57" s="4318" t="s">
        <v>2792</v>
      </c>
      <c r="S57" s="4356" t="s">
        <v>2793</v>
      </c>
      <c r="T57" s="4318" t="s">
        <v>2794</v>
      </c>
      <c r="U57" s="4356" t="s">
        <v>2795</v>
      </c>
      <c r="V57" s="4318" t="s">
        <v>2796</v>
      </c>
      <c r="W57" s="4320" t="s">
        <v>2797</v>
      </c>
      <c r="X57" s="4318" t="s">
        <v>2798</v>
      </c>
      <c r="Y57" s="4356" t="s">
        <v>2799</v>
      </c>
      <c r="Z57" s="4318" t="s">
        <v>2800</v>
      </c>
      <c r="AA57" s="4356" t="s">
        <v>2801</v>
      </c>
      <c r="AB57" s="4318" t="s">
        <v>2817</v>
      </c>
      <c r="AC57" s="4356" t="s">
        <v>2818</v>
      </c>
      <c r="AD57" s="4318" t="s">
        <v>2819</v>
      </c>
      <c r="AE57" s="4356" t="s">
        <v>2821</v>
      </c>
      <c r="AF57" s="4318" t="s">
        <v>2822</v>
      </c>
      <c r="AG57" s="4356" t="s">
        <v>2823</v>
      </c>
      <c r="AH57" s="4318" t="s">
        <v>2824</v>
      </c>
      <c r="AI57" s="4356" t="s">
        <v>2825</v>
      </c>
      <c r="AJ57" s="4318" t="s">
        <v>2826</v>
      </c>
      <c r="AK57" s="4356" t="s">
        <v>2827</v>
      </c>
      <c r="AL57" s="4273" t="s">
        <v>2831</v>
      </c>
      <c r="AM57" s="4356" t="s">
        <v>2832</v>
      </c>
      <c r="AN57" s="4385" t="s">
        <v>2833</v>
      </c>
      <c r="AO57" s="4594" t="s">
        <v>3733</v>
      </c>
      <c r="AP57" s="4595"/>
      <c r="AQ57" s="1058"/>
      <c r="AR57" s="1058"/>
      <c r="AS57" s="1058"/>
      <c r="AT57" s="1058"/>
      <c r="AU57" s="1058"/>
      <c r="AV57" s="1058"/>
      <c r="AW57" s="1058"/>
      <c r="AX57" s="1058"/>
      <c r="AY57" s="1058"/>
      <c r="AZ57" s="1058"/>
      <c r="BA57" s="1058"/>
      <c r="BB57" s="987"/>
      <c r="BC57" s="987"/>
      <c r="BD57" s="987"/>
      <c r="BE57" s="983"/>
      <c r="BF57" s="983"/>
      <c r="BG57" s="983"/>
      <c r="BH57" s="983"/>
      <c r="BI57" s="983"/>
      <c r="BJ57" s="983"/>
      <c r="BK57" s="983"/>
      <c r="BL57" s="983"/>
      <c r="BM57" s="983"/>
      <c r="BN57" s="983"/>
      <c r="BO57" s="983"/>
      <c r="BP57" s="983"/>
      <c r="BQ57" s="983"/>
      <c r="BR57" s="983"/>
      <c r="BS57" s="983"/>
      <c r="BT57" s="983"/>
      <c r="BU57" s="983"/>
      <c r="BV57" s="983"/>
      <c r="BW57" s="983"/>
      <c r="BX57" s="983"/>
      <c r="BY57" s="983"/>
      <c r="BZ57" s="983"/>
      <c r="CA57" t="s">
        <v>3733</v>
      </c>
      <c r="CB57" s="984" t="s">
        <v>3733</v>
      </c>
      <c r="CC57" s="985"/>
      <c r="CD57" s="985"/>
      <c r="CE57" s="985"/>
      <c r="CF57" s="985"/>
      <c r="CG57" s="985">
        <v>1</v>
      </c>
      <c r="CH57" s="1023">
        <v>0</v>
      </c>
      <c r="CI57" s="1023"/>
      <c r="CJ57" s="1023"/>
      <c r="CK57" s="1023"/>
      <c r="CL57" s="1023"/>
      <c r="CM57" s="1023"/>
      <c r="CN57" s="1023"/>
      <c r="CO57" s="985"/>
      <c r="CP57" s="985"/>
      <c r="CQ57" s="985"/>
      <c r="CR57" s="985"/>
      <c r="CS57" s="985"/>
      <c r="CT57" s="985"/>
      <c r="CU57" s="985"/>
      <c r="CV57" s="985"/>
      <c r="CW57" s="985"/>
      <c r="CX57" s="985"/>
      <c r="CY57" s="985"/>
      <c r="CZ57" s="985"/>
      <c r="DA57" s="985"/>
    </row>
    <row r="58" spans="1:105" ht="16.350000000000001" customHeight="1" x14ac:dyDescent="0.25">
      <c r="A58" s="2949" t="s">
        <v>3481</v>
      </c>
      <c r="B58" s="4237" t="s">
        <v>521</v>
      </c>
      <c r="C58" s="2885" t="s">
        <v>2777</v>
      </c>
      <c r="D58" s="2886" t="s">
        <v>2778</v>
      </c>
      <c r="E58" s="4234" t="s">
        <v>2779</v>
      </c>
      <c r="F58" s="141" t="s">
        <v>2780</v>
      </c>
      <c r="G58" s="198" t="s">
        <v>2781</v>
      </c>
      <c r="H58" s="141" t="s">
        <v>2782</v>
      </c>
      <c r="I58" s="163" t="s">
        <v>2783</v>
      </c>
      <c r="J58" s="141" t="s">
        <v>2784</v>
      </c>
      <c r="K58" s="163" t="s">
        <v>2785</v>
      </c>
      <c r="L58" s="141" t="s">
        <v>2786</v>
      </c>
      <c r="M58" s="163" t="s">
        <v>2787</v>
      </c>
      <c r="N58" s="141" t="s">
        <v>2788</v>
      </c>
      <c r="O58" s="163" t="s">
        <v>2789</v>
      </c>
      <c r="P58" s="141" t="s">
        <v>2790</v>
      </c>
      <c r="Q58" s="163" t="s">
        <v>2791</v>
      </c>
      <c r="R58" s="141" t="s">
        <v>2792</v>
      </c>
      <c r="S58" s="163" t="s">
        <v>2793</v>
      </c>
      <c r="T58" s="141" t="s">
        <v>2794</v>
      </c>
      <c r="U58" s="163" t="s">
        <v>2795</v>
      </c>
      <c r="V58" s="141" t="s">
        <v>2796</v>
      </c>
      <c r="W58" s="247" t="s">
        <v>2797</v>
      </c>
      <c r="X58" s="141" t="s">
        <v>2798</v>
      </c>
      <c r="Y58" s="163" t="s">
        <v>2799</v>
      </c>
      <c r="Z58" s="141" t="s">
        <v>2800</v>
      </c>
      <c r="AA58" s="163" t="s">
        <v>2801</v>
      </c>
      <c r="AB58" s="141" t="s">
        <v>2817</v>
      </c>
      <c r="AC58" s="163" t="s">
        <v>2818</v>
      </c>
      <c r="AD58" s="141" t="s">
        <v>2819</v>
      </c>
      <c r="AE58" s="163" t="s">
        <v>2821</v>
      </c>
      <c r="AF58" s="141" t="s">
        <v>2822</v>
      </c>
      <c r="AG58" s="163" t="s">
        <v>2823</v>
      </c>
      <c r="AH58" s="141" t="s">
        <v>2824</v>
      </c>
      <c r="AI58" s="163" t="s">
        <v>2825</v>
      </c>
      <c r="AJ58" s="141" t="s">
        <v>2826</v>
      </c>
      <c r="AK58" s="163" t="s">
        <v>2827</v>
      </c>
      <c r="AL58" s="224" t="s">
        <v>2831</v>
      </c>
      <c r="AM58" s="163" t="s">
        <v>2832</v>
      </c>
      <c r="AN58" s="840" t="s">
        <v>2833</v>
      </c>
      <c r="AO58" s="838" t="s">
        <v>2834</v>
      </c>
      <c r="AP58" s="2269"/>
      <c r="AQ58" s="1058"/>
      <c r="AR58" s="1058"/>
      <c r="AS58" s="1058"/>
      <c r="AT58" s="1058"/>
      <c r="AU58" s="1058"/>
      <c r="AV58" s="1058"/>
      <c r="AW58" s="1058"/>
      <c r="AX58" s="1058"/>
      <c r="AY58" s="1058"/>
      <c r="AZ58" s="1058"/>
      <c r="BA58" s="1058"/>
      <c r="BB58" s="987"/>
      <c r="BC58" s="987"/>
      <c r="BD58" s="987"/>
      <c r="BE58" s="983"/>
      <c r="BF58" s="983"/>
      <c r="BG58" s="983"/>
      <c r="BH58" s="983"/>
      <c r="BI58" s="983"/>
      <c r="BJ58" s="983"/>
      <c r="BK58" s="983"/>
      <c r="BL58" s="983"/>
      <c r="BM58" s="983"/>
      <c r="BN58" s="983"/>
      <c r="BO58" s="983"/>
      <c r="BP58" s="983"/>
      <c r="BQ58" s="983"/>
      <c r="BR58" s="983"/>
      <c r="BS58" s="983"/>
      <c r="BT58" s="983"/>
      <c r="BU58" s="983"/>
      <c r="BV58" s="983"/>
      <c r="BW58" s="983"/>
      <c r="BX58" s="983"/>
      <c r="BY58" s="983"/>
      <c r="BZ58" s="983"/>
      <c r="CA58" s="984"/>
      <c r="CB58" s="985"/>
      <c r="CC58" s="985"/>
      <c r="CD58" s="985"/>
      <c r="CE58" s="985"/>
      <c r="CF58" s="985"/>
      <c r="CG58" s="985"/>
      <c r="CH58" s="1023">
        <v>0</v>
      </c>
      <c r="CI58" s="1023"/>
      <c r="CJ58" s="1023"/>
      <c r="CK58" s="1023"/>
      <c r="CL58" s="1023"/>
      <c r="CM58" s="1023"/>
      <c r="CN58" s="1023"/>
      <c r="CO58" s="985"/>
      <c r="CP58" s="985"/>
      <c r="CQ58" s="985"/>
      <c r="CR58" s="985"/>
      <c r="CS58" s="985"/>
      <c r="CT58" s="985"/>
      <c r="CU58" s="985"/>
      <c r="CV58" s="985"/>
      <c r="CW58" s="985"/>
      <c r="CX58" s="985"/>
      <c r="CY58" s="985"/>
      <c r="CZ58" s="985"/>
      <c r="DA58" s="985"/>
    </row>
    <row r="59" spans="1:105" ht="16.350000000000001" customHeight="1" x14ac:dyDescent="0.25">
      <c r="A59" s="2949" t="s">
        <v>3482</v>
      </c>
      <c r="B59" s="468" t="s">
        <v>522</v>
      </c>
      <c r="C59" s="2885" t="s">
        <v>2777</v>
      </c>
      <c r="D59" s="2886" t="s">
        <v>2778</v>
      </c>
      <c r="E59" s="4234" t="s">
        <v>2779</v>
      </c>
      <c r="F59" s="141" t="s">
        <v>2780</v>
      </c>
      <c r="G59" s="198" t="s">
        <v>2781</v>
      </c>
      <c r="H59" s="141" t="s">
        <v>2782</v>
      </c>
      <c r="I59" s="163" t="s">
        <v>2783</v>
      </c>
      <c r="J59" s="141" t="s">
        <v>2784</v>
      </c>
      <c r="K59" s="163" t="s">
        <v>2785</v>
      </c>
      <c r="L59" s="141" t="s">
        <v>2786</v>
      </c>
      <c r="M59" s="163" t="s">
        <v>2787</v>
      </c>
      <c r="N59" s="141" t="s">
        <v>2788</v>
      </c>
      <c r="O59" s="163" t="s">
        <v>2789</v>
      </c>
      <c r="P59" s="141" t="s">
        <v>2790</v>
      </c>
      <c r="Q59" s="163" t="s">
        <v>2791</v>
      </c>
      <c r="R59" s="141" t="s">
        <v>2792</v>
      </c>
      <c r="S59" s="163" t="s">
        <v>2793</v>
      </c>
      <c r="T59" s="141" t="s">
        <v>2794</v>
      </c>
      <c r="U59" s="163" t="s">
        <v>2795</v>
      </c>
      <c r="V59" s="141" t="s">
        <v>2796</v>
      </c>
      <c r="W59" s="247" t="s">
        <v>2797</v>
      </c>
      <c r="X59" s="141" t="s">
        <v>2798</v>
      </c>
      <c r="Y59" s="163" t="s">
        <v>2799</v>
      </c>
      <c r="Z59" s="141" t="s">
        <v>2800</v>
      </c>
      <c r="AA59" s="163" t="s">
        <v>2801</v>
      </c>
      <c r="AB59" s="141" t="s">
        <v>2817</v>
      </c>
      <c r="AC59" s="163" t="s">
        <v>2818</v>
      </c>
      <c r="AD59" s="141" t="s">
        <v>2819</v>
      </c>
      <c r="AE59" s="163" t="s">
        <v>2821</v>
      </c>
      <c r="AF59" s="141" t="s">
        <v>2822</v>
      </c>
      <c r="AG59" s="163" t="s">
        <v>2823</v>
      </c>
      <c r="AH59" s="141" t="s">
        <v>2824</v>
      </c>
      <c r="AI59" s="163" t="s">
        <v>2825</v>
      </c>
      <c r="AJ59" s="141" t="s">
        <v>2826</v>
      </c>
      <c r="AK59" s="163" t="s">
        <v>2827</v>
      </c>
      <c r="AL59" s="224" t="s">
        <v>2831</v>
      </c>
      <c r="AM59" s="163" t="s">
        <v>2832</v>
      </c>
      <c r="AN59" s="840" t="s">
        <v>2833</v>
      </c>
      <c r="AO59" s="838" t="s">
        <v>2834</v>
      </c>
      <c r="AP59" s="2269"/>
      <c r="AQ59" s="1058"/>
      <c r="AR59" s="1058"/>
      <c r="AS59" s="1058"/>
      <c r="AT59" s="1058"/>
      <c r="AU59" s="1058"/>
      <c r="AV59" s="1058"/>
      <c r="AW59" s="1058"/>
      <c r="AX59" s="1058"/>
      <c r="AY59" s="1058"/>
      <c r="AZ59" s="1058"/>
      <c r="BA59" s="1058"/>
      <c r="BB59" s="987"/>
      <c r="BC59" s="987"/>
      <c r="BD59" s="987"/>
      <c r="BE59" s="983"/>
      <c r="BF59" s="983"/>
      <c r="BG59" s="983"/>
      <c r="BH59" s="983"/>
      <c r="BI59" s="983"/>
      <c r="BJ59" s="983"/>
      <c r="BK59" s="983"/>
      <c r="BL59" s="983"/>
      <c r="BM59" s="983"/>
      <c r="BN59" s="983"/>
      <c r="BO59" s="983"/>
      <c r="BP59" s="983"/>
      <c r="BQ59" s="983"/>
      <c r="BR59" s="983"/>
      <c r="BS59" s="983"/>
      <c r="BT59" s="983"/>
      <c r="BU59" s="983"/>
      <c r="BV59" s="983"/>
      <c r="BW59" s="983"/>
      <c r="BX59" s="983"/>
      <c r="BY59" s="983"/>
      <c r="BZ59" s="983"/>
      <c r="CA59" s="984"/>
      <c r="CB59" s="985"/>
      <c r="CC59" s="985"/>
      <c r="CD59" s="985"/>
      <c r="CE59" s="985"/>
      <c r="CF59" s="985"/>
      <c r="CG59" s="985"/>
      <c r="CH59" s="1023">
        <v>0</v>
      </c>
      <c r="CI59" s="1023"/>
      <c r="CJ59" s="1023"/>
      <c r="CK59" s="1023"/>
      <c r="CL59" s="1023"/>
      <c r="CM59" s="1023"/>
      <c r="CN59" s="1023"/>
      <c r="CO59" s="985"/>
      <c r="CP59" s="985"/>
      <c r="CQ59" s="985"/>
      <c r="CR59" s="985"/>
      <c r="CS59" s="985"/>
      <c r="CT59" s="985"/>
      <c r="CU59" s="985"/>
      <c r="CV59" s="985"/>
      <c r="CW59" s="985"/>
      <c r="CX59" s="985"/>
      <c r="CY59" s="985"/>
      <c r="CZ59" s="985"/>
      <c r="DA59" s="985"/>
    </row>
    <row r="60" spans="1:105" ht="16.350000000000001" customHeight="1" x14ac:dyDescent="0.25">
      <c r="A60" s="2949" t="s">
        <v>3483</v>
      </c>
      <c r="B60" s="468" t="s">
        <v>523</v>
      </c>
      <c r="C60" s="2885" t="s">
        <v>2777</v>
      </c>
      <c r="D60" s="2886" t="s">
        <v>2778</v>
      </c>
      <c r="E60" s="4234" t="s">
        <v>2779</v>
      </c>
      <c r="F60" s="141" t="s">
        <v>2780</v>
      </c>
      <c r="G60" s="198" t="s">
        <v>2781</v>
      </c>
      <c r="H60" s="141" t="s">
        <v>2782</v>
      </c>
      <c r="I60" s="163" t="s">
        <v>2783</v>
      </c>
      <c r="J60" s="141" t="s">
        <v>2784</v>
      </c>
      <c r="K60" s="163" t="s">
        <v>2785</v>
      </c>
      <c r="L60" s="141" t="s">
        <v>2786</v>
      </c>
      <c r="M60" s="163" t="s">
        <v>2787</v>
      </c>
      <c r="N60" s="141" t="s">
        <v>2788</v>
      </c>
      <c r="O60" s="163" t="s">
        <v>2789</v>
      </c>
      <c r="P60" s="141" t="s">
        <v>2790</v>
      </c>
      <c r="Q60" s="163" t="s">
        <v>2791</v>
      </c>
      <c r="R60" s="141" t="s">
        <v>2792</v>
      </c>
      <c r="S60" s="163" t="s">
        <v>2793</v>
      </c>
      <c r="T60" s="141" t="s">
        <v>2794</v>
      </c>
      <c r="U60" s="163" t="s">
        <v>2795</v>
      </c>
      <c r="V60" s="141" t="s">
        <v>2796</v>
      </c>
      <c r="W60" s="247" t="s">
        <v>2797</v>
      </c>
      <c r="X60" s="141" t="s">
        <v>2798</v>
      </c>
      <c r="Y60" s="163" t="s">
        <v>2799</v>
      </c>
      <c r="Z60" s="141" t="s">
        <v>2800</v>
      </c>
      <c r="AA60" s="163" t="s">
        <v>2801</v>
      </c>
      <c r="AB60" s="141" t="s">
        <v>2817</v>
      </c>
      <c r="AC60" s="163" t="s">
        <v>2818</v>
      </c>
      <c r="AD60" s="141" t="s">
        <v>2819</v>
      </c>
      <c r="AE60" s="163" t="s">
        <v>2821</v>
      </c>
      <c r="AF60" s="141" t="s">
        <v>2822</v>
      </c>
      <c r="AG60" s="163" t="s">
        <v>2823</v>
      </c>
      <c r="AH60" s="141" t="s">
        <v>2824</v>
      </c>
      <c r="AI60" s="163" t="s">
        <v>2825</v>
      </c>
      <c r="AJ60" s="141" t="s">
        <v>2826</v>
      </c>
      <c r="AK60" s="163" t="s">
        <v>2827</v>
      </c>
      <c r="AL60" s="224" t="s">
        <v>2831</v>
      </c>
      <c r="AM60" s="163" t="s">
        <v>2832</v>
      </c>
      <c r="AN60" s="840" t="s">
        <v>2833</v>
      </c>
      <c r="AO60" s="838" t="s">
        <v>2834</v>
      </c>
      <c r="AP60" s="2269"/>
      <c r="AQ60" s="1058"/>
      <c r="AR60" s="1058"/>
      <c r="AS60" s="1058"/>
      <c r="AT60" s="1058"/>
      <c r="AU60" s="1058"/>
      <c r="AV60" s="1058"/>
      <c r="AW60" s="1058"/>
      <c r="AX60" s="1058"/>
      <c r="AY60" s="1058"/>
      <c r="AZ60" s="1058"/>
      <c r="BA60" s="1058"/>
      <c r="BB60" s="987"/>
      <c r="BC60" s="987"/>
      <c r="BD60" s="987"/>
      <c r="BE60" s="983"/>
      <c r="BF60" s="983"/>
      <c r="BG60" s="983"/>
      <c r="BH60" s="983"/>
      <c r="BI60" s="983"/>
      <c r="BJ60" s="983"/>
      <c r="BK60" s="983"/>
      <c r="BL60" s="983"/>
      <c r="BM60" s="983"/>
      <c r="BN60" s="983"/>
      <c r="BO60" s="983"/>
      <c r="BP60" s="983"/>
      <c r="BQ60" s="983"/>
      <c r="BR60" s="983"/>
      <c r="BS60" s="983"/>
      <c r="BT60" s="983"/>
      <c r="BU60" s="983"/>
      <c r="BV60" s="983"/>
      <c r="BW60" s="983"/>
      <c r="BX60" s="983"/>
      <c r="BY60" s="983"/>
      <c r="BZ60" s="983"/>
      <c r="CA60" s="984"/>
      <c r="CB60" s="985"/>
      <c r="CC60" s="985"/>
      <c r="CD60" s="985"/>
      <c r="CE60" s="985"/>
      <c r="CF60" s="985"/>
      <c r="CG60" s="985"/>
      <c r="CH60" s="1023">
        <v>0</v>
      </c>
      <c r="CI60" s="1023"/>
      <c r="CJ60" s="1023"/>
      <c r="CK60" s="1023"/>
      <c r="CL60" s="1023"/>
      <c r="CM60" s="1023"/>
      <c r="CN60" s="1023"/>
      <c r="CO60" s="985"/>
      <c r="CP60" s="985"/>
      <c r="CQ60" s="985"/>
      <c r="CR60" s="985"/>
      <c r="CS60" s="985"/>
      <c r="CT60" s="985"/>
      <c r="CU60" s="985"/>
      <c r="CV60" s="985"/>
      <c r="CW60" s="985"/>
      <c r="CX60" s="985"/>
      <c r="CY60" s="985"/>
      <c r="CZ60" s="985"/>
      <c r="DA60" s="985"/>
    </row>
    <row r="61" spans="1:105" ht="16.350000000000001" customHeight="1" x14ac:dyDescent="0.25">
      <c r="A61" s="2949" t="s">
        <v>3484</v>
      </c>
      <c r="B61" s="2993" t="s">
        <v>524</v>
      </c>
      <c r="C61" s="2889" t="s">
        <v>2777</v>
      </c>
      <c r="D61" s="2890" t="s">
        <v>2778</v>
      </c>
      <c r="E61" s="4243" t="s">
        <v>2779</v>
      </c>
      <c r="F61" s="2245" t="s">
        <v>2780</v>
      </c>
      <c r="G61" s="240" t="s">
        <v>2781</v>
      </c>
      <c r="H61" s="2245" t="s">
        <v>2782</v>
      </c>
      <c r="I61" s="183" t="s">
        <v>2783</v>
      </c>
      <c r="J61" s="2245" t="s">
        <v>2784</v>
      </c>
      <c r="K61" s="183" t="s">
        <v>2785</v>
      </c>
      <c r="L61" s="2245" t="s">
        <v>2786</v>
      </c>
      <c r="M61" s="183" t="s">
        <v>2787</v>
      </c>
      <c r="N61" s="2245" t="s">
        <v>2788</v>
      </c>
      <c r="O61" s="183" t="s">
        <v>2789</v>
      </c>
      <c r="P61" s="2245" t="s">
        <v>2790</v>
      </c>
      <c r="Q61" s="183" t="s">
        <v>2791</v>
      </c>
      <c r="R61" s="2245" t="s">
        <v>2792</v>
      </c>
      <c r="S61" s="183" t="s">
        <v>2793</v>
      </c>
      <c r="T61" s="2245" t="s">
        <v>2794</v>
      </c>
      <c r="U61" s="183" t="s">
        <v>2795</v>
      </c>
      <c r="V61" s="2245" t="s">
        <v>2796</v>
      </c>
      <c r="W61" s="147" t="s">
        <v>2797</v>
      </c>
      <c r="X61" s="2245" t="s">
        <v>2798</v>
      </c>
      <c r="Y61" s="183" t="s">
        <v>2799</v>
      </c>
      <c r="Z61" s="2245" t="s">
        <v>2800</v>
      </c>
      <c r="AA61" s="183" t="s">
        <v>2801</v>
      </c>
      <c r="AB61" s="2245" t="s">
        <v>2817</v>
      </c>
      <c r="AC61" s="183" t="s">
        <v>2818</v>
      </c>
      <c r="AD61" s="2245" t="s">
        <v>2819</v>
      </c>
      <c r="AE61" s="183" t="s">
        <v>2821</v>
      </c>
      <c r="AF61" s="2245" t="s">
        <v>2822</v>
      </c>
      <c r="AG61" s="183" t="s">
        <v>2823</v>
      </c>
      <c r="AH61" s="2245" t="s">
        <v>2824</v>
      </c>
      <c r="AI61" s="183" t="s">
        <v>2825</v>
      </c>
      <c r="AJ61" s="2245" t="s">
        <v>2826</v>
      </c>
      <c r="AK61" s="183" t="s">
        <v>2827</v>
      </c>
      <c r="AL61" s="2246" t="s">
        <v>2831</v>
      </c>
      <c r="AM61" s="183" t="s">
        <v>2832</v>
      </c>
      <c r="AN61" s="2994" t="s">
        <v>2833</v>
      </c>
      <c r="AO61" s="811" t="s">
        <v>2834</v>
      </c>
      <c r="AP61" s="2269"/>
      <c r="AQ61" s="1058"/>
      <c r="AR61" s="1058"/>
      <c r="AS61" s="1058"/>
      <c r="AT61" s="1058"/>
      <c r="AU61" s="1058"/>
      <c r="AV61" s="1058"/>
      <c r="AW61" s="1058"/>
      <c r="AX61" s="1058"/>
      <c r="AY61" s="1058"/>
      <c r="AZ61" s="1058"/>
      <c r="BA61" s="1058"/>
      <c r="BB61" s="987"/>
      <c r="BC61" s="987"/>
      <c r="BD61" s="987"/>
      <c r="BE61" s="983"/>
      <c r="BF61" s="983"/>
      <c r="BG61" s="983"/>
      <c r="BH61" s="983"/>
      <c r="BI61" s="983"/>
      <c r="BJ61" s="983"/>
      <c r="BK61" s="983"/>
      <c r="BL61" s="983"/>
      <c r="BM61" s="983"/>
      <c r="BN61" s="983"/>
      <c r="BO61" s="983"/>
      <c r="BP61" s="983"/>
      <c r="BQ61" s="983"/>
      <c r="BR61" s="983"/>
      <c r="BS61" s="983"/>
      <c r="BT61" s="983"/>
      <c r="BU61" s="983"/>
      <c r="BV61" s="983"/>
      <c r="BW61" s="983"/>
      <c r="BX61" s="983"/>
      <c r="BY61" s="983"/>
      <c r="BZ61" s="983"/>
      <c r="CA61" s="984"/>
      <c r="CB61" s="985"/>
      <c r="CC61" s="985"/>
      <c r="CD61" s="985"/>
      <c r="CE61" s="985"/>
      <c r="CF61" s="985"/>
      <c r="CG61" s="985"/>
      <c r="CH61" s="1023">
        <v>0</v>
      </c>
      <c r="CI61" s="1023"/>
      <c r="CJ61" s="1023"/>
      <c r="CK61" s="1023"/>
      <c r="CL61" s="1023"/>
      <c r="CM61" s="1023"/>
      <c r="CN61" s="1023"/>
      <c r="CO61" s="985"/>
      <c r="CP61" s="985"/>
      <c r="CQ61" s="985"/>
      <c r="CR61" s="985"/>
      <c r="CS61" s="985"/>
      <c r="CT61" s="985"/>
      <c r="CU61" s="985"/>
      <c r="CV61" s="985"/>
      <c r="CW61" s="985"/>
      <c r="CX61" s="985"/>
      <c r="CY61" s="985"/>
      <c r="CZ61" s="985"/>
      <c r="DA61" s="985"/>
    </row>
    <row r="62" spans="1:105" ht="16.350000000000001" customHeight="1" x14ac:dyDescent="0.25">
      <c r="A62" s="2949" t="s">
        <v>3485</v>
      </c>
      <c r="B62" s="469" t="s">
        <v>525</v>
      </c>
      <c r="C62" s="2887" t="s">
        <v>2777</v>
      </c>
      <c r="D62" s="2888" t="s">
        <v>2778</v>
      </c>
      <c r="E62" s="4233" t="s">
        <v>2779</v>
      </c>
      <c r="F62" s="166" t="s">
        <v>2780</v>
      </c>
      <c r="G62" s="168" t="s">
        <v>2781</v>
      </c>
      <c r="H62" s="166" t="s">
        <v>2782</v>
      </c>
      <c r="I62" s="125" t="s">
        <v>2783</v>
      </c>
      <c r="J62" s="166" t="s">
        <v>2784</v>
      </c>
      <c r="K62" s="125" t="s">
        <v>2785</v>
      </c>
      <c r="L62" s="166" t="s">
        <v>2786</v>
      </c>
      <c r="M62" s="125" t="s">
        <v>2787</v>
      </c>
      <c r="N62" s="166" t="s">
        <v>2788</v>
      </c>
      <c r="O62" s="125" t="s">
        <v>2789</v>
      </c>
      <c r="P62" s="166" t="s">
        <v>2790</v>
      </c>
      <c r="Q62" s="125" t="s">
        <v>2791</v>
      </c>
      <c r="R62" s="166" t="s">
        <v>2792</v>
      </c>
      <c r="S62" s="125" t="s">
        <v>2793</v>
      </c>
      <c r="T62" s="166" t="s">
        <v>2794</v>
      </c>
      <c r="U62" s="125" t="s">
        <v>2795</v>
      </c>
      <c r="V62" s="166" t="s">
        <v>2796</v>
      </c>
      <c r="W62" s="270" t="s">
        <v>2797</v>
      </c>
      <c r="X62" s="166" t="s">
        <v>2798</v>
      </c>
      <c r="Y62" s="125" t="s">
        <v>2799</v>
      </c>
      <c r="Z62" s="166" t="s">
        <v>2800</v>
      </c>
      <c r="AA62" s="125" t="s">
        <v>2801</v>
      </c>
      <c r="AB62" s="166" t="s">
        <v>2817</v>
      </c>
      <c r="AC62" s="125" t="s">
        <v>2818</v>
      </c>
      <c r="AD62" s="166" t="s">
        <v>2819</v>
      </c>
      <c r="AE62" s="125" t="s">
        <v>2821</v>
      </c>
      <c r="AF62" s="166" t="s">
        <v>2822</v>
      </c>
      <c r="AG62" s="125" t="s">
        <v>2823</v>
      </c>
      <c r="AH62" s="166" t="s">
        <v>2824</v>
      </c>
      <c r="AI62" s="125" t="s">
        <v>2825</v>
      </c>
      <c r="AJ62" s="166" t="s">
        <v>2826</v>
      </c>
      <c r="AK62" s="125" t="s">
        <v>2827</v>
      </c>
      <c r="AL62" s="227" t="s">
        <v>2831</v>
      </c>
      <c r="AM62" s="125" t="s">
        <v>2832</v>
      </c>
      <c r="AN62" s="103" t="s">
        <v>2833</v>
      </c>
      <c r="AO62" s="103" t="s">
        <v>2834</v>
      </c>
      <c r="AP62" s="2269"/>
      <c r="AQ62" s="1058"/>
      <c r="AR62" s="1058"/>
      <c r="AS62" s="1058"/>
      <c r="AT62" s="1058"/>
      <c r="AU62" s="1058"/>
      <c r="AV62" s="1058"/>
      <c r="AW62" s="1058"/>
      <c r="AX62" s="1058"/>
      <c r="AY62" s="1058"/>
      <c r="AZ62" s="1058"/>
      <c r="BA62" s="1058"/>
      <c r="BB62" s="987"/>
      <c r="BC62" s="987"/>
      <c r="BD62" s="987"/>
      <c r="BE62" s="983"/>
      <c r="BF62" s="983"/>
      <c r="BG62" s="983"/>
      <c r="BH62" s="983"/>
      <c r="BI62" s="983"/>
      <c r="BJ62" s="983"/>
      <c r="BK62" s="983"/>
      <c r="BL62" s="983"/>
      <c r="BM62" s="983"/>
      <c r="BN62" s="983"/>
      <c r="BO62" s="983"/>
      <c r="BP62" s="983"/>
      <c r="BQ62" s="983"/>
      <c r="BR62" s="983"/>
      <c r="BS62" s="983"/>
      <c r="BT62" s="983"/>
      <c r="BU62" s="983"/>
      <c r="BV62" s="983"/>
      <c r="BW62" s="983"/>
      <c r="BX62" s="983"/>
      <c r="BY62" s="983"/>
      <c r="BZ62" s="983"/>
      <c r="CA62" s="984"/>
      <c r="CB62" s="985"/>
      <c r="CC62" s="985"/>
      <c r="CD62" s="985"/>
      <c r="CE62" s="985"/>
      <c r="CF62" s="985"/>
      <c r="CG62" s="985"/>
      <c r="CH62" s="1023">
        <v>0</v>
      </c>
      <c r="CI62" s="1023"/>
      <c r="CJ62" s="1023"/>
      <c r="CK62" s="1023"/>
      <c r="CL62" s="1023"/>
      <c r="CM62" s="1023"/>
      <c r="CN62" s="1023"/>
      <c r="CO62" s="985"/>
      <c r="CP62" s="985"/>
      <c r="CQ62" s="985"/>
      <c r="CR62" s="985"/>
      <c r="CS62" s="985"/>
      <c r="CT62" s="985"/>
      <c r="CU62" s="985"/>
      <c r="CV62" s="985"/>
      <c r="CW62" s="985"/>
      <c r="CX62" s="985"/>
      <c r="CY62" s="985"/>
      <c r="CZ62" s="985"/>
      <c r="DA62" s="985"/>
    </row>
    <row r="63" spans="1:105" ht="16.350000000000001" customHeight="1" x14ac:dyDescent="0.25">
      <c r="A63" s="2995"/>
      <c r="B63" s="4265" t="s">
        <v>42</v>
      </c>
      <c r="C63" s="4386">
        <f t="shared" ref="C63:AM63" si="0">SUM(C57:C62)</f>
        <v>0</v>
      </c>
      <c r="D63" s="4387">
        <f t="shared" si="0"/>
        <v>0</v>
      </c>
      <c r="E63" s="4388">
        <f t="shared" si="0"/>
        <v>0</v>
      </c>
      <c r="F63" s="4389">
        <f t="shared" si="0"/>
        <v>0</v>
      </c>
      <c r="G63" s="4390">
        <f t="shared" si="0"/>
        <v>0</v>
      </c>
      <c r="H63" s="4389">
        <f t="shared" si="0"/>
        <v>0</v>
      </c>
      <c r="I63" s="4391">
        <f t="shared" si="0"/>
        <v>0</v>
      </c>
      <c r="J63" s="4389">
        <f t="shared" si="0"/>
        <v>0</v>
      </c>
      <c r="K63" s="4391">
        <f t="shared" si="0"/>
        <v>0</v>
      </c>
      <c r="L63" s="4389">
        <f t="shared" si="0"/>
        <v>0</v>
      </c>
      <c r="M63" s="4391">
        <f t="shared" si="0"/>
        <v>0</v>
      </c>
      <c r="N63" s="4389">
        <f t="shared" si="0"/>
        <v>0</v>
      </c>
      <c r="O63" s="4391">
        <f t="shared" si="0"/>
        <v>0</v>
      </c>
      <c r="P63" s="4389">
        <f t="shared" si="0"/>
        <v>0</v>
      </c>
      <c r="Q63" s="4391">
        <f t="shared" si="0"/>
        <v>0</v>
      </c>
      <c r="R63" s="4389">
        <f t="shared" si="0"/>
        <v>0</v>
      </c>
      <c r="S63" s="4391">
        <f t="shared" si="0"/>
        <v>0</v>
      </c>
      <c r="T63" s="4389">
        <f t="shared" si="0"/>
        <v>0</v>
      </c>
      <c r="U63" s="4391">
        <f t="shared" si="0"/>
        <v>0</v>
      </c>
      <c r="V63" s="4392">
        <f t="shared" si="0"/>
        <v>0</v>
      </c>
      <c r="W63" s="4393">
        <f t="shared" si="0"/>
        <v>0</v>
      </c>
      <c r="X63" s="4389">
        <f t="shared" si="0"/>
        <v>0</v>
      </c>
      <c r="Y63" s="4391">
        <f t="shared" si="0"/>
        <v>0</v>
      </c>
      <c r="Z63" s="4389">
        <f t="shared" si="0"/>
        <v>0</v>
      </c>
      <c r="AA63" s="4391">
        <f t="shared" si="0"/>
        <v>0</v>
      </c>
      <c r="AB63" s="4389">
        <f t="shared" si="0"/>
        <v>0</v>
      </c>
      <c r="AC63" s="4391">
        <f t="shared" si="0"/>
        <v>0</v>
      </c>
      <c r="AD63" s="4389">
        <f t="shared" si="0"/>
        <v>0</v>
      </c>
      <c r="AE63" s="4391">
        <f t="shared" si="0"/>
        <v>0</v>
      </c>
      <c r="AF63" s="4389">
        <f t="shared" si="0"/>
        <v>0</v>
      </c>
      <c r="AG63" s="4391">
        <f t="shared" si="0"/>
        <v>0</v>
      </c>
      <c r="AH63" s="4389">
        <f t="shared" si="0"/>
        <v>0</v>
      </c>
      <c r="AI63" s="4391">
        <f t="shared" si="0"/>
        <v>0</v>
      </c>
      <c r="AJ63" s="4389">
        <f t="shared" si="0"/>
        <v>0</v>
      </c>
      <c r="AK63" s="4391">
        <f t="shared" si="0"/>
        <v>0</v>
      </c>
      <c r="AL63" s="4394">
        <f t="shared" si="0"/>
        <v>0</v>
      </c>
      <c r="AM63" s="4391">
        <f t="shared" si="0"/>
        <v>0</v>
      </c>
      <c r="AN63" s="4395">
        <f>SUM(AN57:AN61)</f>
        <v>0</v>
      </c>
      <c r="AO63" s="4396">
        <f>SUM(AO57:AO61)</f>
        <v>0</v>
      </c>
      <c r="AP63" s="1173"/>
      <c r="AQ63" s="935"/>
      <c r="AR63" s="935"/>
      <c r="AS63" s="935"/>
      <c r="AT63" s="935"/>
      <c r="AU63" s="935"/>
      <c r="AV63" s="935"/>
      <c r="AW63" s="935"/>
      <c r="AX63" s="935"/>
      <c r="AY63" s="935"/>
      <c r="AZ63" s="935"/>
      <c r="BA63" s="935"/>
      <c r="BB63" s="935"/>
      <c r="BC63" s="935"/>
      <c r="BD63" s="935"/>
      <c r="BE63" s="331"/>
      <c r="BF63" s="331"/>
      <c r="BG63" s="983"/>
      <c r="BH63" s="983"/>
      <c r="BI63" s="983"/>
      <c r="BJ63" s="983"/>
      <c r="BK63" s="983"/>
      <c r="BL63" s="983"/>
      <c r="BM63" s="983"/>
      <c r="BN63" s="983"/>
      <c r="BO63" s="983"/>
      <c r="BP63" s="983"/>
      <c r="BQ63" s="983"/>
      <c r="BR63" s="983"/>
      <c r="BS63" s="983"/>
      <c r="BT63" s="983"/>
      <c r="BU63" s="983"/>
      <c r="BV63" s="983"/>
      <c r="BW63" s="983"/>
      <c r="BX63" s="983"/>
      <c r="BY63" s="983"/>
      <c r="BZ63" s="983"/>
      <c r="CA63" s="984"/>
      <c r="CB63" s="985"/>
      <c r="CC63" s="985"/>
      <c r="CD63" s="985"/>
      <c r="CE63" s="985"/>
      <c r="CF63" s="985"/>
      <c r="CG63" s="985"/>
      <c r="CH63" s="1023"/>
      <c r="CI63" s="1023"/>
      <c r="CJ63" s="1023"/>
      <c r="CK63" s="1023"/>
      <c r="CL63" s="1023"/>
      <c r="CM63" s="1023"/>
      <c r="CN63" s="1023"/>
      <c r="CO63" s="985"/>
      <c r="CP63" s="985"/>
      <c r="CQ63" s="985"/>
      <c r="CR63" s="985"/>
      <c r="CS63" s="985"/>
      <c r="CT63" s="985"/>
      <c r="CU63" s="985"/>
      <c r="CV63" s="985"/>
      <c r="CW63" s="985"/>
      <c r="CX63" s="985"/>
      <c r="CY63" s="985"/>
      <c r="CZ63" s="985"/>
      <c r="DA63" s="985"/>
    </row>
    <row r="64" spans="1:105" ht="32.1" customHeight="1" x14ac:dyDescent="0.25">
      <c r="A64" s="983"/>
      <c r="B64" s="4382" t="s">
        <v>526</v>
      </c>
      <c r="C64" s="4397"/>
      <c r="D64" s="4397"/>
      <c r="E64" s="4397"/>
      <c r="F64" s="4397"/>
      <c r="G64" s="4398"/>
      <c r="H64" s="4398"/>
      <c r="I64" s="4398"/>
      <c r="J64" s="85"/>
      <c r="K64" s="85"/>
      <c r="L64" s="85"/>
      <c r="M64" s="85"/>
      <c r="N64" s="85"/>
      <c r="O64" s="85"/>
      <c r="P64" s="85"/>
      <c r="Q64" s="190"/>
      <c r="R64" s="190"/>
      <c r="S64" s="190"/>
      <c r="T64" s="190"/>
      <c r="U64" s="190"/>
      <c r="V64" s="190"/>
      <c r="W64" s="190"/>
      <c r="X64" s="190"/>
      <c r="Y64" s="190"/>
      <c r="Z64" s="190"/>
      <c r="AA64" s="983"/>
      <c r="AB64" s="983"/>
      <c r="AC64" s="983"/>
      <c r="AD64" s="983"/>
      <c r="AE64" s="983"/>
      <c r="AF64" s="983"/>
      <c r="AG64" s="983"/>
      <c r="AH64" s="983"/>
      <c r="AI64" s="983"/>
      <c r="AJ64" s="983"/>
      <c r="AK64" s="983"/>
      <c r="AL64" s="983"/>
      <c r="AM64" s="983"/>
      <c r="AN64" s="983"/>
      <c r="AO64" s="983"/>
      <c r="AP64" s="987"/>
      <c r="AQ64" s="987"/>
      <c r="AR64" s="987"/>
      <c r="AS64" s="987"/>
      <c r="AT64" s="987"/>
      <c r="AU64" s="987"/>
      <c r="AV64" s="987"/>
      <c r="AW64" s="987"/>
      <c r="AX64" s="987"/>
      <c r="AY64" s="987"/>
      <c r="AZ64" s="987"/>
      <c r="BA64" s="987"/>
      <c r="BB64" s="987"/>
      <c r="BC64" s="987"/>
      <c r="BD64" s="987"/>
      <c r="BE64" s="983"/>
      <c r="BF64" s="983"/>
      <c r="BG64" s="983"/>
      <c r="BH64" s="983"/>
      <c r="BI64" s="983"/>
      <c r="BJ64" s="983"/>
      <c r="BK64" s="983"/>
      <c r="BL64" s="983"/>
      <c r="BM64" s="983"/>
      <c r="BN64" s="983"/>
      <c r="BO64" s="983"/>
      <c r="BP64" s="983"/>
      <c r="BQ64" s="983"/>
      <c r="BR64" s="983"/>
      <c r="BS64" s="983"/>
      <c r="BT64" s="983"/>
      <c r="BU64" s="983"/>
      <c r="BV64" s="983"/>
      <c r="BW64" s="983"/>
      <c r="BX64" s="983"/>
      <c r="BY64" s="983"/>
      <c r="BZ64" s="983"/>
      <c r="CA64" s="983"/>
      <c r="CB64" s="985"/>
      <c r="CC64" s="985"/>
      <c r="CD64" s="985"/>
      <c r="CE64" s="985"/>
      <c r="CF64" s="985"/>
      <c r="CG64" s="985"/>
      <c r="CH64" s="1023"/>
      <c r="CI64" s="1023"/>
      <c r="CJ64" s="1023"/>
      <c r="CK64" s="1023"/>
      <c r="CL64" s="1023"/>
      <c r="CM64" s="1023"/>
      <c r="CN64" s="1023"/>
      <c r="CO64" s="985"/>
      <c r="CP64" s="985"/>
      <c r="CQ64" s="985"/>
      <c r="CR64" s="985"/>
      <c r="CS64" s="985"/>
      <c r="CT64" s="985"/>
      <c r="CU64" s="985"/>
      <c r="CV64" s="985"/>
      <c r="CW64" s="985"/>
      <c r="CX64" s="985"/>
      <c r="CY64" s="985"/>
      <c r="CZ64" s="985"/>
      <c r="DA64" s="985"/>
    </row>
    <row r="65" spans="1:92" ht="32.1" customHeight="1" x14ac:dyDescent="0.25">
      <c r="A65" s="983"/>
      <c r="B65" s="4314" t="s">
        <v>508</v>
      </c>
      <c r="C65" s="4335" t="s">
        <v>511</v>
      </c>
      <c r="D65" s="4335" t="s">
        <v>527</v>
      </c>
      <c r="E65" s="4335" t="s">
        <v>528</v>
      </c>
      <c r="F65" s="4335" t="s">
        <v>318</v>
      </c>
      <c r="G65" s="205"/>
      <c r="H65" s="190"/>
      <c r="I65" s="190"/>
      <c r="J65" s="190"/>
      <c r="K65" s="190"/>
      <c r="L65" s="190"/>
      <c r="M65" s="190"/>
      <c r="N65" s="190"/>
      <c r="O65" s="457" t="s">
        <v>211</v>
      </c>
      <c r="P65" s="190"/>
      <c r="Q65" s="190"/>
      <c r="R65" s="190"/>
      <c r="S65" s="331"/>
      <c r="T65" s="331"/>
      <c r="U65" s="331"/>
      <c r="V65" s="331"/>
      <c r="W65" s="331"/>
      <c r="X65" s="331"/>
      <c r="Y65" s="190"/>
      <c r="Z65" s="190"/>
      <c r="AA65" s="983"/>
      <c r="AB65" s="983"/>
      <c r="AC65" s="983"/>
      <c r="AD65" s="983"/>
      <c r="AE65" s="983"/>
      <c r="AF65" s="983"/>
      <c r="AG65" s="983"/>
      <c r="AH65" s="983"/>
      <c r="AI65" s="983"/>
      <c r="AJ65" s="983"/>
      <c r="AK65" s="983"/>
      <c r="AL65" s="983"/>
      <c r="AM65" s="983"/>
      <c r="AN65" s="983"/>
      <c r="AO65" s="983"/>
      <c r="AP65" s="987"/>
      <c r="AQ65" s="987"/>
      <c r="AR65" s="987"/>
      <c r="AS65" s="987"/>
      <c r="AT65" s="987"/>
      <c r="AU65" s="987"/>
      <c r="AV65" s="987"/>
      <c r="AW65" s="987"/>
      <c r="AX65" s="987"/>
      <c r="AY65" s="987"/>
      <c r="AZ65" s="987"/>
      <c r="BA65" s="987"/>
      <c r="BB65" s="987"/>
      <c r="BC65" s="987"/>
      <c r="BD65" s="987"/>
      <c r="BE65" s="983"/>
      <c r="BF65" s="983"/>
      <c r="BG65" s="983"/>
      <c r="BH65" s="983"/>
      <c r="BI65" s="983"/>
      <c r="BJ65" s="983"/>
      <c r="BK65" s="983"/>
      <c r="BL65" s="983"/>
      <c r="BM65" s="983"/>
      <c r="BN65" s="983"/>
      <c r="BO65" s="983"/>
      <c r="BP65" s="983"/>
      <c r="BQ65" s="983"/>
      <c r="BR65" s="983"/>
      <c r="BS65" s="983"/>
      <c r="BT65" s="983"/>
      <c r="BU65" s="983"/>
      <c r="BV65" s="983"/>
      <c r="BW65" s="983"/>
      <c r="BX65" s="983"/>
      <c r="BY65" s="984"/>
      <c r="BZ65" s="984"/>
      <c r="CA65" s="984"/>
      <c r="CB65" s="985"/>
      <c r="CC65" s="985"/>
      <c r="CD65" s="985"/>
      <c r="CE65" s="985"/>
      <c r="CF65" s="985"/>
      <c r="CG65" s="985"/>
      <c r="CH65" s="1023"/>
      <c r="CI65" s="1023"/>
      <c r="CJ65" s="1023"/>
      <c r="CK65" s="1023"/>
      <c r="CL65" s="1023"/>
      <c r="CM65" s="1023"/>
      <c r="CN65" s="1023"/>
    </row>
    <row r="66" spans="1:92" ht="16.350000000000001" customHeight="1" x14ac:dyDescent="0.25">
      <c r="A66" s="2949" t="s">
        <v>3486</v>
      </c>
      <c r="B66" s="4399" t="s">
        <v>529</v>
      </c>
      <c r="C66" s="4339" t="s">
        <v>2777</v>
      </c>
      <c r="D66" s="4357" t="s">
        <v>2778</v>
      </c>
      <c r="E66" s="4357" t="s">
        <v>2779</v>
      </c>
      <c r="F66" s="4357" t="s">
        <v>2780</v>
      </c>
      <c r="G66" s="136"/>
      <c r="H66" s="190"/>
      <c r="I66" s="190"/>
      <c r="J66" s="190"/>
      <c r="K66" s="190"/>
      <c r="L66" s="190"/>
      <c r="M66" s="190"/>
      <c r="N66" s="190"/>
      <c r="O66" s="190"/>
      <c r="P66" s="190"/>
      <c r="Q66" s="190"/>
      <c r="R66" s="190"/>
      <c r="S66" s="331"/>
      <c r="T66" s="331"/>
      <c r="U66" s="331"/>
      <c r="V66" s="331"/>
      <c r="W66" s="331"/>
      <c r="X66" s="331"/>
      <c r="Y66" s="190"/>
      <c r="Z66" s="190"/>
      <c r="AA66" s="983"/>
      <c r="AB66" s="983"/>
      <c r="AC66" s="983"/>
      <c r="AD66" s="983"/>
      <c r="AE66" s="983"/>
      <c r="AF66" s="983"/>
      <c r="AG66" s="983"/>
      <c r="AH66" s="983"/>
      <c r="AI66" s="983"/>
      <c r="AJ66" s="983"/>
      <c r="AK66" s="983"/>
      <c r="AL66" s="983"/>
      <c r="AM66" s="983"/>
      <c r="AN66" s="983"/>
      <c r="AO66" s="983"/>
      <c r="AP66" s="987"/>
      <c r="AQ66" s="987"/>
      <c r="AR66" s="987"/>
      <c r="AS66" s="987"/>
      <c r="AT66" s="987"/>
      <c r="AU66" s="987"/>
      <c r="AV66" s="987"/>
      <c r="AW66" s="987"/>
      <c r="AX66" s="987"/>
      <c r="AY66" s="987"/>
      <c r="AZ66" s="987"/>
      <c r="BA66" s="987"/>
      <c r="BB66" s="987"/>
      <c r="BC66" s="987"/>
      <c r="BD66" s="987"/>
      <c r="BE66" s="983"/>
      <c r="BF66" s="983"/>
      <c r="BG66" s="983"/>
      <c r="BH66" s="983"/>
      <c r="BI66" s="983"/>
      <c r="BJ66" s="983"/>
      <c r="BK66" s="983"/>
      <c r="BL66" s="983"/>
      <c r="BM66" s="983"/>
      <c r="BN66" s="983"/>
      <c r="BO66" s="983"/>
      <c r="BP66" s="983"/>
      <c r="BQ66" s="983"/>
      <c r="BR66" s="983"/>
      <c r="BS66" s="983"/>
      <c r="BT66" s="983"/>
      <c r="BU66" s="983"/>
      <c r="BV66" s="983"/>
      <c r="BW66" s="983"/>
      <c r="BX66" s="983"/>
      <c r="BY66" s="984"/>
      <c r="BZ66" s="984"/>
      <c r="CA66" s="984"/>
      <c r="CB66" s="985"/>
      <c r="CC66" s="985"/>
      <c r="CD66" s="985"/>
      <c r="CE66" s="985"/>
      <c r="CF66" s="985"/>
      <c r="CG66" s="985"/>
      <c r="CH66" s="1023"/>
      <c r="CI66" s="1023"/>
      <c r="CJ66" s="1023"/>
      <c r="CK66" s="1023"/>
      <c r="CL66" s="1023"/>
      <c r="CM66" s="1023"/>
      <c r="CN66" s="1023"/>
    </row>
    <row r="67" spans="1:92" ht="16.350000000000001" customHeight="1" x14ac:dyDescent="0.25">
      <c r="A67" s="2949" t="s">
        <v>3487</v>
      </c>
      <c r="B67" s="4229" t="s">
        <v>530</v>
      </c>
      <c r="C67" s="192" t="s">
        <v>2777</v>
      </c>
      <c r="D67" s="164" t="s">
        <v>2778</v>
      </c>
      <c r="E67" s="164" t="s">
        <v>2779</v>
      </c>
      <c r="F67" s="164" t="s">
        <v>2780</v>
      </c>
      <c r="G67" s="136"/>
      <c r="H67" s="190"/>
      <c r="I67" s="190"/>
      <c r="J67" s="190"/>
      <c r="K67" s="190"/>
      <c r="L67" s="190"/>
      <c r="M67" s="190"/>
      <c r="N67" s="190"/>
      <c r="O67" s="190"/>
      <c r="P67" s="190"/>
      <c r="Q67" s="190"/>
      <c r="R67" s="190"/>
      <c r="S67" s="331"/>
      <c r="T67" s="331"/>
      <c r="U67" s="331"/>
      <c r="V67" s="331"/>
      <c r="W67" s="331"/>
      <c r="X67" s="331"/>
      <c r="Y67" s="190"/>
      <c r="Z67" s="190"/>
      <c r="AA67" s="983"/>
      <c r="AB67" s="983"/>
      <c r="AC67" s="983"/>
      <c r="AD67" s="983"/>
      <c r="AE67" s="983"/>
      <c r="AF67" s="983"/>
      <c r="AG67" s="983"/>
      <c r="AH67" s="983"/>
      <c r="AI67" s="983"/>
      <c r="AJ67" s="983"/>
      <c r="AK67" s="983"/>
      <c r="AL67" s="983"/>
      <c r="AM67" s="983"/>
      <c r="AN67" s="983"/>
      <c r="AO67" s="983"/>
      <c r="AP67" s="987"/>
      <c r="AQ67" s="987"/>
      <c r="AR67" s="987"/>
      <c r="AS67" s="987"/>
      <c r="AT67" s="987"/>
      <c r="AU67" s="987"/>
      <c r="AV67" s="987"/>
      <c r="AW67" s="987"/>
      <c r="AX67" s="987"/>
      <c r="AY67" s="987"/>
      <c r="AZ67" s="987"/>
      <c r="BA67" s="987"/>
      <c r="BB67" s="987"/>
      <c r="BC67" s="987"/>
      <c r="BD67" s="987"/>
      <c r="BE67" s="983"/>
      <c r="BF67" s="983"/>
      <c r="BG67" s="983"/>
      <c r="BH67" s="983"/>
      <c r="BI67" s="983"/>
      <c r="BJ67" s="983"/>
      <c r="BK67" s="983"/>
      <c r="BL67" s="983"/>
      <c r="BM67" s="983"/>
      <c r="BN67" s="983"/>
      <c r="BO67" s="983"/>
      <c r="BP67" s="983"/>
      <c r="BQ67" s="983"/>
      <c r="BR67" s="983"/>
      <c r="BS67" s="983"/>
      <c r="BT67" s="983"/>
      <c r="BU67" s="983"/>
      <c r="BV67" s="983"/>
      <c r="BW67" s="983"/>
      <c r="BX67" s="983"/>
      <c r="BY67" s="984"/>
      <c r="BZ67" s="984"/>
      <c r="CA67" s="984"/>
      <c r="CB67" s="985"/>
      <c r="CC67" s="985"/>
      <c r="CD67" s="985"/>
      <c r="CE67" s="985"/>
      <c r="CF67" s="985"/>
      <c r="CG67" s="985"/>
      <c r="CH67" s="1023"/>
      <c r="CI67" s="1023"/>
      <c r="CJ67" s="1023"/>
      <c r="CK67" s="1023"/>
      <c r="CL67" s="1023"/>
      <c r="CM67" s="1023"/>
      <c r="CN67" s="1023"/>
    </row>
    <row r="68" spans="1:92" ht="16.350000000000001" customHeight="1" x14ac:dyDescent="0.25">
      <c r="A68" s="2949" t="s">
        <v>3488</v>
      </c>
      <c r="B68" s="4229" t="s">
        <v>1007</v>
      </c>
      <c r="C68" s="192" t="s">
        <v>2777</v>
      </c>
      <c r="D68" s="164" t="s">
        <v>2778</v>
      </c>
      <c r="E68" s="164" t="s">
        <v>2779</v>
      </c>
      <c r="F68" s="164" t="s">
        <v>2780</v>
      </c>
      <c r="G68" s="136"/>
      <c r="H68" s="190"/>
      <c r="I68" s="190"/>
      <c r="J68" s="190"/>
      <c r="K68" s="190"/>
      <c r="L68" s="190"/>
      <c r="M68" s="190"/>
      <c r="N68" s="190"/>
      <c r="O68" s="190"/>
      <c r="P68" s="190"/>
      <c r="Q68" s="190"/>
      <c r="R68" s="190"/>
      <c r="S68" s="331"/>
      <c r="T68" s="331"/>
      <c r="U68" s="331"/>
      <c r="V68" s="331"/>
      <c r="W68" s="331"/>
      <c r="X68" s="331"/>
      <c r="Y68" s="190"/>
      <c r="Z68" s="190"/>
      <c r="AA68" s="983"/>
      <c r="AB68" s="983"/>
      <c r="AC68" s="983"/>
      <c r="AD68" s="983"/>
      <c r="AE68" s="983"/>
      <c r="AF68" s="983"/>
      <c r="AG68" s="983"/>
      <c r="AH68" s="983"/>
      <c r="AI68" s="983"/>
      <c r="AJ68" s="983"/>
      <c r="AK68" s="983"/>
      <c r="AL68" s="983"/>
      <c r="AM68" s="983"/>
      <c r="AN68" s="983"/>
      <c r="AO68" s="983"/>
      <c r="AP68" s="987"/>
      <c r="AQ68" s="987"/>
      <c r="AR68" s="987"/>
      <c r="AS68" s="987"/>
      <c r="AT68" s="987"/>
      <c r="AU68" s="987"/>
      <c r="AV68" s="987"/>
      <c r="AW68" s="987"/>
      <c r="AX68" s="987"/>
      <c r="AY68" s="987"/>
      <c r="AZ68" s="987"/>
      <c r="BA68" s="987"/>
      <c r="BB68" s="987"/>
      <c r="BC68" s="987"/>
      <c r="BD68" s="987"/>
      <c r="BE68" s="983"/>
      <c r="BF68" s="983"/>
      <c r="BG68" s="983"/>
      <c r="BH68" s="983"/>
      <c r="BI68" s="983"/>
      <c r="BJ68" s="983"/>
      <c r="BK68" s="983"/>
      <c r="BL68" s="983"/>
      <c r="BM68" s="983"/>
      <c r="BN68" s="983"/>
      <c r="BO68" s="983"/>
      <c r="BP68" s="983"/>
      <c r="BQ68" s="983"/>
      <c r="BR68" s="983"/>
      <c r="BS68" s="983"/>
      <c r="BT68" s="983"/>
      <c r="BU68" s="983"/>
      <c r="BV68" s="983"/>
      <c r="BW68" s="983"/>
      <c r="BX68" s="983"/>
      <c r="BY68" s="984"/>
      <c r="BZ68" s="984"/>
      <c r="CA68" s="984"/>
      <c r="CB68" s="985"/>
      <c r="CC68" s="985"/>
      <c r="CD68" s="985"/>
      <c r="CE68" s="985"/>
      <c r="CF68" s="985"/>
      <c r="CG68" s="985"/>
      <c r="CH68" s="1023"/>
      <c r="CI68" s="1023"/>
      <c r="CJ68" s="1023"/>
      <c r="CK68" s="1023"/>
      <c r="CL68" s="1023"/>
      <c r="CM68" s="1023"/>
      <c r="CN68" s="1023"/>
    </row>
    <row r="69" spans="1:92" ht="16.350000000000001" customHeight="1" x14ac:dyDescent="0.25">
      <c r="A69" s="2949" t="s">
        <v>3489</v>
      </c>
      <c r="B69" s="4229" t="s">
        <v>140</v>
      </c>
      <c r="C69" s="192" t="s">
        <v>2777</v>
      </c>
      <c r="D69" s="164" t="s">
        <v>2778</v>
      </c>
      <c r="E69" s="164" t="s">
        <v>2779</v>
      </c>
      <c r="F69" s="164" t="s">
        <v>2780</v>
      </c>
      <c r="G69" s="136"/>
      <c r="H69" s="190"/>
      <c r="I69" s="190"/>
      <c r="J69" s="190"/>
      <c r="K69" s="190"/>
      <c r="L69" s="190"/>
      <c r="M69" s="190"/>
      <c r="N69" s="190"/>
      <c r="O69" s="190"/>
      <c r="P69" s="190"/>
      <c r="Q69" s="190"/>
      <c r="R69" s="190"/>
      <c r="S69" s="331"/>
      <c r="T69" s="331"/>
      <c r="U69" s="331"/>
      <c r="V69" s="331"/>
      <c r="W69" s="331"/>
      <c r="X69" s="331"/>
      <c r="Y69" s="190"/>
      <c r="Z69" s="190"/>
      <c r="AA69" s="983"/>
      <c r="AB69" s="983"/>
      <c r="AC69" s="983"/>
      <c r="AD69" s="983"/>
      <c r="AE69" s="983"/>
      <c r="AF69" s="983"/>
      <c r="AG69" s="983"/>
      <c r="AH69" s="983"/>
      <c r="AI69" s="983"/>
      <c r="AJ69" s="983"/>
      <c r="AK69" s="983"/>
      <c r="AL69" s="983"/>
      <c r="AM69" s="983"/>
      <c r="AN69" s="983"/>
      <c r="AO69" s="983"/>
      <c r="AP69" s="987"/>
      <c r="AQ69" s="987"/>
      <c r="AR69" s="987"/>
      <c r="AS69" s="987"/>
      <c r="AT69" s="987"/>
      <c r="AU69" s="987"/>
      <c r="AV69" s="987"/>
      <c r="AW69" s="987"/>
      <c r="AX69" s="987"/>
      <c r="AY69" s="987"/>
      <c r="AZ69" s="987"/>
      <c r="BA69" s="987"/>
      <c r="BB69" s="987"/>
      <c r="BC69" s="987"/>
      <c r="BD69" s="987"/>
      <c r="BE69" s="983"/>
      <c r="BF69" s="983"/>
      <c r="BG69" s="983"/>
      <c r="BH69" s="983"/>
      <c r="BI69" s="983"/>
      <c r="BJ69" s="983"/>
      <c r="BK69" s="983"/>
      <c r="BL69" s="983"/>
      <c r="BM69" s="983"/>
      <c r="BN69" s="983"/>
      <c r="BO69" s="983"/>
      <c r="BP69" s="983"/>
      <c r="BQ69" s="983"/>
      <c r="BR69" s="983"/>
      <c r="BS69" s="983"/>
      <c r="BT69" s="983"/>
      <c r="BU69" s="983"/>
      <c r="BV69" s="983"/>
      <c r="BW69" s="983"/>
      <c r="BX69" s="983"/>
      <c r="BY69" s="984"/>
      <c r="BZ69" s="984"/>
      <c r="CA69" s="984"/>
      <c r="CB69" s="985"/>
      <c r="CC69" s="985"/>
      <c r="CD69" s="985"/>
      <c r="CE69" s="985"/>
      <c r="CF69" s="985"/>
      <c r="CG69" s="985"/>
      <c r="CH69" s="1023"/>
      <c r="CI69" s="1023"/>
      <c r="CJ69" s="1023"/>
      <c r="CK69" s="1023"/>
      <c r="CL69" s="1023"/>
      <c r="CM69" s="1023"/>
      <c r="CN69" s="1023"/>
    </row>
    <row r="70" spans="1:92" ht="16.350000000000001" customHeight="1" x14ac:dyDescent="0.25">
      <c r="A70" s="2949" t="s">
        <v>3490</v>
      </c>
      <c r="B70" s="4229" t="s">
        <v>139</v>
      </c>
      <c r="C70" s="192" t="s">
        <v>2777</v>
      </c>
      <c r="D70" s="164" t="s">
        <v>2778</v>
      </c>
      <c r="E70" s="164" t="s">
        <v>2779</v>
      </c>
      <c r="F70" s="164" t="s">
        <v>2780</v>
      </c>
      <c r="G70" s="136"/>
      <c r="H70" s="190"/>
      <c r="I70" s="190"/>
      <c r="J70" s="190"/>
      <c r="K70" s="190"/>
      <c r="L70" s="190"/>
      <c r="M70" s="190"/>
      <c r="N70" s="190"/>
      <c r="O70" s="190"/>
      <c r="P70" s="190"/>
      <c r="Q70" s="190"/>
      <c r="R70" s="190"/>
      <c r="S70" s="331"/>
      <c r="T70" s="331"/>
      <c r="U70" s="331"/>
      <c r="V70" s="331"/>
      <c r="W70" s="331"/>
      <c r="X70" s="331"/>
      <c r="Y70" s="190"/>
      <c r="Z70" s="190"/>
      <c r="AA70" s="983"/>
      <c r="AB70" s="983"/>
      <c r="AC70" s="983"/>
      <c r="AD70" s="983"/>
      <c r="AE70" s="983"/>
      <c r="AF70" s="983"/>
      <c r="AG70" s="983"/>
      <c r="AH70" s="983"/>
      <c r="AI70" s="983"/>
      <c r="AJ70" s="983"/>
      <c r="AK70" s="983"/>
      <c r="AL70" s="983"/>
      <c r="AM70" s="983"/>
      <c r="AN70" s="983"/>
      <c r="AO70" s="983"/>
      <c r="AP70" s="987"/>
      <c r="AQ70" s="987"/>
      <c r="AR70" s="987"/>
      <c r="AS70" s="987"/>
      <c r="AT70" s="987"/>
      <c r="AU70" s="987"/>
      <c r="AV70" s="987"/>
      <c r="AW70" s="987"/>
      <c r="AX70" s="987"/>
      <c r="AY70" s="987"/>
      <c r="AZ70" s="987"/>
      <c r="BA70" s="987"/>
      <c r="BB70" s="987"/>
      <c r="BC70" s="987"/>
      <c r="BD70" s="987"/>
      <c r="BE70" s="983"/>
      <c r="BF70" s="983"/>
      <c r="BG70" s="983"/>
      <c r="BH70" s="983"/>
      <c r="BI70" s="983"/>
      <c r="BJ70" s="983"/>
      <c r="BK70" s="983"/>
      <c r="BL70" s="983"/>
      <c r="BM70" s="983"/>
      <c r="BN70" s="983"/>
      <c r="BO70" s="983"/>
      <c r="BP70" s="983"/>
      <c r="BQ70" s="983"/>
      <c r="BR70" s="983"/>
      <c r="BS70" s="983"/>
      <c r="BT70" s="983"/>
      <c r="BU70" s="983"/>
      <c r="BV70" s="983"/>
      <c r="BW70" s="983"/>
      <c r="BX70" s="983"/>
      <c r="BY70" s="984"/>
      <c r="BZ70" s="984"/>
      <c r="CA70" s="984"/>
      <c r="CB70" s="985"/>
      <c r="CC70" s="985"/>
      <c r="CD70" s="985"/>
      <c r="CE70" s="985"/>
      <c r="CF70" s="985"/>
      <c r="CG70" s="985"/>
      <c r="CH70" s="1023"/>
      <c r="CI70" s="1023"/>
      <c r="CJ70" s="1023"/>
      <c r="CK70" s="1023"/>
      <c r="CL70" s="1023"/>
      <c r="CM70" s="1023"/>
      <c r="CN70" s="1023"/>
    </row>
    <row r="71" spans="1:92" ht="16.350000000000001" customHeight="1" x14ac:dyDescent="0.25">
      <c r="A71" s="2949" t="s">
        <v>3491</v>
      </c>
      <c r="B71" s="4229" t="s">
        <v>138</v>
      </c>
      <c r="C71" s="192" t="s">
        <v>2777</v>
      </c>
      <c r="D71" s="164" t="s">
        <v>2778</v>
      </c>
      <c r="E71" s="164" t="s">
        <v>2779</v>
      </c>
      <c r="F71" s="164" t="s">
        <v>2780</v>
      </c>
      <c r="G71" s="136"/>
      <c r="H71" s="190"/>
      <c r="I71" s="190"/>
      <c r="J71" s="190"/>
      <c r="K71" s="190"/>
      <c r="L71" s="190"/>
      <c r="M71" s="190"/>
      <c r="N71" s="190"/>
      <c r="O71" s="190"/>
      <c r="P71" s="190"/>
      <c r="Q71" s="190"/>
      <c r="R71" s="190"/>
      <c r="S71" s="331"/>
      <c r="T71" s="331"/>
      <c r="U71" s="331"/>
      <c r="V71" s="331"/>
      <c r="W71" s="331"/>
      <c r="X71" s="331"/>
      <c r="Y71" s="190"/>
      <c r="Z71" s="190"/>
      <c r="AA71" s="983"/>
      <c r="AB71" s="983"/>
      <c r="AC71" s="983"/>
      <c r="AD71" s="983"/>
      <c r="AE71" s="983"/>
      <c r="AF71" s="983"/>
      <c r="AG71" s="983"/>
      <c r="AH71" s="983"/>
      <c r="AI71" s="983"/>
      <c r="AJ71" s="983"/>
      <c r="AK71" s="983"/>
      <c r="AL71" s="983"/>
      <c r="AM71" s="983"/>
      <c r="AN71" s="983"/>
      <c r="AO71" s="983"/>
      <c r="AP71" s="987"/>
      <c r="AQ71" s="987"/>
      <c r="AR71" s="987"/>
      <c r="AS71" s="987"/>
      <c r="AT71" s="987"/>
      <c r="AU71" s="987"/>
      <c r="AV71" s="987"/>
      <c r="AW71" s="987"/>
      <c r="AX71" s="987"/>
      <c r="AY71" s="987"/>
      <c r="AZ71" s="987"/>
      <c r="BA71" s="987"/>
      <c r="BB71" s="987"/>
      <c r="BC71" s="987"/>
      <c r="BD71" s="987"/>
      <c r="BE71" s="983"/>
      <c r="BF71" s="983"/>
      <c r="BG71" s="983"/>
      <c r="BH71" s="983"/>
      <c r="BI71" s="983"/>
      <c r="BJ71" s="983"/>
      <c r="BK71" s="983"/>
      <c r="BL71" s="983"/>
      <c r="BM71" s="983"/>
      <c r="BN71" s="983"/>
      <c r="BO71" s="983"/>
      <c r="BP71" s="983"/>
      <c r="BQ71" s="983"/>
      <c r="BR71" s="983"/>
      <c r="BS71" s="983"/>
      <c r="BT71" s="983"/>
      <c r="BU71" s="983"/>
      <c r="BV71" s="983"/>
      <c r="BW71" s="983"/>
      <c r="BX71" s="983"/>
      <c r="BY71" s="984"/>
      <c r="BZ71" s="984"/>
      <c r="CA71" s="984"/>
      <c r="CB71" s="985"/>
      <c r="CC71" s="985"/>
      <c r="CD71" s="985"/>
      <c r="CE71" s="985"/>
      <c r="CF71" s="985"/>
      <c r="CG71" s="985"/>
      <c r="CH71" s="1023"/>
      <c r="CI71" s="1023"/>
      <c r="CJ71" s="1023"/>
      <c r="CK71" s="1023"/>
      <c r="CL71" s="1023"/>
      <c r="CM71" s="1023"/>
      <c r="CN71" s="1023"/>
    </row>
    <row r="72" spans="1:92" ht="16.350000000000001" customHeight="1" x14ac:dyDescent="0.25">
      <c r="A72" s="2949" t="s">
        <v>3492</v>
      </c>
      <c r="B72" s="4229" t="s">
        <v>531</v>
      </c>
      <c r="C72" s="192" t="s">
        <v>2777</v>
      </c>
      <c r="D72" s="164" t="s">
        <v>2778</v>
      </c>
      <c r="E72" s="164" t="s">
        <v>2779</v>
      </c>
      <c r="F72" s="164" t="s">
        <v>2780</v>
      </c>
      <c r="G72" s="136"/>
      <c r="H72" s="190"/>
      <c r="I72" s="190"/>
      <c r="J72" s="190"/>
      <c r="K72" s="190"/>
      <c r="L72" s="190"/>
      <c r="M72" s="190"/>
      <c r="N72" s="190"/>
      <c r="O72" s="190"/>
      <c r="P72" s="190"/>
      <c r="Q72" s="190"/>
      <c r="R72" s="190"/>
      <c r="S72" s="331"/>
      <c r="T72" s="331"/>
      <c r="U72" s="331"/>
      <c r="V72" s="331"/>
      <c r="W72" s="331"/>
      <c r="X72" s="331"/>
      <c r="Y72" s="190"/>
      <c r="Z72" s="190"/>
      <c r="AA72" s="983"/>
      <c r="AB72" s="983"/>
      <c r="AC72" s="983"/>
      <c r="AD72" s="983"/>
      <c r="AE72" s="983"/>
      <c r="AF72" s="983"/>
      <c r="AG72" s="983"/>
      <c r="AH72" s="983"/>
      <c r="AI72" s="983"/>
      <c r="AJ72" s="983"/>
      <c r="AK72" s="983"/>
      <c r="AL72" s="983"/>
      <c r="AM72" s="983"/>
      <c r="AN72" s="983"/>
      <c r="AO72" s="983"/>
      <c r="AP72" s="987"/>
      <c r="AQ72" s="987"/>
      <c r="AR72" s="987"/>
      <c r="AS72" s="987"/>
      <c r="AT72" s="987"/>
      <c r="AU72" s="987"/>
      <c r="AV72" s="987"/>
      <c r="AW72" s="987"/>
      <c r="AX72" s="987"/>
      <c r="AY72" s="987"/>
      <c r="AZ72" s="987"/>
      <c r="BA72" s="987"/>
      <c r="BB72" s="987"/>
      <c r="BC72" s="987"/>
      <c r="BD72" s="987"/>
      <c r="BE72" s="983"/>
      <c r="BF72" s="983"/>
      <c r="BG72" s="983"/>
      <c r="BH72" s="983"/>
      <c r="BI72" s="983"/>
      <c r="BJ72" s="983"/>
      <c r="BK72" s="983"/>
      <c r="BL72" s="983"/>
      <c r="BM72" s="983"/>
      <c r="BN72" s="983"/>
      <c r="BO72" s="983"/>
      <c r="BP72" s="983"/>
      <c r="BQ72" s="983"/>
      <c r="BR72" s="983"/>
      <c r="BS72" s="983"/>
      <c r="BT72" s="983"/>
      <c r="BU72" s="983"/>
      <c r="BV72" s="983"/>
      <c r="BW72" s="983"/>
      <c r="BX72" s="983"/>
      <c r="BY72" s="984"/>
      <c r="BZ72" s="984"/>
      <c r="CA72" s="984"/>
      <c r="CB72" s="985"/>
      <c r="CC72" s="985"/>
      <c r="CD72" s="985"/>
      <c r="CE72" s="985"/>
      <c r="CF72" s="985"/>
      <c r="CG72" s="985"/>
      <c r="CH72" s="1023"/>
      <c r="CI72" s="1023"/>
      <c r="CJ72" s="1023"/>
      <c r="CK72" s="1023"/>
      <c r="CL72" s="1023"/>
      <c r="CM72" s="1023"/>
      <c r="CN72" s="1023"/>
    </row>
    <row r="73" spans="1:92" ht="16.350000000000001" customHeight="1" x14ac:dyDescent="0.25">
      <c r="A73" s="2949" t="s">
        <v>3493</v>
      </c>
      <c r="B73" s="4229" t="s">
        <v>532</v>
      </c>
      <c r="C73" s="192" t="s">
        <v>2777</v>
      </c>
      <c r="D73" s="164" t="s">
        <v>2778</v>
      </c>
      <c r="E73" s="164" t="s">
        <v>2779</v>
      </c>
      <c r="F73" s="164" t="s">
        <v>2780</v>
      </c>
      <c r="G73" s="136"/>
      <c r="H73" s="190"/>
      <c r="I73" s="190"/>
      <c r="J73" s="190"/>
      <c r="K73" s="190"/>
      <c r="L73" s="190"/>
      <c r="M73" s="190"/>
      <c r="N73" s="190"/>
      <c r="O73" s="190"/>
      <c r="P73" s="190"/>
      <c r="Q73" s="190"/>
      <c r="R73" s="190"/>
      <c r="S73" s="331"/>
      <c r="T73" s="331"/>
      <c r="U73" s="331"/>
      <c r="V73" s="331"/>
      <c r="W73" s="331"/>
      <c r="X73" s="331"/>
      <c r="Y73" s="190"/>
      <c r="Z73" s="190"/>
      <c r="AA73" s="983"/>
      <c r="AB73" s="983"/>
      <c r="AC73" s="983"/>
      <c r="AD73" s="983"/>
      <c r="AE73" s="983"/>
      <c r="AF73" s="983"/>
      <c r="AG73" s="983"/>
      <c r="AH73" s="983"/>
      <c r="AI73" s="983"/>
      <c r="AJ73" s="983"/>
      <c r="AK73" s="983"/>
      <c r="AL73" s="983"/>
      <c r="AM73" s="983"/>
      <c r="AN73" s="983"/>
      <c r="AO73" s="983"/>
      <c r="AP73" s="987"/>
      <c r="AQ73" s="987"/>
      <c r="AR73" s="987"/>
      <c r="AS73" s="987"/>
      <c r="AT73" s="987"/>
      <c r="AU73" s="987"/>
      <c r="AV73" s="987"/>
      <c r="AW73" s="987"/>
      <c r="AX73" s="987"/>
      <c r="AY73" s="987"/>
      <c r="AZ73" s="987"/>
      <c r="BA73" s="987"/>
      <c r="BB73" s="987"/>
      <c r="BC73" s="987"/>
      <c r="BD73" s="987"/>
      <c r="BE73" s="983"/>
      <c r="BF73" s="983"/>
      <c r="BG73" s="983"/>
      <c r="BH73" s="983"/>
      <c r="BI73" s="983"/>
      <c r="BJ73" s="983"/>
      <c r="BK73" s="983"/>
      <c r="BL73" s="983"/>
      <c r="BM73" s="983"/>
      <c r="BN73" s="983"/>
      <c r="BO73" s="983"/>
      <c r="BP73" s="983"/>
      <c r="BQ73" s="983"/>
      <c r="BR73" s="983"/>
      <c r="BS73" s="983"/>
      <c r="BT73" s="983"/>
      <c r="BU73" s="983"/>
      <c r="BV73" s="983"/>
      <c r="BW73" s="983"/>
      <c r="BX73" s="983"/>
      <c r="BY73" s="984"/>
      <c r="BZ73" s="984"/>
      <c r="CA73" s="984"/>
      <c r="CB73" s="985"/>
      <c r="CC73" s="985"/>
      <c r="CD73" s="985"/>
      <c r="CE73" s="985"/>
      <c r="CF73" s="985"/>
      <c r="CG73" s="985"/>
      <c r="CH73" s="1023"/>
      <c r="CI73" s="1023"/>
      <c r="CJ73" s="1023"/>
      <c r="CK73" s="1023"/>
      <c r="CL73" s="1023"/>
      <c r="CM73" s="1023"/>
      <c r="CN73" s="1023"/>
    </row>
    <row r="74" spans="1:92" ht="16.350000000000001" customHeight="1" x14ac:dyDescent="0.25">
      <c r="A74" s="2949" t="s">
        <v>3494</v>
      </c>
      <c r="B74" s="4229" t="s">
        <v>137</v>
      </c>
      <c r="C74" s="192" t="s">
        <v>2777</v>
      </c>
      <c r="D74" s="164" t="s">
        <v>2778</v>
      </c>
      <c r="E74" s="164" t="s">
        <v>2779</v>
      </c>
      <c r="F74" s="164" t="s">
        <v>2780</v>
      </c>
      <c r="G74" s="136"/>
      <c r="H74" s="470"/>
      <c r="I74" s="470"/>
      <c r="J74" s="190"/>
      <c r="K74" s="190"/>
      <c r="L74" s="190"/>
      <c r="M74" s="190"/>
      <c r="N74" s="190"/>
      <c r="O74" s="190"/>
      <c r="P74" s="190"/>
      <c r="Q74" s="190"/>
      <c r="R74" s="190"/>
      <c r="S74" s="331"/>
      <c r="T74" s="331"/>
      <c r="U74" s="331"/>
      <c r="V74" s="331"/>
      <c r="W74" s="331"/>
      <c r="X74" s="331"/>
      <c r="Y74" s="190"/>
      <c r="Z74" s="190"/>
      <c r="AA74" s="983"/>
      <c r="AB74" s="983"/>
      <c r="AC74" s="983"/>
      <c r="AD74" s="983"/>
      <c r="AE74" s="983"/>
      <c r="AF74" s="983"/>
      <c r="AG74" s="983"/>
      <c r="AH74" s="983"/>
      <c r="AI74" s="983"/>
      <c r="AJ74" s="983"/>
      <c r="AK74" s="983"/>
      <c r="AL74" s="983"/>
      <c r="AM74" s="983"/>
      <c r="AN74" s="983"/>
      <c r="AO74" s="983"/>
      <c r="AP74" s="983"/>
      <c r="AQ74" s="983"/>
      <c r="AR74" s="983"/>
      <c r="AS74" s="983"/>
      <c r="AT74" s="983"/>
      <c r="AU74" s="983"/>
      <c r="AV74" s="983"/>
      <c r="AW74" s="983"/>
      <c r="AX74" s="983"/>
      <c r="AY74" s="983"/>
      <c r="AZ74" s="983"/>
      <c r="BA74" s="983"/>
      <c r="BB74" s="983"/>
      <c r="BC74" s="983"/>
      <c r="BD74" s="983"/>
      <c r="BE74" s="983"/>
      <c r="BF74" s="983"/>
      <c r="BG74" s="983"/>
      <c r="BH74" s="983"/>
      <c r="BI74" s="983"/>
      <c r="BJ74" s="983"/>
      <c r="BK74" s="983"/>
      <c r="BL74" s="983"/>
      <c r="BM74" s="983"/>
      <c r="BN74" s="983"/>
      <c r="BO74" s="983"/>
      <c r="BP74" s="983"/>
      <c r="BQ74" s="983"/>
      <c r="BR74" s="983"/>
      <c r="BS74" s="983"/>
      <c r="BT74" s="983"/>
      <c r="BU74" s="983"/>
      <c r="BV74" s="983"/>
      <c r="BW74" s="983"/>
      <c r="BX74" s="983"/>
      <c r="BY74" s="984"/>
      <c r="BZ74" s="984"/>
      <c r="CA74" s="984"/>
      <c r="CB74" s="985"/>
      <c r="CC74" s="985"/>
      <c r="CD74" s="985"/>
      <c r="CE74" s="985"/>
      <c r="CF74" s="985"/>
      <c r="CG74" s="985"/>
      <c r="CH74" s="1023"/>
      <c r="CI74" s="1023"/>
      <c r="CJ74" s="1023"/>
      <c r="CK74" s="1023"/>
      <c r="CL74" s="1023"/>
      <c r="CM74" s="1023"/>
      <c r="CN74" s="1023"/>
    </row>
    <row r="75" spans="1:92" ht="16.350000000000001" customHeight="1" x14ac:dyDescent="0.25">
      <c r="A75" s="2949" t="s">
        <v>3495</v>
      </c>
      <c r="B75" s="4229" t="s">
        <v>533</v>
      </c>
      <c r="C75" s="192" t="s">
        <v>2777</v>
      </c>
      <c r="D75" s="164" t="s">
        <v>2778</v>
      </c>
      <c r="E75" s="164" t="s">
        <v>2779</v>
      </c>
      <c r="F75" s="164" t="s">
        <v>2780</v>
      </c>
      <c r="G75" s="136"/>
      <c r="H75" s="470"/>
      <c r="I75" s="470"/>
      <c r="J75" s="190"/>
      <c r="K75" s="190"/>
      <c r="L75" s="190"/>
      <c r="M75" s="190"/>
      <c r="N75" s="190"/>
      <c r="O75" s="190"/>
      <c r="P75" s="190"/>
      <c r="Q75" s="190"/>
      <c r="R75" s="190"/>
      <c r="S75" s="331"/>
      <c r="T75" s="331"/>
      <c r="U75" s="331"/>
      <c r="V75" s="331"/>
      <c r="W75" s="331"/>
      <c r="X75" s="331"/>
      <c r="Y75" s="190"/>
      <c r="Z75" s="190"/>
      <c r="AA75" s="983"/>
      <c r="AB75" s="983"/>
      <c r="AC75" s="983"/>
      <c r="AD75" s="983"/>
      <c r="AE75" s="983"/>
      <c r="AF75" s="983"/>
      <c r="AG75" s="983"/>
      <c r="AH75" s="983"/>
      <c r="AI75" s="983"/>
      <c r="AJ75" s="983"/>
      <c r="AK75" s="983"/>
      <c r="AL75" s="983"/>
      <c r="AM75" s="983"/>
      <c r="AN75" s="983"/>
      <c r="AO75" s="983"/>
      <c r="AP75" s="983"/>
      <c r="AQ75" s="983"/>
      <c r="AR75" s="983"/>
      <c r="AS75" s="983"/>
      <c r="AT75" s="983"/>
      <c r="AU75" s="983"/>
      <c r="AV75" s="983"/>
      <c r="AW75" s="983"/>
      <c r="AX75" s="983"/>
      <c r="AY75" s="983"/>
      <c r="AZ75" s="983"/>
      <c r="BA75" s="983"/>
      <c r="BB75" s="983"/>
      <c r="BC75" s="983"/>
      <c r="BD75" s="983"/>
      <c r="BE75" s="983"/>
      <c r="BF75" s="983"/>
      <c r="BG75" s="983"/>
      <c r="BH75" s="983"/>
      <c r="BI75" s="983"/>
      <c r="BJ75" s="983"/>
      <c r="BK75" s="983"/>
      <c r="BL75" s="983"/>
      <c r="BM75" s="983"/>
      <c r="BN75" s="983"/>
      <c r="BO75" s="983"/>
      <c r="BP75" s="983"/>
      <c r="BQ75" s="983"/>
      <c r="BR75" s="983"/>
      <c r="BS75" s="983"/>
      <c r="BT75" s="983"/>
      <c r="BU75" s="983"/>
      <c r="BV75" s="983"/>
      <c r="BW75" s="983"/>
      <c r="BX75" s="983"/>
      <c r="BY75" s="984"/>
      <c r="BZ75" s="984"/>
      <c r="CA75" s="984"/>
      <c r="CB75" s="985"/>
      <c r="CC75" s="985"/>
      <c r="CD75" s="985"/>
      <c r="CE75" s="985"/>
      <c r="CF75" s="985"/>
      <c r="CG75" s="985"/>
      <c r="CH75" s="1023"/>
      <c r="CI75" s="1023"/>
      <c r="CJ75" s="1023"/>
      <c r="CK75" s="1023"/>
      <c r="CL75" s="1023"/>
      <c r="CM75" s="1023"/>
      <c r="CN75" s="1023"/>
    </row>
    <row r="76" spans="1:92" ht="16.350000000000001" customHeight="1" x14ac:dyDescent="0.25">
      <c r="A76" s="2949" t="s">
        <v>3496</v>
      </c>
      <c r="B76" s="4229" t="s">
        <v>3722</v>
      </c>
      <c r="C76" s="192" t="s">
        <v>2777</v>
      </c>
      <c r="D76" s="164" t="s">
        <v>2778</v>
      </c>
      <c r="E76" s="164" t="s">
        <v>2779</v>
      </c>
      <c r="F76" s="164" t="s">
        <v>2780</v>
      </c>
      <c r="G76" s="136"/>
      <c r="H76" s="470"/>
      <c r="I76" s="470"/>
      <c r="J76" s="190"/>
      <c r="K76" s="190"/>
      <c r="L76" s="190"/>
      <c r="M76" s="190"/>
      <c r="N76" s="190"/>
      <c r="O76" s="190"/>
      <c r="P76" s="190"/>
      <c r="Q76" s="190"/>
      <c r="R76" s="190"/>
      <c r="S76" s="331"/>
      <c r="T76" s="331"/>
      <c r="U76" s="331"/>
      <c r="V76" s="331"/>
      <c r="W76" s="331"/>
      <c r="X76" s="331"/>
      <c r="Y76" s="190"/>
      <c r="Z76" s="190"/>
      <c r="AA76" s="983"/>
      <c r="AB76" s="983"/>
      <c r="AC76" s="983"/>
      <c r="AD76" s="983"/>
      <c r="AE76" s="983"/>
      <c r="AF76" s="983"/>
      <c r="AG76" s="983"/>
      <c r="AH76" s="983"/>
      <c r="AI76" s="983"/>
      <c r="AJ76" s="983"/>
      <c r="AK76" s="983"/>
      <c r="AL76" s="983"/>
      <c r="AM76" s="983"/>
      <c r="AN76" s="983"/>
      <c r="AO76" s="983"/>
      <c r="AP76" s="983"/>
      <c r="AQ76" s="983"/>
      <c r="AR76" s="983"/>
      <c r="AS76" s="983"/>
      <c r="AT76" s="983"/>
      <c r="AU76" s="983"/>
      <c r="AV76" s="983"/>
      <c r="AW76" s="983"/>
      <c r="AX76" s="983"/>
      <c r="AY76" s="983"/>
      <c r="AZ76" s="983"/>
      <c r="BA76" s="983"/>
      <c r="BB76" s="983"/>
      <c r="BC76" s="983"/>
      <c r="BD76" s="983"/>
      <c r="BE76" s="983"/>
      <c r="BF76" s="983"/>
      <c r="BG76" s="983"/>
      <c r="BH76" s="983"/>
      <c r="BI76" s="983"/>
      <c r="BJ76" s="983"/>
      <c r="BK76" s="983"/>
      <c r="BL76" s="983"/>
      <c r="BM76" s="983"/>
      <c r="BN76" s="983"/>
      <c r="BO76" s="983"/>
      <c r="BP76" s="983"/>
      <c r="BQ76" s="983"/>
      <c r="BR76" s="983"/>
      <c r="BS76" s="983"/>
      <c r="BT76" s="983"/>
      <c r="BU76" s="983"/>
      <c r="BV76" s="983"/>
      <c r="BW76" s="983"/>
      <c r="BX76" s="983"/>
      <c r="BY76" s="984"/>
      <c r="BZ76" s="984"/>
      <c r="CA76" s="984"/>
      <c r="CB76" s="985"/>
      <c r="CC76" s="985"/>
      <c r="CD76" s="985"/>
      <c r="CE76" s="985"/>
      <c r="CF76" s="985"/>
      <c r="CG76" s="985"/>
      <c r="CH76" s="1023"/>
      <c r="CI76" s="1023"/>
      <c r="CJ76" s="1023"/>
      <c r="CK76" s="1023"/>
      <c r="CL76" s="1023"/>
      <c r="CM76" s="1023"/>
      <c r="CN76" s="1023"/>
    </row>
    <row r="77" spans="1:92" ht="16.350000000000001" customHeight="1" x14ac:dyDescent="0.25">
      <c r="A77" s="2949" t="s">
        <v>3497</v>
      </c>
      <c r="B77" s="4236" t="s">
        <v>142</v>
      </c>
      <c r="C77" s="192" t="s">
        <v>2777</v>
      </c>
      <c r="D77" s="164" t="s">
        <v>2778</v>
      </c>
      <c r="E77" s="164" t="s">
        <v>2779</v>
      </c>
      <c r="F77" s="164" t="s">
        <v>2780</v>
      </c>
      <c r="G77" s="136"/>
      <c r="H77" s="470"/>
      <c r="I77" s="470"/>
      <c r="J77" s="190"/>
      <c r="K77" s="190"/>
      <c r="L77" s="190"/>
      <c r="M77" s="190"/>
      <c r="N77" s="190"/>
      <c r="O77" s="190"/>
      <c r="P77" s="190"/>
      <c r="Q77" s="190"/>
      <c r="R77" s="190"/>
      <c r="S77" s="331"/>
      <c r="T77" s="331"/>
      <c r="U77" s="331"/>
      <c r="V77" s="331"/>
      <c r="W77" s="331"/>
      <c r="X77" s="331"/>
      <c r="Y77" s="190"/>
      <c r="Z77" s="190"/>
      <c r="AA77" s="983"/>
      <c r="AB77" s="983"/>
      <c r="AC77" s="983"/>
      <c r="AD77" s="983"/>
      <c r="AE77" s="983"/>
      <c r="AF77" s="983"/>
      <c r="AG77" s="983"/>
      <c r="AH77" s="983"/>
      <c r="AI77" s="983"/>
      <c r="AJ77" s="983"/>
      <c r="AK77" s="983"/>
      <c r="AL77" s="983"/>
      <c r="AM77" s="983"/>
      <c r="AN77" s="983"/>
      <c r="AO77" s="983"/>
      <c r="AP77" s="983"/>
      <c r="AQ77" s="983"/>
      <c r="AR77" s="983"/>
      <c r="AS77" s="983"/>
      <c r="AT77" s="983"/>
      <c r="AU77" s="983"/>
      <c r="AV77" s="983"/>
      <c r="AW77" s="983"/>
      <c r="AX77" s="983"/>
      <c r="AY77" s="983"/>
      <c r="AZ77" s="983"/>
      <c r="BA77" s="983"/>
      <c r="BB77" s="983"/>
      <c r="BC77" s="983"/>
      <c r="BD77" s="983"/>
      <c r="BE77" s="983"/>
      <c r="BF77" s="983"/>
      <c r="BG77" s="983"/>
      <c r="BH77" s="983"/>
      <c r="BI77" s="983"/>
      <c r="BJ77" s="983"/>
      <c r="BK77" s="983"/>
      <c r="BL77" s="983"/>
      <c r="BM77" s="983"/>
      <c r="BN77" s="983"/>
      <c r="BO77" s="983"/>
      <c r="BP77" s="983"/>
      <c r="BQ77" s="983"/>
      <c r="BR77" s="983"/>
      <c r="BS77" s="983"/>
      <c r="BT77" s="983"/>
      <c r="BU77" s="983"/>
      <c r="BV77" s="983"/>
      <c r="BW77" s="983"/>
      <c r="BX77" s="983"/>
      <c r="BY77" s="984"/>
      <c r="BZ77" s="984"/>
      <c r="CA77" s="984"/>
      <c r="CB77" s="985"/>
      <c r="CC77" s="985"/>
      <c r="CD77" s="985"/>
      <c r="CE77" s="985"/>
      <c r="CF77" s="985"/>
      <c r="CG77" s="985"/>
      <c r="CH77" s="1023"/>
      <c r="CI77" s="1023"/>
      <c r="CJ77" s="1023"/>
      <c r="CK77" s="1023"/>
      <c r="CL77" s="1023"/>
      <c r="CM77" s="1023"/>
      <c r="CN77" s="1023"/>
    </row>
    <row r="78" spans="1:92" ht="16.350000000000001" customHeight="1" x14ac:dyDescent="0.25">
      <c r="A78" s="2949" t="s">
        <v>3498</v>
      </c>
      <c r="B78" s="4229" t="s">
        <v>534</v>
      </c>
      <c r="C78" s="192" t="s">
        <v>2777</v>
      </c>
      <c r="D78" s="164" t="s">
        <v>2778</v>
      </c>
      <c r="E78" s="164" t="s">
        <v>2779</v>
      </c>
      <c r="F78" s="164" t="s">
        <v>2780</v>
      </c>
      <c r="G78" s="136"/>
      <c r="H78" s="470"/>
      <c r="I78" s="470"/>
      <c r="J78" s="190"/>
      <c r="K78" s="190"/>
      <c r="L78" s="190"/>
      <c r="M78" s="190"/>
      <c r="N78" s="190"/>
      <c r="O78" s="190"/>
      <c r="P78" s="190"/>
      <c r="Q78" s="190"/>
      <c r="R78" s="190"/>
      <c r="S78" s="331"/>
      <c r="T78" s="331"/>
      <c r="U78" s="331"/>
      <c r="V78" s="331"/>
      <c r="W78" s="331"/>
      <c r="X78" s="331"/>
      <c r="Y78" s="190"/>
      <c r="Z78" s="190"/>
      <c r="AA78" s="983"/>
      <c r="AB78" s="983"/>
      <c r="AC78" s="983"/>
      <c r="AD78" s="983"/>
      <c r="AE78" s="983"/>
      <c r="AF78" s="983"/>
      <c r="AG78" s="983"/>
      <c r="AH78" s="983"/>
      <c r="AI78" s="983"/>
      <c r="AJ78" s="983"/>
      <c r="AK78" s="983"/>
      <c r="AL78" s="983"/>
      <c r="AM78" s="983"/>
      <c r="AN78" s="983"/>
      <c r="AO78" s="983"/>
      <c r="AP78" s="983"/>
      <c r="AQ78" s="983"/>
      <c r="AR78" s="983"/>
      <c r="AS78" s="983"/>
      <c r="AT78" s="983"/>
      <c r="AU78" s="983"/>
      <c r="AV78" s="983"/>
      <c r="AW78" s="983"/>
      <c r="AX78" s="983"/>
      <c r="AY78" s="983"/>
      <c r="AZ78" s="983"/>
      <c r="BA78" s="983"/>
      <c r="BB78" s="983"/>
      <c r="BC78" s="983"/>
      <c r="BD78" s="983"/>
      <c r="BE78" s="983"/>
      <c r="BF78" s="983"/>
      <c r="BG78" s="983"/>
      <c r="BH78" s="983"/>
      <c r="BI78" s="983"/>
      <c r="BJ78" s="983"/>
      <c r="BK78" s="983"/>
      <c r="BL78" s="983"/>
      <c r="BM78" s="983"/>
      <c r="BN78" s="983"/>
      <c r="BO78" s="983"/>
      <c r="BP78" s="983"/>
      <c r="BQ78" s="983"/>
      <c r="BR78" s="983"/>
      <c r="BS78" s="983"/>
      <c r="BT78" s="983"/>
      <c r="BU78" s="983"/>
      <c r="BV78" s="983"/>
      <c r="BW78" s="983"/>
      <c r="BX78" s="983"/>
      <c r="BY78" s="984"/>
      <c r="BZ78" s="984"/>
      <c r="CA78" s="984"/>
      <c r="CB78" s="985"/>
      <c r="CC78" s="985"/>
      <c r="CD78" s="985"/>
      <c r="CE78" s="985"/>
      <c r="CF78" s="985"/>
      <c r="CG78" s="985"/>
      <c r="CH78" s="1023"/>
      <c r="CI78" s="1023"/>
      <c r="CJ78" s="1023"/>
      <c r="CK78" s="1023"/>
      <c r="CL78" s="1023"/>
      <c r="CM78" s="1023"/>
      <c r="CN78" s="1023"/>
    </row>
    <row r="79" spans="1:92" ht="16.350000000000001" customHeight="1" x14ac:dyDescent="0.25">
      <c r="A79" s="2949" t="s">
        <v>3499</v>
      </c>
      <c r="B79" s="4229" t="s">
        <v>1013</v>
      </c>
      <c r="C79" s="192" t="s">
        <v>2777</v>
      </c>
      <c r="D79" s="164" t="s">
        <v>2778</v>
      </c>
      <c r="E79" s="164" t="s">
        <v>2779</v>
      </c>
      <c r="F79" s="164" t="s">
        <v>2780</v>
      </c>
      <c r="G79" s="136"/>
      <c r="H79" s="470"/>
      <c r="I79" s="470"/>
      <c r="J79" s="190"/>
      <c r="K79" s="190"/>
      <c r="L79" s="190"/>
      <c r="M79" s="190"/>
      <c r="N79" s="190"/>
      <c r="O79" s="190"/>
      <c r="P79" s="190"/>
      <c r="Q79" s="190"/>
      <c r="R79" s="190"/>
      <c r="S79" s="331"/>
      <c r="T79" s="331"/>
      <c r="U79" s="331"/>
      <c r="V79" s="331"/>
      <c r="W79" s="331"/>
      <c r="X79" s="331"/>
      <c r="Y79" s="190"/>
      <c r="Z79" s="190"/>
      <c r="AA79" s="983"/>
      <c r="AB79" s="983"/>
      <c r="AC79" s="983"/>
      <c r="AD79" s="983"/>
      <c r="AE79" s="983"/>
      <c r="AF79" s="983"/>
      <c r="AG79" s="983"/>
      <c r="AH79" s="983"/>
      <c r="AI79" s="983"/>
      <c r="AJ79" s="983"/>
      <c r="AK79" s="983"/>
      <c r="AL79" s="983"/>
      <c r="AM79" s="983"/>
      <c r="AN79" s="983"/>
      <c r="AO79" s="983"/>
      <c r="AP79" s="983"/>
      <c r="AQ79" s="983"/>
      <c r="AR79" s="983"/>
      <c r="AS79" s="983"/>
      <c r="AT79" s="983"/>
      <c r="AU79" s="983"/>
      <c r="AV79" s="983"/>
      <c r="AW79" s="983"/>
      <c r="AX79" s="983"/>
      <c r="AY79" s="983"/>
      <c r="AZ79" s="983"/>
      <c r="BA79" s="983"/>
      <c r="BB79" s="983"/>
      <c r="BC79" s="983"/>
      <c r="BD79" s="983"/>
      <c r="BE79" s="983"/>
      <c r="BF79" s="983"/>
      <c r="BG79" s="983"/>
      <c r="BH79" s="983"/>
      <c r="BI79" s="983"/>
      <c r="BJ79" s="983"/>
      <c r="BK79" s="983"/>
      <c r="BL79" s="983"/>
      <c r="BM79" s="983"/>
      <c r="BN79" s="983"/>
      <c r="BO79" s="983"/>
      <c r="BP79" s="983"/>
      <c r="BQ79" s="983"/>
      <c r="BR79" s="983"/>
      <c r="BS79" s="983"/>
      <c r="BT79" s="983"/>
      <c r="BU79" s="983"/>
      <c r="BV79" s="983"/>
      <c r="BW79" s="983"/>
      <c r="BX79" s="983"/>
      <c r="BY79" s="984"/>
      <c r="BZ79" s="984"/>
      <c r="CA79" s="984"/>
      <c r="CB79" s="985"/>
      <c r="CC79" s="985"/>
      <c r="CD79" s="985"/>
      <c r="CE79" s="985"/>
      <c r="CF79" s="985"/>
      <c r="CG79" s="985"/>
      <c r="CH79" s="1023"/>
      <c r="CI79" s="1023"/>
      <c r="CJ79" s="1023"/>
      <c r="CK79" s="1023"/>
      <c r="CL79" s="1023"/>
      <c r="CM79" s="1023"/>
      <c r="CN79" s="1023"/>
    </row>
    <row r="80" spans="1:92" ht="16.350000000000001" customHeight="1" x14ac:dyDescent="0.25">
      <c r="A80" s="2949" t="s">
        <v>3500</v>
      </c>
      <c r="B80" s="4229" t="s">
        <v>133</v>
      </c>
      <c r="C80" s="192" t="s">
        <v>2777</v>
      </c>
      <c r="D80" s="164" t="s">
        <v>2778</v>
      </c>
      <c r="E80" s="164" t="s">
        <v>2779</v>
      </c>
      <c r="F80" s="164" t="s">
        <v>2780</v>
      </c>
      <c r="G80" s="136"/>
      <c r="H80" s="470"/>
      <c r="I80" s="470"/>
      <c r="J80" s="190"/>
      <c r="K80" s="190"/>
      <c r="L80" s="190"/>
      <c r="M80" s="190"/>
      <c r="N80" s="190"/>
      <c r="O80" s="190"/>
      <c r="P80" s="190"/>
      <c r="Q80" s="190"/>
      <c r="R80" s="190"/>
      <c r="S80" s="331"/>
      <c r="T80" s="331"/>
      <c r="U80" s="331"/>
      <c r="V80" s="331"/>
      <c r="W80" s="331"/>
      <c r="X80" s="331"/>
      <c r="Y80" s="190"/>
      <c r="Z80" s="190"/>
      <c r="AA80" s="983"/>
      <c r="AB80" s="983"/>
      <c r="AC80" s="983"/>
      <c r="AD80" s="983"/>
      <c r="AE80" s="983"/>
      <c r="AF80" s="983"/>
      <c r="AG80" s="983"/>
      <c r="AH80" s="983"/>
      <c r="AI80" s="983"/>
      <c r="AJ80" s="983"/>
      <c r="AK80" s="983"/>
      <c r="AL80" s="983"/>
      <c r="AM80" s="983"/>
      <c r="AN80" s="983"/>
      <c r="AO80" s="983"/>
      <c r="AP80" s="983"/>
      <c r="AQ80" s="983"/>
      <c r="AR80" s="983"/>
      <c r="AS80" s="983"/>
      <c r="AT80" s="983"/>
      <c r="AU80" s="983"/>
      <c r="AV80" s="983"/>
      <c r="AW80" s="983"/>
      <c r="AX80" s="983"/>
      <c r="AY80" s="983"/>
      <c r="AZ80" s="983"/>
      <c r="BA80" s="983"/>
      <c r="BB80" s="983"/>
      <c r="BC80" s="983"/>
      <c r="BD80" s="983"/>
      <c r="BE80" s="983"/>
      <c r="BF80" s="983"/>
      <c r="BG80" s="983"/>
      <c r="BH80" s="983"/>
      <c r="BI80" s="983"/>
      <c r="BJ80" s="983"/>
      <c r="BK80" s="983"/>
      <c r="BL80" s="983"/>
      <c r="BM80" s="983"/>
      <c r="BN80" s="983"/>
      <c r="BO80" s="983"/>
      <c r="BP80" s="983"/>
      <c r="BQ80" s="983"/>
      <c r="BR80" s="983"/>
      <c r="BS80" s="983"/>
      <c r="BT80" s="983"/>
      <c r="BU80" s="983"/>
      <c r="BV80" s="983"/>
      <c r="BW80" s="983"/>
      <c r="BX80" s="983"/>
      <c r="BY80" s="984"/>
      <c r="BZ80" s="984"/>
      <c r="CA80" s="984"/>
      <c r="CB80" s="985"/>
      <c r="CC80" s="985"/>
      <c r="CD80" s="985"/>
      <c r="CE80" s="985"/>
      <c r="CF80" s="985"/>
      <c r="CG80" s="985"/>
      <c r="CH80" s="1023"/>
      <c r="CI80" s="1023"/>
      <c r="CJ80" s="1023"/>
      <c r="CK80" s="1023"/>
      <c r="CL80" s="1023"/>
      <c r="CM80" s="1023"/>
      <c r="CN80" s="1023"/>
    </row>
    <row r="81" spans="1:92" ht="16.350000000000001" customHeight="1" x14ac:dyDescent="0.25">
      <c r="A81" s="2949" t="s">
        <v>3501</v>
      </c>
      <c r="B81" s="4229" t="s">
        <v>1010</v>
      </c>
      <c r="C81" s="192" t="s">
        <v>2777</v>
      </c>
      <c r="D81" s="164" t="s">
        <v>2778</v>
      </c>
      <c r="E81" s="164" t="s">
        <v>2779</v>
      </c>
      <c r="F81" s="164" t="s">
        <v>2780</v>
      </c>
      <c r="G81" s="136"/>
      <c r="H81" s="470"/>
      <c r="I81" s="470"/>
      <c r="J81" s="190"/>
      <c r="K81" s="190"/>
      <c r="L81" s="190"/>
      <c r="M81" s="190"/>
      <c r="N81" s="190"/>
      <c r="O81" s="190"/>
      <c r="P81" s="190"/>
      <c r="Q81" s="190"/>
      <c r="R81" s="190"/>
      <c r="S81" s="331"/>
      <c r="T81" s="331"/>
      <c r="U81" s="331"/>
      <c r="V81" s="331"/>
      <c r="W81" s="331"/>
      <c r="X81" s="331"/>
      <c r="Y81" s="190"/>
      <c r="Z81" s="190"/>
      <c r="AA81" s="983"/>
      <c r="AB81" s="983"/>
      <c r="AC81" s="983"/>
      <c r="AD81" s="983"/>
      <c r="AE81" s="983"/>
      <c r="AF81" s="983"/>
      <c r="AG81" s="983"/>
      <c r="AH81" s="983"/>
      <c r="AI81" s="983"/>
      <c r="AJ81" s="983"/>
      <c r="AK81" s="983"/>
      <c r="AL81" s="983"/>
      <c r="AM81" s="983"/>
      <c r="AN81" s="983"/>
      <c r="AO81" s="983"/>
      <c r="AP81" s="983"/>
      <c r="AQ81" s="983"/>
      <c r="AR81" s="983"/>
      <c r="AS81" s="983"/>
      <c r="AT81" s="983"/>
      <c r="AU81" s="983"/>
      <c r="AV81" s="983"/>
      <c r="AW81" s="983"/>
      <c r="AX81" s="983"/>
      <c r="AY81" s="983"/>
      <c r="AZ81" s="983"/>
      <c r="BA81" s="983"/>
      <c r="BB81" s="983"/>
      <c r="BC81" s="983"/>
      <c r="BD81" s="983"/>
      <c r="BE81" s="983"/>
      <c r="BF81" s="983"/>
      <c r="BG81" s="983"/>
      <c r="BH81" s="983"/>
      <c r="BI81" s="983"/>
      <c r="BJ81" s="983"/>
      <c r="BK81" s="983"/>
      <c r="BL81" s="983"/>
      <c r="BM81" s="983"/>
      <c r="BN81" s="983"/>
      <c r="BO81" s="983"/>
      <c r="BP81" s="983"/>
      <c r="BQ81" s="983"/>
      <c r="BR81" s="983"/>
      <c r="BS81" s="983"/>
      <c r="BT81" s="983"/>
      <c r="BU81" s="983"/>
      <c r="BV81" s="983"/>
      <c r="BW81" s="983"/>
      <c r="BX81" s="983"/>
      <c r="BY81" s="984"/>
      <c r="BZ81" s="984"/>
      <c r="CA81" s="984"/>
      <c r="CB81" s="985"/>
      <c r="CC81" s="985"/>
      <c r="CD81" s="985"/>
      <c r="CE81" s="985"/>
      <c r="CF81" s="985"/>
      <c r="CG81" s="985"/>
      <c r="CH81" s="1023"/>
      <c r="CI81" s="1023"/>
      <c r="CJ81" s="1023"/>
      <c r="CK81" s="1023"/>
      <c r="CL81" s="1023"/>
      <c r="CM81" s="1023"/>
      <c r="CN81" s="1023"/>
    </row>
    <row r="82" spans="1:92" ht="16.350000000000001" customHeight="1" x14ac:dyDescent="0.25">
      <c r="A82" s="2949" t="s">
        <v>3502</v>
      </c>
      <c r="B82" s="4229" t="s">
        <v>1036</v>
      </c>
      <c r="C82" s="192" t="s">
        <v>2777</v>
      </c>
      <c r="D82" s="164" t="s">
        <v>2778</v>
      </c>
      <c r="E82" s="164" t="s">
        <v>2779</v>
      </c>
      <c r="F82" s="164" t="s">
        <v>2780</v>
      </c>
      <c r="G82" s="136"/>
      <c r="H82" s="470"/>
      <c r="I82" s="470"/>
      <c r="J82" s="190"/>
      <c r="K82" s="190"/>
      <c r="L82" s="190"/>
      <c r="M82" s="190"/>
      <c r="N82" s="190"/>
      <c r="O82" s="190"/>
      <c r="P82" s="190"/>
      <c r="Q82" s="190"/>
      <c r="R82" s="190"/>
      <c r="S82" s="331"/>
      <c r="T82" s="331"/>
      <c r="U82" s="331"/>
      <c r="V82" s="331"/>
      <c r="W82" s="331"/>
      <c r="X82" s="331"/>
      <c r="Y82" s="190"/>
      <c r="Z82" s="190"/>
      <c r="AA82" s="983"/>
      <c r="AB82" s="983"/>
      <c r="AC82" s="983"/>
      <c r="AD82" s="983"/>
      <c r="AE82" s="983"/>
      <c r="AF82" s="983"/>
      <c r="AG82" s="983"/>
      <c r="AH82" s="983"/>
      <c r="AI82" s="983"/>
      <c r="AJ82" s="983"/>
      <c r="AK82" s="983"/>
      <c r="AL82" s="983"/>
      <c r="AM82" s="983"/>
      <c r="AN82" s="983"/>
      <c r="AO82" s="983"/>
      <c r="AP82" s="983"/>
      <c r="AQ82" s="983"/>
      <c r="AR82" s="983"/>
      <c r="AS82" s="983"/>
      <c r="AT82" s="983"/>
      <c r="AU82" s="983"/>
      <c r="AV82" s="983"/>
      <c r="AW82" s="983"/>
      <c r="AX82" s="983"/>
      <c r="AY82" s="983"/>
      <c r="AZ82" s="983"/>
      <c r="BA82" s="983"/>
      <c r="BB82" s="983"/>
      <c r="BC82" s="983"/>
      <c r="BD82" s="983"/>
      <c r="BE82" s="983"/>
      <c r="BF82" s="983"/>
      <c r="BG82" s="983"/>
      <c r="BH82" s="983"/>
      <c r="BI82" s="983"/>
      <c r="BJ82" s="983"/>
      <c r="BK82" s="983"/>
      <c r="BL82" s="983"/>
      <c r="BM82" s="983"/>
      <c r="BN82" s="983"/>
      <c r="BO82" s="983"/>
      <c r="BP82" s="983"/>
      <c r="BQ82" s="983"/>
      <c r="BR82" s="983"/>
      <c r="BS82" s="983"/>
      <c r="BT82" s="983"/>
      <c r="BU82" s="983"/>
      <c r="BV82" s="983"/>
      <c r="BW82" s="983"/>
      <c r="BX82" s="983"/>
      <c r="BY82" s="984"/>
      <c r="BZ82" s="984"/>
      <c r="CA82" s="984"/>
      <c r="CB82" s="985"/>
      <c r="CC82" s="985"/>
      <c r="CD82" s="985"/>
      <c r="CE82" s="985"/>
      <c r="CF82" s="985"/>
      <c r="CG82" s="985"/>
      <c r="CH82" s="1023"/>
      <c r="CI82" s="1023"/>
      <c r="CJ82" s="1023"/>
      <c r="CK82" s="1023"/>
      <c r="CL82" s="1023"/>
      <c r="CM82" s="1023"/>
      <c r="CN82" s="1023"/>
    </row>
    <row r="83" spans="1:92" ht="16.350000000000001" customHeight="1" x14ac:dyDescent="0.25">
      <c r="A83" s="2949" t="s">
        <v>3503</v>
      </c>
      <c r="B83" s="4229" t="s">
        <v>1014</v>
      </c>
      <c r="C83" s="192" t="s">
        <v>2777</v>
      </c>
      <c r="D83" s="164" t="s">
        <v>2778</v>
      </c>
      <c r="E83" s="164" t="s">
        <v>2779</v>
      </c>
      <c r="F83" s="164" t="s">
        <v>2780</v>
      </c>
      <c r="G83" s="136"/>
      <c r="H83" s="470"/>
      <c r="I83" s="470"/>
      <c r="J83" s="190"/>
      <c r="K83" s="190"/>
      <c r="L83" s="190"/>
      <c r="M83" s="190"/>
      <c r="N83" s="190"/>
      <c r="O83" s="190"/>
      <c r="P83" s="190"/>
      <c r="Q83" s="190"/>
      <c r="R83" s="190"/>
      <c r="S83" s="331"/>
      <c r="T83" s="331"/>
      <c r="U83" s="331"/>
      <c r="V83" s="331"/>
      <c r="W83" s="331"/>
      <c r="X83" s="331"/>
      <c r="Y83" s="190"/>
      <c r="Z83" s="190"/>
      <c r="AA83" s="983"/>
      <c r="AB83" s="983"/>
      <c r="AC83" s="983"/>
      <c r="AD83" s="983"/>
      <c r="AE83" s="983"/>
      <c r="AF83" s="983"/>
      <c r="AG83" s="983"/>
      <c r="AH83" s="983"/>
      <c r="AI83" s="983"/>
      <c r="AJ83" s="983"/>
      <c r="AK83" s="983"/>
      <c r="AL83" s="983"/>
      <c r="AM83" s="983"/>
      <c r="AN83" s="983"/>
      <c r="AO83" s="983"/>
      <c r="AP83" s="983"/>
      <c r="AQ83" s="983"/>
      <c r="AR83" s="983"/>
      <c r="AS83" s="983"/>
      <c r="AT83" s="983"/>
      <c r="AU83" s="983"/>
      <c r="AV83" s="983"/>
      <c r="AW83" s="983"/>
      <c r="AX83" s="983"/>
      <c r="AY83" s="983"/>
      <c r="AZ83" s="983"/>
      <c r="BA83" s="983"/>
      <c r="BB83" s="983"/>
      <c r="BC83" s="983"/>
      <c r="BD83" s="983"/>
      <c r="BE83" s="983"/>
      <c r="BF83" s="983"/>
      <c r="BG83" s="983"/>
      <c r="BH83" s="983"/>
      <c r="BI83" s="983"/>
      <c r="BJ83" s="983"/>
      <c r="BK83" s="983"/>
      <c r="BL83" s="983"/>
      <c r="BM83" s="983"/>
      <c r="BN83" s="983"/>
      <c r="BO83" s="983"/>
      <c r="BP83" s="983"/>
      <c r="BQ83" s="983"/>
      <c r="BR83" s="983"/>
      <c r="BS83" s="983"/>
      <c r="BT83" s="983"/>
      <c r="BU83" s="983"/>
      <c r="BV83" s="983"/>
      <c r="BW83" s="983"/>
      <c r="BX83" s="983"/>
      <c r="BY83" s="984"/>
      <c r="BZ83" s="984"/>
      <c r="CA83" s="984"/>
      <c r="CB83" s="985"/>
      <c r="CC83" s="985"/>
      <c r="CD83" s="985"/>
      <c r="CE83" s="985"/>
      <c r="CF83" s="985"/>
      <c r="CG83" s="985"/>
      <c r="CH83" s="1023"/>
      <c r="CI83" s="1023"/>
      <c r="CJ83" s="1023"/>
      <c r="CK83" s="1023"/>
      <c r="CL83" s="1023"/>
      <c r="CM83" s="1023"/>
      <c r="CN83" s="1023"/>
    </row>
    <row r="84" spans="1:92" ht="16.350000000000001" customHeight="1" x14ac:dyDescent="0.25">
      <c r="A84" s="2949" t="s">
        <v>3504</v>
      </c>
      <c r="B84" s="4229" t="s">
        <v>1011</v>
      </c>
      <c r="C84" s="2466" t="s">
        <v>2777</v>
      </c>
      <c r="D84" s="2397" t="s">
        <v>2778</v>
      </c>
      <c r="E84" s="2397" t="s">
        <v>2779</v>
      </c>
      <c r="F84" s="2397" t="s">
        <v>2780</v>
      </c>
      <c r="G84" s="136"/>
      <c r="H84" s="470"/>
      <c r="I84" s="470"/>
      <c r="J84" s="190"/>
      <c r="K84" s="190"/>
      <c r="L84" s="190"/>
      <c r="M84" s="190"/>
      <c r="N84" s="190"/>
      <c r="O84" s="190"/>
      <c r="P84" s="190"/>
      <c r="Q84" s="190"/>
      <c r="R84" s="190"/>
      <c r="S84" s="331"/>
      <c r="T84" s="331"/>
      <c r="U84" s="331"/>
      <c r="V84" s="331"/>
      <c r="W84" s="331"/>
      <c r="X84" s="331"/>
      <c r="Y84" s="190"/>
      <c r="Z84" s="190"/>
      <c r="AA84" s="983"/>
      <c r="AB84" s="983"/>
      <c r="AC84" s="983"/>
      <c r="AD84" s="983"/>
      <c r="AE84" s="983"/>
      <c r="AF84" s="983"/>
      <c r="AG84" s="983"/>
      <c r="AH84" s="983"/>
      <c r="AI84" s="983"/>
      <c r="AJ84" s="983"/>
      <c r="AK84" s="983"/>
      <c r="AL84" s="983"/>
      <c r="AM84" s="983"/>
      <c r="AN84" s="983"/>
      <c r="AO84" s="983"/>
      <c r="AP84" s="983"/>
      <c r="AQ84" s="983"/>
      <c r="AR84" s="983"/>
      <c r="AS84" s="983"/>
      <c r="AT84" s="983"/>
      <c r="AU84" s="983"/>
      <c r="AV84" s="983"/>
      <c r="AW84" s="983"/>
      <c r="AX84" s="983"/>
      <c r="AY84" s="983"/>
      <c r="AZ84" s="983"/>
      <c r="BA84" s="983"/>
      <c r="BB84" s="983"/>
      <c r="BC84" s="983"/>
      <c r="BD84" s="983"/>
      <c r="BE84" s="983"/>
      <c r="BF84" s="983"/>
      <c r="BG84" s="983"/>
      <c r="BH84" s="983"/>
      <c r="BI84" s="983"/>
      <c r="BJ84" s="983"/>
      <c r="BK84" s="983"/>
      <c r="BL84" s="983"/>
      <c r="BM84" s="983"/>
      <c r="BN84" s="983"/>
      <c r="BO84" s="983"/>
      <c r="BP84" s="983"/>
      <c r="BQ84" s="983"/>
      <c r="BR84" s="983"/>
      <c r="BS84" s="983"/>
      <c r="BT84" s="983"/>
      <c r="BU84" s="983"/>
      <c r="BV84" s="983"/>
      <c r="BW84" s="983"/>
      <c r="BX84" s="983"/>
      <c r="BY84" s="984"/>
      <c r="BZ84" s="984"/>
      <c r="CA84" s="984"/>
      <c r="CB84" s="985"/>
      <c r="CC84" s="985"/>
      <c r="CD84" s="985"/>
      <c r="CE84" s="985"/>
      <c r="CF84" s="985"/>
      <c r="CG84" s="985"/>
      <c r="CH84" s="1023"/>
      <c r="CI84" s="1023"/>
      <c r="CJ84" s="1023"/>
      <c r="CK84" s="1023"/>
      <c r="CL84" s="1023"/>
      <c r="CM84" s="1023"/>
      <c r="CN84" s="1023"/>
    </row>
    <row r="85" spans="1:92" ht="16.350000000000001" customHeight="1" x14ac:dyDescent="0.25">
      <c r="A85" s="2995"/>
      <c r="B85" s="4265" t="s">
        <v>42</v>
      </c>
      <c r="C85" s="4400">
        <f>SUM(C66:C84)</f>
        <v>0</v>
      </c>
      <c r="D85" s="4400">
        <f>SUM(D66:D84)</f>
        <v>0</v>
      </c>
      <c r="E85" s="4400">
        <f>SUM(E66:E84)</f>
        <v>0</v>
      </c>
      <c r="F85" s="4400">
        <f>SUM(F66:F84)</f>
        <v>0</v>
      </c>
      <c r="G85" s="136"/>
      <c r="H85" s="470"/>
      <c r="I85" s="470"/>
      <c r="J85" s="190"/>
      <c r="K85" s="190"/>
      <c r="L85" s="190"/>
      <c r="M85" s="190"/>
      <c r="N85" s="190"/>
      <c r="O85" s="190"/>
      <c r="P85" s="190"/>
      <c r="Q85" s="190"/>
      <c r="R85" s="190"/>
      <c r="S85" s="331"/>
      <c r="T85" s="331"/>
      <c r="U85" s="331"/>
      <c r="V85" s="331"/>
      <c r="W85" s="219"/>
      <c r="X85" s="331"/>
      <c r="Y85" s="190"/>
      <c r="Z85" s="190"/>
      <c r="AA85" s="983"/>
      <c r="AB85" s="983"/>
      <c r="AC85" s="983"/>
      <c r="AD85" s="983"/>
      <c r="AE85" s="983"/>
      <c r="AF85" s="983"/>
      <c r="AG85" s="983"/>
      <c r="AH85" s="983"/>
      <c r="AI85" s="983"/>
      <c r="AJ85" s="983"/>
      <c r="AK85" s="983"/>
      <c r="AL85" s="983"/>
      <c r="AM85" s="983"/>
      <c r="AN85" s="983"/>
      <c r="AO85" s="983"/>
      <c r="AP85" s="983"/>
      <c r="AQ85" s="983"/>
      <c r="AR85" s="983"/>
      <c r="AS85" s="983"/>
      <c r="AT85" s="983"/>
      <c r="AU85" s="983"/>
      <c r="AV85" s="983"/>
      <c r="AW85" s="983"/>
      <c r="AX85" s="983"/>
      <c r="AY85" s="983"/>
      <c r="AZ85" s="983"/>
      <c r="BA85" s="983"/>
      <c r="BB85" s="983"/>
      <c r="BC85" s="983"/>
      <c r="BD85" s="983"/>
      <c r="BE85" s="983"/>
      <c r="BF85" s="983"/>
      <c r="BG85" s="983"/>
      <c r="BH85" s="983"/>
      <c r="BI85" s="983"/>
      <c r="BJ85" s="983"/>
      <c r="BK85" s="983"/>
      <c r="BL85" s="983"/>
      <c r="BM85" s="983"/>
      <c r="BN85" s="983"/>
      <c r="BO85" s="983"/>
      <c r="BP85" s="983"/>
      <c r="BQ85" s="983"/>
      <c r="BR85" s="983"/>
      <c r="BS85" s="983"/>
      <c r="BT85" s="983"/>
      <c r="BU85" s="983"/>
      <c r="BV85" s="983"/>
      <c r="BW85" s="983"/>
      <c r="BX85" s="983"/>
      <c r="BY85" s="984"/>
      <c r="BZ85" s="984"/>
      <c r="CA85" s="984"/>
      <c r="CB85" s="985"/>
      <c r="CC85" s="985"/>
      <c r="CD85" s="985"/>
      <c r="CE85" s="985"/>
      <c r="CF85" s="985"/>
      <c r="CG85" s="985"/>
      <c r="CH85" s="1023"/>
      <c r="CI85" s="1023"/>
      <c r="CJ85" s="1023"/>
      <c r="CK85" s="1023"/>
      <c r="CL85" s="1023"/>
      <c r="CM85" s="1023"/>
      <c r="CN85" s="1023"/>
    </row>
    <row r="86" spans="1:92" ht="32.1" customHeight="1" x14ac:dyDescent="0.25">
      <c r="A86" s="983"/>
      <c r="B86" s="85" t="s">
        <v>836</v>
      </c>
      <c r="C86" s="190"/>
      <c r="D86" s="190"/>
      <c r="E86" s="190"/>
      <c r="F86" s="190"/>
      <c r="G86" s="190"/>
      <c r="H86" s="190"/>
      <c r="I86" s="190"/>
      <c r="J86" s="190"/>
      <c r="K86" s="190"/>
      <c r="L86" s="190"/>
      <c r="M86" s="190"/>
      <c r="N86" s="190"/>
      <c r="O86" s="190"/>
      <c r="P86" s="190"/>
      <c r="Q86" s="190"/>
      <c r="R86" s="190"/>
      <c r="S86" s="190"/>
      <c r="T86" s="190"/>
      <c r="U86" s="190"/>
      <c r="V86" s="190"/>
      <c r="W86" s="190"/>
      <c r="X86" s="190"/>
      <c r="Y86" s="138"/>
      <c r="Z86" s="190"/>
      <c r="AA86" s="190"/>
      <c r="AB86" s="190"/>
      <c r="AC86" s="190"/>
      <c r="AD86" s="190"/>
      <c r="AE86" s="190"/>
      <c r="AF86" s="190"/>
      <c r="AG86" s="190"/>
      <c r="AH86" s="190"/>
      <c r="AI86" s="190"/>
      <c r="AJ86" s="190"/>
      <c r="AK86" s="190"/>
      <c r="AL86" s="190"/>
      <c r="AM86" s="190"/>
      <c r="AN86" s="190"/>
      <c r="AO86" s="190"/>
      <c r="AP86" s="190"/>
      <c r="AQ86" s="190"/>
      <c r="AR86" s="983"/>
      <c r="AS86" s="983"/>
      <c r="AT86" s="983"/>
      <c r="AU86" s="983"/>
      <c r="AV86" s="983"/>
      <c r="AW86" s="983"/>
      <c r="AX86" s="983"/>
      <c r="AY86" s="983"/>
      <c r="AZ86" s="983"/>
      <c r="BA86" s="983"/>
      <c r="BB86" s="983"/>
      <c r="BC86" s="983"/>
      <c r="BD86" s="983"/>
      <c r="BE86" s="983"/>
      <c r="BF86" s="983"/>
      <c r="BG86" s="983"/>
      <c r="BH86" s="983"/>
      <c r="BI86" s="983"/>
      <c r="BJ86" s="983"/>
      <c r="BK86" s="983"/>
      <c r="BL86" s="983"/>
      <c r="BM86" s="983"/>
      <c r="BN86" s="983"/>
      <c r="BO86" s="983"/>
      <c r="BP86" s="983"/>
      <c r="BQ86" s="983"/>
      <c r="BR86" s="983"/>
      <c r="BS86" s="983"/>
      <c r="BT86" s="983"/>
      <c r="BU86" s="983"/>
      <c r="BV86" s="983"/>
      <c r="BW86" s="983"/>
      <c r="BX86" s="983"/>
      <c r="BY86" s="983"/>
      <c r="BZ86" s="983"/>
      <c r="CA86" s="983"/>
      <c r="CB86" s="985"/>
      <c r="CC86" s="985"/>
      <c r="CD86" s="985"/>
      <c r="CE86" s="985"/>
      <c r="CF86" s="985"/>
      <c r="CG86" s="985"/>
      <c r="CH86" s="1023"/>
      <c r="CI86" s="1023"/>
      <c r="CJ86" s="1023"/>
      <c r="CK86" s="1023"/>
      <c r="CL86" s="1023"/>
      <c r="CM86" s="1023"/>
      <c r="CN86" s="1023"/>
    </row>
    <row r="87" spans="1:92" ht="16.350000000000001" customHeight="1" x14ac:dyDescent="0.25">
      <c r="A87" s="983"/>
      <c r="B87" s="5150" t="s">
        <v>535</v>
      </c>
      <c r="C87" s="5152"/>
      <c r="D87" s="5150" t="s">
        <v>511</v>
      </c>
      <c r="E87" s="5151"/>
      <c r="F87" s="5152"/>
      <c r="G87" s="5263" t="s">
        <v>406</v>
      </c>
      <c r="H87" s="5155"/>
      <c r="I87" s="5155"/>
      <c r="J87" s="5155"/>
      <c r="K87" s="5155"/>
      <c r="L87" s="5155"/>
      <c r="M87" s="5155"/>
      <c r="N87" s="5155"/>
      <c r="O87" s="5155"/>
      <c r="P87" s="5155"/>
      <c r="Q87" s="5155"/>
      <c r="R87" s="5155"/>
      <c r="S87" s="5155"/>
      <c r="T87" s="5155"/>
      <c r="U87" s="5155"/>
      <c r="V87" s="5155"/>
      <c r="W87" s="5155"/>
      <c r="X87" s="5155"/>
      <c r="Y87" s="5155"/>
      <c r="Z87" s="5155"/>
      <c r="AA87" s="5155"/>
      <c r="AB87" s="5155"/>
      <c r="AC87" s="5155"/>
      <c r="AD87" s="5155"/>
      <c r="AE87" s="5155"/>
      <c r="AF87" s="5155"/>
      <c r="AG87" s="5155"/>
      <c r="AH87" s="5155"/>
      <c r="AI87" s="5155"/>
      <c r="AJ87" s="5155"/>
      <c r="AK87" s="5155"/>
      <c r="AL87" s="5155"/>
      <c r="AM87" s="5155"/>
      <c r="AN87" s="5264"/>
      <c r="AO87" s="5142" t="s">
        <v>1357</v>
      </c>
      <c r="AP87" s="5871" t="s">
        <v>1427</v>
      </c>
      <c r="AQ87" s="987"/>
      <c r="AR87" s="987"/>
      <c r="AS87" s="987"/>
      <c r="AT87" s="987"/>
      <c r="AU87" s="987"/>
      <c r="AV87" s="987"/>
      <c r="AW87" s="987"/>
      <c r="AX87" s="987"/>
      <c r="AY87" s="987"/>
      <c r="AZ87" s="987"/>
      <c r="BA87" s="987"/>
      <c r="BB87" s="987"/>
      <c r="BC87" s="987"/>
      <c r="BD87" s="983"/>
      <c r="BE87" s="983"/>
      <c r="BF87" s="983"/>
      <c r="BG87" s="983"/>
      <c r="BH87" s="983"/>
      <c r="BI87" s="983"/>
      <c r="BJ87" s="983"/>
      <c r="BK87" s="983"/>
      <c r="BL87" s="983"/>
      <c r="BM87" s="983"/>
      <c r="BN87" s="983"/>
      <c r="BO87" s="983"/>
      <c r="BP87" s="983"/>
      <c r="BQ87" s="983"/>
      <c r="BR87" s="983"/>
      <c r="BS87" s="983"/>
      <c r="BT87" s="983"/>
      <c r="BU87" s="983"/>
      <c r="BV87" s="983"/>
      <c r="BW87" s="983"/>
      <c r="BX87" s="983"/>
      <c r="BY87" s="984"/>
      <c r="BZ87" s="984"/>
      <c r="CA87" s="984"/>
      <c r="CB87" s="985"/>
      <c r="CC87" s="985"/>
      <c r="CD87" s="985"/>
      <c r="CE87" s="985"/>
      <c r="CF87" s="985"/>
      <c r="CG87" s="985"/>
      <c r="CH87" s="1023"/>
      <c r="CI87" s="1023"/>
      <c r="CJ87" s="1023"/>
      <c r="CK87" s="1023"/>
      <c r="CL87" s="1023"/>
      <c r="CM87" s="1023"/>
      <c r="CN87" s="1023"/>
    </row>
    <row r="88" spans="1:92" ht="16.350000000000001" customHeight="1" x14ac:dyDescent="0.25">
      <c r="A88" s="983"/>
      <c r="B88" s="5153"/>
      <c r="C88" s="5143"/>
      <c r="D88" s="5844"/>
      <c r="E88" s="5317"/>
      <c r="F88" s="5297"/>
      <c r="G88" s="5263" t="s">
        <v>350</v>
      </c>
      <c r="H88" s="5264"/>
      <c r="I88" s="5155" t="s">
        <v>351</v>
      </c>
      <c r="J88" s="5155"/>
      <c r="K88" s="5263" t="s">
        <v>352</v>
      </c>
      <c r="L88" s="5264"/>
      <c r="M88" s="5155" t="s">
        <v>319</v>
      </c>
      <c r="N88" s="5155"/>
      <c r="O88" s="5263" t="s">
        <v>10</v>
      </c>
      <c r="P88" s="5264"/>
      <c r="Q88" s="5155" t="s">
        <v>11</v>
      </c>
      <c r="R88" s="5155"/>
      <c r="S88" s="5263" t="s">
        <v>12</v>
      </c>
      <c r="T88" s="5264"/>
      <c r="U88" s="5155" t="s">
        <v>13</v>
      </c>
      <c r="V88" s="5155"/>
      <c r="W88" s="5263" t="s">
        <v>14</v>
      </c>
      <c r="X88" s="5264"/>
      <c r="Y88" s="5155" t="s">
        <v>15</v>
      </c>
      <c r="Z88" s="5264"/>
      <c r="AA88" s="5263" t="s">
        <v>16</v>
      </c>
      <c r="AB88" s="5155"/>
      <c r="AC88" s="5263" t="s">
        <v>17</v>
      </c>
      <c r="AD88" s="5264"/>
      <c r="AE88" s="5155" t="s">
        <v>18</v>
      </c>
      <c r="AF88" s="5155"/>
      <c r="AG88" s="5263" t="s">
        <v>19</v>
      </c>
      <c r="AH88" s="5264"/>
      <c r="AI88" s="5155" t="s">
        <v>20</v>
      </c>
      <c r="AJ88" s="5155"/>
      <c r="AK88" s="5263" t="s">
        <v>21</v>
      </c>
      <c r="AL88" s="5264"/>
      <c r="AM88" s="5155" t="s">
        <v>22</v>
      </c>
      <c r="AN88" s="5264"/>
      <c r="AO88" s="5103"/>
      <c r="AP88" s="5872"/>
      <c r="AQ88" s="987"/>
      <c r="AR88" s="987"/>
      <c r="AS88" s="987"/>
      <c r="AT88" s="987"/>
      <c r="AU88" s="987"/>
      <c r="AV88" s="987"/>
      <c r="AW88" s="987"/>
      <c r="AX88" s="987"/>
      <c r="AY88" s="987"/>
      <c r="AZ88" s="987"/>
      <c r="BA88" s="987"/>
      <c r="BB88" s="987"/>
      <c r="BC88" s="987"/>
      <c r="BD88" s="983"/>
      <c r="BE88" s="983"/>
      <c r="BF88" s="983"/>
      <c r="BG88" s="983"/>
      <c r="BH88" s="983"/>
      <c r="BI88" s="983"/>
      <c r="BJ88" s="983"/>
      <c r="BK88" s="983"/>
      <c r="BL88" s="983"/>
      <c r="BM88" s="983"/>
      <c r="BN88" s="983"/>
      <c r="BO88" s="983"/>
      <c r="BP88" s="983"/>
      <c r="BQ88" s="983"/>
      <c r="BR88" s="983"/>
      <c r="BS88" s="983"/>
      <c r="BT88" s="983"/>
      <c r="BU88" s="983"/>
      <c r="BV88" s="983"/>
      <c r="BW88" s="983"/>
      <c r="BX88" s="983"/>
      <c r="BY88" s="984"/>
      <c r="BZ88" s="984"/>
      <c r="CA88" s="984"/>
      <c r="CB88" s="985"/>
      <c r="CC88" s="985"/>
      <c r="CD88" s="985"/>
      <c r="CE88" s="985"/>
      <c r="CF88" s="985"/>
      <c r="CG88" s="985"/>
      <c r="CH88" s="1023"/>
      <c r="CI88" s="1023"/>
      <c r="CJ88" s="1023"/>
      <c r="CK88" s="1023"/>
      <c r="CL88" s="1023"/>
      <c r="CM88" s="1023"/>
      <c r="CN88" s="1023"/>
    </row>
    <row r="89" spans="1:92" ht="16.350000000000001" customHeight="1" x14ac:dyDescent="0.25">
      <c r="A89" s="983"/>
      <c r="B89" s="5844"/>
      <c r="C89" s="5317"/>
      <c r="D89" s="4336" t="s">
        <v>184</v>
      </c>
      <c r="E89" s="4316" t="s">
        <v>413</v>
      </c>
      <c r="F89" s="4266" t="s">
        <v>25</v>
      </c>
      <c r="G89" s="4265" t="s">
        <v>413</v>
      </c>
      <c r="H89" s="4266" t="s">
        <v>25</v>
      </c>
      <c r="I89" s="4249" t="s">
        <v>413</v>
      </c>
      <c r="J89" s="4249" t="s">
        <v>25</v>
      </c>
      <c r="K89" s="4265" t="s">
        <v>413</v>
      </c>
      <c r="L89" s="4266" t="s">
        <v>25</v>
      </c>
      <c r="M89" s="4249" t="s">
        <v>413</v>
      </c>
      <c r="N89" s="4249" t="s">
        <v>25</v>
      </c>
      <c r="O89" s="4265" t="s">
        <v>413</v>
      </c>
      <c r="P89" s="4266" t="s">
        <v>25</v>
      </c>
      <c r="Q89" s="4249" t="s">
        <v>413</v>
      </c>
      <c r="R89" s="4249" t="s">
        <v>25</v>
      </c>
      <c r="S89" s="4265" t="s">
        <v>413</v>
      </c>
      <c r="T89" s="4266" t="s">
        <v>25</v>
      </c>
      <c r="U89" s="4249" t="s">
        <v>413</v>
      </c>
      <c r="V89" s="4249" t="s">
        <v>25</v>
      </c>
      <c r="W89" s="4265" t="s">
        <v>413</v>
      </c>
      <c r="X89" s="4266" t="s">
        <v>25</v>
      </c>
      <c r="Y89" s="4249" t="s">
        <v>413</v>
      </c>
      <c r="Z89" s="4266" t="s">
        <v>25</v>
      </c>
      <c r="AA89" s="4265" t="s">
        <v>413</v>
      </c>
      <c r="AB89" s="4249" t="s">
        <v>25</v>
      </c>
      <c r="AC89" s="4265" t="s">
        <v>413</v>
      </c>
      <c r="AD89" s="4266" t="s">
        <v>25</v>
      </c>
      <c r="AE89" s="4249" t="s">
        <v>413</v>
      </c>
      <c r="AF89" s="4249" t="s">
        <v>25</v>
      </c>
      <c r="AG89" s="4265" t="s">
        <v>413</v>
      </c>
      <c r="AH89" s="4266" t="s">
        <v>25</v>
      </c>
      <c r="AI89" s="4249" t="s">
        <v>413</v>
      </c>
      <c r="AJ89" s="4249" t="s">
        <v>25</v>
      </c>
      <c r="AK89" s="4265" t="s">
        <v>413</v>
      </c>
      <c r="AL89" s="4266" t="s">
        <v>25</v>
      </c>
      <c r="AM89" s="4249" t="s">
        <v>413</v>
      </c>
      <c r="AN89" s="4266" t="s">
        <v>25</v>
      </c>
      <c r="AO89" s="5845"/>
      <c r="AP89" s="5873"/>
      <c r="AQ89" s="987"/>
      <c r="AR89" s="987"/>
      <c r="AS89" s="987"/>
      <c r="AT89" s="987"/>
      <c r="AU89" s="987"/>
      <c r="AV89" s="987"/>
      <c r="AW89" s="987"/>
      <c r="AX89" s="987"/>
      <c r="AY89" s="987"/>
      <c r="AZ89" s="987"/>
      <c r="BA89" s="987"/>
      <c r="BB89" s="987"/>
      <c r="BC89" s="987"/>
      <c r="BD89" s="983"/>
      <c r="BE89" s="983"/>
      <c r="BF89" s="983"/>
      <c r="BG89" s="983"/>
      <c r="BH89" s="983"/>
      <c r="BI89" s="983"/>
      <c r="BJ89" s="983"/>
      <c r="BK89" s="983"/>
      <c r="BL89" s="983"/>
      <c r="BM89" s="983"/>
      <c r="BN89" s="983"/>
      <c r="BO89" s="983"/>
      <c r="BP89" s="983"/>
      <c r="BQ89" s="983"/>
      <c r="BR89" s="983"/>
      <c r="BS89" s="983"/>
      <c r="BT89" s="983"/>
      <c r="BU89" s="983"/>
      <c r="BV89" s="983"/>
      <c r="BW89" s="983"/>
      <c r="BX89" s="983"/>
      <c r="BY89" s="984"/>
      <c r="BZ89" s="984"/>
      <c r="CA89" s="984"/>
      <c r="CB89" s="985"/>
      <c r="CC89" s="985"/>
      <c r="CD89" s="985"/>
      <c r="CE89" s="985"/>
      <c r="CF89" s="985"/>
      <c r="CG89" s="985"/>
      <c r="CH89" s="1023"/>
      <c r="CI89" s="1023"/>
      <c r="CJ89" s="1023"/>
      <c r="CK89" s="1023"/>
      <c r="CL89" s="1023"/>
      <c r="CM89" s="1023"/>
      <c r="CN89" s="1023"/>
    </row>
    <row r="90" spans="1:92" ht="16.350000000000001" customHeight="1" x14ac:dyDescent="0.25">
      <c r="A90" s="983"/>
      <c r="B90" s="5263" t="s">
        <v>536</v>
      </c>
      <c r="C90" s="5264"/>
      <c r="D90" s="4380">
        <f>SUM(D91:D97)</f>
        <v>0</v>
      </c>
      <c r="E90" s="4373">
        <f>SUM(E91:E97)</f>
        <v>0</v>
      </c>
      <c r="F90" s="4373">
        <f>SUM(F91:F97)</f>
        <v>0</v>
      </c>
      <c r="G90" s="4596">
        <f t="shared" ref="G90:AO90" si="1">SUM(G91:G97)</f>
        <v>0</v>
      </c>
      <c r="H90" s="4401">
        <f t="shared" si="1"/>
        <v>0</v>
      </c>
      <c r="I90" s="4596">
        <f t="shared" si="1"/>
        <v>0</v>
      </c>
      <c r="J90" s="4401">
        <f t="shared" si="1"/>
        <v>0</v>
      </c>
      <c r="K90" s="4596">
        <f t="shared" si="1"/>
        <v>0</v>
      </c>
      <c r="L90" s="4401">
        <f t="shared" si="1"/>
        <v>0</v>
      </c>
      <c r="M90" s="4596">
        <f t="shared" si="1"/>
        <v>0</v>
      </c>
      <c r="N90" s="4401">
        <f t="shared" si="1"/>
        <v>0</v>
      </c>
      <c r="O90" s="4596">
        <f t="shared" si="1"/>
        <v>0</v>
      </c>
      <c r="P90" s="4401">
        <f t="shared" si="1"/>
        <v>0</v>
      </c>
      <c r="Q90" s="4596">
        <f t="shared" si="1"/>
        <v>0</v>
      </c>
      <c r="R90" s="4401">
        <f t="shared" si="1"/>
        <v>0</v>
      </c>
      <c r="S90" s="4596">
        <f t="shared" si="1"/>
        <v>0</v>
      </c>
      <c r="T90" s="4401">
        <f t="shared" si="1"/>
        <v>0</v>
      </c>
      <c r="U90" s="4596">
        <f t="shared" si="1"/>
        <v>0</v>
      </c>
      <c r="V90" s="4401">
        <f t="shared" si="1"/>
        <v>0</v>
      </c>
      <c r="W90" s="4596">
        <f t="shared" si="1"/>
        <v>0</v>
      </c>
      <c r="X90" s="4401">
        <f t="shared" si="1"/>
        <v>0</v>
      </c>
      <c r="Y90" s="4596">
        <f t="shared" si="1"/>
        <v>0</v>
      </c>
      <c r="Z90" s="4401">
        <f t="shared" si="1"/>
        <v>0</v>
      </c>
      <c r="AA90" s="4596">
        <f t="shared" si="1"/>
        <v>0</v>
      </c>
      <c r="AB90" s="4401">
        <f t="shared" si="1"/>
        <v>0</v>
      </c>
      <c r="AC90" s="4596">
        <f t="shared" si="1"/>
        <v>0</v>
      </c>
      <c r="AD90" s="4401">
        <f t="shared" si="1"/>
        <v>0</v>
      </c>
      <c r="AE90" s="4596">
        <f t="shared" si="1"/>
        <v>0</v>
      </c>
      <c r="AF90" s="4401">
        <f t="shared" si="1"/>
        <v>0</v>
      </c>
      <c r="AG90" s="4596">
        <f t="shared" si="1"/>
        <v>0</v>
      </c>
      <c r="AH90" s="4401">
        <f t="shared" si="1"/>
        <v>0</v>
      </c>
      <c r="AI90" s="4596">
        <f t="shared" si="1"/>
        <v>0</v>
      </c>
      <c r="AJ90" s="4401">
        <f t="shared" si="1"/>
        <v>0</v>
      </c>
      <c r="AK90" s="4596">
        <f t="shared" si="1"/>
        <v>0</v>
      </c>
      <c r="AL90" s="4401">
        <f t="shared" si="1"/>
        <v>0</v>
      </c>
      <c r="AM90" s="4596">
        <f t="shared" si="1"/>
        <v>0</v>
      </c>
      <c r="AN90" s="4401">
        <f t="shared" si="1"/>
        <v>0</v>
      </c>
      <c r="AO90" s="4402">
        <f t="shared" si="1"/>
        <v>0</v>
      </c>
      <c r="AP90" s="4402"/>
      <c r="AQ90" s="987"/>
      <c r="AR90" s="987"/>
      <c r="AS90" s="987"/>
      <c r="AT90" s="987"/>
      <c r="AU90" s="987"/>
      <c r="AV90" s="987"/>
      <c r="AW90" s="987"/>
      <c r="AX90" s="987"/>
      <c r="AY90" s="987"/>
      <c r="AZ90" s="987"/>
      <c r="BA90" s="987"/>
      <c r="BB90" s="987"/>
      <c r="BC90" s="987"/>
      <c r="BD90" s="983"/>
      <c r="BE90" s="983"/>
      <c r="BF90" s="983"/>
      <c r="BG90" s="983"/>
      <c r="BH90" s="983"/>
      <c r="BI90" s="983"/>
      <c r="BJ90" s="983"/>
      <c r="BK90" s="983"/>
      <c r="BL90" s="983"/>
      <c r="BM90" s="983"/>
      <c r="BN90" s="983"/>
      <c r="BO90" s="983"/>
      <c r="BP90" s="983"/>
      <c r="BQ90" s="983"/>
      <c r="BR90" s="983"/>
      <c r="BS90" s="983"/>
      <c r="BT90" s="983"/>
      <c r="BU90" s="983"/>
      <c r="BV90" s="983"/>
      <c r="BW90" s="983"/>
      <c r="BX90" s="983"/>
      <c r="BY90" s="984"/>
      <c r="BZ90" s="984"/>
      <c r="CA90" s="984"/>
      <c r="CB90" s="985"/>
      <c r="CC90" s="985"/>
      <c r="CD90" s="985"/>
      <c r="CE90" s="985"/>
      <c r="CF90" s="985"/>
      <c r="CG90" s="985">
        <v>0</v>
      </c>
      <c r="CH90" s="1023">
        <v>0</v>
      </c>
      <c r="CI90" s="1023">
        <v>0</v>
      </c>
      <c r="CJ90" s="1023"/>
      <c r="CK90" s="1023"/>
      <c r="CL90" s="1023"/>
      <c r="CM90" s="1023"/>
      <c r="CN90" s="1023"/>
    </row>
    <row r="91" spans="1:92" ht="16.350000000000001" customHeight="1" x14ac:dyDescent="0.25">
      <c r="A91" s="2996" t="s">
        <v>3505</v>
      </c>
      <c r="B91" s="5142" t="s">
        <v>537</v>
      </c>
      <c r="C91" s="4752" t="s">
        <v>538</v>
      </c>
      <c r="D91" s="4380" t="s">
        <v>2777</v>
      </c>
      <c r="E91" s="4381" t="s">
        <v>2778</v>
      </c>
      <c r="F91" s="4373" t="s">
        <v>2779</v>
      </c>
      <c r="G91" s="4403" t="s">
        <v>2780</v>
      </c>
      <c r="H91" s="4404" t="s">
        <v>2781</v>
      </c>
      <c r="I91" s="4405" t="s">
        <v>2782</v>
      </c>
      <c r="J91" s="4406" t="s">
        <v>2783</v>
      </c>
      <c r="K91" s="4405" t="s">
        <v>2784</v>
      </c>
      <c r="L91" s="4406" t="s">
        <v>2785</v>
      </c>
      <c r="M91" s="4403" t="s">
        <v>2786</v>
      </c>
      <c r="N91" s="4404" t="s">
        <v>2787</v>
      </c>
      <c r="O91" s="4405" t="s">
        <v>2788</v>
      </c>
      <c r="P91" s="4406" t="s">
        <v>2789</v>
      </c>
      <c r="Q91" s="4405" t="s">
        <v>2790</v>
      </c>
      <c r="R91" s="4406" t="s">
        <v>2791</v>
      </c>
      <c r="S91" s="4405" t="s">
        <v>2792</v>
      </c>
      <c r="T91" s="4406" t="s">
        <v>2793</v>
      </c>
      <c r="U91" s="4405" t="s">
        <v>2794</v>
      </c>
      <c r="V91" s="4406" t="s">
        <v>2795</v>
      </c>
      <c r="W91" s="4405" t="s">
        <v>2796</v>
      </c>
      <c r="X91" s="4406" t="s">
        <v>2797</v>
      </c>
      <c r="Y91" s="4405" t="s">
        <v>2798</v>
      </c>
      <c r="Z91" s="4406" t="s">
        <v>2799</v>
      </c>
      <c r="AA91" s="4405" t="s">
        <v>2800</v>
      </c>
      <c r="AB91" s="4406" t="s">
        <v>2801</v>
      </c>
      <c r="AC91" s="4405" t="s">
        <v>2817</v>
      </c>
      <c r="AD91" s="4406" t="s">
        <v>2818</v>
      </c>
      <c r="AE91" s="4405" t="s">
        <v>2819</v>
      </c>
      <c r="AF91" s="4406" t="s">
        <v>2821</v>
      </c>
      <c r="AG91" s="4405" t="s">
        <v>2822</v>
      </c>
      <c r="AH91" s="4406" t="s">
        <v>2823</v>
      </c>
      <c r="AI91" s="4405" t="s">
        <v>2824</v>
      </c>
      <c r="AJ91" s="4406" t="s">
        <v>2825</v>
      </c>
      <c r="AK91" s="4405" t="s">
        <v>2826</v>
      </c>
      <c r="AL91" s="4406" t="s">
        <v>2827</v>
      </c>
      <c r="AM91" s="4405" t="s">
        <v>2831</v>
      </c>
      <c r="AN91" s="4406" t="s">
        <v>2832</v>
      </c>
      <c r="AO91" s="4407" t="s">
        <v>2833</v>
      </c>
      <c r="AP91" s="4407" t="s">
        <v>2834</v>
      </c>
      <c r="AQ91" s="2269"/>
      <c r="AR91" s="1058"/>
      <c r="AS91" s="1058"/>
      <c r="AT91" s="1058"/>
      <c r="AU91" s="1058"/>
      <c r="AV91" s="1058"/>
      <c r="AW91" s="1058"/>
      <c r="AX91" s="1058"/>
      <c r="AY91" s="1058"/>
      <c r="AZ91" s="1058"/>
      <c r="BA91" s="1058"/>
      <c r="BB91" s="987"/>
      <c r="BC91" s="987"/>
      <c r="BD91" s="983"/>
      <c r="BE91" s="983"/>
      <c r="BF91" s="983"/>
      <c r="BG91" s="983"/>
      <c r="BH91" s="983"/>
      <c r="BI91" s="983"/>
      <c r="BJ91" s="983"/>
      <c r="BK91" s="983"/>
      <c r="BL91" s="983"/>
      <c r="BM91" s="983"/>
      <c r="BN91" s="983"/>
      <c r="BO91" s="983"/>
      <c r="BP91" s="983"/>
      <c r="BQ91" s="983"/>
      <c r="BR91" s="983"/>
      <c r="BS91" s="983"/>
      <c r="BT91" s="983"/>
      <c r="BU91" s="983"/>
      <c r="BV91" s="983"/>
      <c r="BW91" s="983"/>
      <c r="BX91" s="983"/>
      <c r="BY91" s="984"/>
      <c r="BZ91" s="984"/>
      <c r="CA91" s="984"/>
      <c r="CB91" s="985"/>
      <c r="CC91" s="985"/>
      <c r="CD91" s="985"/>
      <c r="CE91" s="985"/>
      <c r="CF91" s="985"/>
      <c r="CG91" s="985">
        <v>0</v>
      </c>
      <c r="CH91" s="1023">
        <v>0</v>
      </c>
      <c r="CI91" s="1023">
        <v>0</v>
      </c>
      <c r="CJ91" s="1023">
        <v>0</v>
      </c>
      <c r="CK91" s="1023">
        <v>0</v>
      </c>
      <c r="CL91" s="1023"/>
      <c r="CM91" s="1023"/>
      <c r="CN91" s="1023"/>
    </row>
    <row r="92" spans="1:92" ht="16.350000000000001" customHeight="1" x14ac:dyDescent="0.25">
      <c r="A92" s="2996" t="s">
        <v>3506</v>
      </c>
      <c r="B92" s="5113"/>
      <c r="C92" s="5022" t="s">
        <v>539</v>
      </c>
      <c r="D92" s="2250" t="s">
        <v>2777</v>
      </c>
      <c r="E92" s="2306" t="s">
        <v>2778</v>
      </c>
      <c r="F92" s="266" t="s">
        <v>2779</v>
      </c>
      <c r="G92" s="4408" t="s">
        <v>2780</v>
      </c>
      <c r="H92" s="4409" t="s">
        <v>2781</v>
      </c>
      <c r="I92" s="4410" t="s">
        <v>2782</v>
      </c>
      <c r="J92" s="4411" t="s">
        <v>2783</v>
      </c>
      <c r="K92" s="4408" t="s">
        <v>2784</v>
      </c>
      <c r="L92" s="4412" t="s">
        <v>2785</v>
      </c>
      <c r="M92" s="4410" t="s">
        <v>2786</v>
      </c>
      <c r="N92" s="4413" t="s">
        <v>2787</v>
      </c>
      <c r="O92" s="4408" t="s">
        <v>2788</v>
      </c>
      <c r="P92" s="4412" t="s">
        <v>2789</v>
      </c>
      <c r="Q92" s="4411" t="s">
        <v>2790</v>
      </c>
      <c r="R92" s="4413" t="s">
        <v>2791</v>
      </c>
      <c r="S92" s="4414" t="s">
        <v>2792</v>
      </c>
      <c r="T92" s="4412" t="s">
        <v>2793</v>
      </c>
      <c r="U92" s="4411" t="s">
        <v>2794</v>
      </c>
      <c r="V92" s="4413" t="s">
        <v>2795</v>
      </c>
      <c r="W92" s="4414" t="s">
        <v>2796</v>
      </c>
      <c r="X92" s="4412" t="s">
        <v>2797</v>
      </c>
      <c r="Y92" s="4411" t="s">
        <v>2798</v>
      </c>
      <c r="Z92" s="4412" t="s">
        <v>2799</v>
      </c>
      <c r="AA92" s="4414" t="s">
        <v>2800</v>
      </c>
      <c r="AB92" s="4413" t="s">
        <v>2801</v>
      </c>
      <c r="AC92" s="4414" t="s">
        <v>2817</v>
      </c>
      <c r="AD92" s="4412" t="s">
        <v>2818</v>
      </c>
      <c r="AE92" s="4411" t="s">
        <v>2819</v>
      </c>
      <c r="AF92" s="4413" t="s">
        <v>2821</v>
      </c>
      <c r="AG92" s="4414" t="s">
        <v>2822</v>
      </c>
      <c r="AH92" s="4412" t="s">
        <v>2823</v>
      </c>
      <c r="AI92" s="4411" t="s">
        <v>2824</v>
      </c>
      <c r="AJ92" s="4413" t="s">
        <v>2825</v>
      </c>
      <c r="AK92" s="4414" t="s">
        <v>2826</v>
      </c>
      <c r="AL92" s="4412" t="s">
        <v>2827</v>
      </c>
      <c r="AM92" s="4411" t="s">
        <v>2831</v>
      </c>
      <c r="AN92" s="4412" t="s">
        <v>2832</v>
      </c>
      <c r="AO92" s="4415" t="s">
        <v>2833</v>
      </c>
      <c r="AP92" s="4415" t="s">
        <v>2834</v>
      </c>
      <c r="AQ92" s="2269"/>
      <c r="AR92" s="1058"/>
      <c r="AS92" s="1058"/>
      <c r="AT92" s="1058"/>
      <c r="AU92" s="1058"/>
      <c r="AV92" s="1058"/>
      <c r="AW92" s="1058"/>
      <c r="AX92" s="1058"/>
      <c r="AY92" s="1058"/>
      <c r="AZ92" s="1058"/>
      <c r="BA92" s="1058"/>
      <c r="BB92" s="987"/>
      <c r="BC92" s="987"/>
      <c r="BD92" s="983"/>
      <c r="BE92" s="983"/>
      <c r="BF92" s="983"/>
      <c r="BG92" s="983"/>
      <c r="BH92" s="983"/>
      <c r="BI92" s="983"/>
      <c r="BJ92" s="983"/>
      <c r="BK92" s="983"/>
      <c r="BL92" s="983"/>
      <c r="BM92" s="983"/>
      <c r="BN92" s="983"/>
      <c r="BO92" s="983"/>
      <c r="BP92" s="983"/>
      <c r="BQ92" s="983"/>
      <c r="BR92" s="983"/>
      <c r="BS92" s="983"/>
      <c r="BT92" s="983"/>
      <c r="BU92" s="983"/>
      <c r="BV92" s="983"/>
      <c r="BW92" s="983"/>
      <c r="BX92" s="983"/>
      <c r="BY92" s="984"/>
      <c r="BZ92" s="984"/>
      <c r="CA92" s="984"/>
      <c r="CB92" s="985"/>
      <c r="CC92" s="985"/>
      <c r="CD92" s="985"/>
      <c r="CE92" s="985"/>
      <c r="CF92" s="985"/>
      <c r="CG92" s="985"/>
      <c r="CH92" s="1023">
        <v>0</v>
      </c>
      <c r="CI92" s="1023">
        <v>0</v>
      </c>
      <c r="CJ92" s="1023">
        <v>0</v>
      </c>
      <c r="CK92" s="1023">
        <v>0</v>
      </c>
      <c r="CL92" s="1023"/>
      <c r="CM92" s="1023"/>
      <c r="CN92" s="1023"/>
    </row>
    <row r="93" spans="1:92" ht="16.350000000000001" customHeight="1" thickBot="1" x14ac:dyDescent="0.3">
      <c r="A93" s="2996" t="s">
        <v>3507</v>
      </c>
      <c r="B93" s="5874"/>
      <c r="C93" s="5023" t="s">
        <v>540</v>
      </c>
      <c r="D93" s="4416" t="s">
        <v>2777</v>
      </c>
      <c r="E93" s="4417" t="s">
        <v>2778</v>
      </c>
      <c r="F93" s="4604" t="s">
        <v>2779</v>
      </c>
      <c r="G93" s="4418" t="s">
        <v>2780</v>
      </c>
      <c r="H93" s="4419" t="s">
        <v>2781</v>
      </c>
      <c r="I93" s="4420" t="s">
        <v>2782</v>
      </c>
      <c r="J93" s="4421" t="s">
        <v>2783</v>
      </c>
      <c r="K93" s="4418" t="s">
        <v>2784</v>
      </c>
      <c r="L93" s="4422" t="s">
        <v>2785</v>
      </c>
      <c r="M93" s="4420" t="s">
        <v>2786</v>
      </c>
      <c r="N93" s="4423" t="s">
        <v>2787</v>
      </c>
      <c r="O93" s="4418" t="s">
        <v>2788</v>
      </c>
      <c r="P93" s="4422" t="s">
        <v>2789</v>
      </c>
      <c r="Q93" s="4421" t="s">
        <v>2790</v>
      </c>
      <c r="R93" s="4423" t="s">
        <v>2791</v>
      </c>
      <c r="S93" s="4424" t="s">
        <v>2792</v>
      </c>
      <c r="T93" s="4422" t="s">
        <v>2793</v>
      </c>
      <c r="U93" s="4421" t="s">
        <v>2794</v>
      </c>
      <c r="V93" s="4423" t="s">
        <v>2795</v>
      </c>
      <c r="W93" s="4424" t="s">
        <v>2796</v>
      </c>
      <c r="X93" s="4422" t="s">
        <v>2797</v>
      </c>
      <c r="Y93" s="4421" t="s">
        <v>2798</v>
      </c>
      <c r="Z93" s="4422" t="s">
        <v>2799</v>
      </c>
      <c r="AA93" s="4424" t="s">
        <v>2800</v>
      </c>
      <c r="AB93" s="4423" t="s">
        <v>2801</v>
      </c>
      <c r="AC93" s="4424" t="s">
        <v>2817</v>
      </c>
      <c r="AD93" s="4422" t="s">
        <v>2818</v>
      </c>
      <c r="AE93" s="4421" t="s">
        <v>2819</v>
      </c>
      <c r="AF93" s="4423" t="s">
        <v>2821</v>
      </c>
      <c r="AG93" s="4424" t="s">
        <v>2822</v>
      </c>
      <c r="AH93" s="4422" t="s">
        <v>2823</v>
      </c>
      <c r="AI93" s="4421" t="s">
        <v>2824</v>
      </c>
      <c r="AJ93" s="4423" t="s">
        <v>2825</v>
      </c>
      <c r="AK93" s="4424" t="s">
        <v>2826</v>
      </c>
      <c r="AL93" s="4422" t="s">
        <v>2827</v>
      </c>
      <c r="AM93" s="4421" t="s">
        <v>2831</v>
      </c>
      <c r="AN93" s="4422" t="s">
        <v>2832</v>
      </c>
      <c r="AO93" s="4425" t="s">
        <v>2833</v>
      </c>
      <c r="AP93" s="4425" t="s">
        <v>2834</v>
      </c>
      <c r="AQ93" s="2269"/>
      <c r="AR93" s="1058"/>
      <c r="AS93" s="1058"/>
      <c r="AT93" s="1058"/>
      <c r="AU93" s="1058"/>
      <c r="AV93" s="1058"/>
      <c r="AW93" s="1058"/>
      <c r="AX93" s="1058"/>
      <c r="AY93" s="1058"/>
      <c r="AZ93" s="1058"/>
      <c r="BA93" s="1058"/>
      <c r="BB93" s="987"/>
      <c r="BC93" s="987"/>
      <c r="BD93" s="983"/>
      <c r="BE93" s="983"/>
      <c r="BF93" s="983"/>
      <c r="BG93" s="983"/>
      <c r="BH93" s="983"/>
      <c r="BI93" s="983"/>
      <c r="BJ93" s="983"/>
      <c r="BK93" s="983"/>
      <c r="BL93" s="983"/>
      <c r="BM93" s="983"/>
      <c r="BN93" s="983"/>
      <c r="BO93" s="983"/>
      <c r="BP93" s="983"/>
      <c r="BQ93" s="983"/>
      <c r="BR93" s="983"/>
      <c r="BS93" s="983"/>
      <c r="BT93" s="983"/>
      <c r="BU93" s="983"/>
      <c r="BV93" s="983"/>
      <c r="BW93" s="983"/>
      <c r="BX93" s="983"/>
      <c r="BY93" s="984"/>
      <c r="BZ93" s="984"/>
      <c r="CA93" s="984"/>
      <c r="CB93" s="985"/>
      <c r="CC93" s="985"/>
      <c r="CD93" s="985"/>
      <c r="CE93" s="985"/>
      <c r="CF93" s="985"/>
      <c r="CG93" s="985"/>
      <c r="CH93" s="1023">
        <v>0</v>
      </c>
      <c r="CI93" s="1023">
        <v>0</v>
      </c>
      <c r="CJ93" s="1023">
        <v>0</v>
      </c>
      <c r="CK93" s="1023">
        <v>0</v>
      </c>
      <c r="CL93" s="1023"/>
      <c r="CM93" s="1023"/>
      <c r="CN93" s="1023"/>
    </row>
    <row r="94" spans="1:92" ht="16.350000000000001" customHeight="1" thickTop="1" x14ac:dyDescent="0.25">
      <c r="A94" s="2996" t="s">
        <v>3508</v>
      </c>
      <c r="B94" s="5875" t="s">
        <v>3723</v>
      </c>
      <c r="C94" s="5876"/>
      <c r="D94" s="4426" t="s">
        <v>2777</v>
      </c>
      <c r="E94" s="4605" t="s">
        <v>2778</v>
      </c>
      <c r="F94" s="4427" t="s">
        <v>2779</v>
      </c>
      <c r="G94" s="4597" t="s">
        <v>2780</v>
      </c>
      <c r="H94" s="4428" t="s">
        <v>2781</v>
      </c>
      <c r="I94" s="4429" t="s">
        <v>2782</v>
      </c>
      <c r="J94" s="4430" t="s">
        <v>2783</v>
      </c>
      <c r="K94" s="4431" t="s">
        <v>2784</v>
      </c>
      <c r="L94" s="4428" t="s">
        <v>2785</v>
      </c>
      <c r="M94" s="4429" t="s">
        <v>2786</v>
      </c>
      <c r="N94" s="4432" t="s">
        <v>2787</v>
      </c>
      <c r="O94" s="4431" t="s">
        <v>2788</v>
      </c>
      <c r="P94" s="4428" t="s">
        <v>2789</v>
      </c>
      <c r="Q94" s="4430" t="s">
        <v>2790</v>
      </c>
      <c r="R94" s="4432" t="s">
        <v>2791</v>
      </c>
      <c r="S94" s="4433" t="s">
        <v>2792</v>
      </c>
      <c r="T94" s="4428" t="s">
        <v>2793</v>
      </c>
      <c r="U94" s="4430" t="s">
        <v>2794</v>
      </c>
      <c r="V94" s="4432" t="s">
        <v>2795</v>
      </c>
      <c r="W94" s="4433" t="s">
        <v>2796</v>
      </c>
      <c r="X94" s="4428" t="s">
        <v>2797</v>
      </c>
      <c r="Y94" s="4430" t="s">
        <v>2798</v>
      </c>
      <c r="Z94" s="4428" t="s">
        <v>2799</v>
      </c>
      <c r="AA94" s="4433" t="s">
        <v>2800</v>
      </c>
      <c r="AB94" s="4432" t="s">
        <v>2801</v>
      </c>
      <c r="AC94" s="4433" t="s">
        <v>2817</v>
      </c>
      <c r="AD94" s="4428" t="s">
        <v>2818</v>
      </c>
      <c r="AE94" s="4430" t="s">
        <v>2819</v>
      </c>
      <c r="AF94" s="4432" t="s">
        <v>2821</v>
      </c>
      <c r="AG94" s="4433" t="s">
        <v>2822</v>
      </c>
      <c r="AH94" s="4428" t="s">
        <v>2823</v>
      </c>
      <c r="AI94" s="4430" t="s">
        <v>2824</v>
      </c>
      <c r="AJ94" s="4432" t="s">
        <v>2825</v>
      </c>
      <c r="AK94" s="4433" t="s">
        <v>2826</v>
      </c>
      <c r="AL94" s="4428" t="s">
        <v>2827</v>
      </c>
      <c r="AM94" s="4430" t="s">
        <v>2831</v>
      </c>
      <c r="AN94" s="4428" t="s">
        <v>2832</v>
      </c>
      <c r="AO94" s="4434" t="s">
        <v>2833</v>
      </c>
      <c r="AP94" s="4435" t="s">
        <v>2834</v>
      </c>
      <c r="AQ94" s="2269"/>
      <c r="AR94" s="1058"/>
      <c r="AS94" s="1058"/>
      <c r="AT94" s="1058"/>
      <c r="AU94" s="1058"/>
      <c r="AV94" s="1058"/>
      <c r="AW94" s="1058"/>
      <c r="AX94" s="1058"/>
      <c r="AY94" s="1058"/>
      <c r="AZ94" s="1058"/>
      <c r="BA94" s="1058"/>
      <c r="BB94" s="987"/>
      <c r="BC94" s="987"/>
      <c r="BD94" s="983"/>
      <c r="BE94" s="983"/>
      <c r="BF94" s="983"/>
      <c r="BG94" s="983"/>
      <c r="BH94" s="983"/>
      <c r="BI94" s="983"/>
      <c r="BJ94" s="983"/>
      <c r="BK94" s="983"/>
      <c r="BL94" s="983"/>
      <c r="BM94" s="983"/>
      <c r="BN94" s="983"/>
      <c r="BO94" s="983"/>
      <c r="BP94" s="983"/>
      <c r="BQ94" s="983"/>
      <c r="BR94" s="983"/>
      <c r="BS94" s="983"/>
      <c r="BT94" s="983"/>
      <c r="BU94" s="983"/>
      <c r="BV94" s="983"/>
      <c r="BW94" s="983"/>
      <c r="BX94" s="983"/>
      <c r="BY94" s="984"/>
      <c r="BZ94" s="984"/>
      <c r="CA94" s="984"/>
      <c r="CB94" s="985"/>
      <c r="CC94" s="985"/>
      <c r="CD94" s="985"/>
      <c r="CE94" s="985"/>
      <c r="CF94" s="985"/>
      <c r="CG94" s="985"/>
      <c r="CH94" s="1023">
        <v>0</v>
      </c>
      <c r="CI94" s="1023">
        <v>0</v>
      </c>
      <c r="CJ94" s="1023"/>
      <c r="CK94" s="1023"/>
      <c r="CL94" s="1023"/>
      <c r="CM94" s="1023"/>
      <c r="CN94" s="1023"/>
    </row>
    <row r="95" spans="1:92" ht="16.350000000000001" customHeight="1" x14ac:dyDescent="0.25">
      <c r="A95" s="2949" t="s">
        <v>3509</v>
      </c>
      <c r="B95" s="5267" t="s">
        <v>541</v>
      </c>
      <c r="C95" s="5268"/>
      <c r="D95" s="648" t="s">
        <v>2777</v>
      </c>
      <c r="E95" s="695" t="s">
        <v>2778</v>
      </c>
      <c r="F95" s="4436" t="s">
        <v>2779</v>
      </c>
      <c r="G95" s="4437" t="s">
        <v>2780</v>
      </c>
      <c r="H95" s="4438" t="s">
        <v>2781</v>
      </c>
      <c r="I95" s="4439" t="s">
        <v>2782</v>
      </c>
      <c r="J95" s="4440" t="s">
        <v>2783</v>
      </c>
      <c r="K95" s="4597" t="s">
        <v>2784</v>
      </c>
      <c r="L95" s="4441" t="s">
        <v>2785</v>
      </c>
      <c r="M95" s="4439" t="s">
        <v>2786</v>
      </c>
      <c r="N95" s="4442" t="s">
        <v>2787</v>
      </c>
      <c r="O95" s="4597" t="s">
        <v>2788</v>
      </c>
      <c r="P95" s="4441" t="s">
        <v>2789</v>
      </c>
      <c r="Q95" s="4440" t="s">
        <v>2790</v>
      </c>
      <c r="R95" s="4442" t="s">
        <v>2791</v>
      </c>
      <c r="S95" s="4598" t="s">
        <v>2792</v>
      </c>
      <c r="T95" s="4441" t="s">
        <v>2793</v>
      </c>
      <c r="U95" s="4440" t="s">
        <v>2794</v>
      </c>
      <c r="V95" s="4442" t="s">
        <v>2795</v>
      </c>
      <c r="W95" s="4598" t="s">
        <v>2796</v>
      </c>
      <c r="X95" s="4441" t="s">
        <v>2797</v>
      </c>
      <c r="Y95" s="4440" t="s">
        <v>2798</v>
      </c>
      <c r="Z95" s="4441" t="s">
        <v>2799</v>
      </c>
      <c r="AA95" s="4598" t="s">
        <v>2800</v>
      </c>
      <c r="AB95" s="4442" t="s">
        <v>2801</v>
      </c>
      <c r="AC95" s="4598" t="s">
        <v>2817</v>
      </c>
      <c r="AD95" s="4441" t="s">
        <v>2818</v>
      </c>
      <c r="AE95" s="4440" t="s">
        <v>2819</v>
      </c>
      <c r="AF95" s="4442" t="s">
        <v>2821</v>
      </c>
      <c r="AG95" s="4598" t="s">
        <v>2822</v>
      </c>
      <c r="AH95" s="4441" t="s">
        <v>2823</v>
      </c>
      <c r="AI95" s="4440" t="s">
        <v>2824</v>
      </c>
      <c r="AJ95" s="4442" t="s">
        <v>2825</v>
      </c>
      <c r="AK95" s="4598" t="s">
        <v>2826</v>
      </c>
      <c r="AL95" s="4441" t="s">
        <v>2827</v>
      </c>
      <c r="AM95" s="4440" t="s">
        <v>2831</v>
      </c>
      <c r="AN95" s="4441" t="s">
        <v>2832</v>
      </c>
      <c r="AO95" s="4599" t="s">
        <v>2833</v>
      </c>
      <c r="AP95" s="4600" t="s">
        <v>2834</v>
      </c>
      <c r="AQ95" s="2269"/>
      <c r="AR95" s="1058"/>
      <c r="AS95" s="1058"/>
      <c r="AT95" s="1058"/>
      <c r="AU95" s="1058"/>
      <c r="AV95" s="1058"/>
      <c r="AW95" s="1058"/>
      <c r="AX95" s="1058"/>
      <c r="AY95" s="1058"/>
      <c r="AZ95" s="1058"/>
      <c r="BA95" s="1058"/>
      <c r="BB95" s="987"/>
      <c r="BC95" s="987"/>
      <c r="BD95" s="983"/>
      <c r="BE95" s="983"/>
      <c r="BF95" s="983"/>
      <c r="BG95" s="983"/>
      <c r="BH95" s="983"/>
      <c r="BI95" s="983"/>
      <c r="BJ95" s="983"/>
      <c r="BK95" s="983"/>
      <c r="BL95" s="983"/>
      <c r="BM95" s="983"/>
      <c r="BN95" s="983"/>
      <c r="BO95" s="983"/>
      <c r="BP95" s="983"/>
      <c r="BQ95" s="983"/>
      <c r="BR95" s="983"/>
      <c r="BS95" s="983"/>
      <c r="BT95" s="983"/>
      <c r="BU95" s="983"/>
      <c r="BV95" s="983"/>
      <c r="BW95" s="983"/>
      <c r="BX95" s="983"/>
      <c r="BY95" s="984"/>
      <c r="BZ95" s="984"/>
      <c r="CA95" s="984"/>
      <c r="CB95" s="985" t="str">
        <f>IF(D95=0,"",IF(AO95="",IF(D95="","","* No olvide digitar la columna Beneficiarios. "),""))</f>
        <v/>
      </c>
      <c r="CC95" s="985" t="str">
        <f>IF(D95&lt;AO95,"* El número de Beneficiarios NO DEBE ser mayor que el total. ","")</f>
        <v xml:space="preserve">* El número de Beneficiarios NO DEBE ser mayor que el total. </v>
      </c>
      <c r="CD95" s="985"/>
      <c r="CE95" s="985"/>
      <c r="CF95" s="985"/>
      <c r="CG95" s="985"/>
      <c r="CH95" s="1023">
        <f>IF(D95&lt;AO95,1,0)</f>
        <v>1</v>
      </c>
      <c r="CI95" s="1023">
        <f>IF(D95=0,"",IF(AO95="",IF(D95="","",1),0))</f>
        <v>0</v>
      </c>
      <c r="CJ95" s="1023"/>
      <c r="CK95" s="1023"/>
      <c r="CL95" s="1023"/>
      <c r="CM95" s="1023"/>
      <c r="CN95" s="1023"/>
    </row>
    <row r="96" spans="1:92" ht="16.350000000000001" customHeight="1" x14ac:dyDescent="0.25">
      <c r="A96" s="2949" t="s">
        <v>3510</v>
      </c>
      <c r="B96" s="5267" t="s">
        <v>542</v>
      </c>
      <c r="C96" s="5268"/>
      <c r="D96" s="2250" t="s">
        <v>2777</v>
      </c>
      <c r="E96" s="2306" t="s">
        <v>2778</v>
      </c>
      <c r="F96" s="4443" t="s">
        <v>2779</v>
      </c>
      <c r="G96" s="4408" t="s">
        <v>2780</v>
      </c>
      <c r="H96" s="4409" t="s">
        <v>2781</v>
      </c>
      <c r="I96" s="4410" t="s">
        <v>2782</v>
      </c>
      <c r="J96" s="4411" t="s">
        <v>2783</v>
      </c>
      <c r="K96" s="4408" t="s">
        <v>2784</v>
      </c>
      <c r="L96" s="4412" t="s">
        <v>2785</v>
      </c>
      <c r="M96" s="4410" t="s">
        <v>2786</v>
      </c>
      <c r="N96" s="4413" t="s">
        <v>2787</v>
      </c>
      <c r="O96" s="4408" t="s">
        <v>2788</v>
      </c>
      <c r="P96" s="4412" t="s">
        <v>2789</v>
      </c>
      <c r="Q96" s="4411" t="s">
        <v>2790</v>
      </c>
      <c r="R96" s="4413" t="s">
        <v>2791</v>
      </c>
      <c r="S96" s="4414" t="s">
        <v>2792</v>
      </c>
      <c r="T96" s="4412" t="s">
        <v>2793</v>
      </c>
      <c r="U96" s="4411" t="s">
        <v>2794</v>
      </c>
      <c r="V96" s="4413" t="s">
        <v>2795</v>
      </c>
      <c r="W96" s="4414" t="s">
        <v>2796</v>
      </c>
      <c r="X96" s="4412" t="s">
        <v>2797</v>
      </c>
      <c r="Y96" s="4411" t="s">
        <v>2798</v>
      </c>
      <c r="Z96" s="4412" t="s">
        <v>2799</v>
      </c>
      <c r="AA96" s="4414" t="s">
        <v>2800</v>
      </c>
      <c r="AB96" s="4413" t="s">
        <v>2801</v>
      </c>
      <c r="AC96" s="4414" t="s">
        <v>2817</v>
      </c>
      <c r="AD96" s="4412" t="s">
        <v>2818</v>
      </c>
      <c r="AE96" s="4411" t="s">
        <v>2819</v>
      </c>
      <c r="AF96" s="4413" t="s">
        <v>2821</v>
      </c>
      <c r="AG96" s="4414" t="s">
        <v>2822</v>
      </c>
      <c r="AH96" s="4412" t="s">
        <v>2823</v>
      </c>
      <c r="AI96" s="4411" t="s">
        <v>2824</v>
      </c>
      <c r="AJ96" s="4413" t="s">
        <v>2825</v>
      </c>
      <c r="AK96" s="4414" t="s">
        <v>2826</v>
      </c>
      <c r="AL96" s="4412" t="s">
        <v>2827</v>
      </c>
      <c r="AM96" s="4411" t="s">
        <v>2831</v>
      </c>
      <c r="AN96" s="4412" t="s">
        <v>2832</v>
      </c>
      <c r="AO96" s="4415" t="s">
        <v>2833</v>
      </c>
      <c r="AP96" s="4444" t="s">
        <v>2834</v>
      </c>
      <c r="AQ96" s="2269"/>
      <c r="AR96" s="1058"/>
      <c r="AS96" s="1058"/>
      <c r="AT96" s="1058"/>
      <c r="AU96" s="1058"/>
      <c r="AV96" s="1058"/>
      <c r="AW96" s="1058"/>
      <c r="AX96" s="1058"/>
      <c r="AY96" s="1058"/>
      <c r="AZ96" s="1058"/>
      <c r="BA96" s="1058"/>
      <c r="BB96" s="987"/>
      <c r="BC96" s="987"/>
      <c r="BD96" s="983"/>
      <c r="BE96" s="983"/>
      <c r="BF96" s="983"/>
      <c r="BG96" s="983"/>
      <c r="BH96" s="983"/>
      <c r="BI96" s="983"/>
      <c r="BJ96" s="983"/>
      <c r="BK96" s="983"/>
      <c r="BL96" s="983"/>
      <c r="BM96" s="983"/>
      <c r="BN96" s="983"/>
      <c r="BO96" s="983"/>
      <c r="BP96" s="983"/>
      <c r="BQ96" s="983"/>
      <c r="BR96" s="983"/>
      <c r="BS96" s="983"/>
      <c r="BT96" s="983"/>
      <c r="BU96" s="983"/>
      <c r="BV96" s="983"/>
      <c r="BW96" s="983"/>
      <c r="BX96" s="983"/>
      <c r="BY96" s="984"/>
      <c r="BZ96" s="984"/>
      <c r="CA96" s="984"/>
      <c r="CB96" s="985" t="str">
        <f>IF(D96=0,"",IF(AO96="",IF(D96="","","* No olvide digitar la columna Beneficiarios. "),""))</f>
        <v/>
      </c>
      <c r="CC96" s="985" t="str">
        <f>IF(D96&lt;AO96,"* El número de Beneficiarios NO DEBE ser mayor que el total. ","")</f>
        <v xml:space="preserve">* El número de Beneficiarios NO DEBE ser mayor que el total. </v>
      </c>
      <c r="CD96" s="985"/>
      <c r="CE96" s="985"/>
      <c r="CF96" s="985"/>
      <c r="CG96" s="985"/>
      <c r="CH96" s="1023">
        <f>IF(D96&lt;AO96,1,0)</f>
        <v>1</v>
      </c>
      <c r="CI96" s="1023">
        <f>IF(D96=0,"",IF(AO96="",IF(D96="","",1),0))</f>
        <v>0</v>
      </c>
      <c r="CJ96" s="1023"/>
      <c r="CK96" s="1023"/>
      <c r="CL96" s="1023"/>
      <c r="CM96" s="1023"/>
      <c r="CN96" s="1023"/>
    </row>
    <row r="97" spans="1:92" ht="16.350000000000001" customHeight="1" x14ac:dyDescent="0.25">
      <c r="A97" s="2949" t="s">
        <v>3511</v>
      </c>
      <c r="B97" s="5279" t="s">
        <v>1037</v>
      </c>
      <c r="C97" s="5280"/>
      <c r="D97" s="529" t="s">
        <v>2777</v>
      </c>
      <c r="E97" s="696" t="s">
        <v>2778</v>
      </c>
      <c r="F97" s="242" t="s">
        <v>2779</v>
      </c>
      <c r="G97" s="4601" t="s">
        <v>2780</v>
      </c>
      <c r="H97" s="4445" t="s">
        <v>2781</v>
      </c>
      <c r="I97" s="4446" t="s">
        <v>2782</v>
      </c>
      <c r="J97" s="4447" t="s">
        <v>2783</v>
      </c>
      <c r="K97" s="4601" t="s">
        <v>2784</v>
      </c>
      <c r="L97" s="4448" t="s">
        <v>2785</v>
      </c>
      <c r="M97" s="4446" t="s">
        <v>2786</v>
      </c>
      <c r="N97" s="4449" t="s">
        <v>2787</v>
      </c>
      <c r="O97" s="4601" t="s">
        <v>2788</v>
      </c>
      <c r="P97" s="4448" t="s">
        <v>2789</v>
      </c>
      <c r="Q97" s="4447" t="s">
        <v>2790</v>
      </c>
      <c r="R97" s="4449" t="s">
        <v>2791</v>
      </c>
      <c r="S97" s="4450" t="s">
        <v>2792</v>
      </c>
      <c r="T97" s="4448" t="s">
        <v>2793</v>
      </c>
      <c r="U97" s="4447" t="s">
        <v>2794</v>
      </c>
      <c r="V97" s="4449" t="s">
        <v>2795</v>
      </c>
      <c r="W97" s="4450" t="s">
        <v>2796</v>
      </c>
      <c r="X97" s="4448" t="s">
        <v>2797</v>
      </c>
      <c r="Y97" s="4447" t="s">
        <v>2798</v>
      </c>
      <c r="Z97" s="4448" t="s">
        <v>2799</v>
      </c>
      <c r="AA97" s="4450" t="s">
        <v>2800</v>
      </c>
      <c r="AB97" s="4449" t="s">
        <v>2801</v>
      </c>
      <c r="AC97" s="4450" t="s">
        <v>2817</v>
      </c>
      <c r="AD97" s="4448" t="s">
        <v>2818</v>
      </c>
      <c r="AE97" s="4447" t="s">
        <v>2819</v>
      </c>
      <c r="AF97" s="4449" t="s">
        <v>2821</v>
      </c>
      <c r="AG97" s="4450" t="s">
        <v>2822</v>
      </c>
      <c r="AH97" s="4448" t="s">
        <v>2823</v>
      </c>
      <c r="AI97" s="4447" t="s">
        <v>2824</v>
      </c>
      <c r="AJ97" s="4449" t="s">
        <v>2825</v>
      </c>
      <c r="AK97" s="4450" t="s">
        <v>2826</v>
      </c>
      <c r="AL97" s="4448" t="s">
        <v>2827</v>
      </c>
      <c r="AM97" s="4447" t="s">
        <v>2831</v>
      </c>
      <c r="AN97" s="4448" t="s">
        <v>2832</v>
      </c>
      <c r="AO97" s="4602" t="s">
        <v>2833</v>
      </c>
      <c r="AP97" s="4603" t="s">
        <v>2834</v>
      </c>
      <c r="AQ97" s="2269"/>
      <c r="AR97" s="1058"/>
      <c r="AS97" s="1058"/>
      <c r="AT97" s="1058"/>
      <c r="AU97" s="1058"/>
      <c r="AV97" s="1058"/>
      <c r="AW97" s="1058"/>
      <c r="AX97" s="1058"/>
      <c r="AY97" s="1058"/>
      <c r="AZ97" s="1058"/>
      <c r="BA97" s="1058"/>
      <c r="BB97" s="987"/>
      <c r="BC97" s="987"/>
      <c r="BD97" s="983"/>
      <c r="BE97" s="983"/>
      <c r="BF97" s="983"/>
      <c r="BG97" s="983"/>
      <c r="BH97" s="983"/>
      <c r="BI97" s="983"/>
      <c r="BJ97" s="983"/>
      <c r="BK97" s="983"/>
      <c r="BL97" s="983"/>
      <c r="BM97" s="983"/>
      <c r="BN97" s="983"/>
      <c r="BO97" s="983"/>
      <c r="BP97" s="983"/>
      <c r="BQ97" s="983"/>
      <c r="BR97" s="983"/>
      <c r="BS97" s="983"/>
      <c r="BT97" s="983"/>
      <c r="BU97" s="983"/>
      <c r="BV97" s="983"/>
      <c r="BW97" s="983"/>
      <c r="BX97" s="983"/>
      <c r="BY97" s="984"/>
      <c r="BZ97" s="984"/>
      <c r="CA97" s="984"/>
      <c r="CB97" s="985" t="str">
        <f>IF(D97=0,"",IF(AO97="",IF(D97="","","* No olvide digitar la columna Beneficiarios. "),""))</f>
        <v/>
      </c>
      <c r="CC97" s="985" t="str">
        <f>IF(D97&lt;AO97,"* El número de Beneficiarios NO DEBE ser mayor que el total. ","")</f>
        <v xml:space="preserve">* El número de Beneficiarios NO DEBE ser mayor que el total. </v>
      </c>
      <c r="CD97" s="985"/>
      <c r="CE97" s="985"/>
      <c r="CF97" s="985"/>
      <c r="CG97" s="985"/>
      <c r="CH97" s="1023">
        <f>IF(D97&lt;AO97,1,0)</f>
        <v>1</v>
      </c>
      <c r="CI97" s="1023">
        <f>IF(D97=0,"",IF(AO97="",IF(D97="","",1),0))</f>
        <v>0</v>
      </c>
      <c r="CJ97" s="1023"/>
      <c r="CK97" s="1023"/>
      <c r="CL97" s="1023"/>
      <c r="CM97" s="1023"/>
      <c r="CN97" s="1023"/>
    </row>
    <row r="98" spans="1:92" ht="32.1" customHeight="1" x14ac:dyDescent="0.25">
      <c r="A98" s="983"/>
      <c r="B98" s="85" t="s">
        <v>1254</v>
      </c>
      <c r="C98" s="190"/>
      <c r="D98" s="190"/>
      <c r="E98" s="190"/>
      <c r="F98" s="983"/>
      <c r="G98" s="983"/>
      <c r="H98" s="983"/>
      <c r="I98" s="983"/>
      <c r="J98" s="983"/>
      <c r="K98" s="983"/>
      <c r="L98" s="983"/>
      <c r="M98" s="983"/>
      <c r="N98" s="983"/>
      <c r="O98" s="983"/>
      <c r="P98" s="983"/>
      <c r="Q98" s="983"/>
      <c r="R98" s="983"/>
      <c r="S98" s="983"/>
      <c r="T98" s="983"/>
      <c r="U98" s="983"/>
      <c r="V98" s="983"/>
      <c r="W98" s="983"/>
      <c r="X98" s="983"/>
      <c r="Y98" s="983"/>
      <c r="Z98" s="983"/>
      <c r="AA98" s="983"/>
      <c r="AB98" s="983"/>
      <c r="AC98" s="983"/>
      <c r="AD98" s="983"/>
      <c r="AE98" s="983"/>
      <c r="AF98" s="983"/>
      <c r="AG98" s="983"/>
      <c r="AH98" s="983"/>
      <c r="AI98" s="983"/>
      <c r="AJ98" s="983"/>
      <c r="AK98" s="983"/>
      <c r="AL98" s="983"/>
      <c r="AM98" s="983"/>
      <c r="AN98" s="983"/>
      <c r="AO98" s="983"/>
      <c r="AP98" s="987"/>
      <c r="AQ98" s="987"/>
      <c r="AR98" s="987"/>
      <c r="AS98" s="987"/>
      <c r="AT98" s="987"/>
      <c r="AU98" s="987"/>
      <c r="AV98" s="987"/>
      <c r="AW98" s="987"/>
      <c r="AX98" s="987"/>
      <c r="AY98" s="987"/>
      <c r="AZ98" s="987"/>
      <c r="BA98" s="987"/>
      <c r="BB98" s="987"/>
      <c r="BC98" s="987"/>
      <c r="BD98" s="983"/>
      <c r="BE98" s="983"/>
      <c r="BF98" s="983"/>
      <c r="BG98" s="983"/>
      <c r="BH98" s="983"/>
      <c r="BI98" s="983"/>
      <c r="BJ98" s="983"/>
      <c r="BK98" s="983"/>
      <c r="BL98" s="983"/>
      <c r="BM98" s="983"/>
      <c r="BN98" s="983"/>
      <c r="BO98" s="983"/>
      <c r="BP98" s="983"/>
      <c r="BQ98" s="983"/>
      <c r="BR98" s="983"/>
      <c r="BS98" s="983"/>
      <c r="BT98" s="983"/>
      <c r="BU98" s="983"/>
      <c r="BV98" s="983"/>
      <c r="BW98" s="983"/>
      <c r="BX98" s="983"/>
      <c r="BY98" s="983"/>
      <c r="BZ98" s="983"/>
      <c r="CA98" s="983"/>
      <c r="CB98" s="985"/>
      <c r="CC98" s="985"/>
      <c r="CD98" s="985"/>
      <c r="CE98" s="985"/>
      <c r="CF98" s="985"/>
      <c r="CG98" s="985"/>
      <c r="CH98" s="1023"/>
      <c r="CI98" s="1023"/>
      <c r="CJ98" s="1023"/>
      <c r="CK98" s="1023"/>
      <c r="CL98" s="1023"/>
      <c r="CM98" s="1023"/>
      <c r="CN98" s="1023"/>
    </row>
    <row r="99" spans="1:92" ht="16.350000000000001" customHeight="1" x14ac:dyDescent="0.25">
      <c r="A99" s="983"/>
      <c r="B99" s="5263" t="s">
        <v>1266</v>
      </c>
      <c r="C99" s="5155"/>
      <c r="D99" s="5264"/>
      <c r="E99" s="4335" t="s">
        <v>42</v>
      </c>
      <c r="F99" s="983"/>
      <c r="G99" s="983"/>
      <c r="H99" s="983"/>
      <c r="I99" s="983"/>
      <c r="J99" s="983"/>
      <c r="K99" s="983"/>
      <c r="L99" s="983"/>
      <c r="M99" s="983"/>
      <c r="N99" s="983"/>
      <c r="O99" s="983"/>
      <c r="P99" s="983"/>
      <c r="Q99" s="983"/>
      <c r="R99" s="983"/>
      <c r="S99" s="983"/>
      <c r="T99" s="983"/>
      <c r="U99" s="983"/>
      <c r="V99" s="983"/>
      <c r="W99" s="983"/>
      <c r="X99" s="983"/>
      <c r="Y99" s="983"/>
      <c r="Z99" s="983"/>
      <c r="AA99" s="983"/>
      <c r="AB99" s="983"/>
      <c r="AC99" s="983"/>
      <c r="AD99" s="983"/>
      <c r="AE99" s="983"/>
      <c r="AF99" s="983"/>
      <c r="AG99" s="983"/>
      <c r="AH99" s="983"/>
      <c r="AI99" s="983"/>
      <c r="AJ99" s="983"/>
      <c r="AK99" s="983"/>
      <c r="AL99" s="983"/>
      <c r="AM99" s="983"/>
      <c r="AN99" s="983"/>
      <c r="AO99" s="983"/>
      <c r="AP99" s="987"/>
      <c r="AQ99" s="987"/>
      <c r="AR99" s="987"/>
      <c r="AS99" s="987"/>
      <c r="AT99" s="987"/>
      <c r="AU99" s="987"/>
      <c r="AV99" s="987"/>
      <c r="AW99" s="987"/>
      <c r="AX99" s="987"/>
      <c r="AY99" s="987"/>
      <c r="AZ99" s="987"/>
      <c r="BA99" s="987"/>
      <c r="BB99" s="987"/>
      <c r="BC99" s="987"/>
      <c r="BD99" s="983"/>
      <c r="BE99" s="983"/>
      <c r="BF99" s="983"/>
      <c r="BG99" s="983"/>
      <c r="BH99" s="983"/>
      <c r="BI99" s="983"/>
      <c r="BJ99" s="983"/>
      <c r="BK99" s="983"/>
      <c r="BL99" s="983"/>
      <c r="BM99" s="983"/>
      <c r="BN99" s="983"/>
      <c r="BO99" s="983"/>
      <c r="BP99" s="983"/>
      <c r="BQ99" s="983"/>
      <c r="BR99" s="983"/>
      <c r="BS99" s="983"/>
      <c r="BT99" s="983"/>
      <c r="BU99" s="983"/>
      <c r="BV99" s="983"/>
      <c r="BW99" s="983"/>
      <c r="BX99" s="983"/>
      <c r="BY99" s="984"/>
      <c r="BZ99" s="984"/>
      <c r="CA99" s="984"/>
      <c r="CB99" s="985"/>
      <c r="CC99" s="985"/>
      <c r="CD99" s="985"/>
      <c r="CE99" s="985"/>
      <c r="CF99" s="985"/>
      <c r="CG99" s="985"/>
      <c r="CH99" s="1023"/>
      <c r="CI99" s="1023"/>
      <c r="CJ99" s="1023"/>
      <c r="CK99" s="1023"/>
      <c r="CL99" s="1023"/>
      <c r="CM99" s="1023"/>
      <c r="CN99" s="1023"/>
    </row>
    <row r="100" spans="1:92" ht="25.35" customHeight="1" x14ac:dyDescent="0.25">
      <c r="A100" s="2949" t="s">
        <v>3512</v>
      </c>
      <c r="B100" s="5150" t="s">
        <v>1267</v>
      </c>
      <c r="C100" s="5152"/>
      <c r="D100" s="4451" t="s">
        <v>582</v>
      </c>
      <c r="E100" s="4452" t="s">
        <v>2777</v>
      </c>
      <c r="F100" s="209"/>
      <c r="G100" s="983"/>
      <c r="H100" s="983"/>
      <c r="I100" s="983"/>
      <c r="J100" s="983"/>
      <c r="K100" s="983"/>
      <c r="L100" s="983"/>
      <c r="M100" s="983"/>
      <c r="N100" s="983"/>
      <c r="O100" s="983"/>
      <c r="P100" s="983"/>
      <c r="Q100" s="983"/>
      <c r="R100" s="983"/>
      <c r="S100" s="983"/>
      <c r="T100" s="983"/>
      <c r="U100" s="983"/>
      <c r="V100" s="983"/>
      <c r="W100" s="983"/>
      <c r="X100" s="983"/>
      <c r="Y100" s="983"/>
      <c r="Z100" s="983"/>
      <c r="AA100" s="983"/>
      <c r="AB100" s="983"/>
      <c r="AC100" s="983"/>
      <c r="AD100" s="983"/>
      <c r="AE100" s="983"/>
      <c r="AF100" s="983"/>
      <c r="AG100" s="983"/>
      <c r="AH100" s="983"/>
      <c r="AI100" s="983"/>
      <c r="AJ100" s="983"/>
      <c r="AK100" s="983"/>
      <c r="AL100" s="983"/>
      <c r="AM100" s="983"/>
      <c r="AN100" s="983"/>
      <c r="AO100" s="983"/>
      <c r="AP100" s="983"/>
      <c r="AQ100" s="983"/>
      <c r="AR100" s="983"/>
      <c r="AS100" s="983"/>
      <c r="AT100" s="983"/>
      <c r="AU100" s="983"/>
      <c r="AV100" s="983"/>
      <c r="AW100" s="983"/>
      <c r="AX100" s="983"/>
      <c r="AY100" s="983"/>
      <c r="AZ100" s="983"/>
      <c r="BA100" s="983"/>
      <c r="BB100" s="983"/>
      <c r="BC100" s="983"/>
      <c r="BD100" s="983"/>
      <c r="BE100" s="983"/>
      <c r="BF100" s="983"/>
      <c r="BG100" s="983"/>
      <c r="BH100" s="983"/>
      <c r="BI100" s="983"/>
      <c r="BJ100" s="983"/>
      <c r="BK100" s="983"/>
      <c r="BL100" s="983"/>
      <c r="BM100" s="983"/>
      <c r="BN100" s="983"/>
      <c r="BO100" s="983"/>
      <c r="BP100" s="983"/>
      <c r="BQ100" s="983"/>
      <c r="BR100" s="983"/>
      <c r="BS100" s="983"/>
      <c r="BT100" s="983"/>
      <c r="BU100" s="983"/>
      <c r="BV100" s="983"/>
      <c r="BW100" s="983"/>
      <c r="BX100" s="983"/>
      <c r="BY100" s="984"/>
      <c r="BZ100" s="984"/>
      <c r="CA100" s="984"/>
      <c r="CB100" s="985"/>
      <c r="CC100" s="985"/>
      <c r="CD100" s="985"/>
      <c r="CE100" s="985"/>
      <c r="CF100" s="985"/>
      <c r="CG100" s="985"/>
      <c r="CH100" s="1023"/>
      <c r="CI100" s="1023"/>
      <c r="CJ100" s="1023"/>
      <c r="CK100" s="1023"/>
      <c r="CL100" s="1023"/>
      <c r="CM100" s="1023"/>
      <c r="CN100" s="1023"/>
    </row>
    <row r="101" spans="1:92" ht="25.35" customHeight="1" x14ac:dyDescent="0.25">
      <c r="A101" s="2949" t="s">
        <v>3513</v>
      </c>
      <c r="B101" s="5153"/>
      <c r="C101" s="5143"/>
      <c r="D101" s="4237" t="s">
        <v>583</v>
      </c>
      <c r="E101" s="4415" t="s">
        <v>2777</v>
      </c>
      <c r="F101" s="209"/>
      <c r="G101" s="983"/>
      <c r="H101" s="983"/>
      <c r="I101" s="983"/>
      <c r="J101" s="983"/>
      <c r="K101" s="983"/>
      <c r="L101" s="983"/>
      <c r="M101" s="983"/>
      <c r="N101" s="983"/>
      <c r="O101" s="983"/>
      <c r="P101" s="983"/>
      <c r="Q101" s="983"/>
      <c r="R101" s="983"/>
      <c r="S101" s="983"/>
      <c r="T101" s="983"/>
      <c r="U101" s="983"/>
      <c r="V101" s="983"/>
      <c r="W101" s="983"/>
      <c r="X101" s="983"/>
      <c r="Y101" s="983"/>
      <c r="Z101" s="983"/>
      <c r="AA101" s="983"/>
      <c r="AB101" s="983"/>
      <c r="AC101" s="983"/>
      <c r="AD101" s="983"/>
      <c r="AE101" s="983"/>
      <c r="AF101" s="983"/>
      <c r="AG101" s="983"/>
      <c r="AH101" s="983"/>
      <c r="AI101" s="983"/>
      <c r="AJ101" s="983"/>
      <c r="AK101" s="983"/>
      <c r="AL101" s="983"/>
      <c r="AM101" s="983"/>
      <c r="AN101" s="983"/>
      <c r="AO101" s="983"/>
      <c r="AP101" s="983"/>
      <c r="AQ101" s="983"/>
      <c r="AR101" s="983"/>
      <c r="AS101" s="983"/>
      <c r="AT101" s="983"/>
      <c r="AU101" s="983"/>
      <c r="AV101" s="983"/>
      <c r="AW101" s="983"/>
      <c r="AX101" s="983"/>
      <c r="AY101" s="983"/>
      <c r="AZ101" s="983"/>
      <c r="BA101" s="983"/>
      <c r="BB101" s="983"/>
      <c r="BC101" s="983"/>
      <c r="BD101" s="983"/>
      <c r="BE101" s="983"/>
      <c r="BF101" s="983"/>
      <c r="BG101" s="983"/>
      <c r="BH101" s="983"/>
      <c r="BI101" s="983"/>
      <c r="BJ101" s="983"/>
      <c r="BK101" s="983"/>
      <c r="BL101" s="983"/>
      <c r="BM101" s="983"/>
      <c r="BN101" s="983"/>
      <c r="BO101" s="983"/>
      <c r="BP101" s="983"/>
      <c r="BQ101" s="983"/>
      <c r="BR101" s="983"/>
      <c r="BS101" s="983"/>
      <c r="BT101" s="983"/>
      <c r="BU101" s="983"/>
      <c r="BV101" s="983"/>
      <c r="BW101" s="983"/>
      <c r="BX101" s="983"/>
      <c r="BY101" s="984"/>
      <c r="BZ101" s="984"/>
      <c r="CA101" s="984"/>
      <c r="CB101" s="985"/>
      <c r="CC101" s="985"/>
      <c r="CD101" s="985"/>
      <c r="CE101" s="985"/>
      <c r="CF101" s="985"/>
      <c r="CG101" s="985"/>
      <c r="CH101" s="1023"/>
      <c r="CI101" s="1023"/>
      <c r="CJ101" s="1023"/>
      <c r="CK101" s="1023"/>
      <c r="CL101" s="1023"/>
      <c r="CM101" s="1023"/>
      <c r="CN101" s="1023"/>
    </row>
    <row r="102" spans="1:92" ht="25.35" customHeight="1" x14ac:dyDescent="0.25">
      <c r="A102" s="2949" t="s">
        <v>3514</v>
      </c>
      <c r="B102" s="5844"/>
      <c r="C102" s="5297"/>
      <c r="D102" s="4238" t="s">
        <v>584</v>
      </c>
      <c r="E102" s="4453" t="s">
        <v>2777</v>
      </c>
      <c r="F102" s="209"/>
      <c r="G102" s="983"/>
      <c r="H102" s="983"/>
      <c r="I102" s="983"/>
      <c r="J102" s="983"/>
      <c r="K102" s="983"/>
      <c r="L102" s="983"/>
      <c r="M102" s="983"/>
      <c r="N102" s="983"/>
      <c r="O102" s="983"/>
      <c r="P102" s="983"/>
      <c r="Q102" s="983"/>
      <c r="R102" s="983"/>
      <c r="S102" s="983"/>
      <c r="T102" s="983"/>
      <c r="U102" s="983"/>
      <c r="V102" s="983"/>
      <c r="W102" s="983"/>
      <c r="X102" s="983"/>
      <c r="Y102" s="983"/>
      <c r="Z102" s="983"/>
      <c r="AA102" s="983"/>
      <c r="AB102" s="983"/>
      <c r="AC102" s="983"/>
      <c r="AD102" s="983"/>
      <c r="AE102" s="983"/>
      <c r="AF102" s="983"/>
      <c r="AG102" s="983"/>
      <c r="AH102" s="983"/>
      <c r="AI102" s="983"/>
      <c r="AJ102" s="983"/>
      <c r="AK102" s="983"/>
      <c r="AL102" s="983"/>
      <c r="AM102" s="983"/>
      <c r="AN102" s="983"/>
      <c r="AO102" s="983"/>
      <c r="AP102" s="983"/>
      <c r="AQ102" s="983"/>
      <c r="AR102" s="983"/>
      <c r="AS102" s="983"/>
      <c r="AT102" s="983"/>
      <c r="AU102" s="983"/>
      <c r="AV102" s="983"/>
      <c r="AW102" s="983"/>
      <c r="AX102" s="983"/>
      <c r="AY102" s="983"/>
      <c r="AZ102" s="983"/>
      <c r="BA102" s="983"/>
      <c r="BB102" s="983"/>
      <c r="BC102" s="983"/>
      <c r="BD102" s="983"/>
      <c r="BE102" s="983"/>
      <c r="BF102" s="983"/>
      <c r="BG102" s="983"/>
      <c r="BH102" s="983"/>
      <c r="BI102" s="983"/>
      <c r="BJ102" s="983"/>
      <c r="BK102" s="983"/>
      <c r="BL102" s="983"/>
      <c r="BM102" s="983"/>
      <c r="BN102" s="983"/>
      <c r="BO102" s="983"/>
      <c r="BP102" s="983"/>
      <c r="BQ102" s="983"/>
      <c r="BR102" s="983"/>
      <c r="BS102" s="983"/>
      <c r="BT102" s="983"/>
      <c r="BU102" s="983"/>
      <c r="BV102" s="983"/>
      <c r="BW102" s="983"/>
      <c r="BX102" s="983"/>
      <c r="BY102" s="984"/>
      <c r="BZ102" s="984"/>
      <c r="CA102" s="984"/>
      <c r="CB102" s="985"/>
      <c r="CC102" s="985"/>
      <c r="CD102" s="985"/>
      <c r="CE102" s="985"/>
      <c r="CF102" s="985"/>
      <c r="CG102" s="985"/>
      <c r="CH102" s="1023"/>
      <c r="CI102" s="1023"/>
      <c r="CJ102" s="1023"/>
      <c r="CK102" s="1023"/>
      <c r="CL102" s="1023"/>
      <c r="CM102" s="1023"/>
      <c r="CN102" s="1023"/>
    </row>
    <row r="103" spans="1:92" ht="32.1" customHeight="1" x14ac:dyDescent="0.25">
      <c r="A103" s="983"/>
      <c r="B103" s="177" t="s">
        <v>1459</v>
      </c>
      <c r="C103" s="219"/>
      <c r="D103" s="969"/>
      <c r="E103" s="970"/>
      <c r="F103" s="4454"/>
      <c r="G103" s="4455"/>
      <c r="H103" s="4455"/>
      <c r="I103" s="154"/>
      <c r="J103" s="4455"/>
      <c r="K103" s="219"/>
      <c r="L103" s="4456"/>
      <c r="M103" s="4457"/>
      <c r="N103" s="4456"/>
      <c r="O103" s="4456"/>
      <c r="P103" s="4458"/>
      <c r="Q103" s="219"/>
      <c r="R103" s="4456"/>
      <c r="S103" s="4458"/>
      <c r="T103" s="219"/>
      <c r="U103" s="4456"/>
      <c r="V103" s="219"/>
      <c r="W103" s="219"/>
      <c r="X103" s="4458"/>
      <c r="Y103" s="4458"/>
      <c r="Z103" s="4458"/>
      <c r="AA103" s="4459"/>
      <c r="AB103" s="219"/>
      <c r="AC103" s="4458"/>
      <c r="AD103" s="4458"/>
      <c r="AE103" s="4458"/>
      <c r="AF103" s="4458"/>
      <c r="AG103" s="4459"/>
      <c r="AH103" s="219"/>
      <c r="AI103" s="4458"/>
      <c r="AJ103" s="4458"/>
      <c r="AK103" s="4458"/>
      <c r="AL103" s="219"/>
      <c r="AM103" s="4456"/>
      <c r="AN103" s="4458"/>
      <c r="AO103" s="4456"/>
      <c r="AP103" s="2284"/>
      <c r="AQ103" s="219"/>
      <c r="AR103" s="983"/>
      <c r="AS103" s="983"/>
      <c r="AT103" s="983"/>
      <c r="AU103" s="983"/>
      <c r="AV103" s="983"/>
      <c r="AW103" s="983"/>
      <c r="AX103" s="983"/>
      <c r="AY103" s="983"/>
      <c r="AZ103" s="983"/>
      <c r="BA103" s="983"/>
      <c r="BB103" s="983"/>
      <c r="BC103" s="983"/>
      <c r="BD103" s="983"/>
      <c r="BE103" s="983"/>
      <c r="BF103" s="983"/>
      <c r="BG103" s="983"/>
      <c r="BH103" s="983"/>
      <c r="BI103" s="983"/>
      <c r="BJ103" s="983"/>
      <c r="BK103" s="983"/>
      <c r="BL103" s="983"/>
      <c r="BM103" s="983"/>
      <c r="BN103" s="983"/>
      <c r="BO103" s="983"/>
      <c r="BP103" s="983"/>
      <c r="BQ103" s="983"/>
      <c r="BR103" s="983"/>
      <c r="BS103" s="983"/>
      <c r="BT103" s="983"/>
      <c r="BU103" s="983"/>
      <c r="BV103" s="983"/>
      <c r="BW103" s="983"/>
      <c r="BX103" s="983"/>
      <c r="BY103" s="983"/>
      <c r="BZ103" s="983"/>
      <c r="CA103" s="983"/>
      <c r="CB103" s="985"/>
      <c r="CC103" s="985"/>
      <c r="CD103" s="985"/>
      <c r="CE103" s="985"/>
      <c r="CF103" s="985"/>
      <c r="CG103" s="985"/>
      <c r="CH103" s="1023"/>
      <c r="CI103" s="1023"/>
      <c r="CJ103" s="1023"/>
      <c r="CK103" s="1023"/>
      <c r="CL103" s="1023"/>
      <c r="CM103" s="1023"/>
      <c r="CN103" s="1023"/>
    </row>
    <row r="104" spans="1:92" ht="16.350000000000001" customHeight="1" x14ac:dyDescent="0.25">
      <c r="A104" s="983"/>
      <c r="B104" s="5855" t="s">
        <v>535</v>
      </c>
      <c r="C104" s="5877"/>
      <c r="D104" s="5150" t="s">
        <v>511</v>
      </c>
      <c r="E104" s="5151"/>
      <c r="F104" s="5152"/>
      <c r="G104" s="5263" t="s">
        <v>406</v>
      </c>
      <c r="H104" s="5155"/>
      <c r="I104" s="5155"/>
      <c r="J104" s="5155"/>
      <c r="K104" s="5155"/>
      <c r="L104" s="5155"/>
      <c r="M104" s="5155"/>
      <c r="N104" s="5155"/>
      <c r="O104" s="5155"/>
      <c r="P104" s="5155"/>
      <c r="Q104" s="5155"/>
      <c r="R104" s="5155"/>
      <c r="S104" s="5155"/>
      <c r="T104" s="5155"/>
      <c r="U104" s="5155"/>
      <c r="V104" s="5155"/>
      <c r="W104" s="5155"/>
      <c r="X104" s="5155"/>
      <c r="Y104" s="5155"/>
      <c r="Z104" s="5155"/>
      <c r="AA104" s="5155"/>
      <c r="AB104" s="5155"/>
      <c r="AC104" s="5155"/>
      <c r="AD104" s="5155"/>
      <c r="AE104" s="5155"/>
      <c r="AF104" s="5155"/>
      <c r="AG104" s="5155"/>
      <c r="AH104" s="5155"/>
      <c r="AI104" s="5155"/>
      <c r="AJ104" s="5155"/>
      <c r="AK104" s="5155"/>
      <c r="AL104" s="5155"/>
      <c r="AM104" s="5155"/>
      <c r="AN104" s="5264"/>
      <c r="AO104" s="5142" t="s">
        <v>1357</v>
      </c>
      <c r="AP104" s="988"/>
      <c r="AQ104" s="983"/>
      <c r="AR104" s="983"/>
      <c r="AS104" s="983"/>
      <c r="AT104" s="983"/>
      <c r="AU104" s="983"/>
      <c r="AV104" s="983"/>
      <c r="AW104" s="983"/>
      <c r="AX104" s="983"/>
      <c r="AY104" s="983"/>
      <c r="AZ104" s="983"/>
      <c r="BA104" s="983"/>
      <c r="BB104" s="983"/>
      <c r="BC104" s="983"/>
      <c r="BD104" s="983"/>
      <c r="BE104" s="983"/>
      <c r="BF104" s="983"/>
      <c r="BG104" s="983"/>
      <c r="BH104" s="983"/>
      <c r="BI104" s="983"/>
      <c r="BJ104" s="983"/>
      <c r="BK104" s="983"/>
      <c r="BL104" s="983"/>
      <c r="BM104" s="983"/>
      <c r="BN104" s="983"/>
      <c r="BO104" s="983"/>
      <c r="BP104" s="983"/>
      <c r="BQ104" s="983"/>
      <c r="BR104" s="983"/>
      <c r="BS104" s="983"/>
      <c r="BT104" s="983"/>
      <c r="BU104" s="983"/>
      <c r="BV104" s="983"/>
      <c r="BW104" s="983"/>
      <c r="BX104" s="983"/>
      <c r="BY104" s="984"/>
      <c r="BZ104" s="984"/>
      <c r="CA104" s="984"/>
      <c r="CB104" s="985"/>
      <c r="CC104" s="985"/>
      <c r="CD104" s="985"/>
      <c r="CE104" s="985"/>
      <c r="CF104" s="985"/>
      <c r="CG104" s="985"/>
      <c r="CH104" s="1023"/>
      <c r="CI104" s="1023"/>
      <c r="CJ104" s="1023"/>
      <c r="CK104" s="1023"/>
      <c r="CL104" s="1023"/>
      <c r="CM104" s="1023"/>
      <c r="CN104" s="1023"/>
    </row>
    <row r="105" spans="1:92" ht="16.350000000000001" customHeight="1" x14ac:dyDescent="0.25">
      <c r="A105" s="983"/>
      <c r="B105" s="5547"/>
      <c r="C105" s="5258"/>
      <c r="D105" s="5844"/>
      <c r="E105" s="5317"/>
      <c r="F105" s="5297"/>
      <c r="G105" s="5263" t="s">
        <v>350</v>
      </c>
      <c r="H105" s="5264"/>
      <c r="I105" s="5263" t="s">
        <v>351</v>
      </c>
      <c r="J105" s="5264"/>
      <c r="K105" s="5263" t="s">
        <v>352</v>
      </c>
      <c r="L105" s="5264"/>
      <c r="M105" s="5263" t="s">
        <v>319</v>
      </c>
      <c r="N105" s="5264"/>
      <c r="O105" s="5263" t="s">
        <v>10</v>
      </c>
      <c r="P105" s="5264"/>
      <c r="Q105" s="5261" t="s">
        <v>11</v>
      </c>
      <c r="R105" s="5262"/>
      <c r="S105" s="5261" t="s">
        <v>12</v>
      </c>
      <c r="T105" s="5262"/>
      <c r="U105" s="5261" t="s">
        <v>13</v>
      </c>
      <c r="V105" s="5262"/>
      <c r="W105" s="5261" t="s">
        <v>14</v>
      </c>
      <c r="X105" s="5262"/>
      <c r="Y105" s="5261" t="s">
        <v>15</v>
      </c>
      <c r="Z105" s="5262"/>
      <c r="AA105" s="5261" t="s">
        <v>16</v>
      </c>
      <c r="AB105" s="5262"/>
      <c r="AC105" s="5261" t="s">
        <v>17</v>
      </c>
      <c r="AD105" s="5262"/>
      <c r="AE105" s="5157" t="s">
        <v>18</v>
      </c>
      <c r="AF105" s="5157"/>
      <c r="AG105" s="5261" t="s">
        <v>19</v>
      </c>
      <c r="AH105" s="5262"/>
      <c r="AI105" s="5157" t="s">
        <v>20</v>
      </c>
      <c r="AJ105" s="5157"/>
      <c r="AK105" s="5261" t="s">
        <v>21</v>
      </c>
      <c r="AL105" s="5262"/>
      <c r="AM105" s="5157" t="s">
        <v>22</v>
      </c>
      <c r="AN105" s="5262"/>
      <c r="AO105" s="5113"/>
      <c r="AP105" s="987"/>
      <c r="AQ105" s="987"/>
      <c r="AR105" s="987"/>
      <c r="AS105" s="987"/>
      <c r="AT105" s="987"/>
      <c r="AU105" s="987"/>
      <c r="AV105" s="987"/>
      <c r="AW105" s="987"/>
      <c r="AX105" s="987"/>
      <c r="AY105" s="987"/>
      <c r="AZ105" s="987"/>
      <c r="BA105" s="987"/>
      <c r="BB105" s="987"/>
      <c r="BC105" s="983"/>
      <c r="BD105" s="983"/>
      <c r="BE105" s="983"/>
      <c r="BF105" s="983"/>
      <c r="BG105" s="983"/>
      <c r="BH105" s="983"/>
      <c r="BI105" s="983"/>
      <c r="BJ105" s="983"/>
      <c r="BK105" s="983"/>
      <c r="BL105" s="983"/>
      <c r="BM105" s="983"/>
      <c r="BN105" s="983"/>
      <c r="BO105" s="983"/>
      <c r="BP105" s="983"/>
      <c r="BQ105" s="983"/>
      <c r="BR105" s="983"/>
      <c r="BS105" s="983"/>
      <c r="BT105" s="983"/>
      <c r="BU105" s="983"/>
      <c r="BV105" s="983"/>
      <c r="BW105" s="983"/>
      <c r="BX105" s="983"/>
      <c r="BY105" s="984"/>
      <c r="BZ105" s="984"/>
      <c r="CA105" s="984"/>
      <c r="CB105" s="985"/>
      <c r="CC105" s="985"/>
      <c r="CD105" s="985"/>
      <c r="CE105" s="985"/>
      <c r="CF105" s="985"/>
      <c r="CG105" s="985"/>
      <c r="CH105" s="1023"/>
      <c r="CI105" s="1023"/>
      <c r="CJ105" s="1023"/>
      <c r="CK105" s="1023"/>
      <c r="CL105" s="1023"/>
      <c r="CM105" s="1023"/>
      <c r="CN105" s="1023"/>
    </row>
    <row r="106" spans="1:92" ht="16.350000000000001" customHeight="1" x14ac:dyDescent="0.25">
      <c r="A106" s="983"/>
      <c r="B106" s="5856"/>
      <c r="C106" s="5878"/>
      <c r="D106" s="4375" t="s">
        <v>184</v>
      </c>
      <c r="E106" s="4376" t="s">
        <v>413</v>
      </c>
      <c r="F106" s="4266" t="s">
        <v>25</v>
      </c>
      <c r="G106" s="4265" t="s">
        <v>413</v>
      </c>
      <c r="H106" s="4266" t="s">
        <v>25</v>
      </c>
      <c r="I106" s="4265" t="s">
        <v>413</v>
      </c>
      <c r="J106" s="4266" t="s">
        <v>25</v>
      </c>
      <c r="K106" s="4265" t="s">
        <v>413</v>
      </c>
      <c r="L106" s="4266" t="s">
        <v>25</v>
      </c>
      <c r="M106" s="4265" t="s">
        <v>413</v>
      </c>
      <c r="N106" s="4266" t="s">
        <v>25</v>
      </c>
      <c r="O106" s="4265" t="s">
        <v>413</v>
      </c>
      <c r="P106" s="4266" t="s">
        <v>25</v>
      </c>
      <c r="Q106" s="4265" t="s">
        <v>413</v>
      </c>
      <c r="R106" s="4266" t="s">
        <v>25</v>
      </c>
      <c r="S106" s="4265" t="s">
        <v>413</v>
      </c>
      <c r="T106" s="4266" t="s">
        <v>25</v>
      </c>
      <c r="U106" s="4265" t="s">
        <v>413</v>
      </c>
      <c r="V106" s="4266" t="s">
        <v>25</v>
      </c>
      <c r="W106" s="4265" t="s">
        <v>413</v>
      </c>
      <c r="X106" s="4266" t="s">
        <v>25</v>
      </c>
      <c r="Y106" s="4265" t="s">
        <v>413</v>
      </c>
      <c r="Z106" s="4266" t="s">
        <v>25</v>
      </c>
      <c r="AA106" s="4265" t="s">
        <v>413</v>
      </c>
      <c r="AB106" s="4266" t="s">
        <v>25</v>
      </c>
      <c r="AC106" s="4265" t="s">
        <v>413</v>
      </c>
      <c r="AD106" s="4266" t="s">
        <v>25</v>
      </c>
      <c r="AE106" s="4249" t="s">
        <v>413</v>
      </c>
      <c r="AF106" s="4249" t="s">
        <v>25</v>
      </c>
      <c r="AG106" s="4265" t="s">
        <v>413</v>
      </c>
      <c r="AH106" s="4266" t="s">
        <v>25</v>
      </c>
      <c r="AI106" s="4249" t="s">
        <v>413</v>
      </c>
      <c r="AJ106" s="4249" t="s">
        <v>25</v>
      </c>
      <c r="AK106" s="4265" t="s">
        <v>413</v>
      </c>
      <c r="AL106" s="4266" t="s">
        <v>25</v>
      </c>
      <c r="AM106" s="4249" t="s">
        <v>413</v>
      </c>
      <c r="AN106" s="4266" t="s">
        <v>25</v>
      </c>
      <c r="AO106" s="5861"/>
      <c r="AP106" s="1070"/>
      <c r="AQ106" s="987"/>
      <c r="AR106" s="987"/>
      <c r="AS106" s="987"/>
      <c r="AT106" s="987"/>
      <c r="AU106" s="987"/>
      <c r="AV106" s="987"/>
      <c r="AW106" s="987"/>
      <c r="AX106" s="987"/>
      <c r="AY106" s="987"/>
      <c r="AZ106" s="987"/>
      <c r="BA106" s="987"/>
      <c r="BB106" s="987"/>
      <c r="BC106" s="983"/>
      <c r="BD106" s="983"/>
      <c r="BE106" s="983"/>
      <c r="BF106" s="983"/>
      <c r="BG106" s="983"/>
      <c r="BH106" s="983"/>
      <c r="BI106" s="983"/>
      <c r="BJ106" s="983"/>
      <c r="BK106" s="983"/>
      <c r="BL106" s="983"/>
      <c r="BM106" s="983"/>
      <c r="BN106" s="983"/>
      <c r="BO106" s="983"/>
      <c r="BP106" s="983"/>
      <c r="BQ106" s="983"/>
      <c r="BR106" s="983"/>
      <c r="BS106" s="983"/>
      <c r="BT106" s="983"/>
      <c r="BU106" s="983"/>
      <c r="BV106" s="983"/>
      <c r="BW106" s="983"/>
      <c r="BX106" s="983"/>
      <c r="BY106" s="984"/>
      <c r="BZ106" s="984"/>
      <c r="CA106" s="984"/>
      <c r="CB106" s="985"/>
      <c r="CC106" s="985"/>
      <c r="CD106" s="985"/>
      <c r="CE106" s="985"/>
      <c r="CF106" s="985"/>
      <c r="CG106" s="985"/>
      <c r="CH106" s="1023"/>
      <c r="CI106" s="1023"/>
      <c r="CJ106" s="1023"/>
      <c r="CK106" s="1023"/>
      <c r="CL106" s="1023"/>
      <c r="CM106" s="1023"/>
      <c r="CN106" s="1023"/>
    </row>
    <row r="107" spans="1:92" ht="16.350000000000001" customHeight="1" x14ac:dyDescent="0.25">
      <c r="A107" s="2949" t="s">
        <v>3515</v>
      </c>
      <c r="B107" s="5881" t="s">
        <v>543</v>
      </c>
      <c r="C107" s="5882"/>
      <c r="D107" s="4426" t="s">
        <v>2777</v>
      </c>
      <c r="E107" s="4460" t="s">
        <v>2778</v>
      </c>
      <c r="F107" s="4377" t="s">
        <v>2779</v>
      </c>
      <c r="G107" s="4309" t="s">
        <v>2780</v>
      </c>
      <c r="H107" s="303" t="s">
        <v>2781</v>
      </c>
      <c r="I107" s="4309" t="s">
        <v>2782</v>
      </c>
      <c r="J107" s="303" t="s">
        <v>2783</v>
      </c>
      <c r="K107" s="4309" t="s">
        <v>2784</v>
      </c>
      <c r="L107" s="303" t="s">
        <v>2785</v>
      </c>
      <c r="M107" s="4309" t="s">
        <v>2786</v>
      </c>
      <c r="N107" s="303" t="s">
        <v>2787</v>
      </c>
      <c r="O107" s="4309" t="s">
        <v>2788</v>
      </c>
      <c r="P107" s="303" t="s">
        <v>2789</v>
      </c>
      <c r="Q107" s="4309" t="s">
        <v>2790</v>
      </c>
      <c r="R107" s="303" t="s">
        <v>2791</v>
      </c>
      <c r="S107" s="4309" t="s">
        <v>2792</v>
      </c>
      <c r="T107" s="303" t="s">
        <v>2793</v>
      </c>
      <c r="U107" s="4309" t="s">
        <v>2794</v>
      </c>
      <c r="V107" s="303" t="s">
        <v>2795</v>
      </c>
      <c r="W107" s="4309" t="s">
        <v>2796</v>
      </c>
      <c r="X107" s="303" t="s">
        <v>2797</v>
      </c>
      <c r="Y107" s="4309" t="s">
        <v>2798</v>
      </c>
      <c r="Z107" s="303" t="s">
        <v>2799</v>
      </c>
      <c r="AA107" s="4309" t="s">
        <v>2800</v>
      </c>
      <c r="AB107" s="303" t="s">
        <v>2801</v>
      </c>
      <c r="AC107" s="4309" t="s">
        <v>2817</v>
      </c>
      <c r="AD107" s="303" t="s">
        <v>2818</v>
      </c>
      <c r="AE107" s="4461" t="s">
        <v>2819</v>
      </c>
      <c r="AF107" s="4462" t="s">
        <v>2821</v>
      </c>
      <c r="AG107" s="4309" t="s">
        <v>2822</v>
      </c>
      <c r="AH107" s="303" t="s">
        <v>2823</v>
      </c>
      <c r="AI107" s="4461" t="s">
        <v>2824</v>
      </c>
      <c r="AJ107" s="4462" t="s">
        <v>2825</v>
      </c>
      <c r="AK107" s="4309" t="s">
        <v>2826</v>
      </c>
      <c r="AL107" s="303" t="s">
        <v>2827</v>
      </c>
      <c r="AM107" s="4461" t="s">
        <v>2831</v>
      </c>
      <c r="AN107" s="303" t="s">
        <v>2832</v>
      </c>
      <c r="AO107" s="4463" t="s">
        <v>2833</v>
      </c>
      <c r="AP107" s="1057"/>
      <c r="AQ107" s="1058"/>
      <c r="AR107" s="1058"/>
      <c r="AS107" s="1058"/>
      <c r="AT107" s="1058"/>
      <c r="AU107" s="1058"/>
      <c r="AV107" s="1058"/>
      <c r="AW107" s="1058"/>
      <c r="AX107" s="1058"/>
      <c r="AY107" s="1058"/>
      <c r="AZ107" s="1058"/>
      <c r="BA107" s="1058"/>
      <c r="BB107" s="987"/>
      <c r="BC107" s="983"/>
      <c r="BD107" s="983"/>
      <c r="BE107" s="983"/>
      <c r="BF107" s="983"/>
      <c r="BG107" s="983"/>
      <c r="BH107" s="983"/>
      <c r="BI107" s="983"/>
      <c r="BJ107" s="983"/>
      <c r="BK107" s="983"/>
      <c r="BL107" s="983"/>
      <c r="BM107" s="983"/>
      <c r="BN107" s="983"/>
      <c r="BO107" s="983"/>
      <c r="BP107" s="983"/>
      <c r="BQ107" s="983"/>
      <c r="BR107" s="983"/>
      <c r="BS107" s="983"/>
      <c r="BT107" s="983"/>
      <c r="BU107" s="983"/>
      <c r="BV107" s="983"/>
      <c r="BW107" s="983"/>
      <c r="BX107" s="983"/>
      <c r="BY107" s="984"/>
      <c r="BZ107" s="984"/>
      <c r="CA107" s="984"/>
      <c r="CB107" s="985"/>
      <c r="CC107" s="985"/>
      <c r="CD107" s="985"/>
      <c r="CE107" s="985"/>
      <c r="CF107" s="985"/>
      <c r="CG107" s="985"/>
      <c r="CH107" s="1023">
        <v>0</v>
      </c>
      <c r="CI107" s="1023">
        <v>0</v>
      </c>
      <c r="CJ107" s="1023"/>
      <c r="CK107" s="1023"/>
      <c r="CL107" s="1023"/>
      <c r="CM107" s="1023"/>
      <c r="CN107" s="1023"/>
    </row>
    <row r="108" spans="1:92" ht="16.350000000000001" customHeight="1" x14ac:dyDescent="0.25">
      <c r="A108" s="2949" t="s">
        <v>3516</v>
      </c>
      <c r="B108" s="5313" t="s">
        <v>544</v>
      </c>
      <c r="C108" s="5303"/>
      <c r="D108" s="528" t="s">
        <v>2777</v>
      </c>
      <c r="E108" s="695" t="s">
        <v>2778</v>
      </c>
      <c r="F108" s="226" t="s">
        <v>2779</v>
      </c>
      <c r="G108" s="474" t="s">
        <v>2780</v>
      </c>
      <c r="H108" s="475" t="s">
        <v>2781</v>
      </c>
      <c r="I108" s="474" t="s">
        <v>2782</v>
      </c>
      <c r="J108" s="475" t="s">
        <v>2783</v>
      </c>
      <c r="K108" s="474" t="s">
        <v>2784</v>
      </c>
      <c r="L108" s="475" t="s">
        <v>2785</v>
      </c>
      <c r="M108" s="474" t="s">
        <v>2786</v>
      </c>
      <c r="N108" s="475" t="s">
        <v>2787</v>
      </c>
      <c r="O108" s="474" t="s">
        <v>2788</v>
      </c>
      <c r="P108" s="475" t="s">
        <v>2789</v>
      </c>
      <c r="Q108" s="474" t="s">
        <v>2790</v>
      </c>
      <c r="R108" s="475" t="s">
        <v>2791</v>
      </c>
      <c r="S108" s="474" t="s">
        <v>2792</v>
      </c>
      <c r="T108" s="475" t="s">
        <v>2793</v>
      </c>
      <c r="U108" s="474" t="s">
        <v>2794</v>
      </c>
      <c r="V108" s="475" t="s">
        <v>2795</v>
      </c>
      <c r="W108" s="474" t="s">
        <v>2796</v>
      </c>
      <c r="X108" s="475" t="s">
        <v>2797</v>
      </c>
      <c r="Y108" s="474" t="s">
        <v>2798</v>
      </c>
      <c r="Z108" s="475" t="s">
        <v>2799</v>
      </c>
      <c r="AA108" s="474" t="s">
        <v>2800</v>
      </c>
      <c r="AB108" s="475" t="s">
        <v>2801</v>
      </c>
      <c r="AC108" s="474" t="s">
        <v>2817</v>
      </c>
      <c r="AD108" s="475" t="s">
        <v>2818</v>
      </c>
      <c r="AE108" s="476" t="s">
        <v>2819</v>
      </c>
      <c r="AF108" s="477" t="s">
        <v>2821</v>
      </c>
      <c r="AG108" s="474" t="s">
        <v>2822</v>
      </c>
      <c r="AH108" s="475" t="s">
        <v>2823</v>
      </c>
      <c r="AI108" s="476" t="s">
        <v>2824</v>
      </c>
      <c r="AJ108" s="477" t="s">
        <v>2825</v>
      </c>
      <c r="AK108" s="474" t="s">
        <v>2826</v>
      </c>
      <c r="AL108" s="475" t="s">
        <v>2827</v>
      </c>
      <c r="AM108" s="476" t="s">
        <v>2831</v>
      </c>
      <c r="AN108" s="475" t="s">
        <v>2832</v>
      </c>
      <c r="AO108" s="439" t="s">
        <v>2833</v>
      </c>
      <c r="AP108" s="1057"/>
      <c r="AQ108" s="1058"/>
      <c r="AR108" s="1058"/>
      <c r="AS108" s="1058"/>
      <c r="AT108" s="1058"/>
      <c r="AU108" s="1058"/>
      <c r="AV108" s="1058"/>
      <c r="AW108" s="1058"/>
      <c r="AX108" s="1058"/>
      <c r="AY108" s="1058"/>
      <c r="AZ108" s="1058"/>
      <c r="BA108" s="1058"/>
      <c r="BB108" s="987"/>
      <c r="BC108" s="983"/>
      <c r="BD108" s="983"/>
      <c r="BE108" s="983"/>
      <c r="BF108" s="983"/>
      <c r="BG108" s="983"/>
      <c r="BH108" s="983"/>
      <c r="BI108" s="983"/>
      <c r="BJ108" s="983"/>
      <c r="BK108" s="983"/>
      <c r="BL108" s="983"/>
      <c r="BM108" s="983"/>
      <c r="BN108" s="983"/>
      <c r="BO108" s="983"/>
      <c r="BP108" s="983"/>
      <c r="BQ108" s="983"/>
      <c r="BR108" s="983"/>
      <c r="BS108" s="983"/>
      <c r="BT108" s="983"/>
      <c r="BU108" s="983"/>
      <c r="BV108" s="983"/>
      <c r="BW108" s="983"/>
      <c r="BX108" s="983"/>
      <c r="BY108" s="984"/>
      <c r="BZ108" s="984"/>
      <c r="CA108" s="984"/>
      <c r="CB108" s="985" t="str">
        <f>IF(D108=0,"",IF(AO108="",IF(D108="","","* No olvide digitar la columna Beneficiarios. "),""))</f>
        <v/>
      </c>
      <c r="CC108" s="985" t="str">
        <f>IF(D108&lt;AO108,"* El número de Beneficiarios NO DEBE ser mayor que el total. ","")</f>
        <v xml:space="preserve">* El número de Beneficiarios NO DEBE ser mayor que el total. </v>
      </c>
      <c r="CD108" s="985"/>
      <c r="CE108" s="985"/>
      <c r="CF108" s="985"/>
      <c r="CG108" s="985"/>
      <c r="CH108" s="1023">
        <f>IF(D108&lt;AO108,1,0)</f>
        <v>1</v>
      </c>
      <c r="CI108" s="1023">
        <f>IF(D108=0,"",IF(AO108="",IF(D108="","",1),0))</f>
        <v>0</v>
      </c>
      <c r="CJ108" s="1023"/>
      <c r="CK108" s="1023"/>
      <c r="CL108" s="1023"/>
      <c r="CM108" s="1023"/>
      <c r="CN108" s="1023"/>
    </row>
    <row r="109" spans="1:92" ht="16.350000000000001" customHeight="1" x14ac:dyDescent="0.25">
      <c r="A109" s="2949" t="s">
        <v>3517</v>
      </c>
      <c r="B109" s="5314" t="s">
        <v>545</v>
      </c>
      <c r="C109" s="5315"/>
      <c r="D109" s="529" t="s">
        <v>2777</v>
      </c>
      <c r="E109" s="696" t="s">
        <v>2778</v>
      </c>
      <c r="F109" s="217" t="s">
        <v>2779</v>
      </c>
      <c r="G109" s="455" t="s">
        <v>2780</v>
      </c>
      <c r="H109" s="456" t="s">
        <v>2781</v>
      </c>
      <c r="I109" s="455" t="s">
        <v>2782</v>
      </c>
      <c r="J109" s="456" t="s">
        <v>2783</v>
      </c>
      <c r="K109" s="455" t="s">
        <v>2784</v>
      </c>
      <c r="L109" s="456" t="s">
        <v>2785</v>
      </c>
      <c r="M109" s="455" t="s">
        <v>2786</v>
      </c>
      <c r="N109" s="456" t="s">
        <v>2787</v>
      </c>
      <c r="O109" s="455" t="s">
        <v>2788</v>
      </c>
      <c r="P109" s="456" t="s">
        <v>2789</v>
      </c>
      <c r="Q109" s="455" t="s">
        <v>2790</v>
      </c>
      <c r="R109" s="456" t="s">
        <v>2791</v>
      </c>
      <c r="S109" s="455" t="s">
        <v>2792</v>
      </c>
      <c r="T109" s="456" t="s">
        <v>2793</v>
      </c>
      <c r="U109" s="455" t="s">
        <v>2794</v>
      </c>
      <c r="V109" s="456" t="s">
        <v>2795</v>
      </c>
      <c r="W109" s="455" t="s">
        <v>2796</v>
      </c>
      <c r="X109" s="456" t="s">
        <v>2797</v>
      </c>
      <c r="Y109" s="455" t="s">
        <v>2798</v>
      </c>
      <c r="Z109" s="456" t="s">
        <v>2799</v>
      </c>
      <c r="AA109" s="455" t="s">
        <v>2800</v>
      </c>
      <c r="AB109" s="456" t="s">
        <v>2801</v>
      </c>
      <c r="AC109" s="455" t="s">
        <v>2817</v>
      </c>
      <c r="AD109" s="456" t="s">
        <v>2818</v>
      </c>
      <c r="AE109" s="478" t="s">
        <v>2819</v>
      </c>
      <c r="AF109" s="479" t="s">
        <v>2821</v>
      </c>
      <c r="AG109" s="455" t="s">
        <v>2822</v>
      </c>
      <c r="AH109" s="456" t="s">
        <v>2823</v>
      </c>
      <c r="AI109" s="478" t="s">
        <v>2824</v>
      </c>
      <c r="AJ109" s="479" t="s">
        <v>2825</v>
      </c>
      <c r="AK109" s="455" t="s">
        <v>2826</v>
      </c>
      <c r="AL109" s="456" t="s">
        <v>2827</v>
      </c>
      <c r="AM109" s="478" t="s">
        <v>2831</v>
      </c>
      <c r="AN109" s="456" t="s">
        <v>2832</v>
      </c>
      <c r="AO109" s="443" t="s">
        <v>2833</v>
      </c>
      <c r="AP109" s="1057"/>
      <c r="AQ109" s="1058"/>
      <c r="AR109" s="1058"/>
      <c r="AS109" s="1058"/>
      <c r="AT109" s="1058"/>
      <c r="AU109" s="1058"/>
      <c r="AV109" s="1058"/>
      <c r="AW109" s="1058"/>
      <c r="AX109" s="1058"/>
      <c r="AY109" s="1058"/>
      <c r="AZ109" s="1058"/>
      <c r="BA109" s="1058"/>
      <c r="BB109" s="987"/>
      <c r="BC109" s="983"/>
      <c r="BD109" s="983"/>
      <c r="BE109" s="983"/>
      <c r="BF109" s="983"/>
      <c r="BG109" s="983"/>
      <c r="BH109" s="983"/>
      <c r="BI109" s="983"/>
      <c r="BJ109" s="983"/>
      <c r="BK109" s="983"/>
      <c r="BL109" s="983"/>
      <c r="BM109" s="983"/>
      <c r="BN109" s="983"/>
      <c r="BO109" s="983"/>
      <c r="BP109" s="983"/>
      <c r="BQ109" s="983"/>
      <c r="BR109" s="983"/>
      <c r="BS109" s="983"/>
      <c r="BT109" s="983"/>
      <c r="BU109" s="983"/>
      <c r="BV109" s="983"/>
      <c r="BW109" s="983"/>
      <c r="BX109" s="983"/>
      <c r="BY109" s="984"/>
      <c r="BZ109" s="984"/>
      <c r="CA109" s="984"/>
      <c r="CB109" s="985" t="str">
        <f>IF(D109=0,"",IF(AO109="",IF(D109="","","* No olvide digitar la columna Beneficiarios. "),""))</f>
        <v/>
      </c>
      <c r="CC109" s="985" t="str">
        <f>IF(D109&lt;AO109,"* El número de Beneficiarios NO DEBE ser mayor que el total. ","")</f>
        <v xml:space="preserve">* El número de Beneficiarios NO DEBE ser mayor que el total. </v>
      </c>
      <c r="CD109" s="985"/>
      <c r="CE109" s="985"/>
      <c r="CF109" s="985"/>
      <c r="CG109" s="985"/>
      <c r="CH109" s="1023">
        <f>IF(D109&lt;AO109,1,0)</f>
        <v>1</v>
      </c>
      <c r="CI109" s="1023">
        <f>IF(D109=0,"",IF(AO109="",IF(D109="","",1),0))</f>
        <v>0</v>
      </c>
      <c r="CJ109" s="1023"/>
      <c r="CK109" s="1023"/>
      <c r="CL109" s="1023"/>
      <c r="CM109" s="1023"/>
      <c r="CN109" s="1023"/>
    </row>
    <row r="110" spans="1:92" ht="32.1" customHeight="1" x14ac:dyDescent="0.25">
      <c r="A110" s="983"/>
      <c r="B110" s="85" t="s">
        <v>1038</v>
      </c>
      <c r="C110" s="190"/>
      <c r="D110" s="190"/>
      <c r="E110" s="190"/>
      <c r="F110" s="190"/>
      <c r="G110" s="190"/>
      <c r="H110" s="190"/>
      <c r="I110" s="190"/>
      <c r="J110" s="190"/>
      <c r="K110" s="190"/>
      <c r="L110" s="190"/>
      <c r="M110" s="190"/>
      <c r="N110" s="190"/>
      <c r="O110" s="190"/>
      <c r="P110" s="190"/>
      <c r="Q110" s="190"/>
      <c r="R110" s="190"/>
      <c r="S110" s="190"/>
      <c r="T110" s="190"/>
      <c r="U110" s="190"/>
      <c r="V110" s="190"/>
      <c r="W110" s="190"/>
      <c r="X110" s="190"/>
      <c r="Y110" s="190"/>
      <c r="Z110" s="190"/>
      <c r="AA110" s="190"/>
      <c r="AB110" s="190"/>
      <c r="AC110" s="190"/>
      <c r="AD110" s="190"/>
      <c r="AE110" s="190"/>
      <c r="AF110" s="190"/>
      <c r="AG110" s="190"/>
      <c r="AH110" s="190"/>
      <c r="AI110" s="243"/>
      <c r="AJ110" s="243"/>
      <c r="AK110" s="983"/>
      <c r="AL110" s="983"/>
      <c r="AM110" s="983"/>
      <c r="AN110" s="983"/>
      <c r="AO110" s="983"/>
      <c r="AP110" s="987"/>
      <c r="AQ110" s="987"/>
      <c r="AR110" s="987"/>
      <c r="AS110" s="987"/>
      <c r="AT110" s="987"/>
      <c r="AU110" s="987"/>
      <c r="AV110" s="987"/>
      <c r="AW110" s="987"/>
      <c r="AX110" s="987"/>
      <c r="AY110" s="987"/>
      <c r="AZ110" s="987"/>
      <c r="BA110" s="987"/>
      <c r="BB110" s="987"/>
      <c r="BC110" s="983"/>
      <c r="BD110" s="983"/>
      <c r="BE110" s="983"/>
      <c r="BF110" s="983"/>
      <c r="BG110" s="983"/>
      <c r="BH110" s="983"/>
      <c r="BI110" s="983"/>
      <c r="BJ110" s="983"/>
      <c r="BK110" s="983"/>
      <c r="BL110" s="983"/>
      <c r="BM110" s="983"/>
      <c r="BN110" s="983"/>
      <c r="BO110" s="983"/>
      <c r="BP110" s="983"/>
      <c r="BQ110" s="983"/>
      <c r="BR110" s="983"/>
      <c r="BS110" s="983"/>
      <c r="BT110" s="983"/>
      <c r="BU110" s="983"/>
      <c r="BV110" s="983"/>
      <c r="BW110" s="983"/>
      <c r="BX110" s="983"/>
      <c r="BY110" s="983"/>
      <c r="BZ110" s="983"/>
      <c r="CA110" s="983"/>
      <c r="CB110" s="985"/>
      <c r="CC110" s="985"/>
      <c r="CD110" s="985"/>
      <c r="CE110" s="985"/>
      <c r="CF110" s="985"/>
      <c r="CG110" s="985"/>
      <c r="CH110" s="1023"/>
      <c r="CI110" s="1023"/>
      <c r="CJ110" s="1023"/>
      <c r="CK110" s="1023"/>
      <c r="CL110" s="1023"/>
      <c r="CM110" s="1023"/>
      <c r="CN110" s="1023"/>
    </row>
    <row r="111" spans="1:92" ht="16.350000000000001" customHeight="1" x14ac:dyDescent="0.25">
      <c r="A111" s="983"/>
      <c r="B111" s="5855" t="s">
        <v>120</v>
      </c>
      <c r="C111" s="5877"/>
      <c r="D111" s="5855" t="s">
        <v>42</v>
      </c>
      <c r="E111" s="5879"/>
      <c r="F111" s="5877"/>
      <c r="G111" s="5263" t="s">
        <v>546</v>
      </c>
      <c r="H111" s="5264"/>
      <c r="I111" s="5880" t="s">
        <v>547</v>
      </c>
      <c r="J111" s="5264"/>
      <c r="K111" s="5263" t="s">
        <v>548</v>
      </c>
      <c r="L111" s="5264"/>
      <c r="M111" s="5263" t="s">
        <v>549</v>
      </c>
      <c r="N111" s="5264"/>
      <c r="O111" s="5263" t="s">
        <v>550</v>
      </c>
      <c r="P111" s="5264"/>
      <c r="Q111" s="5261" t="s">
        <v>551</v>
      </c>
      <c r="R111" s="5262"/>
      <c r="S111" s="5261" t="s">
        <v>552</v>
      </c>
      <c r="T111" s="5262"/>
      <c r="U111" s="5261" t="s">
        <v>553</v>
      </c>
      <c r="V111" s="5157"/>
      <c r="W111" s="5261" t="s">
        <v>554</v>
      </c>
      <c r="X111" s="5157"/>
      <c r="Y111" s="5885" t="s">
        <v>555</v>
      </c>
      <c r="Z111" s="5887" t="s">
        <v>832</v>
      </c>
      <c r="AA111" s="5157"/>
      <c r="AB111" s="5157"/>
      <c r="AC111" s="5262"/>
      <c r="AD111" s="5888" t="s">
        <v>210</v>
      </c>
      <c r="AE111" s="5889"/>
      <c r="AF111" s="5157" t="s">
        <v>1054</v>
      </c>
      <c r="AG111" s="5157"/>
      <c r="AH111" s="5157"/>
      <c r="AI111" s="5262"/>
      <c r="AJ111" s="5142" t="s">
        <v>1365</v>
      </c>
      <c r="AK111" s="987"/>
      <c r="AL111" s="987"/>
      <c r="AM111" s="987"/>
      <c r="AN111" s="987"/>
      <c r="AO111" s="987"/>
      <c r="AP111" s="987"/>
      <c r="AQ111" s="987"/>
      <c r="AR111" s="987"/>
      <c r="AS111" s="987"/>
      <c r="AT111" s="987"/>
      <c r="AU111" s="987"/>
      <c r="AV111" s="987"/>
      <c r="AW111" s="987"/>
      <c r="AX111" s="987"/>
      <c r="AY111" s="987"/>
      <c r="AZ111" s="987"/>
      <c r="BA111" s="987"/>
      <c r="BB111" s="987"/>
      <c r="BC111" s="983"/>
      <c r="BD111" s="983"/>
      <c r="BE111" s="983"/>
      <c r="BF111" s="983"/>
      <c r="BG111" s="983"/>
      <c r="BH111" s="983"/>
      <c r="BI111" s="983"/>
      <c r="BJ111" s="983"/>
      <c r="BK111" s="983"/>
      <c r="BL111" s="983"/>
      <c r="BM111" s="983"/>
      <c r="BN111" s="983"/>
      <c r="BO111" s="983"/>
      <c r="BP111" s="983"/>
      <c r="BQ111" s="983"/>
      <c r="BR111" s="983"/>
      <c r="BS111" s="983"/>
      <c r="BT111" s="983"/>
      <c r="BU111" s="983"/>
      <c r="BV111" s="983"/>
      <c r="BW111" s="983"/>
      <c r="BX111" s="983"/>
      <c r="BY111" s="984"/>
      <c r="BZ111" s="984"/>
      <c r="CA111" s="984"/>
      <c r="CB111" s="985"/>
      <c r="CC111" s="985"/>
      <c r="CD111" s="985"/>
      <c r="CE111" s="985"/>
      <c r="CF111" s="985"/>
      <c r="CG111" s="985"/>
      <c r="CH111" s="1023"/>
      <c r="CI111" s="1023"/>
      <c r="CJ111" s="1023"/>
      <c r="CK111" s="1023"/>
      <c r="CL111" s="1023"/>
      <c r="CM111" s="1023"/>
      <c r="CN111" s="1023"/>
    </row>
    <row r="112" spans="1:92" ht="25.35" customHeight="1" x14ac:dyDescent="0.25">
      <c r="A112" s="983"/>
      <c r="B112" s="5856"/>
      <c r="C112" s="5878"/>
      <c r="D112" s="4375" t="s">
        <v>184</v>
      </c>
      <c r="E112" s="4376" t="s">
        <v>24</v>
      </c>
      <c r="F112" s="4264" t="s">
        <v>25</v>
      </c>
      <c r="G112" s="4336" t="s">
        <v>413</v>
      </c>
      <c r="H112" s="4354" t="s">
        <v>25</v>
      </c>
      <c r="I112" s="4336" t="s">
        <v>413</v>
      </c>
      <c r="J112" s="4354" t="s">
        <v>25</v>
      </c>
      <c r="K112" s="4336" t="s">
        <v>413</v>
      </c>
      <c r="L112" s="4354" t="s">
        <v>25</v>
      </c>
      <c r="M112" s="4336" t="s">
        <v>413</v>
      </c>
      <c r="N112" s="4354" t="s">
        <v>25</v>
      </c>
      <c r="O112" s="4336" t="s">
        <v>413</v>
      </c>
      <c r="P112" s="4354" t="s">
        <v>25</v>
      </c>
      <c r="Q112" s="4336" t="s">
        <v>413</v>
      </c>
      <c r="R112" s="4354" t="s">
        <v>25</v>
      </c>
      <c r="S112" s="4336" t="s">
        <v>413</v>
      </c>
      <c r="T112" s="4354" t="s">
        <v>25</v>
      </c>
      <c r="U112" s="4336" t="s">
        <v>413</v>
      </c>
      <c r="V112" s="4337" t="s">
        <v>25</v>
      </c>
      <c r="W112" s="4336" t="s">
        <v>413</v>
      </c>
      <c r="X112" s="4337" t="s">
        <v>25</v>
      </c>
      <c r="Y112" s="5886"/>
      <c r="Z112" s="1309" t="s">
        <v>557</v>
      </c>
      <c r="AA112" s="4464" t="s">
        <v>558</v>
      </c>
      <c r="AB112" s="4465" t="s">
        <v>559</v>
      </c>
      <c r="AC112" s="4335" t="s">
        <v>823</v>
      </c>
      <c r="AD112" s="4466" t="s">
        <v>502</v>
      </c>
      <c r="AE112" s="4467" t="s">
        <v>307</v>
      </c>
      <c r="AF112" s="4468" t="s">
        <v>1255</v>
      </c>
      <c r="AG112" s="4335" t="s">
        <v>560</v>
      </c>
      <c r="AH112" s="4469" t="s">
        <v>895</v>
      </c>
      <c r="AI112" s="4335" t="s">
        <v>561</v>
      </c>
      <c r="AJ112" s="5861"/>
      <c r="AK112" s="987"/>
      <c r="AL112" s="987"/>
      <c r="AM112" s="987"/>
      <c r="AN112" s="987"/>
      <c r="AO112" s="987"/>
      <c r="AP112" s="987"/>
      <c r="AQ112" s="987"/>
      <c r="AR112" s="987"/>
      <c r="AS112" s="987"/>
      <c r="AT112" s="987"/>
      <c r="AU112" s="987"/>
      <c r="AV112" s="987"/>
      <c r="AW112" s="987"/>
      <c r="AX112" s="987"/>
      <c r="AY112" s="987"/>
      <c r="AZ112" s="987"/>
      <c r="BA112" s="987"/>
      <c r="BB112" s="987"/>
      <c r="BC112" s="983"/>
      <c r="BD112" s="983"/>
      <c r="BE112" s="983"/>
      <c r="BF112" s="983"/>
      <c r="BG112" s="983"/>
      <c r="BH112" s="983"/>
      <c r="BI112" s="983"/>
      <c r="BJ112" s="983"/>
      <c r="BK112" s="983"/>
      <c r="BL112" s="983"/>
      <c r="BM112" s="983"/>
      <c r="BN112" s="983"/>
      <c r="BO112" s="983"/>
      <c r="BP112" s="983"/>
      <c r="BQ112" s="983"/>
      <c r="BR112" s="983"/>
      <c r="BS112" s="983"/>
      <c r="BT112" s="983"/>
      <c r="BU112" s="983"/>
      <c r="BV112" s="983"/>
      <c r="BW112" s="983"/>
      <c r="BX112" s="983"/>
      <c r="BY112" s="984"/>
      <c r="BZ112" s="984"/>
      <c r="CA112" s="984"/>
      <c r="CB112" s="985"/>
      <c r="CC112" s="985"/>
      <c r="CD112" s="985"/>
      <c r="CE112" s="985"/>
      <c r="CF112" s="985"/>
      <c r="CG112" s="985"/>
      <c r="CH112" s="1023"/>
      <c r="CI112" s="1023"/>
      <c r="CJ112" s="1023"/>
      <c r="CK112" s="1023"/>
      <c r="CL112" s="1023"/>
      <c r="CM112" s="1023"/>
      <c r="CN112" s="1023"/>
    </row>
    <row r="113" spans="1:92" ht="16.350000000000001" customHeight="1" x14ac:dyDescent="0.25">
      <c r="A113" s="2949" t="s">
        <v>3518</v>
      </c>
      <c r="B113" s="5881" t="s">
        <v>562</v>
      </c>
      <c r="C113" s="5882"/>
      <c r="D113" s="4380" t="s">
        <v>2777</v>
      </c>
      <c r="E113" s="4381" t="s">
        <v>2778</v>
      </c>
      <c r="F113" s="4373" t="s">
        <v>2779</v>
      </c>
      <c r="G113" s="4404" t="s">
        <v>2780</v>
      </c>
      <c r="H113" s="4470" t="s">
        <v>2781</v>
      </c>
      <c r="I113" s="4403" t="s">
        <v>2782</v>
      </c>
      <c r="J113" s="4406" t="s">
        <v>2783</v>
      </c>
      <c r="K113" s="4404" t="s">
        <v>2784</v>
      </c>
      <c r="L113" s="4470" t="s">
        <v>2785</v>
      </c>
      <c r="M113" s="4403" t="s">
        <v>2786</v>
      </c>
      <c r="N113" s="4406" t="s">
        <v>2787</v>
      </c>
      <c r="O113" s="4404" t="s">
        <v>2788</v>
      </c>
      <c r="P113" s="4470" t="s">
        <v>2789</v>
      </c>
      <c r="Q113" s="4403" t="s">
        <v>2790</v>
      </c>
      <c r="R113" s="4406" t="s">
        <v>2791</v>
      </c>
      <c r="S113" s="4404" t="s">
        <v>2792</v>
      </c>
      <c r="T113" s="4470" t="s">
        <v>2793</v>
      </c>
      <c r="U113" s="4403" t="s">
        <v>2794</v>
      </c>
      <c r="V113" s="4406" t="s">
        <v>2795</v>
      </c>
      <c r="W113" s="4404" t="s">
        <v>2796</v>
      </c>
      <c r="X113" s="4471" t="s">
        <v>2797</v>
      </c>
      <c r="Y113" s="4405" t="s">
        <v>2798</v>
      </c>
      <c r="Z113" s="4472" t="s">
        <v>2799</v>
      </c>
      <c r="AA113" s="4403" t="s">
        <v>2800</v>
      </c>
      <c r="AB113" s="4473" t="s">
        <v>2801</v>
      </c>
      <c r="AC113" s="4474" t="s">
        <v>2817</v>
      </c>
      <c r="AD113" s="4471" t="s">
        <v>2818</v>
      </c>
      <c r="AE113" s="4475" t="s">
        <v>2819</v>
      </c>
      <c r="AF113" s="4472" t="s">
        <v>2821</v>
      </c>
      <c r="AG113" s="4407" t="s">
        <v>2822</v>
      </c>
      <c r="AH113" s="4407" t="s">
        <v>2823</v>
      </c>
      <c r="AI113" s="4407" t="s">
        <v>2824</v>
      </c>
      <c r="AJ113" s="4407" t="s">
        <v>2825</v>
      </c>
      <c r="AK113" s="1057"/>
      <c r="AL113" s="1058"/>
      <c r="AM113" s="1058"/>
      <c r="AN113" s="1058"/>
      <c r="AO113" s="1058"/>
      <c r="AP113" s="1058"/>
      <c r="AQ113" s="1058"/>
      <c r="AR113" s="1058"/>
      <c r="AS113" s="1058"/>
      <c r="AT113" s="1058"/>
      <c r="AU113" s="1058"/>
      <c r="AV113" s="1058"/>
      <c r="AW113" s="987"/>
      <c r="AX113" s="987"/>
      <c r="AY113" s="987"/>
      <c r="AZ113" s="987"/>
      <c r="BA113" s="987"/>
      <c r="BB113" s="987"/>
      <c r="BC113" s="983"/>
      <c r="BD113" s="983"/>
      <c r="BE113" s="983"/>
      <c r="BF113" s="983"/>
      <c r="BG113" s="983"/>
      <c r="BH113" s="983"/>
      <c r="BI113" s="983"/>
      <c r="BJ113" s="983"/>
      <c r="BK113" s="983"/>
      <c r="BL113" s="983"/>
      <c r="BM113" s="983"/>
      <c r="BN113" s="983"/>
      <c r="BO113" s="983"/>
      <c r="BP113" s="983"/>
      <c r="BQ113" s="983"/>
      <c r="BR113" s="983"/>
      <c r="BS113" s="983"/>
      <c r="BT113" s="983"/>
      <c r="BU113" s="983"/>
      <c r="BV113" s="983"/>
      <c r="BW113" s="983"/>
      <c r="BX113" s="983"/>
      <c r="BY113" s="984"/>
      <c r="BZ113" s="984"/>
      <c r="CA113" s="984"/>
      <c r="CB113" s="985"/>
      <c r="CC113" s="985"/>
      <c r="CD113" s="985"/>
      <c r="CE113" s="985"/>
      <c r="CF113" s="985"/>
      <c r="CG113" s="985"/>
      <c r="CH113" s="1023">
        <v>0</v>
      </c>
      <c r="CI113" s="1023">
        <v>0</v>
      </c>
      <c r="CJ113" s="1023">
        <v>0</v>
      </c>
      <c r="CK113" s="1023"/>
      <c r="CL113" s="1023"/>
      <c r="CM113" s="1023"/>
      <c r="CN113" s="1023"/>
    </row>
    <row r="114" spans="1:92" ht="16.350000000000001" customHeight="1" x14ac:dyDescent="0.25">
      <c r="A114" s="2949" t="s">
        <v>3519</v>
      </c>
      <c r="B114" s="5891" t="s">
        <v>563</v>
      </c>
      <c r="C114" s="5892"/>
      <c r="D114" s="4476" t="s">
        <v>2777</v>
      </c>
      <c r="E114" s="4477" t="s">
        <v>2778</v>
      </c>
      <c r="F114" s="4478" t="s">
        <v>2779</v>
      </c>
      <c r="G114" s="4479" t="s">
        <v>2780</v>
      </c>
      <c r="H114" s="4480" t="s">
        <v>2781</v>
      </c>
      <c r="I114" s="4481" t="s">
        <v>2782</v>
      </c>
      <c r="J114" s="4482" t="s">
        <v>2783</v>
      </c>
      <c r="K114" s="4479" t="s">
        <v>2784</v>
      </c>
      <c r="L114" s="4480" t="s">
        <v>2785</v>
      </c>
      <c r="M114" s="4481" t="s">
        <v>2786</v>
      </c>
      <c r="N114" s="4482" t="s">
        <v>2787</v>
      </c>
      <c r="O114" s="4479" t="s">
        <v>2788</v>
      </c>
      <c r="P114" s="4480" t="s">
        <v>2789</v>
      </c>
      <c r="Q114" s="4481" t="s">
        <v>2790</v>
      </c>
      <c r="R114" s="4482" t="s">
        <v>2791</v>
      </c>
      <c r="S114" s="4479" t="s">
        <v>2792</v>
      </c>
      <c r="T114" s="4480" t="s">
        <v>2793</v>
      </c>
      <c r="U114" s="4481" t="s">
        <v>2794</v>
      </c>
      <c r="V114" s="4482" t="s">
        <v>2795</v>
      </c>
      <c r="W114" s="4479" t="s">
        <v>2796</v>
      </c>
      <c r="X114" s="4483" t="s">
        <v>2797</v>
      </c>
      <c r="Y114" s="4484" t="s">
        <v>2798</v>
      </c>
      <c r="Z114" s="4485" t="s">
        <v>2799</v>
      </c>
      <c r="AA114" s="4486" t="s">
        <v>2800</v>
      </c>
      <c r="AB114" s="2657" t="s">
        <v>2801</v>
      </c>
      <c r="AC114" s="2657" t="s">
        <v>2817</v>
      </c>
      <c r="AD114" s="4484" t="s">
        <v>2818</v>
      </c>
      <c r="AE114" s="4487" t="s">
        <v>2819</v>
      </c>
      <c r="AF114" s="4488" t="s">
        <v>2821</v>
      </c>
      <c r="AG114" s="4489" t="s">
        <v>2822</v>
      </c>
      <c r="AH114" s="4489" t="s">
        <v>2823</v>
      </c>
      <c r="AI114" s="4489" t="s">
        <v>2824</v>
      </c>
      <c r="AJ114" s="4489" t="s">
        <v>2825</v>
      </c>
      <c r="AK114" s="1057"/>
      <c r="AL114" s="1058"/>
      <c r="AM114" s="1058"/>
      <c r="AN114" s="1058"/>
      <c r="AO114" s="1058"/>
      <c r="AP114" s="1058"/>
      <c r="AQ114" s="1058"/>
      <c r="AR114" s="1058"/>
      <c r="AS114" s="1058"/>
      <c r="AT114" s="1058"/>
      <c r="AU114" s="1058"/>
      <c r="AV114" s="1058"/>
      <c r="AW114" s="987"/>
      <c r="AX114" s="987"/>
      <c r="AY114" s="987"/>
      <c r="AZ114" s="983"/>
      <c r="BA114" s="983"/>
      <c r="BB114" s="983"/>
      <c r="BC114" s="983"/>
      <c r="BD114" s="983"/>
      <c r="BE114" s="983"/>
      <c r="BF114" s="983"/>
      <c r="BG114" s="983"/>
      <c r="BH114" s="983"/>
      <c r="BI114" s="983"/>
      <c r="BJ114" s="983"/>
      <c r="BK114" s="983"/>
      <c r="BL114" s="983"/>
      <c r="BM114" s="983"/>
      <c r="BN114" s="983"/>
      <c r="BO114" s="983"/>
      <c r="BP114" s="983"/>
      <c r="BQ114" s="983"/>
      <c r="BR114" s="983"/>
      <c r="BS114" s="983"/>
      <c r="BT114" s="983"/>
      <c r="BU114" s="983"/>
      <c r="BV114" s="983"/>
      <c r="BW114" s="983"/>
      <c r="BX114" s="983"/>
      <c r="BY114" s="984"/>
      <c r="BZ114" s="984"/>
      <c r="CA114" s="984"/>
      <c r="CB114" s="985"/>
      <c r="CC114" s="985"/>
      <c r="CD114" s="985"/>
      <c r="CE114" s="985"/>
      <c r="CF114" s="985"/>
      <c r="CG114" s="985"/>
      <c r="CH114" s="1023">
        <v>0</v>
      </c>
      <c r="CI114" s="1023">
        <v>0</v>
      </c>
      <c r="CJ114" s="1023">
        <v>0</v>
      </c>
      <c r="CK114" s="1023"/>
      <c r="CL114" s="1023"/>
      <c r="CM114" s="1023"/>
      <c r="CN114" s="1023"/>
    </row>
    <row r="115" spans="1:92" ht="32.1" customHeight="1" x14ac:dyDescent="0.25">
      <c r="A115" s="983"/>
      <c r="B115" s="85" t="s">
        <v>564</v>
      </c>
      <c r="C115" s="480"/>
      <c r="D115" s="480"/>
      <c r="E115" s="85"/>
      <c r="F115" s="85"/>
      <c r="G115" s="85"/>
      <c r="H115" s="85"/>
      <c r="I115" s="85"/>
      <c r="J115" s="85"/>
      <c r="K115" s="85"/>
      <c r="L115" s="85"/>
      <c r="M115" s="85"/>
      <c r="N115" s="85"/>
      <c r="O115" s="85"/>
      <c r="P115" s="85"/>
      <c r="Q115" s="85"/>
      <c r="R115" s="85"/>
      <c r="S115" s="85"/>
      <c r="T115" s="85"/>
      <c r="U115" s="85"/>
      <c r="V115" s="190"/>
      <c r="W115" s="190"/>
      <c r="X115" s="190"/>
      <c r="Y115" s="983"/>
      <c r="Z115" s="983"/>
      <c r="AA115" s="983"/>
      <c r="AB115" s="983"/>
      <c r="AC115" s="983"/>
      <c r="AD115" s="983"/>
      <c r="AE115" s="983"/>
      <c r="AF115" s="983"/>
      <c r="AG115" s="983"/>
      <c r="AH115" s="983"/>
      <c r="AI115" s="983"/>
      <c r="AJ115" s="983"/>
      <c r="AK115" s="987"/>
      <c r="AL115" s="987"/>
      <c r="AM115" s="987"/>
      <c r="AN115" s="987"/>
      <c r="AO115" s="987"/>
      <c r="AP115" s="987"/>
      <c r="AQ115" s="987"/>
      <c r="AR115" s="987"/>
      <c r="AS115" s="987"/>
      <c r="AT115" s="987"/>
      <c r="AU115" s="987"/>
      <c r="AV115" s="987"/>
      <c r="AW115" s="987"/>
      <c r="AX115" s="987"/>
      <c r="AY115" s="987"/>
      <c r="AZ115" s="983"/>
      <c r="BA115" s="983"/>
      <c r="BB115" s="983"/>
      <c r="BC115" s="983"/>
      <c r="BD115" s="983"/>
      <c r="BE115" s="983"/>
      <c r="BF115" s="983"/>
      <c r="BG115" s="983"/>
      <c r="BH115" s="983"/>
      <c r="BI115" s="983"/>
      <c r="BJ115" s="983"/>
      <c r="BK115" s="983"/>
      <c r="BL115" s="983"/>
      <c r="BM115" s="983"/>
      <c r="BN115" s="983"/>
      <c r="BO115" s="983"/>
      <c r="BP115" s="983"/>
      <c r="BQ115" s="983"/>
      <c r="BR115" s="983"/>
      <c r="BS115" s="983"/>
      <c r="BT115" s="983"/>
      <c r="BU115" s="983"/>
      <c r="BV115" s="983"/>
      <c r="BW115" s="983"/>
      <c r="BX115" s="983"/>
      <c r="BY115" s="983"/>
      <c r="BZ115" s="983"/>
      <c r="CA115" s="983"/>
      <c r="CB115" s="985"/>
      <c r="CC115" s="985"/>
      <c r="CD115" s="985"/>
      <c r="CE115" s="985"/>
      <c r="CF115" s="985"/>
      <c r="CG115" s="985"/>
      <c r="CH115" s="1023"/>
      <c r="CI115" s="1023"/>
      <c r="CJ115" s="1023"/>
      <c r="CK115" s="1023"/>
      <c r="CL115" s="1023"/>
      <c r="CM115" s="1023"/>
      <c r="CN115" s="1023"/>
    </row>
    <row r="116" spans="1:92" ht="16.350000000000001" customHeight="1" x14ac:dyDescent="0.25">
      <c r="A116" s="983"/>
      <c r="B116" s="5855" t="s">
        <v>120</v>
      </c>
      <c r="C116" s="5877"/>
      <c r="D116" s="5145" t="s">
        <v>42</v>
      </c>
      <c r="E116" s="5263" t="s">
        <v>406</v>
      </c>
      <c r="F116" s="5155"/>
      <c r="G116" s="5155"/>
      <c r="H116" s="5155"/>
      <c r="I116" s="5155"/>
      <c r="J116" s="5155"/>
      <c r="K116" s="5155"/>
      <c r="L116" s="5155"/>
      <c r="M116" s="5155"/>
      <c r="N116" s="5884"/>
      <c r="O116" s="5883" t="s">
        <v>40</v>
      </c>
      <c r="P116" s="5884"/>
      <c r="Q116" s="5152" t="s">
        <v>1357</v>
      </c>
      <c r="R116" s="190"/>
      <c r="S116" s="331"/>
      <c r="T116" s="331"/>
      <c r="U116" s="331"/>
      <c r="V116" s="331"/>
      <c r="W116" s="331"/>
      <c r="X116" s="331"/>
      <c r="Y116" s="983"/>
      <c r="Z116" s="983"/>
      <c r="AA116" s="983"/>
      <c r="AB116" s="983"/>
      <c r="AC116" s="983"/>
      <c r="AD116" s="983"/>
      <c r="AE116" s="983"/>
      <c r="AF116" s="983"/>
      <c r="AG116" s="983"/>
      <c r="AH116" s="983"/>
      <c r="AI116" s="983"/>
      <c r="AJ116" s="983"/>
      <c r="AK116" s="987"/>
      <c r="AL116" s="987"/>
      <c r="AM116" s="987"/>
      <c r="AN116" s="987"/>
      <c r="AO116" s="987"/>
      <c r="AP116" s="987"/>
      <c r="AQ116" s="987"/>
      <c r="AR116" s="987"/>
      <c r="AS116" s="987"/>
      <c r="AT116" s="987"/>
      <c r="AU116" s="987"/>
      <c r="AV116" s="987"/>
      <c r="AW116" s="987"/>
      <c r="AX116" s="987"/>
      <c r="AY116" s="987"/>
      <c r="AZ116" s="983"/>
      <c r="BA116" s="983"/>
      <c r="BB116" s="983"/>
      <c r="BC116" s="983"/>
      <c r="BD116" s="983"/>
      <c r="BE116" s="983"/>
      <c r="BF116" s="983"/>
      <c r="BG116" s="983"/>
      <c r="BH116" s="983"/>
      <c r="BI116" s="983"/>
      <c r="BJ116" s="983"/>
      <c r="BK116" s="983"/>
      <c r="BL116" s="983"/>
      <c r="BM116" s="983"/>
      <c r="BN116" s="983"/>
      <c r="BO116" s="983"/>
      <c r="BP116" s="983"/>
      <c r="BQ116" s="983"/>
      <c r="BR116" s="983"/>
      <c r="BS116" s="983"/>
      <c r="BT116" s="983"/>
      <c r="BU116" s="983"/>
      <c r="BV116" s="983"/>
      <c r="BW116" s="983"/>
      <c r="BX116" s="983"/>
      <c r="BY116" s="984"/>
      <c r="BZ116" s="984"/>
      <c r="CA116" s="984"/>
      <c r="CB116" s="985"/>
      <c r="CC116" s="985"/>
      <c r="CD116" s="985"/>
      <c r="CE116" s="985"/>
      <c r="CF116" s="985"/>
      <c r="CG116" s="985"/>
      <c r="CH116" s="1023"/>
      <c r="CI116" s="1023"/>
      <c r="CJ116" s="1023"/>
      <c r="CK116" s="1023"/>
      <c r="CL116" s="1023"/>
      <c r="CM116" s="1023"/>
      <c r="CN116" s="1023"/>
    </row>
    <row r="117" spans="1:92" ht="21.6" customHeight="1" x14ac:dyDescent="0.25">
      <c r="A117" s="983"/>
      <c r="B117" s="5856"/>
      <c r="C117" s="5878"/>
      <c r="D117" s="5893"/>
      <c r="E117" s="4336" t="s">
        <v>350</v>
      </c>
      <c r="F117" s="4358" t="s">
        <v>351</v>
      </c>
      <c r="G117" s="4316" t="s">
        <v>352</v>
      </c>
      <c r="H117" s="4316" t="s">
        <v>319</v>
      </c>
      <c r="I117" s="4316" t="s">
        <v>10</v>
      </c>
      <c r="J117" s="4316" t="s">
        <v>565</v>
      </c>
      <c r="K117" s="4316" t="s">
        <v>566</v>
      </c>
      <c r="L117" s="4316" t="s">
        <v>567</v>
      </c>
      <c r="M117" s="4316" t="s">
        <v>568</v>
      </c>
      <c r="N117" s="4490" t="s">
        <v>569</v>
      </c>
      <c r="O117" s="4491" t="s">
        <v>24</v>
      </c>
      <c r="P117" s="4492" t="s">
        <v>25</v>
      </c>
      <c r="Q117" s="5297"/>
      <c r="R117" s="190"/>
      <c r="S117" s="331"/>
      <c r="T117" s="331"/>
      <c r="U117" s="331"/>
      <c r="V117" s="331"/>
      <c r="W117" s="331"/>
      <c r="X117" s="331"/>
      <c r="Y117" s="983"/>
      <c r="Z117" s="983"/>
      <c r="AA117" s="983"/>
      <c r="AB117" s="983"/>
      <c r="AC117" s="983"/>
      <c r="AD117" s="983"/>
      <c r="AE117" s="983"/>
      <c r="AF117" s="983"/>
      <c r="AG117" s="983"/>
      <c r="AH117" s="983"/>
      <c r="AI117" s="983"/>
      <c r="AJ117" s="983"/>
      <c r="AK117" s="983"/>
      <c r="AL117" s="983"/>
      <c r="AM117" s="983"/>
      <c r="AN117" s="983"/>
      <c r="AO117" s="983"/>
      <c r="AP117" s="983"/>
      <c r="AQ117" s="983"/>
      <c r="AR117" s="983"/>
      <c r="AS117" s="983"/>
      <c r="AT117" s="983"/>
      <c r="AU117" s="983"/>
      <c r="AV117" s="983"/>
      <c r="AW117" s="983"/>
      <c r="AX117" s="983"/>
      <c r="AY117" s="983"/>
      <c r="AZ117" s="983"/>
      <c r="BA117" s="983"/>
      <c r="BB117" s="983"/>
      <c r="BC117" s="983"/>
      <c r="BD117" s="983"/>
      <c r="BE117" s="983"/>
      <c r="BF117" s="983"/>
      <c r="BG117" s="983"/>
      <c r="BH117" s="983"/>
      <c r="BI117" s="983"/>
      <c r="BJ117" s="983"/>
      <c r="BK117" s="983"/>
      <c r="BL117" s="983"/>
      <c r="BM117" s="983"/>
      <c r="BN117" s="983"/>
      <c r="BO117" s="983"/>
      <c r="BP117" s="983"/>
      <c r="BQ117" s="983"/>
      <c r="BR117" s="983"/>
      <c r="BS117" s="983"/>
      <c r="BT117" s="983"/>
      <c r="BU117" s="983"/>
      <c r="BV117" s="983"/>
      <c r="BW117" s="983"/>
      <c r="BX117" s="983"/>
      <c r="BY117" s="984"/>
      <c r="BZ117" s="984"/>
      <c r="CA117" s="984"/>
      <c r="CB117" s="985"/>
      <c r="CC117" s="985"/>
      <c r="CD117" s="985"/>
      <c r="CE117" s="985"/>
      <c r="CF117" s="985"/>
      <c r="CG117" s="985"/>
      <c r="CH117" s="1023"/>
      <c r="CI117" s="1023"/>
      <c r="CJ117" s="1023"/>
      <c r="CK117" s="1023"/>
      <c r="CL117" s="1023"/>
      <c r="CM117" s="1023"/>
      <c r="CN117" s="1023"/>
    </row>
    <row r="118" spans="1:92" ht="26.25" customHeight="1" x14ac:dyDescent="0.25">
      <c r="A118" s="2949" t="s">
        <v>3520</v>
      </c>
      <c r="B118" s="5142" t="s">
        <v>1256</v>
      </c>
      <c r="C118" s="4493" t="s">
        <v>1039</v>
      </c>
      <c r="D118" s="4494" t="s">
        <v>2777</v>
      </c>
      <c r="E118" s="173" t="s">
        <v>2778</v>
      </c>
      <c r="F118" s="145" t="s">
        <v>2779</v>
      </c>
      <c r="G118" s="4319" t="s">
        <v>2780</v>
      </c>
      <c r="H118" s="4319" t="s">
        <v>2781</v>
      </c>
      <c r="I118" s="4319" t="s">
        <v>2782</v>
      </c>
      <c r="J118" s="4319" t="s">
        <v>2783</v>
      </c>
      <c r="K118" s="4319" t="s">
        <v>2784</v>
      </c>
      <c r="L118" s="4319" t="s">
        <v>2785</v>
      </c>
      <c r="M118" s="145" t="s">
        <v>2786</v>
      </c>
      <c r="N118" s="507" t="s">
        <v>2787</v>
      </c>
      <c r="O118" s="4495" t="s">
        <v>2788</v>
      </c>
      <c r="P118" s="4325" t="s">
        <v>2789</v>
      </c>
      <c r="Q118" s="4275" t="s">
        <v>2790</v>
      </c>
      <c r="R118" s="1057"/>
      <c r="S118" s="1058"/>
      <c r="T118" s="1058"/>
      <c r="U118" s="1058"/>
      <c r="V118" s="1058"/>
      <c r="W118" s="1058"/>
      <c r="X118" s="1058"/>
      <c r="Y118" s="1058"/>
      <c r="Z118" s="1058"/>
      <c r="AA118" s="1058"/>
      <c r="AB118" s="1058"/>
      <c r="AC118" s="1058"/>
      <c r="AD118" s="987"/>
      <c r="AE118" s="987"/>
      <c r="AF118" s="987"/>
      <c r="AG118" s="983"/>
      <c r="AH118" s="983"/>
      <c r="AI118" s="983"/>
      <c r="AJ118" s="983"/>
      <c r="AK118" s="983"/>
      <c r="AL118" s="983"/>
      <c r="AM118" s="983"/>
      <c r="AN118" s="983"/>
      <c r="AO118" s="983"/>
      <c r="AP118" s="983"/>
      <c r="AQ118" s="983"/>
      <c r="AR118" s="983"/>
      <c r="AS118" s="983"/>
      <c r="AT118" s="983"/>
      <c r="AU118" s="983"/>
      <c r="AV118" s="983"/>
      <c r="AW118" s="983"/>
      <c r="AX118" s="983"/>
      <c r="AY118" s="983"/>
      <c r="AZ118" s="983"/>
      <c r="BA118" s="983"/>
      <c r="BB118" s="983"/>
      <c r="BC118" s="983"/>
      <c r="BD118" s="983"/>
      <c r="BE118" s="983"/>
      <c r="BF118" s="983"/>
      <c r="BG118" s="983"/>
      <c r="BH118" s="983"/>
      <c r="BI118" s="983"/>
      <c r="BJ118" s="983"/>
      <c r="BK118" s="983"/>
      <c r="BL118" s="983"/>
      <c r="BM118" s="983"/>
      <c r="BN118" s="983"/>
      <c r="BO118" s="983"/>
      <c r="BP118" s="983"/>
      <c r="BQ118" s="983"/>
      <c r="BR118" s="983"/>
      <c r="BS118" s="983"/>
      <c r="BT118" s="983"/>
      <c r="BU118" s="983"/>
      <c r="BV118" s="983"/>
      <c r="BW118" s="983"/>
      <c r="BX118" s="983"/>
      <c r="BY118" s="984"/>
      <c r="BZ118" s="984"/>
      <c r="CA118" s="984"/>
      <c r="CB118" s="985"/>
      <c r="CC118" s="985"/>
      <c r="CD118" s="985"/>
      <c r="CE118" s="985"/>
      <c r="CF118" s="985"/>
      <c r="CG118" s="985"/>
      <c r="CH118" s="1023">
        <v>0</v>
      </c>
      <c r="CI118" s="1023">
        <v>0</v>
      </c>
      <c r="CJ118" s="1023">
        <v>0</v>
      </c>
      <c r="CK118" s="1023"/>
      <c r="CL118" s="1023"/>
      <c r="CM118" s="1023"/>
      <c r="CN118" s="1023"/>
    </row>
    <row r="119" spans="1:92" ht="23.25" customHeight="1" x14ac:dyDescent="0.25">
      <c r="A119" s="2949" t="s">
        <v>3521</v>
      </c>
      <c r="B119" s="5861"/>
      <c r="C119" s="482" t="s">
        <v>1040</v>
      </c>
      <c r="D119" s="100" t="s">
        <v>2777</v>
      </c>
      <c r="E119" s="101" t="s">
        <v>2778</v>
      </c>
      <c r="F119" s="103" t="s">
        <v>2779</v>
      </c>
      <c r="G119" s="126" t="s">
        <v>2780</v>
      </c>
      <c r="H119" s="102" t="s">
        <v>2781</v>
      </c>
      <c r="I119" s="102" t="s">
        <v>2782</v>
      </c>
      <c r="J119" s="102" t="s">
        <v>2783</v>
      </c>
      <c r="K119" s="102" t="s">
        <v>2784</v>
      </c>
      <c r="L119" s="102" t="s">
        <v>2785</v>
      </c>
      <c r="M119" s="103" t="s">
        <v>2786</v>
      </c>
      <c r="N119" s="429" t="s">
        <v>2787</v>
      </c>
      <c r="O119" s="600" t="s">
        <v>2788</v>
      </c>
      <c r="P119" s="533" t="s">
        <v>2789</v>
      </c>
      <c r="Q119" s="168" t="s">
        <v>2790</v>
      </c>
      <c r="R119" s="1057"/>
      <c r="S119" s="1058"/>
      <c r="T119" s="1058"/>
      <c r="U119" s="1058"/>
      <c r="V119" s="1058"/>
      <c r="W119" s="1058"/>
      <c r="X119" s="1058"/>
      <c r="Y119" s="1058"/>
      <c r="Z119" s="1058"/>
      <c r="AA119" s="1058"/>
      <c r="AB119" s="1058"/>
      <c r="AC119" s="1058"/>
      <c r="AD119" s="987"/>
      <c r="AE119" s="987"/>
      <c r="AF119" s="987"/>
      <c r="AG119" s="983"/>
      <c r="AH119" s="983"/>
      <c r="AI119" s="983"/>
      <c r="AJ119" s="983"/>
      <c r="AK119" s="983"/>
      <c r="AL119" s="983"/>
      <c r="AM119" s="983"/>
      <c r="AN119" s="983"/>
      <c r="AO119" s="983"/>
      <c r="AP119" s="983"/>
      <c r="AQ119" s="983"/>
      <c r="AR119" s="983"/>
      <c r="AS119" s="983"/>
      <c r="AT119" s="983"/>
      <c r="AU119" s="983"/>
      <c r="AV119" s="983"/>
      <c r="AW119" s="983"/>
      <c r="AX119" s="983"/>
      <c r="AY119" s="983"/>
      <c r="AZ119" s="983"/>
      <c r="BA119" s="983"/>
      <c r="BB119" s="983"/>
      <c r="BC119" s="983"/>
      <c r="BD119" s="983"/>
      <c r="BE119" s="983"/>
      <c r="BF119" s="983"/>
      <c r="BG119" s="983"/>
      <c r="BH119" s="983"/>
      <c r="BI119" s="983"/>
      <c r="BJ119" s="983"/>
      <c r="BK119" s="983"/>
      <c r="BL119" s="983"/>
      <c r="BM119" s="983"/>
      <c r="BN119" s="983"/>
      <c r="BO119" s="983"/>
      <c r="BP119" s="983"/>
      <c r="BQ119" s="983"/>
      <c r="BR119" s="983"/>
      <c r="BS119" s="983"/>
      <c r="BT119" s="983"/>
      <c r="BU119" s="983"/>
      <c r="BV119" s="983"/>
      <c r="BW119" s="983"/>
      <c r="BX119" s="983"/>
      <c r="BY119" s="984"/>
      <c r="BZ119" s="984"/>
      <c r="CA119" s="984"/>
      <c r="CB119" s="985"/>
      <c r="CC119" s="985"/>
      <c r="CD119" s="985"/>
      <c r="CE119" s="985"/>
      <c r="CF119" s="985"/>
      <c r="CG119" s="985"/>
      <c r="CH119" s="1023">
        <v>0</v>
      </c>
      <c r="CI119" s="1023">
        <v>0</v>
      </c>
      <c r="CJ119" s="1023">
        <v>0</v>
      </c>
      <c r="CK119" s="1023"/>
      <c r="CL119" s="1023"/>
      <c r="CM119" s="1023"/>
      <c r="CN119" s="1023"/>
    </row>
    <row r="120" spans="1:92" ht="32.1" customHeight="1" x14ac:dyDescent="0.25">
      <c r="A120" s="983"/>
      <c r="B120" s="85" t="s">
        <v>1257</v>
      </c>
      <c r="C120" s="85"/>
      <c r="D120" s="85"/>
      <c r="E120" s="85"/>
      <c r="F120" s="85"/>
      <c r="G120" s="85"/>
      <c r="H120" s="85"/>
      <c r="I120" s="85"/>
      <c r="J120" s="85"/>
      <c r="K120" s="85"/>
      <c r="L120" s="85"/>
      <c r="M120" s="85"/>
      <c r="N120" s="85"/>
      <c r="O120" s="85"/>
      <c r="P120" s="190"/>
      <c r="Q120" s="190"/>
      <c r="R120" s="881"/>
      <c r="S120" s="881"/>
      <c r="T120" s="881"/>
      <c r="U120" s="881"/>
      <c r="V120" s="881"/>
      <c r="W120" s="881"/>
      <c r="X120" s="881"/>
      <c r="Y120" s="987"/>
      <c r="Z120" s="987"/>
      <c r="AA120" s="987"/>
      <c r="AB120" s="987"/>
      <c r="AC120" s="987"/>
      <c r="AD120" s="987"/>
      <c r="AE120" s="987"/>
      <c r="AF120" s="987"/>
      <c r="AG120" s="983"/>
      <c r="AH120" s="983"/>
      <c r="AI120" s="983"/>
      <c r="AJ120" s="983"/>
      <c r="AK120" s="983"/>
      <c r="AL120" s="983"/>
      <c r="AM120" s="983"/>
      <c r="AN120" s="983"/>
      <c r="AO120" s="983"/>
      <c r="AP120" s="983"/>
      <c r="AQ120" s="983"/>
      <c r="AR120" s="983"/>
      <c r="AS120" s="983"/>
      <c r="AT120" s="983"/>
      <c r="AU120" s="983"/>
      <c r="AV120" s="983"/>
      <c r="AW120" s="983"/>
      <c r="AX120" s="983"/>
      <c r="AY120" s="983"/>
      <c r="AZ120" s="983"/>
      <c r="BA120" s="983"/>
      <c r="BB120" s="983"/>
      <c r="BC120" s="983"/>
      <c r="BD120" s="983"/>
      <c r="BE120" s="983"/>
      <c r="BF120" s="983"/>
      <c r="BG120" s="983"/>
      <c r="BH120" s="983"/>
      <c r="BI120" s="983"/>
      <c r="BJ120" s="983"/>
      <c r="BK120" s="983"/>
      <c r="BL120" s="983"/>
      <c r="BM120" s="983"/>
      <c r="BN120" s="983"/>
      <c r="BO120" s="983"/>
      <c r="BP120" s="983"/>
      <c r="BQ120" s="983"/>
      <c r="BR120" s="983"/>
      <c r="BS120" s="983"/>
      <c r="BT120" s="983"/>
      <c r="BU120" s="983"/>
      <c r="BV120" s="983"/>
      <c r="BW120" s="983"/>
      <c r="BX120" s="983"/>
      <c r="BY120" s="983"/>
      <c r="BZ120" s="983"/>
      <c r="CA120" s="983"/>
      <c r="CB120" s="985"/>
      <c r="CC120" s="985"/>
      <c r="CD120" s="985"/>
      <c r="CE120" s="985"/>
      <c r="CF120" s="985"/>
      <c r="CG120" s="985"/>
      <c r="CH120" s="1023"/>
      <c r="CI120" s="1023"/>
      <c r="CJ120" s="1023"/>
      <c r="CK120" s="1023"/>
      <c r="CL120" s="1023"/>
      <c r="CM120" s="1023"/>
      <c r="CN120" s="1023"/>
    </row>
    <row r="121" spans="1:92" ht="16.350000000000001" customHeight="1" x14ac:dyDescent="0.25">
      <c r="A121" s="983"/>
      <c r="B121" s="5142" t="s">
        <v>300</v>
      </c>
      <c r="C121" s="5142" t="s">
        <v>837</v>
      </c>
      <c r="D121" s="190"/>
      <c r="E121" s="139"/>
      <c r="F121" s="190"/>
      <c r="G121" s="190"/>
      <c r="H121" s="190"/>
      <c r="I121" s="190"/>
      <c r="J121" s="190"/>
      <c r="K121" s="190"/>
      <c r="L121" s="190"/>
      <c r="M121" s="190"/>
      <c r="N121" s="190"/>
      <c r="O121" s="190"/>
      <c r="P121" s="190"/>
      <c r="Q121" s="190"/>
      <c r="R121" s="190"/>
      <c r="S121" s="190"/>
      <c r="T121" s="190"/>
      <c r="U121" s="190"/>
      <c r="V121" s="190"/>
      <c r="W121" s="190"/>
      <c r="X121" s="190"/>
      <c r="Y121" s="983"/>
      <c r="Z121" s="983"/>
      <c r="AA121" s="983"/>
      <c r="AB121" s="983"/>
      <c r="AC121" s="983"/>
      <c r="AD121" s="983"/>
      <c r="AE121" s="983"/>
      <c r="AF121" s="983"/>
      <c r="AG121" s="983"/>
      <c r="AH121" s="983"/>
      <c r="AI121" s="983"/>
      <c r="AJ121" s="983"/>
      <c r="AK121" s="983"/>
      <c r="AL121" s="983"/>
      <c r="AM121" s="983"/>
      <c r="AN121" s="983"/>
      <c r="AO121" s="983"/>
      <c r="AP121" s="983"/>
      <c r="AQ121" s="983"/>
      <c r="AR121" s="983"/>
      <c r="AS121" s="983"/>
      <c r="AT121" s="983"/>
      <c r="AU121" s="983"/>
      <c r="AV121" s="983"/>
      <c r="AW121" s="983"/>
      <c r="AX121" s="983"/>
      <c r="AY121" s="983"/>
      <c r="AZ121" s="983"/>
      <c r="BA121" s="983"/>
      <c r="BB121" s="983"/>
      <c r="BC121" s="983"/>
      <c r="BD121" s="983"/>
      <c r="BE121" s="983"/>
      <c r="BF121" s="983"/>
      <c r="BG121" s="983"/>
      <c r="BH121" s="983"/>
      <c r="BI121" s="983"/>
      <c r="BJ121" s="983"/>
      <c r="BK121" s="983"/>
      <c r="BL121" s="983"/>
      <c r="BM121" s="983"/>
      <c r="BN121" s="983"/>
      <c r="BO121" s="983"/>
      <c r="BP121" s="983"/>
      <c r="BQ121" s="983"/>
      <c r="BR121" s="983"/>
      <c r="BS121" s="983"/>
      <c r="BT121" s="983"/>
      <c r="BU121" s="983"/>
      <c r="BV121" s="983"/>
      <c r="BW121" s="983"/>
      <c r="BX121" s="983"/>
      <c r="BY121" s="984"/>
      <c r="BZ121" s="984"/>
      <c r="CA121" s="984"/>
      <c r="CB121" s="985"/>
      <c r="CC121" s="985"/>
      <c r="CD121" s="985"/>
      <c r="CE121" s="985"/>
      <c r="CF121" s="985"/>
      <c r="CG121" s="985"/>
      <c r="CH121" s="1023"/>
      <c r="CI121" s="1023"/>
      <c r="CJ121" s="1023"/>
      <c r="CK121" s="1023"/>
      <c r="CL121" s="1023"/>
      <c r="CM121" s="1023"/>
      <c r="CN121" s="1023"/>
    </row>
    <row r="122" spans="1:92" ht="16.350000000000001" customHeight="1" x14ac:dyDescent="0.25">
      <c r="A122" s="983"/>
      <c r="B122" s="5861"/>
      <c r="C122" s="5861"/>
      <c r="D122" s="190"/>
      <c r="E122" s="139"/>
      <c r="F122" s="190"/>
      <c r="G122" s="190"/>
      <c r="H122" s="190"/>
      <c r="I122" s="190"/>
      <c r="J122" s="190"/>
      <c r="K122" s="190"/>
      <c r="L122" s="190"/>
      <c r="M122" s="190"/>
      <c r="N122" s="190"/>
      <c r="O122" s="190"/>
      <c r="P122" s="190"/>
      <c r="Q122" s="190"/>
      <c r="R122" s="190"/>
      <c r="S122" s="190"/>
      <c r="T122" s="190"/>
      <c r="U122" s="190"/>
      <c r="V122" s="190"/>
      <c r="W122" s="190"/>
      <c r="X122" s="190"/>
      <c r="Y122" s="983"/>
      <c r="Z122" s="983"/>
      <c r="AA122" s="983"/>
      <c r="AB122" s="983"/>
      <c r="AC122" s="983"/>
      <c r="AD122" s="983"/>
      <c r="AE122" s="983"/>
      <c r="AF122" s="983"/>
      <c r="AG122" s="983"/>
      <c r="AH122" s="983"/>
      <c r="AI122" s="983"/>
      <c r="AJ122" s="983"/>
      <c r="AK122" s="983"/>
      <c r="AL122" s="983"/>
      <c r="AM122" s="983"/>
      <c r="AN122" s="983"/>
      <c r="AO122" s="983"/>
      <c r="AP122" s="983"/>
      <c r="AQ122" s="983"/>
      <c r="AR122" s="983"/>
      <c r="AS122" s="983"/>
      <c r="AT122" s="983"/>
      <c r="AU122" s="983"/>
      <c r="AV122" s="983"/>
      <c r="AW122" s="983"/>
      <c r="AX122" s="983"/>
      <c r="AY122" s="983"/>
      <c r="AZ122" s="983"/>
      <c r="BA122" s="983"/>
      <c r="BB122" s="983"/>
      <c r="BC122" s="983"/>
      <c r="BD122" s="983"/>
      <c r="BE122" s="983"/>
      <c r="BF122" s="983"/>
      <c r="BG122" s="983"/>
      <c r="BH122" s="983"/>
      <c r="BI122" s="983"/>
      <c r="BJ122" s="983"/>
      <c r="BK122" s="983"/>
      <c r="BL122" s="983"/>
      <c r="BM122" s="983"/>
      <c r="BN122" s="983"/>
      <c r="BO122" s="983"/>
      <c r="BP122" s="983"/>
      <c r="BQ122" s="983"/>
      <c r="BR122" s="983"/>
      <c r="BS122" s="983"/>
      <c r="BT122" s="983"/>
      <c r="BU122" s="983"/>
      <c r="BV122" s="983"/>
      <c r="BW122" s="983"/>
      <c r="BX122" s="983"/>
      <c r="BY122" s="984"/>
      <c r="BZ122" s="984"/>
      <c r="CA122" s="984"/>
      <c r="CB122" s="985"/>
      <c r="CC122" s="985"/>
      <c r="CD122" s="985"/>
      <c r="CE122" s="985"/>
      <c r="CF122" s="985"/>
      <c r="CG122" s="985"/>
      <c r="CH122" s="1023"/>
      <c r="CI122" s="1023"/>
      <c r="CJ122" s="1023"/>
      <c r="CK122" s="1023"/>
      <c r="CL122" s="1023"/>
      <c r="CM122" s="1023"/>
      <c r="CN122" s="1023"/>
    </row>
    <row r="123" spans="1:92" ht="16.350000000000001" customHeight="1" x14ac:dyDescent="0.25">
      <c r="A123" s="2949">
        <v>24100200</v>
      </c>
      <c r="B123" s="4496" t="s">
        <v>1041</v>
      </c>
      <c r="C123" s="4357" t="s">
        <v>2777</v>
      </c>
      <c r="D123" s="136"/>
      <c r="E123" s="190"/>
      <c r="F123" s="190"/>
      <c r="G123" s="190"/>
      <c r="H123" s="190"/>
      <c r="I123" s="190"/>
      <c r="J123" s="190"/>
      <c r="K123" s="190"/>
      <c r="L123" s="190"/>
      <c r="M123" s="190"/>
      <c r="N123" s="190"/>
      <c r="O123" s="190"/>
      <c r="P123" s="190"/>
      <c r="Q123" s="190"/>
      <c r="R123" s="190"/>
      <c r="S123" s="190"/>
      <c r="T123" s="190"/>
      <c r="U123" s="190"/>
      <c r="V123" s="190"/>
      <c r="W123" s="190"/>
      <c r="X123" s="190"/>
      <c r="Y123" s="983"/>
      <c r="Z123" s="983"/>
      <c r="AA123" s="983"/>
      <c r="AB123" s="983"/>
      <c r="AC123" s="983"/>
      <c r="AD123" s="983"/>
      <c r="AE123" s="983"/>
      <c r="AF123" s="983"/>
      <c r="AG123" s="983"/>
      <c r="AH123" s="983"/>
      <c r="AI123" s="983"/>
      <c r="AJ123" s="983"/>
      <c r="AK123" s="983"/>
      <c r="AL123" s="983"/>
      <c r="AM123" s="983"/>
      <c r="AN123" s="983"/>
      <c r="AO123" s="983"/>
      <c r="AP123" s="983"/>
      <c r="AQ123" s="983"/>
      <c r="AR123" s="983"/>
      <c r="AS123" s="983"/>
      <c r="AT123" s="983"/>
      <c r="AU123" s="983"/>
      <c r="AV123" s="983"/>
      <c r="AW123" s="983"/>
      <c r="AX123" s="983"/>
      <c r="AY123" s="983"/>
      <c r="AZ123" s="983"/>
      <c r="BA123" s="983"/>
      <c r="BB123" s="983"/>
      <c r="BC123" s="983"/>
      <c r="BD123" s="983"/>
      <c r="BE123" s="983"/>
      <c r="BF123" s="983"/>
      <c r="BG123" s="983"/>
      <c r="BH123" s="983"/>
      <c r="BI123" s="983"/>
      <c r="BJ123" s="983"/>
      <c r="BK123" s="983"/>
      <c r="BL123" s="983"/>
      <c r="BM123" s="983"/>
      <c r="BN123" s="983"/>
      <c r="BO123" s="983"/>
      <c r="BP123" s="983"/>
      <c r="BQ123" s="983"/>
      <c r="BR123" s="983"/>
      <c r="BS123" s="983"/>
      <c r="BT123" s="983"/>
      <c r="BU123" s="983"/>
      <c r="BV123" s="983"/>
      <c r="BW123" s="983"/>
      <c r="BX123" s="983"/>
      <c r="BY123" s="984"/>
      <c r="BZ123" s="984"/>
      <c r="CA123" s="984"/>
      <c r="CB123" s="985"/>
      <c r="CC123" s="985"/>
      <c r="CD123" s="985"/>
      <c r="CE123" s="985"/>
      <c r="CF123" s="985"/>
      <c r="CG123" s="985"/>
      <c r="CH123" s="1023"/>
      <c r="CI123" s="1023"/>
      <c r="CJ123" s="1023"/>
      <c r="CK123" s="1023"/>
      <c r="CL123" s="1023"/>
      <c r="CM123" s="1023"/>
      <c r="CN123" s="1023"/>
    </row>
    <row r="124" spans="1:92" ht="16.350000000000001" customHeight="1" x14ac:dyDescent="0.25">
      <c r="A124" s="2949" t="s">
        <v>3522</v>
      </c>
      <c r="B124" s="4497" t="s">
        <v>1042</v>
      </c>
      <c r="C124" s="2393" t="s">
        <v>2777</v>
      </c>
      <c r="D124" s="136"/>
      <c r="E124" s="190"/>
      <c r="F124" s="190"/>
      <c r="G124" s="190"/>
      <c r="H124" s="190"/>
      <c r="I124" s="190"/>
      <c r="J124" s="190"/>
      <c r="K124" s="190"/>
      <c r="L124" s="190"/>
      <c r="M124" s="190"/>
      <c r="N124" s="190"/>
      <c r="O124" s="190"/>
      <c r="P124" s="190"/>
      <c r="Q124" s="190"/>
      <c r="R124" s="190"/>
      <c r="S124" s="190"/>
      <c r="T124" s="190"/>
      <c r="U124" s="190"/>
      <c r="V124" s="190"/>
      <c r="W124" s="190"/>
      <c r="X124" s="190"/>
      <c r="Y124" s="983"/>
      <c r="Z124" s="983"/>
      <c r="AA124" s="983"/>
      <c r="AB124" s="983"/>
      <c r="AC124" s="983"/>
      <c r="AD124" s="983"/>
      <c r="AE124" s="983"/>
      <c r="AF124" s="983"/>
      <c r="AG124" s="983"/>
      <c r="AH124" s="983"/>
      <c r="AI124" s="983"/>
      <c r="AJ124" s="983"/>
      <c r="AK124" s="983"/>
      <c r="AL124" s="983"/>
      <c r="AM124" s="983"/>
      <c r="AN124" s="983"/>
      <c r="AO124" s="983"/>
      <c r="AP124" s="983"/>
      <c r="AQ124" s="983"/>
      <c r="AR124" s="983"/>
      <c r="AS124" s="983"/>
      <c r="AT124" s="983"/>
      <c r="AU124" s="983"/>
      <c r="AV124" s="983"/>
      <c r="AW124" s="983"/>
      <c r="AX124" s="983"/>
      <c r="AY124" s="983"/>
      <c r="AZ124" s="983"/>
      <c r="BA124" s="983"/>
      <c r="BB124" s="983"/>
      <c r="BC124" s="983"/>
      <c r="BD124" s="983"/>
      <c r="BE124" s="983"/>
      <c r="BF124" s="983"/>
      <c r="BG124" s="983"/>
      <c r="BH124" s="983"/>
      <c r="BI124" s="983"/>
      <c r="BJ124" s="983"/>
      <c r="BK124" s="983"/>
      <c r="BL124" s="983"/>
      <c r="BM124" s="983"/>
      <c r="BN124" s="983"/>
      <c r="BO124" s="983"/>
      <c r="BP124" s="983"/>
      <c r="BQ124" s="983"/>
      <c r="BR124" s="983"/>
      <c r="BS124" s="983"/>
      <c r="BT124" s="983"/>
      <c r="BU124" s="983"/>
      <c r="BV124" s="983"/>
      <c r="BW124" s="983"/>
      <c r="BX124" s="983"/>
      <c r="BY124" s="984"/>
      <c r="BZ124" s="984"/>
      <c r="CA124" s="984"/>
      <c r="CB124" s="985"/>
      <c r="CC124" s="985"/>
      <c r="CD124" s="985"/>
      <c r="CE124" s="985"/>
      <c r="CF124" s="985"/>
      <c r="CG124" s="985"/>
      <c r="CH124" s="1023"/>
      <c r="CI124" s="1023"/>
      <c r="CJ124" s="1023"/>
      <c r="CK124" s="1023"/>
      <c r="CL124" s="1023"/>
      <c r="CM124" s="1023"/>
      <c r="CN124" s="1023"/>
    </row>
    <row r="125" spans="1:92" ht="16.350000000000001" customHeight="1" x14ac:dyDescent="0.25">
      <c r="A125" s="2949" t="s">
        <v>3523</v>
      </c>
      <c r="B125" s="4497" t="s">
        <v>962</v>
      </c>
      <c r="C125" s="2393" t="s">
        <v>2777</v>
      </c>
      <c r="D125" s="136"/>
      <c r="E125" s="190"/>
      <c r="F125" s="190"/>
      <c r="G125" s="190"/>
      <c r="H125" s="190"/>
      <c r="I125" s="190"/>
      <c r="J125" s="190"/>
      <c r="K125" s="190"/>
      <c r="L125" s="190"/>
      <c r="M125" s="190"/>
      <c r="N125" s="190"/>
      <c r="O125" s="190"/>
      <c r="P125" s="190"/>
      <c r="Q125" s="190"/>
      <c r="R125" s="190"/>
      <c r="S125" s="190"/>
      <c r="T125" s="190"/>
      <c r="U125" s="190"/>
      <c r="V125" s="190"/>
      <c r="W125" s="190"/>
      <c r="X125" s="190"/>
      <c r="Y125" s="983"/>
      <c r="Z125" s="983"/>
      <c r="AA125" s="983"/>
      <c r="AB125" s="983"/>
      <c r="AC125" s="983"/>
      <c r="AD125" s="983"/>
      <c r="AE125" s="983"/>
      <c r="AF125" s="983"/>
      <c r="AG125" s="983"/>
      <c r="AH125" s="983"/>
      <c r="AI125" s="983"/>
      <c r="AJ125" s="983"/>
      <c r="AK125" s="983"/>
      <c r="AL125" s="983"/>
      <c r="AM125" s="983"/>
      <c r="AN125" s="983"/>
      <c r="AO125" s="983"/>
      <c r="AP125" s="983"/>
      <c r="AQ125" s="983"/>
      <c r="AR125" s="983"/>
      <c r="AS125" s="983"/>
      <c r="AT125" s="983"/>
      <c r="AU125" s="983"/>
      <c r="AV125" s="983"/>
      <c r="AW125" s="983"/>
      <c r="AX125" s="983"/>
      <c r="AY125" s="983"/>
      <c r="AZ125" s="983"/>
      <c r="BA125" s="983"/>
      <c r="BB125" s="983"/>
      <c r="BC125" s="983"/>
      <c r="BD125" s="983"/>
      <c r="BE125" s="983"/>
      <c r="BF125" s="983"/>
      <c r="BG125" s="983"/>
      <c r="BH125" s="983"/>
      <c r="BI125" s="983"/>
      <c r="BJ125" s="983"/>
      <c r="BK125" s="983"/>
      <c r="BL125" s="983"/>
      <c r="BM125" s="983"/>
      <c r="BN125" s="983"/>
      <c r="BO125" s="983"/>
      <c r="BP125" s="983"/>
      <c r="BQ125" s="983"/>
      <c r="BR125" s="983"/>
      <c r="BS125" s="983"/>
      <c r="BT125" s="983"/>
      <c r="BU125" s="983"/>
      <c r="BV125" s="983"/>
      <c r="BW125" s="983"/>
      <c r="BX125" s="983"/>
      <c r="BY125" s="984"/>
      <c r="BZ125" s="984"/>
      <c r="CA125" s="984"/>
      <c r="CB125" s="985"/>
      <c r="CC125" s="985"/>
      <c r="CD125" s="985"/>
      <c r="CE125" s="985"/>
      <c r="CF125" s="985"/>
      <c r="CG125" s="985"/>
      <c r="CH125" s="1023"/>
      <c r="CI125" s="1023"/>
      <c r="CJ125" s="1023"/>
      <c r="CK125" s="1023"/>
      <c r="CL125" s="1023"/>
      <c r="CM125" s="1023"/>
      <c r="CN125" s="1023"/>
    </row>
    <row r="126" spans="1:92" ht="16.350000000000001" customHeight="1" x14ac:dyDescent="0.25">
      <c r="A126" s="2949" t="s">
        <v>3524</v>
      </c>
      <c r="B126" s="4497" t="s">
        <v>964</v>
      </c>
      <c r="C126" s="2393" t="s">
        <v>2777</v>
      </c>
      <c r="D126" s="136"/>
      <c r="E126" s="190"/>
      <c r="F126" s="190"/>
      <c r="G126" s="190"/>
      <c r="H126" s="190"/>
      <c r="I126" s="190"/>
      <c r="J126" s="190"/>
      <c r="K126" s="190"/>
      <c r="L126" s="190"/>
      <c r="M126" s="190"/>
      <c r="N126" s="190"/>
      <c r="O126" s="190"/>
      <c r="P126" s="190"/>
      <c r="Q126" s="190"/>
      <c r="R126" s="190"/>
      <c r="S126" s="190"/>
      <c r="T126" s="190"/>
      <c r="U126" s="190"/>
      <c r="V126" s="190"/>
      <c r="W126" s="190"/>
      <c r="X126" s="190"/>
      <c r="Y126" s="983"/>
      <c r="Z126" s="983"/>
      <c r="AA126" s="983"/>
      <c r="AB126" s="983"/>
      <c r="AC126" s="983"/>
      <c r="AD126" s="983"/>
      <c r="AE126" s="983"/>
      <c r="AF126" s="983"/>
      <c r="AG126" s="983"/>
      <c r="AH126" s="983"/>
      <c r="AI126" s="983"/>
      <c r="AJ126" s="983"/>
      <c r="AK126" s="983"/>
      <c r="AL126" s="983"/>
      <c r="AM126" s="983"/>
      <c r="AN126" s="983"/>
      <c r="AO126" s="983"/>
      <c r="AP126" s="983"/>
      <c r="AQ126" s="983"/>
      <c r="AR126" s="983"/>
      <c r="AS126" s="983"/>
      <c r="AT126" s="983"/>
      <c r="AU126" s="983"/>
      <c r="AV126" s="983"/>
      <c r="AW126" s="983"/>
      <c r="AX126" s="983"/>
      <c r="AY126" s="983"/>
      <c r="AZ126" s="983"/>
      <c r="BA126" s="983"/>
      <c r="BB126" s="983"/>
      <c r="BC126" s="983"/>
      <c r="BD126" s="983"/>
      <c r="BE126" s="983"/>
      <c r="BF126" s="983"/>
      <c r="BG126" s="983"/>
      <c r="BH126" s="983"/>
      <c r="BI126" s="983"/>
      <c r="BJ126" s="983"/>
      <c r="BK126" s="983"/>
      <c r="BL126" s="983"/>
      <c r="BM126" s="983"/>
      <c r="BN126" s="983"/>
      <c r="BO126" s="983"/>
      <c r="BP126" s="983"/>
      <c r="BQ126" s="983"/>
      <c r="BR126" s="983"/>
      <c r="BS126" s="983"/>
      <c r="BT126" s="983"/>
      <c r="BU126" s="983"/>
      <c r="BV126" s="983"/>
      <c r="BW126" s="983"/>
      <c r="BX126" s="983"/>
      <c r="BY126" s="984"/>
      <c r="BZ126" s="984"/>
      <c r="CA126" s="984"/>
      <c r="CB126" s="985"/>
      <c r="CC126" s="985"/>
      <c r="CD126" s="985"/>
      <c r="CE126" s="985"/>
      <c r="CF126" s="985"/>
      <c r="CG126" s="985"/>
      <c r="CH126" s="1023"/>
      <c r="CI126" s="1023"/>
      <c r="CJ126" s="1023"/>
      <c r="CK126" s="1023"/>
      <c r="CL126" s="1023"/>
      <c r="CM126" s="1023"/>
      <c r="CN126" s="1023"/>
    </row>
    <row r="127" spans="1:92" ht="16.350000000000001" customHeight="1" x14ac:dyDescent="0.25">
      <c r="A127" s="2949">
        <v>24100300</v>
      </c>
      <c r="B127" s="4497" t="s">
        <v>570</v>
      </c>
      <c r="C127" s="2393" t="s">
        <v>2777</v>
      </c>
      <c r="D127" s="136"/>
      <c r="E127" s="190"/>
      <c r="F127" s="190"/>
      <c r="G127" s="190"/>
      <c r="H127" s="190"/>
      <c r="I127" s="190"/>
      <c r="J127" s="190"/>
      <c r="K127" s="190"/>
      <c r="L127" s="190"/>
      <c r="M127" s="190"/>
      <c r="N127" s="190"/>
      <c r="O127" s="190"/>
      <c r="P127" s="190"/>
      <c r="Q127" s="190"/>
      <c r="R127" s="190"/>
      <c r="S127" s="190"/>
      <c r="T127" s="190"/>
      <c r="U127" s="190"/>
      <c r="V127" s="190"/>
      <c r="W127" s="190"/>
      <c r="X127" s="190"/>
      <c r="Y127" s="983"/>
      <c r="Z127" s="983"/>
      <c r="AA127" s="983"/>
      <c r="AB127" s="983"/>
      <c r="AC127" s="983"/>
      <c r="AD127" s="983"/>
      <c r="AE127" s="983"/>
      <c r="AF127" s="983"/>
      <c r="AG127" s="983"/>
      <c r="AH127" s="983"/>
      <c r="AI127" s="983"/>
      <c r="AJ127" s="983"/>
      <c r="AK127" s="983"/>
      <c r="AL127" s="983"/>
      <c r="AM127" s="983"/>
      <c r="AN127" s="983"/>
      <c r="AO127" s="983"/>
      <c r="AP127" s="983"/>
      <c r="AQ127" s="983"/>
      <c r="AR127" s="983"/>
      <c r="AS127" s="983"/>
      <c r="AT127" s="983"/>
      <c r="AU127" s="983"/>
      <c r="AV127" s="983"/>
      <c r="AW127" s="983"/>
      <c r="AX127" s="983"/>
      <c r="AY127" s="983"/>
      <c r="AZ127" s="983"/>
      <c r="BA127" s="983"/>
      <c r="BB127" s="983"/>
      <c r="BC127" s="983"/>
      <c r="BD127" s="983"/>
      <c r="BE127" s="983"/>
      <c r="BF127" s="983"/>
      <c r="BG127" s="983"/>
      <c r="BH127" s="983"/>
      <c r="BI127" s="983"/>
      <c r="BJ127" s="983"/>
      <c r="BK127" s="983"/>
      <c r="BL127" s="983"/>
      <c r="BM127" s="983"/>
      <c r="BN127" s="983"/>
      <c r="BO127" s="983"/>
      <c r="BP127" s="983"/>
      <c r="BQ127" s="983"/>
      <c r="BR127" s="983"/>
      <c r="BS127" s="983"/>
      <c r="BT127" s="983"/>
      <c r="BU127" s="983"/>
      <c r="BV127" s="983"/>
      <c r="BW127" s="983"/>
      <c r="BX127" s="983"/>
      <c r="BY127" s="984"/>
      <c r="BZ127" s="984"/>
      <c r="CA127" s="984"/>
      <c r="CB127" s="985"/>
      <c r="CC127" s="985"/>
      <c r="CD127" s="985"/>
      <c r="CE127" s="985"/>
      <c r="CF127" s="985"/>
      <c r="CG127" s="985"/>
      <c r="CH127" s="1023"/>
      <c r="CI127" s="1023"/>
      <c r="CJ127" s="1023"/>
      <c r="CK127" s="1023"/>
      <c r="CL127" s="1023"/>
      <c r="CM127" s="1023"/>
      <c r="CN127" s="1023"/>
    </row>
    <row r="128" spans="1:92" ht="16.350000000000001" customHeight="1" x14ac:dyDescent="0.25">
      <c r="A128" s="2949" t="s">
        <v>3525</v>
      </c>
      <c r="B128" s="349" t="s">
        <v>1043</v>
      </c>
      <c r="C128" s="164" t="s">
        <v>2777</v>
      </c>
      <c r="D128" s="136"/>
      <c r="E128" s="190"/>
      <c r="F128" s="190"/>
      <c r="G128" s="190"/>
      <c r="H128" s="190"/>
      <c r="I128" s="190"/>
      <c r="J128" s="190"/>
      <c r="K128" s="190"/>
      <c r="L128" s="190"/>
      <c r="M128" s="190"/>
      <c r="N128" s="190"/>
      <c r="O128" s="190"/>
      <c r="P128" s="190"/>
      <c r="Q128" s="190"/>
      <c r="R128" s="190"/>
      <c r="S128" s="190"/>
      <c r="T128" s="190"/>
      <c r="U128" s="190"/>
      <c r="V128" s="190"/>
      <c r="W128" s="190"/>
      <c r="X128" s="190"/>
      <c r="Y128" s="983"/>
      <c r="Z128" s="983"/>
      <c r="AA128" s="983"/>
      <c r="AB128" s="983"/>
      <c r="AC128" s="983"/>
      <c r="AD128" s="983"/>
      <c r="AE128" s="983"/>
      <c r="AF128" s="983"/>
      <c r="AG128" s="983"/>
      <c r="AH128" s="983"/>
      <c r="AI128" s="983"/>
      <c r="AJ128" s="983"/>
      <c r="AK128" s="983"/>
      <c r="AL128" s="983"/>
      <c r="AM128" s="983"/>
      <c r="AN128" s="983"/>
      <c r="AO128" s="983"/>
      <c r="AP128" s="983"/>
      <c r="AQ128" s="983"/>
      <c r="AR128" s="983"/>
      <c r="AS128" s="983"/>
      <c r="AT128" s="983"/>
      <c r="AU128" s="983"/>
      <c r="AV128" s="983"/>
      <c r="AW128" s="983"/>
      <c r="AX128" s="983"/>
      <c r="AY128" s="983"/>
      <c r="AZ128" s="983"/>
      <c r="BA128" s="983"/>
      <c r="BB128" s="983"/>
      <c r="BC128" s="983"/>
      <c r="BD128" s="983"/>
      <c r="BE128" s="983"/>
      <c r="BF128" s="983"/>
      <c r="BG128" s="983"/>
      <c r="BH128" s="983"/>
      <c r="BI128" s="983"/>
      <c r="BJ128" s="983"/>
      <c r="BK128" s="983"/>
      <c r="BL128" s="983"/>
      <c r="BM128" s="983"/>
      <c r="BN128" s="983"/>
      <c r="BO128" s="983"/>
      <c r="BP128" s="983"/>
      <c r="BQ128" s="983"/>
      <c r="BR128" s="983"/>
      <c r="BS128" s="983"/>
      <c r="BT128" s="983"/>
      <c r="BU128" s="983"/>
      <c r="BV128" s="983"/>
      <c r="BW128" s="983"/>
      <c r="BX128" s="983"/>
      <c r="BY128" s="984"/>
      <c r="BZ128" s="984"/>
      <c r="CA128" s="984"/>
      <c r="CB128" s="985"/>
      <c r="CC128" s="985"/>
      <c r="CD128" s="985"/>
      <c r="CE128" s="985"/>
      <c r="CF128" s="985"/>
      <c r="CG128" s="985"/>
      <c r="CH128" s="1023"/>
      <c r="CI128" s="1023"/>
      <c r="CJ128" s="1023"/>
      <c r="CK128" s="1023"/>
      <c r="CL128" s="1023"/>
      <c r="CM128" s="1023"/>
      <c r="CN128" s="1023"/>
    </row>
    <row r="129" spans="1:92" ht="16.350000000000001" customHeight="1" x14ac:dyDescent="0.25">
      <c r="A129" s="2949">
        <v>24100400</v>
      </c>
      <c r="B129" s="349" t="s">
        <v>1044</v>
      </c>
      <c r="C129" s="164" t="s">
        <v>2777</v>
      </c>
      <c r="D129" s="136"/>
      <c r="E129" s="190"/>
      <c r="F129" s="190"/>
      <c r="G129" s="190"/>
      <c r="H129" s="190"/>
      <c r="I129" s="190"/>
      <c r="J129" s="190"/>
      <c r="K129" s="190"/>
      <c r="L129" s="190"/>
      <c r="M129" s="190"/>
      <c r="N129" s="190"/>
      <c r="O129" s="190"/>
      <c r="P129" s="190"/>
      <c r="Q129" s="190"/>
      <c r="R129" s="190"/>
      <c r="S129" s="190"/>
      <c r="T129" s="190"/>
      <c r="U129" s="190"/>
      <c r="V129" s="190"/>
      <c r="W129" s="190"/>
      <c r="X129" s="190"/>
      <c r="Y129" s="983"/>
      <c r="Z129" s="983"/>
      <c r="AA129" s="983"/>
      <c r="AB129" s="983"/>
      <c r="AC129" s="983"/>
      <c r="AD129" s="983"/>
      <c r="AE129" s="983"/>
      <c r="AF129" s="983"/>
      <c r="AG129" s="983"/>
      <c r="AH129" s="983"/>
      <c r="AI129" s="983"/>
      <c r="AJ129" s="983"/>
      <c r="AK129" s="983"/>
      <c r="AL129" s="983"/>
      <c r="AM129" s="983"/>
      <c r="AN129" s="983"/>
      <c r="AO129" s="983"/>
      <c r="AP129" s="983"/>
      <c r="AQ129" s="983"/>
      <c r="AR129" s="983"/>
      <c r="AS129" s="983"/>
      <c r="AT129" s="983"/>
      <c r="AU129" s="983"/>
      <c r="AV129" s="983"/>
      <c r="AW129" s="983"/>
      <c r="AX129" s="983"/>
      <c r="AY129" s="983"/>
      <c r="AZ129" s="983"/>
      <c r="BA129" s="983"/>
      <c r="BB129" s="983"/>
      <c r="BC129" s="983"/>
      <c r="BD129" s="983"/>
      <c r="BE129" s="983"/>
      <c r="BF129" s="983"/>
      <c r="BG129" s="983"/>
      <c r="BH129" s="983"/>
      <c r="BI129" s="983"/>
      <c r="BJ129" s="983"/>
      <c r="BK129" s="983"/>
      <c r="BL129" s="983"/>
      <c r="BM129" s="983"/>
      <c r="BN129" s="983"/>
      <c r="BO129" s="983"/>
      <c r="BP129" s="983"/>
      <c r="BQ129" s="983"/>
      <c r="BR129" s="983"/>
      <c r="BS129" s="983"/>
      <c r="BT129" s="983"/>
      <c r="BU129" s="983"/>
      <c r="BV129" s="983"/>
      <c r="BW129" s="983"/>
      <c r="BX129" s="983"/>
      <c r="BY129" s="984"/>
      <c r="BZ129" s="984"/>
      <c r="CA129" s="984"/>
      <c r="CB129" s="985"/>
      <c r="CC129" s="985"/>
      <c r="CD129" s="985"/>
      <c r="CE129" s="985"/>
      <c r="CF129" s="985"/>
      <c r="CG129" s="985"/>
      <c r="CH129" s="1023"/>
      <c r="CI129" s="1023"/>
      <c r="CJ129" s="1023"/>
      <c r="CK129" s="1023"/>
      <c r="CL129" s="1023"/>
      <c r="CM129" s="1023"/>
      <c r="CN129" s="1023"/>
    </row>
    <row r="130" spans="1:92" ht="16.350000000000001" customHeight="1" x14ac:dyDescent="0.25">
      <c r="A130" s="2949">
        <v>24100500</v>
      </c>
      <c r="B130" s="349" t="s">
        <v>1045</v>
      </c>
      <c r="C130" s="2393" t="s">
        <v>2777</v>
      </c>
      <c r="D130" s="136"/>
      <c r="E130" s="190"/>
      <c r="F130" s="190"/>
      <c r="G130" s="190"/>
      <c r="H130" s="190"/>
      <c r="I130" s="190"/>
      <c r="J130" s="190"/>
      <c r="K130" s="190"/>
      <c r="L130" s="190"/>
      <c r="M130" s="190"/>
      <c r="N130" s="190"/>
      <c r="O130" s="190"/>
      <c r="P130" s="190"/>
      <c r="Q130" s="190"/>
      <c r="R130" s="190"/>
      <c r="S130" s="190"/>
      <c r="T130" s="190"/>
      <c r="U130" s="190"/>
      <c r="V130" s="190"/>
      <c r="W130" s="190"/>
      <c r="X130" s="190"/>
      <c r="Y130" s="983"/>
      <c r="Z130" s="983"/>
      <c r="AA130" s="983"/>
      <c r="AB130" s="983"/>
      <c r="AC130" s="983"/>
      <c r="AD130" s="983"/>
      <c r="AE130" s="983"/>
      <c r="AF130" s="983"/>
      <c r="AG130" s="983"/>
      <c r="AH130" s="983"/>
      <c r="AI130" s="983"/>
      <c r="AJ130" s="983"/>
      <c r="AK130" s="983"/>
      <c r="AL130" s="983"/>
      <c r="AM130" s="983"/>
      <c r="AN130" s="983"/>
      <c r="AO130" s="983"/>
      <c r="AP130" s="983"/>
      <c r="AQ130" s="983"/>
      <c r="AR130" s="983"/>
      <c r="AS130" s="983"/>
      <c r="AT130" s="983"/>
      <c r="AU130" s="983"/>
      <c r="AV130" s="983"/>
      <c r="AW130" s="983"/>
      <c r="AX130" s="983"/>
      <c r="AY130" s="983"/>
      <c r="AZ130" s="983"/>
      <c r="BA130" s="983"/>
      <c r="BB130" s="983"/>
      <c r="BC130" s="983"/>
      <c r="BD130" s="983"/>
      <c r="BE130" s="983"/>
      <c r="BF130" s="983"/>
      <c r="BG130" s="983"/>
      <c r="BH130" s="983"/>
      <c r="BI130" s="983"/>
      <c r="BJ130" s="983"/>
      <c r="BK130" s="983"/>
      <c r="BL130" s="983"/>
      <c r="BM130" s="983"/>
      <c r="BN130" s="983"/>
      <c r="BO130" s="983"/>
      <c r="BP130" s="983"/>
      <c r="BQ130" s="983"/>
      <c r="BR130" s="983"/>
      <c r="BS130" s="983"/>
      <c r="BT130" s="983"/>
      <c r="BU130" s="983"/>
      <c r="BV130" s="983"/>
      <c r="BW130" s="983"/>
      <c r="BX130" s="983"/>
      <c r="BY130" s="984"/>
      <c r="BZ130" s="984"/>
      <c r="CA130" s="984"/>
      <c r="CB130" s="985"/>
      <c r="CC130" s="985"/>
      <c r="CD130" s="985"/>
      <c r="CE130" s="985"/>
      <c r="CF130" s="985"/>
      <c r="CG130" s="985"/>
      <c r="CH130" s="1023"/>
      <c r="CI130" s="1023"/>
      <c r="CJ130" s="1023"/>
      <c r="CK130" s="1023"/>
      <c r="CL130" s="1023"/>
      <c r="CM130" s="1023"/>
      <c r="CN130" s="1023"/>
    </row>
    <row r="131" spans="1:92" ht="16.350000000000001" customHeight="1" x14ac:dyDescent="0.25">
      <c r="A131" s="2949">
        <v>24100600</v>
      </c>
      <c r="B131" s="349" t="s">
        <v>1046</v>
      </c>
      <c r="C131" s="164" t="s">
        <v>2777</v>
      </c>
      <c r="D131" s="136"/>
      <c r="E131" s="190"/>
      <c r="F131" s="190"/>
      <c r="G131" s="190"/>
      <c r="H131" s="190"/>
      <c r="I131" s="190"/>
      <c r="J131" s="190"/>
      <c r="K131" s="190"/>
      <c r="L131" s="190"/>
      <c r="M131" s="190"/>
      <c r="N131" s="190"/>
      <c r="O131" s="190"/>
      <c r="P131" s="190"/>
      <c r="Q131" s="190"/>
      <c r="R131" s="190"/>
      <c r="S131" s="190"/>
      <c r="T131" s="190"/>
      <c r="U131" s="190"/>
      <c r="V131" s="190"/>
      <c r="W131" s="190"/>
      <c r="X131" s="190"/>
      <c r="Y131" s="983"/>
      <c r="Z131" s="983"/>
      <c r="AA131" s="983"/>
      <c r="AB131" s="983"/>
      <c r="AC131" s="983"/>
      <c r="AD131" s="983"/>
      <c r="AE131" s="983"/>
      <c r="AF131" s="983"/>
      <c r="AG131" s="983"/>
      <c r="AH131" s="983"/>
      <c r="AI131" s="983"/>
      <c r="AJ131" s="983"/>
      <c r="AK131" s="983"/>
      <c r="AL131" s="983"/>
      <c r="AM131" s="983"/>
      <c r="AN131" s="983"/>
      <c r="AO131" s="983"/>
      <c r="AP131" s="983"/>
      <c r="AQ131" s="983"/>
      <c r="AR131" s="983"/>
      <c r="AS131" s="983"/>
      <c r="AT131" s="983"/>
      <c r="AU131" s="983"/>
      <c r="AV131" s="983"/>
      <c r="AW131" s="983"/>
      <c r="AX131" s="983"/>
      <c r="AY131" s="983"/>
      <c r="AZ131" s="983"/>
      <c r="BA131" s="983"/>
      <c r="BB131" s="983"/>
      <c r="BC131" s="983"/>
      <c r="BD131" s="983"/>
      <c r="BE131" s="983"/>
      <c r="BF131" s="983"/>
      <c r="BG131" s="983"/>
      <c r="BH131" s="983"/>
      <c r="BI131" s="983"/>
      <c r="BJ131" s="983"/>
      <c r="BK131" s="983"/>
      <c r="BL131" s="983"/>
      <c r="BM131" s="983"/>
      <c r="BN131" s="983"/>
      <c r="BO131" s="983"/>
      <c r="BP131" s="983"/>
      <c r="BQ131" s="983"/>
      <c r="BR131" s="983"/>
      <c r="BS131" s="983"/>
      <c r="BT131" s="983"/>
      <c r="BU131" s="983"/>
      <c r="BV131" s="983"/>
      <c r="BW131" s="983"/>
      <c r="BX131" s="983"/>
      <c r="BY131" s="984"/>
      <c r="BZ131" s="984"/>
      <c r="CA131" s="984"/>
      <c r="CB131" s="985"/>
      <c r="CC131" s="985"/>
      <c r="CD131" s="985"/>
      <c r="CE131" s="985"/>
      <c r="CF131" s="985"/>
      <c r="CG131" s="985"/>
      <c r="CH131" s="1023"/>
      <c r="CI131" s="1023"/>
      <c r="CJ131" s="1023"/>
      <c r="CK131" s="1023"/>
      <c r="CL131" s="1023"/>
      <c r="CM131" s="1023"/>
      <c r="CN131" s="1023"/>
    </row>
    <row r="132" spans="1:92" ht="16.350000000000001" customHeight="1" x14ac:dyDescent="0.25">
      <c r="A132" s="2949" t="s">
        <v>3526</v>
      </c>
      <c r="B132" s="3004" t="s">
        <v>1047</v>
      </c>
      <c r="C132" s="2324" t="s">
        <v>2777</v>
      </c>
      <c r="D132" s="136"/>
      <c r="E132" s="190"/>
      <c r="F132" s="190"/>
      <c r="G132" s="190"/>
      <c r="H132" s="190"/>
      <c r="I132" s="190"/>
      <c r="J132" s="190"/>
      <c r="K132" s="190"/>
      <c r="L132" s="190"/>
      <c r="M132" s="190"/>
      <c r="N132" s="190"/>
      <c r="O132" s="190"/>
      <c r="P132" s="190"/>
      <c r="Q132" s="190"/>
      <c r="R132" s="190"/>
      <c r="S132" s="190"/>
      <c r="T132" s="190"/>
      <c r="U132" s="190"/>
      <c r="V132" s="190"/>
      <c r="W132" s="190"/>
      <c r="X132" s="190"/>
      <c r="Y132" s="983"/>
      <c r="Z132" s="983"/>
      <c r="AA132" s="983"/>
      <c r="AB132" s="983"/>
      <c r="AC132" s="983"/>
      <c r="AD132" s="983"/>
      <c r="AE132" s="983"/>
      <c r="AF132" s="983"/>
      <c r="AG132" s="983"/>
      <c r="AH132" s="983"/>
      <c r="AI132" s="983"/>
      <c r="AJ132" s="983"/>
      <c r="AK132" s="983"/>
      <c r="AL132" s="983"/>
      <c r="AM132" s="983"/>
      <c r="AN132" s="983"/>
      <c r="AO132" s="983"/>
      <c r="AP132" s="983"/>
      <c r="AQ132" s="983"/>
      <c r="AR132" s="983"/>
      <c r="AS132" s="983"/>
      <c r="AT132" s="983"/>
      <c r="AU132" s="983"/>
      <c r="AV132" s="983"/>
      <c r="AW132" s="983"/>
      <c r="AX132" s="983"/>
      <c r="AY132" s="983"/>
      <c r="AZ132" s="983"/>
      <c r="BA132" s="983"/>
      <c r="BB132" s="983"/>
      <c r="BC132" s="983"/>
      <c r="BD132" s="983"/>
      <c r="BE132" s="983"/>
      <c r="BF132" s="983"/>
      <c r="BG132" s="983"/>
      <c r="BH132" s="983"/>
      <c r="BI132" s="983"/>
      <c r="BJ132" s="983"/>
      <c r="BK132" s="983"/>
      <c r="BL132" s="983"/>
      <c r="BM132" s="983"/>
      <c r="BN132" s="983"/>
      <c r="BO132" s="983"/>
      <c r="BP132" s="983"/>
      <c r="BQ132" s="983"/>
      <c r="BR132" s="983"/>
      <c r="BS132" s="983"/>
      <c r="BT132" s="983"/>
      <c r="BU132" s="983"/>
      <c r="BV132" s="983"/>
      <c r="BW132" s="983"/>
      <c r="BX132" s="983"/>
      <c r="BY132" s="984"/>
      <c r="BZ132" s="984"/>
      <c r="CA132" s="984"/>
      <c r="CB132" s="985"/>
      <c r="CC132" s="985"/>
      <c r="CD132" s="985"/>
      <c r="CE132" s="985"/>
      <c r="CF132" s="985"/>
      <c r="CG132" s="985"/>
      <c r="CH132" s="1023"/>
      <c r="CI132" s="1023"/>
      <c r="CJ132" s="1023"/>
      <c r="CK132" s="1023"/>
      <c r="CL132" s="1023"/>
      <c r="CM132" s="1023"/>
      <c r="CN132" s="1023"/>
    </row>
    <row r="133" spans="1:92" ht="16.350000000000001" customHeight="1" x14ac:dyDescent="0.25">
      <c r="A133" s="2949" t="s">
        <v>3527</v>
      </c>
      <c r="B133" s="3005" t="s">
        <v>1048</v>
      </c>
      <c r="C133" s="2324" t="s">
        <v>2777</v>
      </c>
      <c r="D133" s="136"/>
      <c r="E133" s="190"/>
      <c r="F133" s="190"/>
      <c r="G133" s="190"/>
      <c r="H133" s="881"/>
      <c r="I133" s="881"/>
      <c r="J133" s="881"/>
      <c r="K133" s="881"/>
      <c r="L133" s="881"/>
      <c r="M133" s="881"/>
      <c r="N133" s="881"/>
      <c r="O133" s="881"/>
      <c r="P133" s="881"/>
      <c r="Q133" s="881"/>
      <c r="R133" s="881"/>
      <c r="S133" s="881"/>
      <c r="T133" s="881"/>
      <c r="U133" s="881"/>
      <c r="V133" s="881"/>
      <c r="W133" s="881"/>
      <c r="X133" s="190"/>
      <c r="Y133" s="983"/>
      <c r="Z133" s="983"/>
      <c r="AA133" s="983"/>
      <c r="AB133" s="983"/>
      <c r="AC133" s="983"/>
      <c r="AD133" s="983"/>
      <c r="AE133" s="983"/>
      <c r="AF133" s="983"/>
      <c r="AG133" s="983"/>
      <c r="AH133" s="983"/>
      <c r="AI133" s="983"/>
      <c r="AJ133" s="983"/>
      <c r="AK133" s="983"/>
      <c r="AL133" s="983"/>
      <c r="AM133" s="983"/>
      <c r="AN133" s="983"/>
      <c r="AO133" s="983"/>
      <c r="AP133" s="983"/>
      <c r="AQ133" s="983"/>
      <c r="AR133" s="983"/>
      <c r="AS133" s="983"/>
      <c r="AT133" s="983"/>
      <c r="AU133" s="983"/>
      <c r="AV133" s="983"/>
      <c r="AW133" s="983"/>
      <c r="AX133" s="983"/>
      <c r="AY133" s="983"/>
      <c r="AZ133" s="983"/>
      <c r="BA133" s="983"/>
      <c r="BB133" s="983"/>
      <c r="BC133" s="983"/>
      <c r="BD133" s="983"/>
      <c r="BE133" s="983"/>
      <c r="BF133" s="983"/>
      <c r="BG133" s="983"/>
      <c r="BH133" s="983"/>
      <c r="BI133" s="983"/>
      <c r="BJ133" s="983"/>
      <c r="BK133" s="983"/>
      <c r="BL133" s="983"/>
      <c r="BM133" s="983"/>
      <c r="BN133" s="983"/>
      <c r="BO133" s="983"/>
      <c r="BP133" s="983"/>
      <c r="BQ133" s="983"/>
      <c r="BR133" s="983"/>
      <c r="BS133" s="983"/>
      <c r="BT133" s="983"/>
      <c r="BU133" s="983"/>
      <c r="BV133" s="983"/>
      <c r="BW133" s="983"/>
      <c r="BX133" s="983"/>
      <c r="BY133" s="984"/>
      <c r="BZ133" s="984"/>
      <c r="CA133" s="984"/>
      <c r="CB133" s="985"/>
      <c r="CC133" s="985"/>
      <c r="CD133" s="985"/>
      <c r="CE133" s="985"/>
      <c r="CF133" s="985"/>
      <c r="CG133" s="985"/>
      <c r="CH133" s="1023"/>
      <c r="CI133" s="1023"/>
      <c r="CJ133" s="1023"/>
      <c r="CK133" s="1023"/>
      <c r="CL133" s="1023"/>
      <c r="CM133" s="1023"/>
      <c r="CN133" s="1023"/>
    </row>
    <row r="134" spans="1:92" ht="16.350000000000001" customHeight="1" x14ac:dyDescent="0.25">
      <c r="A134" s="2949" t="s">
        <v>3528</v>
      </c>
      <c r="B134" s="3005" t="s">
        <v>1049</v>
      </c>
      <c r="C134" s="2324" t="s">
        <v>2777</v>
      </c>
      <c r="D134" s="136"/>
      <c r="E134" s="190"/>
      <c r="F134" s="190"/>
      <c r="G134" s="190"/>
      <c r="H134" s="881"/>
      <c r="I134" s="881"/>
      <c r="J134" s="881"/>
      <c r="K134" s="881"/>
      <c r="L134" s="881"/>
      <c r="M134" s="881"/>
      <c r="N134" s="881"/>
      <c r="O134" s="881"/>
      <c r="P134" s="881"/>
      <c r="Q134" s="881"/>
      <c r="R134" s="881"/>
      <c r="S134" s="881"/>
      <c r="T134" s="881"/>
      <c r="U134" s="881"/>
      <c r="V134" s="881"/>
      <c r="W134" s="881"/>
      <c r="X134" s="190"/>
      <c r="Y134" s="983"/>
      <c r="Z134" s="983"/>
      <c r="AA134" s="983"/>
      <c r="AB134" s="983"/>
      <c r="AC134" s="983"/>
      <c r="AD134" s="983"/>
      <c r="AE134" s="983"/>
      <c r="AF134" s="983"/>
      <c r="AG134" s="983"/>
      <c r="AH134" s="983"/>
      <c r="AI134" s="983"/>
      <c r="AJ134" s="983"/>
      <c r="AK134" s="983"/>
      <c r="AL134" s="983"/>
      <c r="AM134" s="983"/>
      <c r="AN134" s="983"/>
      <c r="AO134" s="983"/>
      <c r="AP134" s="983"/>
      <c r="AQ134" s="983"/>
      <c r="AR134" s="983"/>
      <c r="AS134" s="983"/>
      <c r="AT134" s="983"/>
      <c r="AU134" s="983"/>
      <c r="AV134" s="983"/>
      <c r="AW134" s="983"/>
      <c r="AX134" s="983"/>
      <c r="AY134" s="983"/>
      <c r="AZ134" s="983"/>
      <c r="BA134" s="983"/>
      <c r="BB134" s="983"/>
      <c r="BC134" s="983"/>
      <c r="BD134" s="983"/>
      <c r="BE134" s="983"/>
      <c r="BF134" s="983"/>
      <c r="BG134" s="983"/>
      <c r="BH134" s="983"/>
      <c r="BI134" s="983"/>
      <c r="BJ134" s="983"/>
      <c r="BK134" s="983"/>
      <c r="BL134" s="983"/>
      <c r="BM134" s="983"/>
      <c r="BN134" s="983"/>
      <c r="BO134" s="983"/>
      <c r="BP134" s="983"/>
      <c r="BQ134" s="983"/>
      <c r="BR134" s="983"/>
      <c r="BS134" s="983"/>
      <c r="BT134" s="983"/>
      <c r="BU134" s="983"/>
      <c r="BV134" s="983"/>
      <c r="BW134" s="983"/>
      <c r="BX134" s="983"/>
      <c r="BY134" s="984"/>
      <c r="BZ134" s="984"/>
      <c r="CA134" s="984"/>
      <c r="CB134" s="985"/>
      <c r="CC134" s="985"/>
      <c r="CD134" s="985"/>
      <c r="CE134" s="985"/>
      <c r="CF134" s="985"/>
      <c r="CG134" s="985"/>
      <c r="CH134" s="1023"/>
      <c r="CI134" s="1023"/>
      <c r="CJ134" s="1023"/>
      <c r="CK134" s="1023"/>
      <c r="CL134" s="1023"/>
      <c r="CM134" s="1023"/>
      <c r="CN134" s="1023"/>
    </row>
    <row r="135" spans="1:92" ht="16.350000000000001" customHeight="1" x14ac:dyDescent="0.25">
      <c r="A135" s="2995"/>
      <c r="B135" s="4498" t="s">
        <v>42</v>
      </c>
      <c r="C135" s="4400">
        <f>SUM(C123:C134)</f>
        <v>0</v>
      </c>
      <c r="D135" s="138"/>
      <c r="E135" s="190"/>
      <c r="F135" s="190"/>
      <c r="G135" s="190"/>
      <c r="H135" s="881"/>
      <c r="I135" s="881"/>
      <c r="J135" s="881"/>
      <c r="K135" s="881"/>
      <c r="L135" s="881"/>
      <c r="M135" s="881"/>
      <c r="N135" s="881"/>
      <c r="O135" s="881"/>
      <c r="P135" s="881"/>
      <c r="Q135" s="881"/>
      <c r="R135" s="881"/>
      <c r="S135" s="881"/>
      <c r="T135" s="881"/>
      <c r="U135" s="881"/>
      <c r="V135" s="881"/>
      <c r="W135" s="881"/>
      <c r="X135" s="190"/>
      <c r="Y135" s="983"/>
      <c r="Z135" s="983"/>
      <c r="AA135" s="983"/>
      <c r="AB135" s="983"/>
      <c r="AC135" s="983"/>
      <c r="AD135" s="983"/>
      <c r="AE135" s="983"/>
      <c r="AF135" s="983"/>
      <c r="AG135" s="983"/>
      <c r="AH135" s="983"/>
      <c r="AI135" s="983"/>
      <c r="AJ135" s="983"/>
      <c r="AK135" s="983"/>
      <c r="AL135" s="983"/>
      <c r="AM135" s="983"/>
      <c r="AN135" s="983"/>
      <c r="AO135" s="983"/>
      <c r="AP135" s="983"/>
      <c r="AQ135" s="983"/>
      <c r="AR135" s="983"/>
      <c r="AS135" s="983"/>
      <c r="AT135" s="983"/>
      <c r="AU135" s="983"/>
      <c r="AV135" s="983"/>
      <c r="AW135" s="983"/>
      <c r="AX135" s="983"/>
      <c r="AY135" s="983"/>
      <c r="AZ135" s="983"/>
      <c r="BA135" s="983"/>
      <c r="BB135" s="983"/>
      <c r="BC135" s="983"/>
      <c r="BD135" s="983"/>
      <c r="BE135" s="983"/>
      <c r="BF135" s="983"/>
      <c r="BG135" s="983"/>
      <c r="BH135" s="983"/>
      <c r="BI135" s="983"/>
      <c r="BJ135" s="983"/>
      <c r="BK135" s="983"/>
      <c r="BL135" s="983"/>
      <c r="BM135" s="983"/>
      <c r="BN135" s="983"/>
      <c r="BO135" s="983"/>
      <c r="BP135" s="983"/>
      <c r="BQ135" s="983"/>
      <c r="BR135" s="983"/>
      <c r="BS135" s="983"/>
      <c r="BT135" s="983"/>
      <c r="BU135" s="983"/>
      <c r="BV135" s="983"/>
      <c r="BW135" s="983"/>
      <c r="BX135" s="983"/>
      <c r="BY135" s="984"/>
      <c r="BZ135" s="984"/>
      <c r="CA135" s="984"/>
      <c r="CB135" s="985"/>
      <c r="CC135" s="985"/>
      <c r="CD135" s="985"/>
      <c r="CE135" s="985"/>
      <c r="CF135" s="985"/>
      <c r="CG135" s="985"/>
      <c r="CH135" s="1023"/>
      <c r="CI135" s="1023"/>
      <c r="CJ135" s="1023"/>
      <c r="CK135" s="1023"/>
      <c r="CL135" s="1023"/>
      <c r="CM135" s="1023"/>
      <c r="CN135" s="1023"/>
    </row>
    <row r="136" spans="1:92" ht="32.1" customHeight="1" x14ac:dyDescent="0.25">
      <c r="A136" s="983"/>
      <c r="B136" s="308" t="s">
        <v>825</v>
      </c>
      <c r="C136" s="205"/>
      <c r="D136" s="205"/>
      <c r="E136" s="190"/>
      <c r="F136" s="4499"/>
      <c r="G136" s="190"/>
      <c r="H136" s="1071"/>
      <c r="I136" s="881"/>
      <c r="J136" s="881"/>
      <c r="K136" s="881"/>
      <c r="L136" s="881"/>
      <c r="M136" s="881"/>
      <c r="N136" s="127"/>
      <c r="O136" s="127"/>
      <c r="P136" s="127"/>
      <c r="Q136" s="881"/>
      <c r="R136" s="881"/>
      <c r="S136" s="881"/>
      <c r="T136" s="881"/>
      <c r="U136" s="881"/>
      <c r="V136" s="881"/>
      <c r="W136" s="881"/>
      <c r="X136" s="190"/>
      <c r="Y136" s="983"/>
      <c r="Z136" s="983"/>
      <c r="AA136" s="983"/>
      <c r="AB136" s="983"/>
      <c r="AC136" s="983"/>
      <c r="AD136" s="983"/>
      <c r="AE136" s="983"/>
      <c r="AF136" s="983"/>
      <c r="AG136" s="983"/>
      <c r="AH136" s="983"/>
      <c r="AI136" s="983"/>
      <c r="AJ136" s="983"/>
      <c r="AK136" s="983"/>
      <c r="AL136" s="983"/>
      <c r="AM136" s="983"/>
      <c r="AN136" s="983"/>
      <c r="AO136" s="983"/>
      <c r="AP136" s="983"/>
      <c r="AQ136" s="983"/>
      <c r="AR136" s="983"/>
      <c r="AS136" s="983"/>
      <c r="AT136" s="983"/>
      <c r="AU136" s="983"/>
      <c r="AV136" s="983"/>
      <c r="AW136" s="983"/>
      <c r="AX136" s="983"/>
      <c r="AY136" s="983"/>
      <c r="AZ136" s="983"/>
      <c r="BA136" s="983"/>
      <c r="BB136" s="983"/>
      <c r="BC136" s="983"/>
      <c r="BD136" s="983"/>
      <c r="BE136" s="983"/>
      <c r="BF136" s="983"/>
      <c r="BG136" s="983"/>
      <c r="BH136" s="983"/>
      <c r="BI136" s="983"/>
      <c r="BJ136" s="983"/>
      <c r="BK136" s="983"/>
      <c r="BL136" s="983"/>
      <c r="BM136" s="983"/>
      <c r="BN136" s="983"/>
      <c r="BO136" s="983"/>
      <c r="BP136" s="983"/>
      <c r="BQ136" s="983"/>
      <c r="BR136" s="983"/>
      <c r="BS136" s="983"/>
      <c r="BT136" s="983"/>
      <c r="BU136" s="983"/>
      <c r="BV136" s="983"/>
      <c r="BW136" s="983"/>
      <c r="BX136" s="983"/>
      <c r="BY136" s="983"/>
      <c r="BZ136" s="983"/>
      <c r="CA136" s="983"/>
      <c r="CB136" s="985"/>
      <c r="CC136" s="985"/>
      <c r="CD136" s="985"/>
      <c r="CE136" s="985"/>
      <c r="CF136" s="985"/>
      <c r="CG136" s="985"/>
      <c r="CH136" s="1023"/>
      <c r="CI136" s="1023"/>
      <c r="CJ136" s="1023"/>
      <c r="CK136" s="1023"/>
      <c r="CL136" s="1023"/>
      <c r="CM136" s="1023"/>
      <c r="CN136" s="1023"/>
    </row>
    <row r="137" spans="1:92" ht="25.35" customHeight="1" x14ac:dyDescent="0.25">
      <c r="A137" s="983"/>
      <c r="B137" s="5263" t="s">
        <v>571</v>
      </c>
      <c r="C137" s="5155"/>
      <c r="D137" s="5155"/>
      <c r="E137" s="5264"/>
      <c r="F137" s="4335" t="s">
        <v>826</v>
      </c>
      <c r="G137" s="4335" t="s">
        <v>597</v>
      </c>
      <c r="H137" s="1072"/>
      <c r="I137" s="128"/>
      <c r="J137" s="128"/>
      <c r="K137" s="128"/>
      <c r="L137" s="128"/>
      <c r="M137" s="881"/>
      <c r="N137" s="881"/>
      <c r="O137" s="881"/>
      <c r="P137" s="881"/>
      <c r="Q137" s="881"/>
      <c r="R137" s="881"/>
      <c r="S137" s="881"/>
      <c r="T137" s="881"/>
      <c r="U137" s="935"/>
      <c r="V137" s="935"/>
      <c r="W137" s="935"/>
      <c r="X137" s="331"/>
      <c r="Y137" s="983"/>
      <c r="Z137" s="983"/>
      <c r="AA137" s="983"/>
      <c r="AB137" s="983"/>
      <c r="AC137" s="983"/>
      <c r="AD137" s="983"/>
      <c r="AE137" s="983"/>
      <c r="AF137" s="983"/>
      <c r="AG137" s="983"/>
      <c r="AH137" s="983"/>
      <c r="AI137" s="983"/>
      <c r="AJ137" s="983"/>
      <c r="AK137" s="983"/>
      <c r="AL137" s="983"/>
      <c r="AM137" s="983"/>
      <c r="AN137" s="983"/>
      <c r="AO137" s="983"/>
      <c r="AP137" s="983"/>
      <c r="AQ137" s="983"/>
      <c r="AR137" s="983"/>
      <c r="AS137" s="983"/>
      <c r="AT137" s="983"/>
      <c r="AU137" s="983"/>
      <c r="AV137" s="983"/>
      <c r="AW137" s="983"/>
      <c r="AX137" s="983"/>
      <c r="AY137" s="983"/>
      <c r="AZ137" s="983"/>
      <c r="BA137" s="983"/>
      <c r="BB137" s="983"/>
      <c r="BC137" s="983"/>
      <c r="BD137" s="983"/>
      <c r="BE137" s="983"/>
      <c r="BF137" s="983"/>
      <c r="BG137" s="983"/>
      <c r="BH137" s="983"/>
      <c r="BI137" s="983"/>
      <c r="BJ137" s="983"/>
      <c r="BK137" s="983"/>
      <c r="BL137" s="983"/>
      <c r="BM137" s="983"/>
      <c r="BN137" s="983"/>
      <c r="BO137" s="983"/>
      <c r="BP137" s="983"/>
      <c r="BQ137" s="983"/>
      <c r="BR137" s="983"/>
      <c r="BS137" s="983"/>
      <c r="BT137" s="983"/>
      <c r="BU137" s="983"/>
      <c r="BV137" s="983"/>
      <c r="BW137" s="983"/>
      <c r="BX137" s="983"/>
      <c r="BY137" s="984"/>
      <c r="BZ137" s="984"/>
      <c r="CA137" s="984"/>
      <c r="CB137" s="985"/>
      <c r="CC137" s="985"/>
      <c r="CD137" s="985"/>
      <c r="CE137" s="985"/>
      <c r="CF137" s="985"/>
      <c r="CG137" s="985"/>
      <c r="CH137" s="1023"/>
      <c r="CI137" s="1023"/>
      <c r="CJ137" s="1023"/>
      <c r="CK137" s="1023"/>
      <c r="CL137" s="1023"/>
      <c r="CM137" s="1023"/>
      <c r="CN137" s="1023"/>
    </row>
    <row r="138" spans="1:92" ht="16.350000000000001" customHeight="1" x14ac:dyDescent="0.25">
      <c r="A138" s="2949" t="s">
        <v>3529</v>
      </c>
      <c r="B138" s="4335" t="s">
        <v>572</v>
      </c>
      <c r="C138" s="5690" t="s">
        <v>1050</v>
      </c>
      <c r="D138" s="5890"/>
      <c r="E138" s="5691"/>
      <c r="F138" s="4500" t="s">
        <v>2777</v>
      </c>
      <c r="G138" s="4500" t="s">
        <v>2778</v>
      </c>
      <c r="H138" s="1165" t="str">
        <f>CB138</f>
        <v>* El número de llamadas válidas NO DEBE ser mayor al total de llamadas.</v>
      </c>
      <c r="I138" s="1058"/>
      <c r="J138" s="1058"/>
      <c r="K138" s="1058"/>
      <c r="L138" s="1058"/>
      <c r="M138" s="1058"/>
      <c r="N138" s="1058"/>
      <c r="O138" s="1058"/>
      <c r="P138" s="1058"/>
      <c r="Q138" s="1058"/>
      <c r="R138" s="1058"/>
      <c r="S138" s="1058"/>
      <c r="T138" s="881"/>
      <c r="U138" s="935"/>
      <c r="V138" s="935"/>
      <c r="W138" s="935"/>
      <c r="X138" s="331"/>
      <c r="Y138" s="983"/>
      <c r="Z138" s="983"/>
      <c r="AA138" s="983"/>
      <c r="AB138" s="983"/>
      <c r="AC138" s="983"/>
      <c r="AD138" s="983"/>
      <c r="AE138" s="983"/>
      <c r="AF138" s="983"/>
      <c r="AG138" s="983"/>
      <c r="AH138" s="983"/>
      <c r="AI138" s="983"/>
      <c r="AJ138" s="983"/>
      <c r="AK138" s="983"/>
      <c r="AL138" s="983"/>
      <c r="AM138" s="983"/>
      <c r="AN138" s="983"/>
      <c r="AO138" s="983"/>
      <c r="AP138" s="983"/>
      <c r="AQ138" s="983"/>
      <c r="AR138" s="983"/>
      <c r="AS138" s="983"/>
      <c r="AT138" s="983"/>
      <c r="AU138" s="983"/>
      <c r="AV138" s="983"/>
      <c r="AW138" s="983"/>
      <c r="AX138" s="983"/>
      <c r="AY138" s="983"/>
      <c r="AZ138" s="983"/>
      <c r="BA138" s="983"/>
      <c r="BB138" s="983"/>
      <c r="BC138" s="983"/>
      <c r="BD138" s="983"/>
      <c r="BE138" s="983"/>
      <c r="BF138" s="983"/>
      <c r="BG138" s="983"/>
      <c r="BH138" s="983"/>
      <c r="BI138" s="983"/>
      <c r="BJ138" s="983"/>
      <c r="BK138" s="983"/>
      <c r="BL138" s="983"/>
      <c r="BM138" s="983"/>
      <c r="BN138" s="983"/>
      <c r="BO138" s="983"/>
      <c r="BP138" s="983"/>
      <c r="BQ138" s="983"/>
      <c r="BR138" s="983"/>
      <c r="BS138" s="983"/>
      <c r="BT138" s="983"/>
      <c r="BU138" s="983"/>
      <c r="BV138" s="983"/>
      <c r="BW138" s="983"/>
      <c r="BX138" s="983"/>
      <c r="BY138" s="984"/>
      <c r="BZ138" s="984"/>
      <c r="CA138" s="984"/>
      <c r="CB138" s="4501" t="str">
        <f>IF(F138&lt;G138,"* El número de llamadas válidas NO DEBE ser mayor al total de llamadas.","")</f>
        <v>* El número de llamadas válidas NO DEBE ser mayor al total de llamadas.</v>
      </c>
      <c r="CC138" s="985"/>
      <c r="CD138" s="985"/>
      <c r="CE138" s="985"/>
      <c r="CF138" s="985"/>
      <c r="CG138" s="985"/>
      <c r="CH138" s="4502">
        <f>IF(F138&lt;G138,1,0)</f>
        <v>1</v>
      </c>
      <c r="CI138" s="1023"/>
      <c r="CJ138" s="1023"/>
      <c r="CK138" s="1023"/>
      <c r="CL138" s="1023"/>
      <c r="CM138" s="1023"/>
      <c r="CN138" s="1023"/>
    </row>
    <row r="139" spans="1:92" ht="32.1" customHeight="1" x14ac:dyDescent="0.25">
      <c r="A139" s="983"/>
      <c r="B139" s="85" t="s">
        <v>872</v>
      </c>
      <c r="C139" s="85"/>
      <c r="D139" s="85"/>
      <c r="E139" s="85"/>
      <c r="F139" s="85"/>
      <c r="G139" s="85"/>
      <c r="H139" s="928"/>
      <c r="I139" s="928"/>
      <c r="J139" s="928"/>
      <c r="K139" s="928"/>
      <c r="L139" s="928"/>
      <c r="M139" s="1073"/>
      <c r="N139" s="881"/>
      <c r="O139" s="881"/>
      <c r="P139" s="881"/>
      <c r="Q139" s="881"/>
      <c r="R139" s="881"/>
      <c r="S139" s="987"/>
      <c r="T139" s="987"/>
      <c r="U139" s="987"/>
      <c r="V139" s="987"/>
      <c r="W139" s="987"/>
      <c r="X139" s="983"/>
      <c r="Y139" s="983"/>
      <c r="Z139" s="983"/>
      <c r="AA139" s="983"/>
      <c r="AB139" s="983"/>
      <c r="AC139" s="983"/>
      <c r="AD139" s="983"/>
      <c r="AE139" s="983"/>
      <c r="AF139" s="983"/>
      <c r="AG139" s="983"/>
      <c r="AH139" s="983"/>
      <c r="AI139" s="983"/>
      <c r="AJ139" s="983"/>
      <c r="AK139" s="983"/>
      <c r="AL139" s="983"/>
      <c r="AM139" s="983"/>
      <c r="AN139" s="983"/>
      <c r="AO139" s="983"/>
      <c r="AP139" s="983"/>
      <c r="AQ139" s="983"/>
      <c r="AR139" s="983"/>
      <c r="AS139" s="983"/>
      <c r="AT139" s="983"/>
      <c r="AU139" s="983"/>
      <c r="AV139" s="983"/>
      <c r="AW139" s="983"/>
      <c r="AX139" s="983"/>
      <c r="AY139" s="983"/>
      <c r="AZ139" s="983"/>
      <c r="BA139" s="983"/>
      <c r="BB139" s="983"/>
      <c r="BC139" s="983"/>
      <c r="BD139" s="983"/>
      <c r="BE139" s="983"/>
      <c r="BF139" s="983"/>
      <c r="BG139" s="983"/>
      <c r="BH139" s="983"/>
      <c r="BI139" s="983"/>
      <c r="BJ139" s="983"/>
      <c r="BK139" s="983"/>
      <c r="BL139" s="983"/>
      <c r="BM139" s="983"/>
      <c r="BN139" s="983"/>
      <c r="BO139" s="983"/>
      <c r="BP139" s="983"/>
      <c r="BQ139" s="983"/>
      <c r="BR139" s="983"/>
      <c r="BS139" s="983"/>
      <c r="BT139" s="983"/>
      <c r="BU139" s="983"/>
      <c r="BV139" s="983"/>
      <c r="BW139" s="983"/>
      <c r="BX139" s="983"/>
      <c r="BY139" s="983"/>
      <c r="BZ139" s="983"/>
      <c r="CA139" s="983"/>
      <c r="CB139" s="985"/>
      <c r="CC139" s="985"/>
      <c r="CD139" s="985"/>
      <c r="CE139" s="985"/>
      <c r="CF139" s="985"/>
      <c r="CG139" s="985"/>
      <c r="CH139" s="1023"/>
      <c r="CI139" s="1023"/>
      <c r="CJ139" s="1023"/>
      <c r="CK139" s="1023"/>
      <c r="CL139" s="1023"/>
      <c r="CM139" s="1023"/>
      <c r="CN139" s="1023"/>
    </row>
    <row r="140" spans="1:92" ht="27" customHeight="1" x14ac:dyDescent="0.25">
      <c r="A140" s="983"/>
      <c r="B140" s="5855" t="s">
        <v>571</v>
      </c>
      <c r="C140" s="5879"/>
      <c r="D140" s="5877"/>
      <c r="E140" s="5261" t="s">
        <v>896</v>
      </c>
      <c r="F140" s="5157"/>
      <c r="G140" s="5262"/>
      <c r="H140" s="5142" t="s">
        <v>1357</v>
      </c>
      <c r="I140" s="5155" t="s">
        <v>598</v>
      </c>
      <c r="J140" s="5155"/>
      <c r="K140" s="5264"/>
      <c r="L140" s="5263" t="s">
        <v>599</v>
      </c>
      <c r="M140" s="5155"/>
      <c r="N140" s="5264"/>
      <c r="O140" s="987"/>
      <c r="P140" s="987"/>
      <c r="Q140" s="987"/>
      <c r="R140" s="987"/>
      <c r="S140" s="987"/>
      <c r="T140" s="987"/>
      <c r="U140" s="987"/>
      <c r="V140" s="987"/>
      <c r="W140" s="987"/>
      <c r="X140" s="987"/>
      <c r="Y140" s="987"/>
      <c r="Z140" s="987"/>
      <c r="AA140" s="987"/>
      <c r="AB140" s="987"/>
      <c r="AC140" s="983"/>
      <c r="AD140" s="983"/>
      <c r="AE140" s="983"/>
      <c r="AF140" s="983"/>
      <c r="AG140" s="983"/>
      <c r="AH140" s="983"/>
      <c r="AI140" s="983"/>
      <c r="AJ140" s="983"/>
      <c r="AK140" s="983"/>
      <c r="AL140" s="983"/>
      <c r="AM140" s="983"/>
      <c r="AN140" s="983"/>
      <c r="AO140" s="983"/>
      <c r="AP140" s="983"/>
      <c r="AQ140" s="983"/>
      <c r="AR140" s="983"/>
      <c r="AS140" s="983"/>
      <c r="AT140" s="983"/>
      <c r="AU140" s="983"/>
      <c r="AV140" s="983"/>
      <c r="AW140" s="983"/>
      <c r="AX140" s="983"/>
      <c r="AY140" s="983"/>
      <c r="AZ140" s="983"/>
      <c r="BA140" s="983"/>
      <c r="BB140" s="983"/>
      <c r="BC140" s="983"/>
      <c r="BD140" s="983"/>
      <c r="BE140" s="983"/>
      <c r="BF140" s="983"/>
      <c r="BG140" s="983"/>
      <c r="BH140" s="983"/>
      <c r="BI140" s="983"/>
      <c r="BJ140" s="983"/>
      <c r="BK140" s="983"/>
      <c r="BL140" s="983"/>
      <c r="BM140" s="983"/>
      <c r="BN140" s="983"/>
      <c r="BO140" s="983"/>
      <c r="BP140" s="983"/>
      <c r="BQ140" s="983"/>
      <c r="BR140" s="983"/>
      <c r="BS140" s="983"/>
      <c r="BT140" s="983"/>
      <c r="BU140" s="983"/>
      <c r="BV140" s="983"/>
      <c r="BW140" s="983"/>
      <c r="BX140" s="983"/>
      <c r="BY140" s="984"/>
      <c r="BZ140" s="984"/>
      <c r="CA140" s="984"/>
      <c r="CB140" s="985"/>
      <c r="CC140" s="985"/>
      <c r="CD140" s="985"/>
      <c r="CE140" s="985"/>
      <c r="CF140" s="985"/>
      <c r="CG140" s="985"/>
      <c r="CH140" s="1023"/>
      <c r="CI140" s="1023"/>
      <c r="CJ140" s="1023"/>
      <c r="CK140" s="1023"/>
      <c r="CL140" s="1023"/>
      <c r="CM140" s="1023"/>
      <c r="CN140" s="1023"/>
    </row>
    <row r="141" spans="1:92" ht="27" customHeight="1" x14ac:dyDescent="0.25">
      <c r="A141" s="983"/>
      <c r="B141" s="5856"/>
      <c r="C141" s="5259"/>
      <c r="D141" s="5878"/>
      <c r="E141" s="4503" t="s">
        <v>42</v>
      </c>
      <c r="F141" s="4369" t="s">
        <v>3724</v>
      </c>
      <c r="G141" s="4268" t="s">
        <v>3725</v>
      </c>
      <c r="H141" s="5861"/>
      <c r="I141" s="4369" t="s">
        <v>601</v>
      </c>
      <c r="J141" s="4370" t="s">
        <v>602</v>
      </c>
      <c r="K141" s="4268" t="s">
        <v>603</v>
      </c>
      <c r="L141" s="4369" t="s">
        <v>601</v>
      </c>
      <c r="M141" s="4370" t="s">
        <v>602</v>
      </c>
      <c r="N141" s="4268" t="s">
        <v>603</v>
      </c>
      <c r="O141" s="987"/>
      <c r="P141" s="987"/>
      <c r="Q141" s="987"/>
      <c r="R141" s="987"/>
      <c r="S141" s="987"/>
      <c r="T141" s="987"/>
      <c r="U141" s="987"/>
      <c r="V141" s="987"/>
      <c r="W141" s="987"/>
      <c r="X141" s="987"/>
      <c r="Y141" s="987"/>
      <c r="Z141" s="987"/>
      <c r="AA141" s="987"/>
      <c r="AB141" s="987"/>
      <c r="AC141" s="983"/>
      <c r="AD141" s="983"/>
      <c r="AE141" s="983"/>
      <c r="AF141" s="983"/>
      <c r="AG141" s="983"/>
      <c r="AH141" s="983"/>
      <c r="AI141" s="983"/>
      <c r="AJ141" s="983"/>
      <c r="AK141" s="983"/>
      <c r="AL141" s="983"/>
      <c r="AM141" s="983"/>
      <c r="AN141" s="983"/>
      <c r="AO141" s="983"/>
      <c r="AP141" s="983"/>
      <c r="AQ141" s="983"/>
      <c r="AR141" s="983"/>
      <c r="AS141" s="983"/>
      <c r="AT141" s="983"/>
      <c r="AU141" s="983"/>
      <c r="AV141" s="983"/>
      <c r="AW141" s="983"/>
      <c r="AX141" s="983"/>
      <c r="AY141" s="983"/>
      <c r="AZ141" s="983"/>
      <c r="BA141" s="983"/>
      <c r="BB141" s="983"/>
      <c r="BC141" s="983"/>
      <c r="BD141" s="983"/>
      <c r="BE141" s="983"/>
      <c r="BF141" s="983"/>
      <c r="BG141" s="983"/>
      <c r="BH141" s="983"/>
      <c r="BI141" s="983"/>
      <c r="BJ141" s="983"/>
      <c r="BK141" s="983"/>
      <c r="BL141" s="983"/>
      <c r="BM141" s="983"/>
      <c r="BN141" s="983"/>
      <c r="BO141" s="983"/>
      <c r="BP141" s="983"/>
      <c r="BQ141" s="983"/>
      <c r="BR141" s="983"/>
      <c r="BS141" s="983"/>
      <c r="BT141" s="983"/>
      <c r="BU141" s="983"/>
      <c r="BV141" s="983"/>
      <c r="BW141" s="983"/>
      <c r="BX141" s="983"/>
      <c r="BY141" s="984"/>
      <c r="BZ141" s="984"/>
      <c r="CA141" s="984"/>
      <c r="CB141" s="985"/>
      <c r="CC141" s="985"/>
      <c r="CD141" s="985"/>
      <c r="CE141" s="985"/>
      <c r="CF141" s="985"/>
      <c r="CG141" s="985"/>
      <c r="CH141" s="1023"/>
      <c r="CI141" s="1023"/>
      <c r="CJ141" s="1023"/>
      <c r="CK141" s="1023"/>
      <c r="CL141" s="1023"/>
      <c r="CM141" s="1023"/>
      <c r="CN141" s="1023"/>
    </row>
    <row r="142" spans="1:92" ht="16.350000000000001" customHeight="1" x14ac:dyDescent="0.25">
      <c r="A142" s="2949" t="s">
        <v>3530</v>
      </c>
      <c r="B142" s="5142" t="s">
        <v>3726</v>
      </c>
      <c r="C142" s="5897" t="s">
        <v>1051</v>
      </c>
      <c r="D142" s="5898"/>
      <c r="E142" s="4494" t="s">
        <v>2777</v>
      </c>
      <c r="F142" s="4318" t="s">
        <v>2778</v>
      </c>
      <c r="G142" s="4275" t="s">
        <v>2779</v>
      </c>
      <c r="H142" s="4357" t="s">
        <v>2780</v>
      </c>
      <c r="I142" s="4318" t="s">
        <v>2781</v>
      </c>
      <c r="J142" s="4360" t="s">
        <v>2782</v>
      </c>
      <c r="K142" s="4275" t="s">
        <v>2783</v>
      </c>
      <c r="L142" s="4318" t="s">
        <v>2784</v>
      </c>
      <c r="M142" s="4360" t="s">
        <v>2785</v>
      </c>
      <c r="N142" s="4275" t="s">
        <v>2786</v>
      </c>
      <c r="O142" s="1057"/>
      <c r="P142" s="1058"/>
      <c r="Q142" s="1058"/>
      <c r="R142" s="1058"/>
      <c r="S142" s="1058"/>
      <c r="T142" s="1058"/>
      <c r="U142" s="1058"/>
      <c r="V142" s="1058"/>
      <c r="W142" s="1058"/>
      <c r="X142" s="1058"/>
      <c r="Y142" s="1058"/>
      <c r="Z142" s="1058"/>
      <c r="AA142" s="987"/>
      <c r="AB142" s="987"/>
      <c r="AC142" s="983"/>
      <c r="AD142" s="983"/>
      <c r="AE142" s="983"/>
      <c r="AF142" s="983"/>
      <c r="AG142" s="983"/>
      <c r="AH142" s="983"/>
      <c r="AI142" s="983"/>
      <c r="AJ142" s="983"/>
      <c r="AK142" s="983"/>
      <c r="AL142" s="983"/>
      <c r="AM142" s="983"/>
      <c r="AN142" s="983"/>
      <c r="AO142" s="983"/>
      <c r="AP142" s="983"/>
      <c r="AQ142" s="983"/>
      <c r="AR142" s="983"/>
      <c r="AS142" s="983"/>
      <c r="AT142" s="983"/>
      <c r="AU142" s="983"/>
      <c r="AV142" s="983"/>
      <c r="AW142" s="983"/>
      <c r="AX142" s="983"/>
      <c r="AY142" s="983"/>
      <c r="AZ142" s="983"/>
      <c r="BA142" s="983"/>
      <c r="BB142" s="983"/>
      <c r="BC142" s="983"/>
      <c r="BD142" s="983"/>
      <c r="BE142" s="983"/>
      <c r="BF142" s="983"/>
      <c r="BG142" s="983"/>
      <c r="BH142" s="983"/>
      <c r="BI142" s="983"/>
      <c r="BJ142" s="983"/>
      <c r="BK142" s="983"/>
      <c r="BL142" s="983"/>
      <c r="BM142" s="983"/>
      <c r="BN142" s="983"/>
      <c r="BO142" s="983"/>
      <c r="BP142" s="983"/>
      <c r="BQ142" s="983"/>
      <c r="BR142" s="983"/>
      <c r="BS142" s="983"/>
      <c r="BT142" s="983"/>
      <c r="BU142" s="983"/>
      <c r="BV142" s="983"/>
      <c r="BW142" s="983"/>
      <c r="BX142" s="983"/>
      <c r="BY142" s="984"/>
      <c r="BZ142" s="984"/>
      <c r="CA142" s="984"/>
      <c r="CB142" s="985"/>
      <c r="CC142" s="985"/>
      <c r="CD142" s="985"/>
      <c r="CE142" s="985"/>
      <c r="CF142" s="985"/>
      <c r="CG142" s="985"/>
      <c r="CH142" s="1023"/>
      <c r="CI142" s="1023"/>
      <c r="CJ142" s="1023">
        <v>0</v>
      </c>
      <c r="CK142" s="1023"/>
      <c r="CL142" s="1023"/>
      <c r="CM142" s="1023"/>
      <c r="CN142" s="1023"/>
    </row>
    <row r="143" spans="1:92" ht="16.350000000000001" customHeight="1" x14ac:dyDescent="0.25">
      <c r="A143" s="2949" t="s">
        <v>3531</v>
      </c>
      <c r="B143" s="5861"/>
      <c r="C143" s="483" t="s">
        <v>1052</v>
      </c>
      <c r="D143" s="484"/>
      <c r="E143" s="4504" t="s">
        <v>2777</v>
      </c>
      <c r="F143" s="4505" t="s">
        <v>2778</v>
      </c>
      <c r="G143" s="2600" t="s">
        <v>2779</v>
      </c>
      <c r="H143" s="4506" t="s">
        <v>2780</v>
      </c>
      <c r="I143" s="4505" t="s">
        <v>2781</v>
      </c>
      <c r="J143" s="4507" t="s">
        <v>2782</v>
      </c>
      <c r="K143" s="2600" t="s">
        <v>2783</v>
      </c>
      <c r="L143" s="4505" t="s">
        <v>2784</v>
      </c>
      <c r="M143" s="4507" t="s">
        <v>2785</v>
      </c>
      <c r="N143" s="2600" t="s">
        <v>2786</v>
      </c>
      <c r="O143" s="1057"/>
      <c r="P143" s="1058"/>
      <c r="Q143" s="1058"/>
      <c r="R143" s="1058"/>
      <c r="S143" s="1058"/>
      <c r="T143" s="1058"/>
      <c r="U143" s="1058"/>
      <c r="V143" s="1058"/>
      <c r="W143" s="1058"/>
      <c r="X143" s="1058"/>
      <c r="Y143" s="1058"/>
      <c r="Z143" s="1058"/>
      <c r="AA143" s="987"/>
      <c r="AB143" s="987"/>
      <c r="AC143" s="983"/>
      <c r="AD143" s="983"/>
      <c r="AE143" s="983"/>
      <c r="AF143" s="983"/>
      <c r="AG143" s="983"/>
      <c r="AH143" s="983"/>
      <c r="AI143" s="983"/>
      <c r="AJ143" s="983"/>
      <c r="AK143" s="983"/>
      <c r="AL143" s="983"/>
      <c r="AM143" s="983"/>
      <c r="AN143" s="983"/>
      <c r="AO143" s="983"/>
      <c r="AP143" s="983"/>
      <c r="AQ143" s="983"/>
      <c r="AR143" s="983"/>
      <c r="AS143" s="983"/>
      <c r="AT143" s="983"/>
      <c r="AU143" s="983"/>
      <c r="AV143" s="983"/>
      <c r="AW143" s="983"/>
      <c r="AX143" s="983"/>
      <c r="AY143" s="983"/>
      <c r="AZ143" s="983"/>
      <c r="BA143" s="983"/>
      <c r="BB143" s="983"/>
      <c r="BC143" s="983"/>
      <c r="BD143" s="983"/>
      <c r="BE143" s="983"/>
      <c r="BF143" s="983"/>
      <c r="BG143" s="983"/>
      <c r="BH143" s="983"/>
      <c r="BI143" s="983"/>
      <c r="BJ143" s="983"/>
      <c r="BK143" s="983"/>
      <c r="BL143" s="983"/>
      <c r="BM143" s="983"/>
      <c r="BN143" s="983"/>
      <c r="BO143" s="983"/>
      <c r="BP143" s="983"/>
      <c r="BQ143" s="983"/>
      <c r="BR143" s="983"/>
      <c r="BS143" s="983"/>
      <c r="BT143" s="983"/>
      <c r="BU143" s="983"/>
      <c r="BV143" s="983"/>
      <c r="BW143" s="983"/>
      <c r="BX143" s="983"/>
      <c r="BY143" s="984"/>
      <c r="BZ143" s="984"/>
      <c r="CA143" s="984"/>
      <c r="CB143" s="985"/>
      <c r="CC143" s="985"/>
      <c r="CD143" s="985"/>
      <c r="CE143" s="985"/>
      <c r="CF143" s="985"/>
      <c r="CG143" s="985"/>
      <c r="CH143" s="1023"/>
      <c r="CI143" s="1023"/>
      <c r="CJ143" s="1023">
        <v>0</v>
      </c>
      <c r="CK143" s="1023"/>
      <c r="CL143" s="1023"/>
      <c r="CM143" s="1023"/>
      <c r="CN143" s="1023"/>
    </row>
    <row r="144" spans="1:92" ht="32.1" customHeight="1" x14ac:dyDescent="0.25">
      <c r="A144" s="983"/>
      <c r="B144" s="177" t="s">
        <v>881</v>
      </c>
      <c r="C144" s="190"/>
      <c r="D144" s="81"/>
      <c r="E144" s="81"/>
      <c r="F144" s="378"/>
      <c r="G144" s="190"/>
      <c r="H144" s="190"/>
      <c r="I144" s="190"/>
      <c r="J144" s="190"/>
      <c r="K144" s="190"/>
      <c r="L144" s="190"/>
      <c r="M144" s="190"/>
      <c r="N144" s="190"/>
      <c r="O144" s="881"/>
      <c r="P144" s="881"/>
      <c r="Q144" s="881"/>
      <c r="R144" s="881"/>
      <c r="S144" s="881"/>
      <c r="T144" s="881"/>
      <c r="U144" s="881"/>
      <c r="V144" s="881"/>
      <c r="W144" s="881"/>
      <c r="X144" s="987"/>
      <c r="Y144" s="987"/>
      <c r="Z144" s="987"/>
      <c r="AA144" s="987"/>
      <c r="AB144" s="987"/>
      <c r="AC144" s="983"/>
      <c r="AD144" s="983"/>
      <c r="AE144" s="983"/>
      <c r="AF144" s="983"/>
      <c r="AG144" s="983"/>
      <c r="AH144" s="983"/>
      <c r="AI144" s="983"/>
      <c r="AJ144" s="983"/>
      <c r="AK144" s="983"/>
      <c r="AL144" s="983"/>
      <c r="AM144" s="983"/>
      <c r="AN144" s="983"/>
      <c r="AO144" s="983"/>
      <c r="AP144" s="983"/>
      <c r="AQ144" s="983"/>
      <c r="AR144" s="983"/>
      <c r="AS144" s="983"/>
      <c r="AT144" s="983"/>
      <c r="AU144" s="983"/>
      <c r="AV144" s="983"/>
      <c r="AW144" s="983"/>
      <c r="AX144" s="983"/>
      <c r="AY144" s="983"/>
      <c r="AZ144" s="983"/>
      <c r="BA144" s="983"/>
      <c r="BB144" s="983"/>
      <c r="BC144" s="983"/>
      <c r="BD144" s="983"/>
      <c r="BE144" s="983"/>
      <c r="BF144" s="983"/>
      <c r="BG144" s="983"/>
      <c r="BH144" s="983"/>
      <c r="BI144" s="983"/>
      <c r="BJ144" s="983"/>
      <c r="BK144" s="983"/>
      <c r="BL144" s="983"/>
      <c r="BM144" s="983"/>
      <c r="BN144" s="983"/>
      <c r="BO144" s="983"/>
      <c r="BP144" s="983"/>
      <c r="BQ144" s="983"/>
      <c r="BR144" s="983"/>
      <c r="BS144" s="983"/>
      <c r="BT144" s="983"/>
      <c r="BU144" s="983"/>
      <c r="BV144" s="983"/>
      <c r="BW144" s="983"/>
      <c r="BX144" s="983"/>
      <c r="BY144" s="983"/>
      <c r="BZ144" s="983"/>
      <c r="CA144" s="983"/>
      <c r="CB144" s="985"/>
      <c r="CC144" s="985"/>
      <c r="CD144" s="985"/>
      <c r="CE144" s="985"/>
      <c r="CF144" s="985"/>
      <c r="CG144" s="985"/>
      <c r="CH144" s="1023"/>
      <c r="CI144" s="1023"/>
      <c r="CJ144" s="1023"/>
      <c r="CK144" s="1023"/>
      <c r="CL144" s="1023"/>
      <c r="CM144" s="1023"/>
      <c r="CN144" s="1023"/>
    </row>
    <row r="145" spans="1:105" ht="58.35" customHeight="1" x14ac:dyDescent="0.25">
      <c r="A145" s="983"/>
      <c r="B145" s="5261" t="s">
        <v>218</v>
      </c>
      <c r="C145" s="5262"/>
      <c r="D145" s="4335" t="s">
        <v>511</v>
      </c>
      <c r="E145" s="4335" t="s">
        <v>1356</v>
      </c>
      <c r="F145" s="4336" t="s">
        <v>576</v>
      </c>
      <c r="G145" s="4266" t="s">
        <v>318</v>
      </c>
      <c r="H145" s="881"/>
      <c r="I145" s="881"/>
      <c r="J145" s="881"/>
      <c r="K145" s="881"/>
      <c r="L145" s="881"/>
      <c r="M145" s="881"/>
      <c r="N145" s="881"/>
      <c r="O145" s="881"/>
      <c r="P145" s="881"/>
      <c r="Q145" s="881"/>
      <c r="R145" s="881"/>
      <c r="S145" s="881"/>
      <c r="T145" s="935"/>
      <c r="U145" s="935"/>
      <c r="V145" s="935"/>
      <c r="W145" s="935"/>
      <c r="X145" s="987"/>
      <c r="Y145" s="987"/>
      <c r="Z145" s="987"/>
      <c r="AA145" s="987"/>
      <c r="AB145" s="987"/>
      <c r="AC145" s="983"/>
      <c r="AD145" s="983"/>
      <c r="AE145" s="983"/>
      <c r="AF145" s="983"/>
      <c r="AG145" s="983"/>
      <c r="AH145" s="983"/>
      <c r="AI145" s="983"/>
      <c r="AJ145" s="983"/>
      <c r="AK145" s="983"/>
      <c r="AL145" s="983"/>
      <c r="AM145" s="983"/>
      <c r="AN145" s="983"/>
      <c r="AO145" s="983"/>
      <c r="AP145" s="983"/>
      <c r="AQ145" s="983"/>
      <c r="AR145" s="983"/>
      <c r="AS145" s="983"/>
      <c r="AT145" s="983"/>
      <c r="AU145" s="983"/>
      <c r="AV145" s="983"/>
      <c r="AW145" s="983"/>
      <c r="AX145" s="983"/>
      <c r="AY145" s="983"/>
      <c r="AZ145" s="983"/>
      <c r="BA145" s="983"/>
      <c r="BB145" s="983"/>
      <c r="BC145" s="983"/>
      <c r="BD145" s="983"/>
      <c r="BE145" s="983"/>
      <c r="BF145" s="983"/>
      <c r="BG145" s="983"/>
      <c r="BH145" s="983"/>
      <c r="BI145" s="983"/>
      <c r="BJ145" s="983"/>
      <c r="BK145" s="983"/>
      <c r="BL145" s="983"/>
      <c r="BM145" s="983"/>
      <c r="BN145" s="983"/>
      <c r="BO145" s="983"/>
      <c r="BP145" s="983"/>
      <c r="BQ145" s="983"/>
      <c r="BR145" s="983"/>
      <c r="BS145" s="983"/>
      <c r="BT145" s="983"/>
      <c r="BU145" s="983"/>
      <c r="BV145" s="983"/>
      <c r="BW145" s="983"/>
      <c r="BX145" s="983"/>
      <c r="BY145" s="984"/>
      <c r="BZ145" s="984"/>
      <c r="CA145" s="984"/>
      <c r="CB145" s="985"/>
      <c r="CC145" s="985"/>
      <c r="CD145" s="985"/>
      <c r="CE145" s="985"/>
      <c r="CF145" s="985"/>
      <c r="CG145" s="985"/>
      <c r="CH145" s="1023"/>
      <c r="CI145" s="1023"/>
      <c r="CJ145" s="1023"/>
      <c r="CK145" s="1023"/>
      <c r="CL145" s="1023"/>
      <c r="CM145" s="1023"/>
      <c r="CN145" s="1023"/>
      <c r="CO145" s="985"/>
      <c r="CP145" s="985"/>
      <c r="CQ145" s="985"/>
      <c r="CR145" s="985"/>
      <c r="CS145" s="985"/>
      <c r="CT145" s="985"/>
      <c r="CU145" s="985"/>
      <c r="CV145" s="985"/>
      <c r="CW145" s="985"/>
      <c r="CX145" s="985"/>
      <c r="CY145" s="985"/>
      <c r="CZ145" s="985"/>
      <c r="DA145" s="985"/>
    </row>
    <row r="146" spans="1:105" ht="16.350000000000001" customHeight="1" x14ac:dyDescent="0.25">
      <c r="A146" s="2949" t="s">
        <v>3532</v>
      </c>
      <c r="B146" s="5142" t="s">
        <v>577</v>
      </c>
      <c r="C146" s="4296" t="s">
        <v>3727</v>
      </c>
      <c r="D146" s="343" t="s">
        <v>2777</v>
      </c>
      <c r="E146" s="4508" t="s">
        <v>2778</v>
      </c>
      <c r="F146" s="4509" t="s">
        <v>2779</v>
      </c>
      <c r="G146" s="4510" t="s">
        <v>2780</v>
      </c>
      <c r="H146" s="1057"/>
      <c r="I146" s="1058"/>
      <c r="J146" s="1058"/>
      <c r="K146" s="1058"/>
      <c r="L146" s="1058"/>
      <c r="M146" s="1058"/>
      <c r="N146" s="1058"/>
      <c r="O146" s="1058"/>
      <c r="P146" s="1058"/>
      <c r="Q146" s="1058"/>
      <c r="R146" s="1058"/>
      <c r="S146" s="1058"/>
      <c r="T146" s="935"/>
      <c r="U146" s="935"/>
      <c r="V146" s="935"/>
      <c r="W146" s="935"/>
      <c r="X146" s="987"/>
      <c r="Y146" s="987"/>
      <c r="Z146" s="983"/>
      <c r="AA146" s="983"/>
      <c r="AB146" s="983"/>
      <c r="AC146" s="983"/>
      <c r="AD146" s="983"/>
      <c r="AE146" s="983"/>
      <c r="AF146" s="983"/>
      <c r="AG146" s="983"/>
      <c r="AH146" s="983"/>
      <c r="AI146" s="983"/>
      <c r="AJ146" s="983"/>
      <c r="AK146" s="983"/>
      <c r="AL146" s="983"/>
      <c r="AM146" s="983"/>
      <c r="AN146" s="983"/>
      <c r="AO146" s="983"/>
      <c r="AP146" s="983"/>
      <c r="AQ146" s="983"/>
      <c r="AR146" s="983"/>
      <c r="AS146" s="983"/>
      <c r="AT146" s="983"/>
      <c r="AU146" s="983"/>
      <c r="AV146" s="983"/>
      <c r="AW146" s="983"/>
      <c r="AX146" s="983"/>
      <c r="AY146" s="983"/>
      <c r="AZ146" s="983"/>
      <c r="BA146" s="983"/>
      <c r="BB146" s="983"/>
      <c r="BC146" s="983"/>
      <c r="BD146" s="983"/>
      <c r="BE146" s="983"/>
      <c r="BF146" s="983"/>
      <c r="BG146" s="983"/>
      <c r="BH146" s="983"/>
      <c r="BI146" s="983"/>
      <c r="BJ146" s="983"/>
      <c r="BK146" s="983"/>
      <c r="BL146" s="983"/>
      <c r="BM146" s="983"/>
      <c r="BN146" s="983"/>
      <c r="BO146" s="983"/>
      <c r="BP146" s="983"/>
      <c r="BQ146" s="983"/>
      <c r="BR146" s="983"/>
      <c r="BS146" s="983"/>
      <c r="BT146" s="983"/>
      <c r="BU146" s="983"/>
      <c r="BV146" s="983"/>
      <c r="BW146" s="983"/>
      <c r="BX146" s="983"/>
      <c r="BY146" s="984"/>
      <c r="BZ146" s="984"/>
      <c r="CA146" s="984"/>
      <c r="CB146" s="985"/>
      <c r="CC146" s="985"/>
      <c r="CD146" s="985"/>
      <c r="CE146" s="985"/>
      <c r="CF146" s="985"/>
      <c r="CG146" s="985"/>
      <c r="CH146" s="1023">
        <v>0</v>
      </c>
      <c r="CI146" s="1023"/>
      <c r="CJ146" s="1023"/>
      <c r="CK146" s="1023"/>
      <c r="CL146" s="1023"/>
      <c r="CM146" s="1023"/>
      <c r="CN146" s="1023"/>
      <c r="CO146" s="985"/>
      <c r="CP146" s="985"/>
      <c r="CQ146" s="985"/>
      <c r="CR146" s="985"/>
      <c r="CS146" s="985"/>
      <c r="CT146" s="985"/>
      <c r="CU146" s="985"/>
      <c r="CV146" s="985"/>
      <c r="CW146" s="985"/>
      <c r="CX146" s="985"/>
      <c r="CY146" s="985"/>
      <c r="CZ146" s="985"/>
      <c r="DA146" s="985"/>
    </row>
    <row r="147" spans="1:105" ht="16.350000000000001" customHeight="1" x14ac:dyDescent="0.25">
      <c r="A147" s="2949" t="s">
        <v>3533</v>
      </c>
      <c r="B147" s="5861"/>
      <c r="C147" s="4239" t="s">
        <v>380</v>
      </c>
      <c r="D147" s="105" t="s">
        <v>2777</v>
      </c>
      <c r="E147" s="166" t="s">
        <v>2778</v>
      </c>
      <c r="F147" s="161" t="s">
        <v>2779</v>
      </c>
      <c r="G147" s="169" t="s">
        <v>2780</v>
      </c>
      <c r="H147" s="1057"/>
      <c r="I147" s="1058"/>
      <c r="J147" s="1058"/>
      <c r="K147" s="1058"/>
      <c r="L147" s="1058"/>
      <c r="M147" s="1058"/>
      <c r="N147" s="1058"/>
      <c r="O147" s="1058"/>
      <c r="P147" s="1058"/>
      <c r="Q147" s="1058"/>
      <c r="R147" s="1058"/>
      <c r="S147" s="1058"/>
      <c r="T147" s="935"/>
      <c r="U147" s="935"/>
      <c r="V147" s="935"/>
      <c r="W147" s="935"/>
      <c r="X147" s="987"/>
      <c r="Y147" s="987"/>
      <c r="Z147" s="983"/>
      <c r="AA147" s="983"/>
      <c r="AB147" s="983"/>
      <c r="AC147" s="983"/>
      <c r="AD147" s="983"/>
      <c r="AE147" s="983"/>
      <c r="AF147" s="983"/>
      <c r="AG147" s="983"/>
      <c r="AH147" s="983"/>
      <c r="AI147" s="983"/>
      <c r="AJ147" s="983"/>
      <c r="AK147" s="983"/>
      <c r="AL147" s="983"/>
      <c r="AM147" s="983"/>
      <c r="AN147" s="983"/>
      <c r="AO147" s="983"/>
      <c r="AP147" s="983"/>
      <c r="AQ147" s="983"/>
      <c r="AR147" s="983"/>
      <c r="AS147" s="983"/>
      <c r="AT147" s="983"/>
      <c r="AU147" s="983"/>
      <c r="AV147" s="983"/>
      <c r="AW147" s="983"/>
      <c r="AX147" s="983"/>
      <c r="AY147" s="983"/>
      <c r="AZ147" s="983"/>
      <c r="BA147" s="983"/>
      <c r="BB147" s="983"/>
      <c r="BC147" s="983"/>
      <c r="BD147" s="983"/>
      <c r="BE147" s="983"/>
      <c r="BF147" s="983"/>
      <c r="BG147" s="983"/>
      <c r="BH147" s="983"/>
      <c r="BI147" s="983"/>
      <c r="BJ147" s="983"/>
      <c r="BK147" s="983"/>
      <c r="BL147" s="983"/>
      <c r="BM147" s="983"/>
      <c r="BN147" s="983"/>
      <c r="BO147" s="983"/>
      <c r="BP147" s="983"/>
      <c r="BQ147" s="983"/>
      <c r="BR147" s="983"/>
      <c r="BS147" s="983"/>
      <c r="BT147" s="983"/>
      <c r="BU147" s="983"/>
      <c r="BV147" s="983"/>
      <c r="BW147" s="983"/>
      <c r="BX147" s="983"/>
      <c r="BY147" s="984"/>
      <c r="BZ147" s="984"/>
      <c r="CA147" s="984"/>
      <c r="CB147" s="985"/>
      <c r="CC147" s="985"/>
      <c r="CD147" s="985"/>
      <c r="CE147" s="985"/>
      <c r="CF147" s="985"/>
      <c r="CG147" s="985"/>
      <c r="CH147" s="1023">
        <v>0</v>
      </c>
      <c r="CI147" s="1023"/>
      <c r="CJ147" s="1023"/>
      <c r="CK147" s="1023"/>
      <c r="CL147" s="1023"/>
      <c r="CM147" s="1023"/>
      <c r="CN147" s="1023"/>
      <c r="CO147" s="985"/>
      <c r="CP147" s="985"/>
      <c r="CQ147" s="985"/>
      <c r="CR147" s="985"/>
      <c r="CS147" s="985"/>
      <c r="CT147" s="985"/>
      <c r="CU147" s="985"/>
      <c r="CV147" s="985"/>
      <c r="CW147" s="985"/>
      <c r="CX147" s="985"/>
      <c r="CY147" s="985"/>
      <c r="CZ147" s="985"/>
      <c r="DA147" s="985"/>
    </row>
    <row r="148" spans="1:105" ht="16.350000000000001" customHeight="1" x14ac:dyDescent="0.25">
      <c r="A148" s="2949" t="s">
        <v>3534</v>
      </c>
      <c r="B148" s="4228" t="s">
        <v>824</v>
      </c>
      <c r="C148" s="4246" t="s">
        <v>3727</v>
      </c>
      <c r="D148" s="4500" t="s">
        <v>2777</v>
      </c>
      <c r="E148" s="4363" t="s">
        <v>2778</v>
      </c>
      <c r="F148" s="4364" t="s">
        <v>2779</v>
      </c>
      <c r="G148" s="4511" t="s">
        <v>2780</v>
      </c>
      <c r="H148" s="1057"/>
      <c r="I148" s="1058"/>
      <c r="J148" s="1058"/>
      <c r="K148" s="1058"/>
      <c r="L148" s="1058"/>
      <c r="M148" s="1058"/>
      <c r="N148" s="1058"/>
      <c r="O148" s="1058"/>
      <c r="P148" s="1058"/>
      <c r="Q148" s="1058"/>
      <c r="R148" s="1058"/>
      <c r="S148" s="1058"/>
      <c r="T148" s="935"/>
      <c r="U148" s="935"/>
      <c r="V148" s="935"/>
      <c r="W148" s="935"/>
      <c r="X148" s="987"/>
      <c r="Y148" s="987"/>
      <c r="Z148" s="983"/>
      <c r="AA148" s="983"/>
      <c r="AB148" s="983"/>
      <c r="AC148" s="983"/>
      <c r="AD148" s="983"/>
      <c r="AE148" s="983"/>
      <c r="AF148" s="983"/>
      <c r="AG148" s="983"/>
      <c r="AH148" s="983"/>
      <c r="AI148" s="983"/>
      <c r="AJ148" s="983"/>
      <c r="AK148" s="983"/>
      <c r="AL148" s="983"/>
      <c r="AM148" s="983"/>
      <c r="AN148" s="983"/>
      <c r="AO148" s="983"/>
      <c r="AP148" s="983"/>
      <c r="AQ148" s="983"/>
      <c r="AR148" s="983"/>
      <c r="AS148" s="983"/>
      <c r="AT148" s="983"/>
      <c r="AU148" s="983"/>
      <c r="AV148" s="983"/>
      <c r="AW148" s="983"/>
      <c r="AX148" s="983"/>
      <c r="AY148" s="983"/>
      <c r="AZ148" s="983"/>
      <c r="BA148" s="983"/>
      <c r="BB148" s="983"/>
      <c r="BC148" s="983"/>
      <c r="BD148" s="983"/>
      <c r="BE148" s="983"/>
      <c r="BF148" s="983"/>
      <c r="BG148" s="983"/>
      <c r="BH148" s="983"/>
      <c r="BI148" s="983"/>
      <c r="BJ148" s="983"/>
      <c r="BK148" s="983"/>
      <c r="BL148" s="983"/>
      <c r="BM148" s="983"/>
      <c r="BN148" s="983"/>
      <c r="BO148" s="983"/>
      <c r="BP148" s="983"/>
      <c r="BQ148" s="983"/>
      <c r="BR148" s="983"/>
      <c r="BS148" s="983"/>
      <c r="BT148" s="983"/>
      <c r="BU148" s="983"/>
      <c r="BV148" s="983"/>
      <c r="BW148" s="983"/>
      <c r="BX148" s="983"/>
      <c r="BY148" s="984"/>
      <c r="BZ148" s="984"/>
      <c r="CA148" s="984"/>
      <c r="CB148" s="985"/>
      <c r="CC148" s="985"/>
      <c r="CD148" s="985"/>
      <c r="CE148" s="985"/>
      <c r="CF148" s="985"/>
      <c r="CG148" s="985"/>
      <c r="CH148" s="1023">
        <v>0</v>
      </c>
      <c r="CI148" s="1023"/>
      <c r="CJ148" s="1023"/>
      <c r="CK148" s="1023"/>
      <c r="CL148" s="1023"/>
      <c r="CM148" s="1023"/>
      <c r="CN148" s="1023"/>
      <c r="CO148" s="985"/>
      <c r="CP148" s="985"/>
      <c r="CQ148" s="985"/>
      <c r="CR148" s="985"/>
      <c r="CS148" s="985"/>
      <c r="CT148" s="985"/>
      <c r="CU148" s="985"/>
      <c r="CV148" s="985"/>
      <c r="CW148" s="985"/>
      <c r="CX148" s="985"/>
      <c r="CY148" s="985"/>
      <c r="CZ148" s="985"/>
      <c r="DA148" s="985"/>
    </row>
    <row r="149" spans="1:105" ht="16.350000000000001" customHeight="1" x14ac:dyDescent="0.25">
      <c r="A149" s="2949" t="s">
        <v>3535</v>
      </c>
      <c r="B149" s="5142" t="s">
        <v>578</v>
      </c>
      <c r="C149" s="4296" t="s">
        <v>579</v>
      </c>
      <c r="D149" s="343" t="s">
        <v>2777</v>
      </c>
      <c r="E149" s="273" t="s">
        <v>2778</v>
      </c>
      <c r="F149" s="4512" t="s">
        <v>2779</v>
      </c>
      <c r="G149" s="4513" t="s">
        <v>2780</v>
      </c>
      <c r="H149" s="1057"/>
      <c r="I149" s="1058"/>
      <c r="J149" s="1058"/>
      <c r="K149" s="1058"/>
      <c r="L149" s="1058"/>
      <c r="M149" s="1058"/>
      <c r="N149" s="1058"/>
      <c r="O149" s="1058"/>
      <c r="P149" s="1058"/>
      <c r="Q149" s="1058"/>
      <c r="R149" s="1058"/>
      <c r="S149" s="1058"/>
      <c r="T149" s="935"/>
      <c r="U149" s="935"/>
      <c r="V149" s="935"/>
      <c r="W149" s="935"/>
      <c r="X149" s="987"/>
      <c r="Y149" s="987"/>
      <c r="Z149" s="983"/>
      <c r="AA149" s="983"/>
      <c r="AB149" s="983"/>
      <c r="AC149" s="983"/>
      <c r="AD149" s="983"/>
      <c r="AE149" s="983"/>
      <c r="AF149" s="983"/>
      <c r="AG149" s="983"/>
      <c r="AH149" s="983"/>
      <c r="AI149" s="983"/>
      <c r="AJ149" s="983"/>
      <c r="AK149" s="983"/>
      <c r="AL149" s="983"/>
      <c r="AM149" s="983"/>
      <c r="AN149" s="983"/>
      <c r="AO149" s="983"/>
      <c r="AP149" s="983"/>
      <c r="AQ149" s="983"/>
      <c r="AR149" s="983"/>
      <c r="AS149" s="983"/>
      <c r="AT149" s="983"/>
      <c r="AU149" s="983"/>
      <c r="AV149" s="983"/>
      <c r="AW149" s="983"/>
      <c r="AX149" s="983"/>
      <c r="AY149" s="983"/>
      <c r="AZ149" s="983"/>
      <c r="BA149" s="983"/>
      <c r="BB149" s="983"/>
      <c r="BC149" s="983"/>
      <c r="BD149" s="983"/>
      <c r="BE149" s="983"/>
      <c r="BF149" s="983"/>
      <c r="BG149" s="983"/>
      <c r="BH149" s="983"/>
      <c r="BI149" s="983"/>
      <c r="BJ149" s="983"/>
      <c r="BK149" s="983"/>
      <c r="BL149" s="983"/>
      <c r="BM149" s="983"/>
      <c r="BN149" s="983"/>
      <c r="BO149" s="983"/>
      <c r="BP149" s="983"/>
      <c r="BQ149" s="983"/>
      <c r="BR149" s="983"/>
      <c r="BS149" s="983"/>
      <c r="BT149" s="983"/>
      <c r="BU149" s="983"/>
      <c r="BV149" s="983"/>
      <c r="BW149" s="983"/>
      <c r="BX149" s="983"/>
      <c r="BY149" s="984"/>
      <c r="BZ149" s="984"/>
      <c r="CA149" s="984"/>
      <c r="CB149" s="985"/>
      <c r="CC149" s="985"/>
      <c r="CD149" s="985"/>
      <c r="CE149" s="985"/>
      <c r="CF149" s="985"/>
      <c r="CG149" s="985"/>
      <c r="CH149" s="1023">
        <v>0</v>
      </c>
      <c r="CI149" s="1023"/>
      <c r="CJ149" s="1023"/>
      <c r="CK149" s="1023"/>
      <c r="CL149" s="1023"/>
      <c r="CM149" s="1023"/>
      <c r="CN149" s="1023"/>
      <c r="CO149" s="985"/>
      <c r="CP149" s="985"/>
      <c r="CQ149" s="985"/>
      <c r="CR149" s="985"/>
      <c r="CS149" s="985"/>
      <c r="CT149" s="985"/>
      <c r="CU149" s="985"/>
      <c r="CV149" s="985"/>
      <c r="CW149" s="985"/>
      <c r="CX149" s="985"/>
      <c r="CY149" s="985"/>
      <c r="CZ149" s="985"/>
      <c r="DA149" s="985"/>
    </row>
    <row r="150" spans="1:105" ht="16.350000000000001" customHeight="1" x14ac:dyDescent="0.25">
      <c r="A150" s="2949" t="s">
        <v>3536</v>
      </c>
      <c r="B150" s="5113"/>
      <c r="C150" s="4227" t="s">
        <v>580</v>
      </c>
      <c r="D150" s="164" t="s">
        <v>2777</v>
      </c>
      <c r="E150" s="141" t="s">
        <v>2778</v>
      </c>
      <c r="F150" s="180" t="s">
        <v>2779</v>
      </c>
      <c r="G150" s="198" t="s">
        <v>2780</v>
      </c>
      <c r="H150" s="1057"/>
      <c r="I150" s="1058"/>
      <c r="J150" s="1058"/>
      <c r="K150" s="1058"/>
      <c r="L150" s="1058"/>
      <c r="M150" s="1058"/>
      <c r="N150" s="1058"/>
      <c r="O150" s="1058"/>
      <c r="P150" s="1058"/>
      <c r="Q150" s="1058"/>
      <c r="R150" s="1058"/>
      <c r="S150" s="1058"/>
      <c r="T150" s="935"/>
      <c r="U150" s="935"/>
      <c r="V150" s="935"/>
      <c r="W150" s="935"/>
      <c r="X150" s="987"/>
      <c r="Y150" s="987"/>
      <c r="Z150" s="983"/>
      <c r="AA150" s="983"/>
      <c r="AB150" s="983"/>
      <c r="AC150" s="983"/>
      <c r="AD150" s="983"/>
      <c r="AE150" s="983"/>
      <c r="AF150" s="983"/>
      <c r="AG150" s="983"/>
      <c r="AH150" s="983"/>
      <c r="AI150" s="983"/>
      <c r="AJ150" s="983"/>
      <c r="AK150" s="983"/>
      <c r="AL150" s="983"/>
      <c r="AM150" s="983"/>
      <c r="AN150" s="983"/>
      <c r="AO150" s="983"/>
      <c r="AP150" s="983"/>
      <c r="AQ150" s="983"/>
      <c r="AR150" s="983"/>
      <c r="AS150" s="983"/>
      <c r="AT150" s="983"/>
      <c r="AU150" s="983"/>
      <c r="AV150" s="983"/>
      <c r="AW150" s="983"/>
      <c r="AX150" s="983"/>
      <c r="AY150" s="983"/>
      <c r="AZ150" s="983"/>
      <c r="BA150" s="983"/>
      <c r="BB150" s="983"/>
      <c r="BC150" s="983"/>
      <c r="BD150" s="983"/>
      <c r="BE150" s="983"/>
      <c r="BF150" s="983"/>
      <c r="BG150" s="983"/>
      <c r="BH150" s="983"/>
      <c r="BI150" s="983"/>
      <c r="BJ150" s="983"/>
      <c r="BK150" s="983"/>
      <c r="BL150" s="983"/>
      <c r="BM150" s="983"/>
      <c r="BN150" s="983"/>
      <c r="BO150" s="983"/>
      <c r="BP150" s="983"/>
      <c r="BQ150" s="983"/>
      <c r="BR150" s="983"/>
      <c r="BS150" s="983"/>
      <c r="BT150" s="983"/>
      <c r="BU150" s="983"/>
      <c r="BV150" s="983"/>
      <c r="BW150" s="983"/>
      <c r="BX150" s="983"/>
      <c r="BY150" s="984"/>
      <c r="BZ150" s="984"/>
      <c r="CA150" s="984"/>
      <c r="CB150" s="985"/>
      <c r="CC150" s="985"/>
      <c r="CD150" s="985"/>
      <c r="CE150" s="985"/>
      <c r="CF150" s="985"/>
      <c r="CG150" s="985"/>
      <c r="CH150" s="1023">
        <v>0</v>
      </c>
      <c r="CI150" s="1023"/>
      <c r="CJ150" s="1023"/>
      <c r="CK150" s="1023"/>
      <c r="CL150" s="1023"/>
      <c r="CM150" s="1023"/>
      <c r="CN150" s="1023"/>
      <c r="CO150" s="985"/>
      <c r="CP150" s="985"/>
      <c r="CQ150" s="985"/>
      <c r="CR150" s="985"/>
      <c r="CS150" s="985"/>
      <c r="CT150" s="985"/>
      <c r="CU150" s="985"/>
      <c r="CV150" s="985"/>
      <c r="CW150" s="985"/>
      <c r="CX150" s="985"/>
      <c r="CY150" s="985"/>
      <c r="CZ150" s="985"/>
      <c r="DA150" s="985"/>
    </row>
    <row r="151" spans="1:105" ht="16.350000000000001" customHeight="1" x14ac:dyDescent="0.25">
      <c r="A151" s="2949" t="s">
        <v>3537</v>
      </c>
      <c r="B151" s="5861"/>
      <c r="C151" s="4239" t="s">
        <v>581</v>
      </c>
      <c r="D151" s="105" t="s">
        <v>2777</v>
      </c>
      <c r="E151" s="166" t="s">
        <v>2778</v>
      </c>
      <c r="F151" s="126" t="s">
        <v>2779</v>
      </c>
      <c r="G151" s="168" t="s">
        <v>2780</v>
      </c>
      <c r="H151" s="1057"/>
      <c r="I151" s="1058"/>
      <c r="J151" s="1058"/>
      <c r="K151" s="1058"/>
      <c r="L151" s="1058"/>
      <c r="M151" s="1058"/>
      <c r="N151" s="1058"/>
      <c r="O151" s="1058"/>
      <c r="P151" s="1058"/>
      <c r="Q151" s="1058"/>
      <c r="R151" s="1058"/>
      <c r="S151" s="1058"/>
      <c r="T151" s="935"/>
      <c r="U151" s="935"/>
      <c r="V151" s="935"/>
      <c r="W151" s="935"/>
      <c r="X151" s="987"/>
      <c r="Y151" s="987"/>
      <c r="Z151" s="983"/>
      <c r="AA151" s="983"/>
      <c r="AB151" s="983"/>
      <c r="AC151" s="983"/>
      <c r="AD151" s="983"/>
      <c r="AE151" s="983"/>
      <c r="AF151" s="983"/>
      <c r="AG151" s="983"/>
      <c r="AH151" s="983"/>
      <c r="AI151" s="983"/>
      <c r="AJ151" s="983"/>
      <c r="AK151" s="983"/>
      <c r="AL151" s="983"/>
      <c r="AM151" s="983"/>
      <c r="AN151" s="983"/>
      <c r="AO151" s="983"/>
      <c r="AP151" s="983"/>
      <c r="AQ151" s="983"/>
      <c r="AR151" s="983"/>
      <c r="AS151" s="983"/>
      <c r="AT151" s="983"/>
      <c r="AU151" s="983"/>
      <c r="AV151" s="983"/>
      <c r="AW151" s="983"/>
      <c r="AX151" s="983"/>
      <c r="AY151" s="983"/>
      <c r="AZ151" s="983"/>
      <c r="BA151" s="983"/>
      <c r="BB151" s="983"/>
      <c r="BC151" s="983"/>
      <c r="BD151" s="983"/>
      <c r="BE151" s="983"/>
      <c r="BF151" s="983"/>
      <c r="BG151" s="983"/>
      <c r="BH151" s="983"/>
      <c r="BI151" s="983"/>
      <c r="BJ151" s="983"/>
      <c r="BK151" s="983"/>
      <c r="BL151" s="983"/>
      <c r="BM151" s="983"/>
      <c r="BN151" s="983"/>
      <c r="BO151" s="983"/>
      <c r="BP151" s="983"/>
      <c r="BQ151" s="983"/>
      <c r="BR151" s="983"/>
      <c r="BS151" s="983"/>
      <c r="BT151" s="983"/>
      <c r="BU151" s="983"/>
      <c r="BV151" s="983"/>
      <c r="BW151" s="983"/>
      <c r="BX151" s="983"/>
      <c r="BY151" s="984"/>
      <c r="BZ151" s="984"/>
      <c r="CA151" s="984"/>
      <c r="CB151" s="985"/>
      <c r="CC151" s="985"/>
      <c r="CD151" s="985"/>
      <c r="CE151" s="985"/>
      <c r="CF151" s="985"/>
      <c r="CG151" s="985"/>
      <c r="CH151" s="1023">
        <v>0</v>
      </c>
      <c r="CI151" s="1023"/>
      <c r="CJ151" s="1023"/>
      <c r="CK151" s="1023"/>
      <c r="CL151" s="1023"/>
      <c r="CM151" s="1023"/>
      <c r="CN151" s="1023"/>
      <c r="CO151" s="985"/>
      <c r="CP151" s="985"/>
      <c r="CQ151" s="985"/>
      <c r="CR151" s="985"/>
      <c r="CS151" s="985"/>
      <c r="CT151" s="985"/>
      <c r="CU151" s="985"/>
      <c r="CV151" s="985"/>
      <c r="CW151" s="985"/>
      <c r="CX151" s="985"/>
      <c r="CY151" s="985"/>
      <c r="CZ151" s="985"/>
      <c r="DA151" s="985"/>
    </row>
    <row r="152" spans="1:105" s="312" customFormat="1" ht="32.1" customHeight="1" x14ac:dyDescent="0.2">
      <c r="B152" s="4514" t="s">
        <v>880</v>
      </c>
      <c r="C152" s="85"/>
      <c r="D152" s="85"/>
      <c r="E152" s="85"/>
      <c r="F152" s="85"/>
      <c r="G152" s="85"/>
      <c r="CB152" s="990"/>
      <c r="CC152" s="990"/>
      <c r="CD152" s="990"/>
      <c r="CE152" s="990"/>
      <c r="CF152" s="990"/>
      <c r="CG152" s="990"/>
      <c r="CH152" s="1025"/>
      <c r="CI152" s="1025"/>
      <c r="CJ152" s="1025"/>
      <c r="CK152" s="1025"/>
      <c r="CL152" s="1025"/>
      <c r="CM152" s="1025"/>
      <c r="CN152" s="1025"/>
      <c r="CO152" s="990"/>
      <c r="CP152" s="990"/>
      <c r="CQ152" s="990"/>
      <c r="CR152" s="990"/>
      <c r="CS152" s="990"/>
      <c r="CT152" s="990"/>
      <c r="CU152" s="990"/>
      <c r="CV152" s="990"/>
      <c r="CW152" s="990"/>
      <c r="CX152" s="990"/>
      <c r="CY152" s="990"/>
      <c r="CZ152" s="990"/>
      <c r="DA152" s="990"/>
    </row>
    <row r="153" spans="1:105" s="312" customFormat="1" ht="16.350000000000001" customHeight="1" x14ac:dyDescent="0.2">
      <c r="B153" s="5855" t="s">
        <v>571</v>
      </c>
      <c r="C153" s="5879"/>
      <c r="D153" s="5877"/>
      <c r="E153" s="5261" t="s">
        <v>838</v>
      </c>
      <c r="F153" s="5157"/>
      <c r="G153" s="5894"/>
      <c r="H153" s="5895" t="s">
        <v>1356</v>
      </c>
      <c r="I153" s="5848" t="s">
        <v>573</v>
      </c>
      <c r="J153" s="5152" t="s">
        <v>318</v>
      </c>
      <c r="BY153" s="989"/>
      <c r="BZ153" s="989"/>
      <c r="CA153" s="989"/>
      <c r="CB153" s="990"/>
      <c r="CC153" s="990"/>
      <c r="CD153" s="990"/>
      <c r="CE153" s="990"/>
      <c r="CF153" s="990"/>
      <c r="CG153" s="990"/>
      <c r="CH153" s="1025"/>
      <c r="CI153" s="1025"/>
      <c r="CJ153" s="1025"/>
      <c r="CK153" s="1025"/>
      <c r="CL153" s="1025"/>
      <c r="CM153" s="1025"/>
      <c r="CN153" s="1025"/>
      <c r="CO153" s="990"/>
      <c r="CP153" s="990"/>
      <c r="CQ153" s="990"/>
      <c r="CR153" s="990"/>
      <c r="CS153" s="990"/>
      <c r="CT153" s="990"/>
      <c r="CU153" s="990"/>
      <c r="CV153" s="990"/>
      <c r="CW153" s="990"/>
      <c r="CX153" s="990"/>
      <c r="CY153" s="990"/>
      <c r="CZ153" s="990"/>
      <c r="DA153" s="990"/>
    </row>
    <row r="154" spans="1:105" s="312" customFormat="1" ht="16.350000000000001" customHeight="1" x14ac:dyDescent="0.2">
      <c r="B154" s="5856"/>
      <c r="C154" s="5259"/>
      <c r="D154" s="5878"/>
      <c r="E154" s="4503" t="s">
        <v>600</v>
      </c>
      <c r="F154" s="4336" t="s">
        <v>577</v>
      </c>
      <c r="G154" s="3969" t="s">
        <v>578</v>
      </c>
      <c r="H154" s="5896"/>
      <c r="I154" s="5849"/>
      <c r="J154" s="5297"/>
      <c r="K154" s="1074"/>
      <c r="L154" s="1074"/>
      <c r="M154" s="1074"/>
      <c r="N154" s="1074"/>
      <c r="O154" s="1074"/>
      <c r="P154" s="1074"/>
      <c r="Q154" s="1074"/>
      <c r="R154" s="1074"/>
      <c r="S154" s="1074"/>
      <c r="T154" s="1074"/>
      <c r="U154" s="1074"/>
      <c r="V154" s="1074"/>
      <c r="W154" s="1074"/>
      <c r="X154" s="1074"/>
      <c r="Y154" s="1074"/>
      <c r="Z154" s="1074"/>
      <c r="AA154" s="1074"/>
      <c r="AB154" s="1074"/>
      <c r="BY154" s="989"/>
      <c r="BZ154" s="989"/>
      <c r="CA154" s="989"/>
      <c r="CB154" s="990"/>
      <c r="CC154" s="990"/>
      <c r="CD154" s="990"/>
      <c r="CE154" s="990"/>
      <c r="CF154" s="990"/>
      <c r="CG154" s="990"/>
      <c r="CH154" s="1025"/>
      <c r="CI154" s="1025"/>
      <c r="CJ154" s="1025"/>
      <c r="CK154" s="1025"/>
      <c r="CL154" s="1025"/>
      <c r="CM154" s="1025"/>
      <c r="CN154" s="1025"/>
      <c r="CO154" s="990"/>
      <c r="CP154" s="990"/>
      <c r="CQ154" s="990"/>
      <c r="CR154" s="990"/>
      <c r="CS154" s="990"/>
      <c r="CT154" s="990"/>
      <c r="CU154" s="990"/>
      <c r="CV154" s="990"/>
      <c r="CW154" s="990"/>
      <c r="CX154" s="990"/>
      <c r="CY154" s="990"/>
      <c r="CZ154" s="990"/>
      <c r="DA154" s="990"/>
    </row>
    <row r="155" spans="1:105" ht="16.350000000000001" customHeight="1" x14ac:dyDescent="0.25">
      <c r="A155" s="2949" t="s">
        <v>3538</v>
      </c>
      <c r="B155" s="5899" t="s">
        <v>575</v>
      </c>
      <c r="C155" s="5900" t="s">
        <v>581</v>
      </c>
      <c r="D155" s="5901"/>
      <c r="E155" s="4494" t="s">
        <v>2777</v>
      </c>
      <c r="F155" s="4318" t="s">
        <v>2778</v>
      </c>
      <c r="G155" s="4515" t="s">
        <v>2779</v>
      </c>
      <c r="H155" s="4360" t="s">
        <v>2780</v>
      </c>
      <c r="I155" s="4319" t="s">
        <v>2781</v>
      </c>
      <c r="J155" s="4275" t="s">
        <v>2782</v>
      </c>
      <c r="K155" s="1057"/>
      <c r="L155" s="1058"/>
      <c r="M155" s="1058"/>
      <c r="N155" s="1058"/>
      <c r="O155" s="1058"/>
      <c r="P155" s="1058"/>
      <c r="Q155" s="1058"/>
      <c r="R155" s="1058"/>
      <c r="S155" s="1058"/>
      <c r="T155" s="1058"/>
      <c r="U155" s="1058"/>
      <c r="V155" s="1058"/>
      <c r="W155" s="987"/>
      <c r="X155" s="987"/>
      <c r="Y155" s="987"/>
      <c r="Z155" s="987"/>
      <c r="AA155" s="987"/>
      <c r="AB155" s="987"/>
      <c r="AC155" s="983"/>
      <c r="AD155" s="983"/>
      <c r="AE155" s="983"/>
      <c r="AF155" s="983"/>
      <c r="AG155" s="983"/>
      <c r="AH155" s="983"/>
      <c r="AI155" s="983"/>
      <c r="AJ155" s="983"/>
      <c r="AK155" s="983"/>
      <c r="AL155" s="983"/>
      <c r="AM155" s="983"/>
      <c r="AN155" s="983"/>
      <c r="AO155" s="983"/>
      <c r="AP155" s="983"/>
      <c r="AQ155" s="983"/>
      <c r="AR155" s="983"/>
      <c r="AS155" s="983"/>
      <c r="AT155" s="983"/>
      <c r="AU155" s="983"/>
      <c r="AV155" s="983"/>
      <c r="AW155" s="983"/>
      <c r="AX155" s="983"/>
      <c r="AY155" s="983"/>
      <c r="AZ155" s="983"/>
      <c r="BA155" s="983"/>
      <c r="BB155" s="983"/>
      <c r="BC155" s="983"/>
      <c r="BD155" s="983"/>
      <c r="BE155" s="983"/>
      <c r="BF155" s="983"/>
      <c r="BG155" s="983"/>
      <c r="BH155" s="983"/>
      <c r="BI155" s="983"/>
      <c r="BJ155" s="983"/>
      <c r="BK155" s="983"/>
      <c r="BL155" s="983"/>
      <c r="BM155" s="983"/>
      <c r="BN155" s="983"/>
      <c r="BO155" s="983"/>
      <c r="BP155" s="983"/>
      <c r="BQ155" s="983"/>
      <c r="BR155" s="983"/>
      <c r="BS155" s="983"/>
      <c r="BT155" s="983"/>
      <c r="BU155" s="983"/>
      <c r="BV155" s="983"/>
      <c r="BW155" s="983"/>
      <c r="BX155" s="983"/>
      <c r="BY155" s="984"/>
      <c r="BZ155" s="984"/>
      <c r="CA155" s="984"/>
      <c r="CB155" s="985"/>
      <c r="CC155" s="985"/>
      <c r="CD155" s="985"/>
      <c r="CE155" s="985"/>
      <c r="CF155" s="985"/>
      <c r="CG155" s="985"/>
      <c r="CH155" s="1023">
        <v>0</v>
      </c>
      <c r="CI155" s="1023"/>
      <c r="CJ155" s="1023"/>
      <c r="CK155" s="1023"/>
      <c r="CL155" s="1023"/>
      <c r="CM155" s="1023"/>
      <c r="CN155" s="1023"/>
      <c r="CO155" s="985"/>
      <c r="CP155" s="985"/>
      <c r="CQ155" s="985"/>
      <c r="CR155" s="985"/>
      <c r="CS155" s="985"/>
      <c r="CT155" s="985"/>
      <c r="CU155" s="985"/>
      <c r="CV155" s="985"/>
      <c r="CW155" s="985"/>
      <c r="CX155" s="985"/>
      <c r="CY155" s="985"/>
      <c r="CZ155" s="985"/>
      <c r="DA155" s="985"/>
    </row>
    <row r="156" spans="1:105" ht="16.350000000000001" customHeight="1" x14ac:dyDescent="0.25">
      <c r="A156" s="2949" t="s">
        <v>3539</v>
      </c>
      <c r="B156" s="5252"/>
      <c r="C156" s="5313" t="s">
        <v>579</v>
      </c>
      <c r="D156" s="5303"/>
      <c r="E156" s="140" t="s">
        <v>2777</v>
      </c>
      <c r="F156" s="141" t="s">
        <v>2778</v>
      </c>
      <c r="G156" s="318" t="s">
        <v>2779</v>
      </c>
      <c r="H156" s="180" t="s">
        <v>2780</v>
      </c>
      <c r="I156" s="142" t="s">
        <v>2781</v>
      </c>
      <c r="J156" s="198" t="s">
        <v>2782</v>
      </c>
      <c r="K156" s="1057"/>
      <c r="L156" s="1058"/>
      <c r="M156" s="1058"/>
      <c r="N156" s="1058"/>
      <c r="O156" s="1058"/>
      <c r="P156" s="1058"/>
      <c r="Q156" s="1058"/>
      <c r="R156" s="1058"/>
      <c r="S156" s="1058"/>
      <c r="T156" s="1058"/>
      <c r="U156" s="1058"/>
      <c r="V156" s="1058"/>
      <c r="W156" s="987"/>
      <c r="X156" s="987"/>
      <c r="Y156" s="987"/>
      <c r="Z156" s="987"/>
      <c r="AA156" s="987"/>
      <c r="AB156" s="987"/>
      <c r="AC156" s="983"/>
      <c r="AD156" s="983"/>
      <c r="AE156" s="983"/>
      <c r="AF156" s="983"/>
      <c r="AG156" s="983"/>
      <c r="AH156" s="983"/>
      <c r="AI156" s="983"/>
      <c r="AJ156" s="983"/>
      <c r="AK156" s="983"/>
      <c r="AL156" s="983"/>
      <c r="AM156" s="983"/>
      <c r="AN156" s="983"/>
      <c r="AO156" s="983"/>
      <c r="AP156" s="983"/>
      <c r="AQ156" s="983"/>
      <c r="AR156" s="983"/>
      <c r="AS156" s="983"/>
      <c r="AT156" s="983"/>
      <c r="AU156" s="983"/>
      <c r="AV156" s="983"/>
      <c r="AW156" s="983"/>
      <c r="AX156" s="983"/>
      <c r="AY156" s="983"/>
      <c r="AZ156" s="983"/>
      <c r="BA156" s="983"/>
      <c r="BB156" s="983"/>
      <c r="BC156" s="983"/>
      <c r="BD156" s="983"/>
      <c r="BE156" s="983"/>
      <c r="BF156" s="983"/>
      <c r="BG156" s="983"/>
      <c r="BH156" s="983"/>
      <c r="BI156" s="983"/>
      <c r="BJ156" s="983"/>
      <c r="BK156" s="983"/>
      <c r="BL156" s="983"/>
      <c r="BM156" s="983"/>
      <c r="BN156" s="983"/>
      <c r="BO156" s="983"/>
      <c r="BP156" s="983"/>
      <c r="BQ156" s="983"/>
      <c r="BR156" s="983"/>
      <c r="BS156" s="983"/>
      <c r="BT156" s="983"/>
      <c r="BU156" s="983"/>
      <c r="BV156" s="983"/>
      <c r="BW156" s="983"/>
      <c r="BX156" s="983"/>
      <c r="BY156" s="984"/>
      <c r="BZ156" s="984"/>
      <c r="CA156" s="984"/>
      <c r="CB156" s="985"/>
      <c r="CC156" s="985"/>
      <c r="CD156" s="985"/>
      <c r="CE156" s="985"/>
      <c r="CF156" s="985"/>
      <c r="CG156" s="985"/>
      <c r="CH156" s="1023">
        <v>0</v>
      </c>
      <c r="CI156" s="1023"/>
      <c r="CJ156" s="1023"/>
      <c r="CK156" s="1023"/>
      <c r="CL156" s="1023"/>
      <c r="CM156" s="1023"/>
      <c r="CN156" s="1023"/>
      <c r="CO156" s="985"/>
      <c r="CP156" s="985"/>
      <c r="CQ156" s="985"/>
      <c r="CR156" s="985"/>
      <c r="CS156" s="985"/>
      <c r="CT156" s="985"/>
      <c r="CU156" s="985"/>
      <c r="CV156" s="985"/>
      <c r="CW156" s="985"/>
      <c r="CX156" s="985"/>
      <c r="CY156" s="985"/>
      <c r="CZ156" s="985"/>
      <c r="DA156" s="985"/>
    </row>
    <row r="157" spans="1:105" ht="16.350000000000001" customHeight="1" x14ac:dyDescent="0.25">
      <c r="A157" s="2949" t="s">
        <v>3540</v>
      </c>
      <c r="B157" s="5253"/>
      <c r="C157" s="5279" t="s">
        <v>580</v>
      </c>
      <c r="D157" s="5280"/>
      <c r="E157" s="100" t="s">
        <v>2777</v>
      </c>
      <c r="F157" s="166" t="s">
        <v>2778</v>
      </c>
      <c r="G157" s="319" t="s">
        <v>2779</v>
      </c>
      <c r="H157" s="126" t="s">
        <v>2780</v>
      </c>
      <c r="I157" s="102" t="s">
        <v>2781</v>
      </c>
      <c r="J157" s="168" t="s">
        <v>2782</v>
      </c>
      <c r="K157" s="1057"/>
      <c r="L157" s="1058"/>
      <c r="M157" s="1058"/>
      <c r="N157" s="1058"/>
      <c r="O157" s="1058"/>
      <c r="P157" s="1058"/>
      <c r="Q157" s="1058"/>
      <c r="R157" s="1058"/>
      <c r="S157" s="1058"/>
      <c r="T157" s="1058"/>
      <c r="U157" s="1058"/>
      <c r="V157" s="1058"/>
      <c r="W157" s="987"/>
      <c r="X157" s="987"/>
      <c r="Y157" s="987"/>
      <c r="Z157" s="987"/>
      <c r="AA157" s="987"/>
      <c r="AB157" s="987"/>
      <c r="AC157" s="983"/>
      <c r="AD157" s="983"/>
      <c r="AE157" s="983"/>
      <c r="AF157" s="983"/>
      <c r="AG157" s="983"/>
      <c r="AH157" s="983"/>
      <c r="AI157" s="983"/>
      <c r="AJ157" s="983"/>
      <c r="AK157" s="983"/>
      <c r="AL157" s="983"/>
      <c r="AM157" s="983"/>
      <c r="AN157" s="983"/>
      <c r="AO157" s="983"/>
      <c r="AP157" s="983"/>
      <c r="AQ157" s="983"/>
      <c r="AR157" s="983"/>
      <c r="AS157" s="983"/>
      <c r="AT157" s="983"/>
      <c r="AU157" s="983"/>
      <c r="AV157" s="983"/>
      <c r="AW157" s="983"/>
      <c r="AX157" s="983"/>
      <c r="AY157" s="983"/>
      <c r="AZ157" s="983"/>
      <c r="BA157" s="983"/>
      <c r="BB157" s="983"/>
      <c r="BC157" s="983"/>
      <c r="BD157" s="983"/>
      <c r="BE157" s="983"/>
      <c r="BF157" s="983"/>
      <c r="BG157" s="983"/>
      <c r="BH157" s="983"/>
      <c r="BI157" s="983"/>
      <c r="BJ157" s="983"/>
      <c r="BK157" s="983"/>
      <c r="BL157" s="983"/>
      <c r="BM157" s="983"/>
      <c r="BN157" s="983"/>
      <c r="BO157" s="983"/>
      <c r="BP157" s="983"/>
      <c r="BQ157" s="983"/>
      <c r="BR157" s="983"/>
      <c r="BS157" s="983"/>
      <c r="BT157" s="983"/>
      <c r="BU157" s="983"/>
      <c r="BV157" s="983"/>
      <c r="BW157" s="983"/>
      <c r="BX157" s="983"/>
      <c r="BY157" s="984"/>
      <c r="BZ157" s="984"/>
      <c r="CA157" s="984"/>
      <c r="CB157" s="985"/>
      <c r="CC157" s="985"/>
      <c r="CD157" s="985"/>
      <c r="CE157" s="985"/>
      <c r="CF157" s="985"/>
      <c r="CG157" s="985"/>
      <c r="CH157" s="1023">
        <v>0</v>
      </c>
      <c r="CI157" s="1023"/>
      <c r="CJ157" s="1023"/>
      <c r="CK157" s="1023"/>
      <c r="CL157" s="1023"/>
      <c r="CM157" s="1023"/>
      <c r="CN157" s="1023"/>
      <c r="CO157" s="985"/>
      <c r="CP157" s="985"/>
      <c r="CQ157" s="985"/>
      <c r="CR157" s="985"/>
      <c r="CS157" s="985"/>
      <c r="CT157" s="985"/>
      <c r="CU157" s="985"/>
      <c r="CV157" s="985"/>
      <c r="CW157" s="985"/>
      <c r="CX157" s="985"/>
      <c r="CY157" s="985"/>
      <c r="CZ157" s="985"/>
      <c r="DA157" s="985"/>
    </row>
    <row r="158" spans="1:105" ht="16.350000000000001" customHeight="1" x14ac:dyDescent="0.25">
      <c r="A158" s="2949" t="s">
        <v>3541</v>
      </c>
      <c r="B158" s="5142" t="s">
        <v>574</v>
      </c>
      <c r="C158" s="5900" t="s">
        <v>581</v>
      </c>
      <c r="D158" s="5901"/>
      <c r="E158" s="4494" t="s">
        <v>2777</v>
      </c>
      <c r="F158" s="4318" t="s">
        <v>2778</v>
      </c>
      <c r="G158" s="4515" t="s">
        <v>2779</v>
      </c>
      <c r="H158" s="4360" t="s">
        <v>2780</v>
      </c>
      <c r="I158" s="4319" t="s">
        <v>2781</v>
      </c>
      <c r="J158" s="4275" t="s">
        <v>2782</v>
      </c>
      <c r="K158" s="1057"/>
      <c r="L158" s="1058"/>
      <c r="M158" s="1058"/>
      <c r="N158" s="1058"/>
      <c r="O158" s="1058"/>
      <c r="P158" s="1058"/>
      <c r="Q158" s="1058"/>
      <c r="R158" s="1058"/>
      <c r="S158" s="1058"/>
      <c r="T158" s="1058"/>
      <c r="U158" s="1058"/>
      <c r="V158" s="1058"/>
      <c r="W158" s="987"/>
      <c r="X158" s="987"/>
      <c r="Y158" s="987"/>
      <c r="Z158" s="987"/>
      <c r="AA158" s="987"/>
      <c r="AB158" s="987"/>
      <c r="AC158" s="983"/>
      <c r="AD158" s="983"/>
      <c r="AE158" s="983"/>
      <c r="AF158" s="983"/>
      <c r="AG158" s="983"/>
      <c r="AH158" s="983"/>
      <c r="AI158" s="983"/>
      <c r="AJ158" s="983"/>
      <c r="AK158" s="983"/>
      <c r="AL158" s="983"/>
      <c r="AM158" s="983"/>
      <c r="AN158" s="983"/>
      <c r="AO158" s="983"/>
      <c r="AP158" s="983"/>
      <c r="AQ158" s="983"/>
      <c r="AR158" s="983"/>
      <c r="AS158" s="983"/>
      <c r="AT158" s="983"/>
      <c r="AU158" s="983"/>
      <c r="AV158" s="983"/>
      <c r="AW158" s="983"/>
      <c r="AX158" s="983"/>
      <c r="AY158" s="983"/>
      <c r="AZ158" s="983"/>
      <c r="BA158" s="983"/>
      <c r="BB158" s="983"/>
      <c r="BC158" s="983"/>
      <c r="BD158" s="983"/>
      <c r="BE158" s="983"/>
      <c r="BF158" s="983"/>
      <c r="BG158" s="983"/>
      <c r="BH158" s="983"/>
      <c r="BI158" s="983"/>
      <c r="BJ158" s="983"/>
      <c r="BK158" s="983"/>
      <c r="BL158" s="983"/>
      <c r="BM158" s="983"/>
      <c r="BN158" s="983"/>
      <c r="BO158" s="983"/>
      <c r="BP158" s="983"/>
      <c r="BQ158" s="983"/>
      <c r="BR158" s="983"/>
      <c r="BS158" s="983"/>
      <c r="BT158" s="983"/>
      <c r="BU158" s="983"/>
      <c r="BV158" s="983"/>
      <c r="BW158" s="983"/>
      <c r="BX158" s="983"/>
      <c r="BY158" s="984"/>
      <c r="BZ158" s="984"/>
      <c r="CA158" s="984"/>
      <c r="CB158" s="985"/>
      <c r="CC158" s="985"/>
      <c r="CD158" s="985"/>
      <c r="CE158" s="985"/>
      <c r="CF158" s="985"/>
      <c r="CG158" s="985"/>
      <c r="CH158" s="1023">
        <v>0</v>
      </c>
      <c r="CI158" s="1023"/>
      <c r="CJ158" s="1023"/>
      <c r="CK158" s="1023"/>
      <c r="CL158" s="1023"/>
      <c r="CM158" s="1023"/>
      <c r="CN158" s="1023"/>
      <c r="CO158" s="985"/>
      <c r="CP158" s="985"/>
      <c r="CQ158" s="985"/>
      <c r="CR158" s="985"/>
      <c r="CS158" s="985"/>
      <c r="CT158" s="985"/>
      <c r="CU158" s="985"/>
      <c r="CV158" s="985"/>
      <c r="CW158" s="985"/>
      <c r="CX158" s="985"/>
      <c r="CY158" s="985"/>
      <c r="CZ158" s="985"/>
      <c r="DA158" s="985"/>
    </row>
    <row r="159" spans="1:105" ht="16.350000000000001" customHeight="1" x14ac:dyDescent="0.25">
      <c r="A159" s="2949" t="s">
        <v>3542</v>
      </c>
      <c r="B159" s="5113"/>
      <c r="C159" s="5313" t="s">
        <v>579</v>
      </c>
      <c r="D159" s="5303"/>
      <c r="E159" s="140" t="s">
        <v>2777</v>
      </c>
      <c r="F159" s="141" t="s">
        <v>2778</v>
      </c>
      <c r="G159" s="318" t="s">
        <v>2779</v>
      </c>
      <c r="H159" s="180" t="s">
        <v>2780</v>
      </c>
      <c r="I159" s="142" t="s">
        <v>2781</v>
      </c>
      <c r="J159" s="198" t="s">
        <v>2782</v>
      </c>
      <c r="K159" s="1057"/>
      <c r="L159" s="1058"/>
      <c r="M159" s="1058"/>
      <c r="N159" s="1058"/>
      <c r="O159" s="1058"/>
      <c r="P159" s="1058"/>
      <c r="Q159" s="1058"/>
      <c r="R159" s="1058"/>
      <c r="S159" s="1058"/>
      <c r="T159" s="1058"/>
      <c r="U159" s="1058"/>
      <c r="V159" s="1058"/>
      <c r="W159" s="987"/>
      <c r="X159" s="987"/>
      <c r="Y159" s="987"/>
      <c r="Z159" s="987"/>
      <c r="AA159" s="987"/>
      <c r="AB159" s="987"/>
      <c r="AC159" s="983"/>
      <c r="AD159" s="983"/>
      <c r="AE159" s="983"/>
      <c r="AF159" s="983"/>
      <c r="AG159" s="983"/>
      <c r="AH159" s="983"/>
      <c r="AI159" s="983"/>
      <c r="AJ159" s="983"/>
      <c r="AK159" s="983"/>
      <c r="AL159" s="983"/>
      <c r="AM159" s="983"/>
      <c r="AN159" s="983"/>
      <c r="AO159" s="983"/>
      <c r="AP159" s="983"/>
      <c r="AQ159" s="983"/>
      <c r="AR159" s="983"/>
      <c r="AS159" s="983"/>
      <c r="AT159" s="983"/>
      <c r="AU159" s="983"/>
      <c r="AV159" s="983"/>
      <c r="AW159" s="983"/>
      <c r="AX159" s="983"/>
      <c r="AY159" s="983"/>
      <c r="AZ159" s="983"/>
      <c r="BA159" s="983"/>
      <c r="BB159" s="983"/>
      <c r="BC159" s="983"/>
      <c r="BD159" s="983"/>
      <c r="BE159" s="983"/>
      <c r="BF159" s="983"/>
      <c r="BG159" s="983"/>
      <c r="BH159" s="983"/>
      <c r="BI159" s="983"/>
      <c r="BJ159" s="983"/>
      <c r="BK159" s="983"/>
      <c r="BL159" s="983"/>
      <c r="BM159" s="983"/>
      <c r="BN159" s="983"/>
      <c r="BO159" s="983"/>
      <c r="BP159" s="983"/>
      <c r="BQ159" s="983"/>
      <c r="BR159" s="983"/>
      <c r="BS159" s="983"/>
      <c r="BT159" s="983"/>
      <c r="BU159" s="983"/>
      <c r="BV159" s="983"/>
      <c r="BW159" s="983"/>
      <c r="BX159" s="983"/>
      <c r="BY159" s="984"/>
      <c r="BZ159" s="984"/>
      <c r="CA159" s="984"/>
      <c r="CB159" s="985"/>
      <c r="CC159" s="985"/>
      <c r="CD159" s="985"/>
      <c r="CE159" s="985"/>
      <c r="CF159" s="985"/>
      <c r="CG159" s="985"/>
      <c r="CH159" s="1023">
        <v>0</v>
      </c>
      <c r="CI159" s="1023"/>
      <c r="CJ159" s="1023"/>
      <c r="CK159" s="1023"/>
      <c r="CL159" s="1023"/>
      <c r="CM159" s="1023"/>
      <c r="CN159" s="1023"/>
      <c r="CO159" s="985"/>
      <c r="CP159" s="985"/>
      <c r="CQ159" s="985"/>
      <c r="CR159" s="985"/>
      <c r="CS159" s="985"/>
      <c r="CT159" s="985"/>
      <c r="CU159" s="985"/>
      <c r="CV159" s="985"/>
      <c r="CW159" s="985"/>
      <c r="CX159" s="985"/>
      <c r="CY159" s="985"/>
      <c r="CZ159" s="985"/>
      <c r="DA159" s="985"/>
    </row>
    <row r="160" spans="1:105" ht="16.350000000000001" customHeight="1" x14ac:dyDescent="0.25">
      <c r="A160" s="2949" t="s">
        <v>3543</v>
      </c>
      <c r="B160" s="5861"/>
      <c r="C160" s="5279" t="s">
        <v>580</v>
      </c>
      <c r="D160" s="5280"/>
      <c r="E160" s="100" t="s">
        <v>2777</v>
      </c>
      <c r="F160" s="166" t="s">
        <v>2778</v>
      </c>
      <c r="G160" s="319" t="s">
        <v>2779</v>
      </c>
      <c r="H160" s="126" t="s">
        <v>2780</v>
      </c>
      <c r="I160" s="102" t="s">
        <v>2781</v>
      </c>
      <c r="J160" s="168" t="s">
        <v>2782</v>
      </c>
      <c r="K160" s="1057"/>
      <c r="L160" s="1058"/>
      <c r="M160" s="1058"/>
      <c r="N160" s="1058"/>
      <c r="O160" s="1058"/>
      <c r="P160" s="1058"/>
      <c r="Q160" s="1058"/>
      <c r="R160" s="1058"/>
      <c r="S160" s="1058"/>
      <c r="T160" s="1058"/>
      <c r="U160" s="1058"/>
      <c r="V160" s="1058"/>
      <c r="W160" s="987"/>
      <c r="X160" s="987"/>
      <c r="Y160" s="987"/>
      <c r="Z160" s="987"/>
      <c r="AA160" s="987"/>
      <c r="AB160" s="987"/>
      <c r="AC160" s="983"/>
      <c r="AD160" s="983"/>
      <c r="AE160" s="983"/>
      <c r="AF160" s="983"/>
      <c r="AG160" s="983"/>
      <c r="AH160" s="983"/>
      <c r="AI160" s="983"/>
      <c r="AJ160" s="983"/>
      <c r="AK160" s="983"/>
      <c r="AL160" s="983"/>
      <c r="AM160" s="983"/>
      <c r="AN160" s="983"/>
      <c r="AO160" s="983"/>
      <c r="AP160" s="983"/>
      <c r="AQ160" s="983"/>
      <c r="AR160" s="983"/>
      <c r="AS160" s="983"/>
      <c r="AT160" s="983"/>
      <c r="AU160" s="983"/>
      <c r="AV160" s="983"/>
      <c r="AW160" s="983"/>
      <c r="AX160" s="983"/>
      <c r="AY160" s="983"/>
      <c r="AZ160" s="983"/>
      <c r="BA160" s="983"/>
      <c r="BB160" s="983"/>
      <c r="BC160" s="983"/>
      <c r="BD160" s="983"/>
      <c r="BE160" s="983"/>
      <c r="BF160" s="983"/>
      <c r="BG160" s="983"/>
      <c r="BH160" s="983"/>
      <c r="BI160" s="983"/>
      <c r="BJ160" s="983"/>
      <c r="BK160" s="983"/>
      <c r="BL160" s="983"/>
      <c r="BM160" s="983"/>
      <c r="BN160" s="983"/>
      <c r="BO160" s="983"/>
      <c r="BP160" s="983"/>
      <c r="BQ160" s="983"/>
      <c r="BR160" s="983"/>
      <c r="BS160" s="983"/>
      <c r="BT160" s="983"/>
      <c r="BU160" s="983"/>
      <c r="BV160" s="983"/>
      <c r="BW160" s="983"/>
      <c r="BX160" s="983"/>
      <c r="BY160" s="984"/>
      <c r="BZ160" s="984"/>
      <c r="CA160" s="984"/>
      <c r="CB160" s="985"/>
      <c r="CC160" s="985"/>
      <c r="CD160" s="985"/>
      <c r="CE160" s="985"/>
      <c r="CF160" s="985"/>
      <c r="CG160" s="985"/>
      <c r="CH160" s="1023">
        <v>0</v>
      </c>
      <c r="CI160" s="1023"/>
      <c r="CJ160" s="1023"/>
      <c r="CK160" s="1023"/>
      <c r="CL160" s="1023"/>
      <c r="CM160" s="1023"/>
      <c r="CN160" s="1023"/>
      <c r="CO160" s="985"/>
      <c r="CP160" s="985"/>
      <c r="CQ160" s="985"/>
      <c r="CR160" s="985"/>
      <c r="CS160" s="985"/>
      <c r="CT160" s="985"/>
      <c r="CU160" s="985"/>
      <c r="CV160" s="985"/>
      <c r="CW160" s="985"/>
      <c r="CX160" s="985"/>
      <c r="CY160" s="985"/>
      <c r="CZ160" s="985"/>
      <c r="DA160" s="985"/>
    </row>
    <row r="161" spans="1:92" ht="32.1" customHeight="1" x14ac:dyDescent="0.25">
      <c r="A161" s="983"/>
      <c r="B161" s="2261" t="s">
        <v>2652</v>
      </c>
      <c r="C161" s="2261"/>
      <c r="D161" s="2261"/>
      <c r="E161" s="2261"/>
      <c r="F161" s="190"/>
      <c r="G161" s="80"/>
      <c r="H161" s="190"/>
      <c r="I161" s="190"/>
      <c r="J161" s="190"/>
      <c r="K161" s="881"/>
      <c r="L161" s="881"/>
      <c r="M161" s="881"/>
      <c r="N161" s="881"/>
      <c r="O161" s="881"/>
      <c r="P161" s="94"/>
      <c r="Q161" s="881"/>
      <c r="R161" s="881"/>
      <c r="S161" s="881"/>
      <c r="T161" s="881"/>
      <c r="U161" s="881"/>
      <c r="V161" s="881"/>
      <c r="W161" s="881"/>
      <c r="X161" s="881"/>
      <c r="Y161" s="987"/>
      <c r="Z161" s="987"/>
      <c r="AA161" s="987"/>
      <c r="AB161" s="987"/>
      <c r="AC161" s="983"/>
      <c r="AD161" s="983"/>
      <c r="AE161" s="983"/>
      <c r="AF161" s="983"/>
      <c r="AG161" s="983"/>
      <c r="AH161" s="983"/>
      <c r="AI161" s="983"/>
      <c r="AJ161" s="983"/>
      <c r="AK161" s="983"/>
      <c r="AL161" s="983"/>
      <c r="AM161" s="983"/>
      <c r="AN161" s="983"/>
      <c r="AO161" s="983"/>
      <c r="AP161" s="983"/>
      <c r="AQ161" s="983"/>
      <c r="AR161" s="983"/>
      <c r="AS161" s="983"/>
      <c r="AT161" s="983"/>
      <c r="AU161" s="983"/>
      <c r="AV161" s="983"/>
      <c r="AW161" s="983"/>
      <c r="AX161" s="983"/>
      <c r="AY161" s="983"/>
      <c r="AZ161" s="983"/>
      <c r="BA161" s="983"/>
      <c r="BB161" s="983"/>
      <c r="BC161" s="983"/>
      <c r="BD161" s="983"/>
      <c r="BE161" s="983"/>
      <c r="BF161" s="983"/>
      <c r="BG161" s="983"/>
      <c r="BH161" s="983"/>
      <c r="BI161" s="983"/>
      <c r="BJ161" s="983"/>
      <c r="BK161" s="983"/>
      <c r="BL161" s="983"/>
      <c r="BM161" s="983"/>
      <c r="BN161" s="983"/>
      <c r="BO161" s="983"/>
      <c r="BP161" s="983"/>
      <c r="BQ161" s="983"/>
      <c r="BR161" s="983"/>
      <c r="BS161" s="983"/>
      <c r="BT161" s="983"/>
      <c r="BU161" s="983"/>
      <c r="BV161" s="983"/>
      <c r="BW161" s="983"/>
      <c r="BX161" s="983"/>
      <c r="BY161" s="983"/>
      <c r="BZ161" s="983"/>
      <c r="CA161" s="983"/>
      <c r="CB161" s="985"/>
      <c r="CC161" s="985"/>
      <c r="CD161" s="985"/>
      <c r="CE161" s="985"/>
      <c r="CF161" s="985"/>
      <c r="CG161" s="985"/>
      <c r="CH161" s="1023"/>
      <c r="CI161" s="1023"/>
      <c r="CJ161" s="1023"/>
      <c r="CK161" s="1023"/>
      <c r="CL161" s="1023"/>
      <c r="CM161" s="1023"/>
      <c r="CN161" s="1023"/>
    </row>
    <row r="162" spans="1:92" ht="16.350000000000001" customHeight="1" x14ac:dyDescent="0.25">
      <c r="A162" s="983"/>
      <c r="B162" s="5907" t="s">
        <v>2653</v>
      </c>
      <c r="C162" s="5907"/>
      <c r="D162" s="5908" t="s">
        <v>99</v>
      </c>
      <c r="E162" s="5909"/>
      <c r="F162" s="5910"/>
      <c r="G162" s="5888" t="s">
        <v>406</v>
      </c>
      <c r="H162" s="5914"/>
      <c r="I162" s="5914"/>
      <c r="J162" s="5914"/>
      <c r="K162" s="5914"/>
      <c r="L162" s="5914"/>
      <c r="M162" s="5914"/>
      <c r="N162" s="5914"/>
      <c r="O162" s="5914"/>
      <c r="P162" s="5914"/>
      <c r="Q162" s="5914"/>
      <c r="R162" s="5914"/>
      <c r="S162" s="5914"/>
      <c r="T162" s="5914"/>
      <c r="U162" s="5914"/>
      <c r="V162" s="5914"/>
      <c r="W162" s="5914"/>
      <c r="X162" s="5914"/>
      <c r="Y162" s="5914"/>
      <c r="Z162" s="5914"/>
      <c r="AA162" s="5914"/>
      <c r="AB162" s="5914"/>
      <c r="AC162" s="5914"/>
      <c r="AD162" s="5914"/>
      <c r="AE162" s="5914"/>
      <c r="AF162" s="5914"/>
      <c r="AG162" s="5914"/>
      <c r="AH162" s="5914"/>
      <c r="AI162" s="5914"/>
      <c r="AJ162" s="5914"/>
      <c r="AK162" s="5914"/>
      <c r="AL162" s="5914"/>
      <c r="AM162" s="5914"/>
      <c r="AN162" s="5915"/>
      <c r="AO162" s="983"/>
      <c r="AP162" s="983"/>
      <c r="AQ162" s="983"/>
      <c r="AR162" s="983"/>
      <c r="AS162" s="983"/>
      <c r="AT162" s="983"/>
      <c r="AU162" s="983"/>
      <c r="AV162" s="983"/>
      <c r="AW162" s="983"/>
      <c r="AX162" s="983"/>
      <c r="AY162" s="983"/>
      <c r="AZ162" s="983"/>
      <c r="BA162" s="983"/>
      <c r="BB162" s="983"/>
      <c r="BC162" s="983"/>
      <c r="BD162" s="983"/>
      <c r="BE162" s="983"/>
      <c r="BF162" s="983"/>
      <c r="BG162" s="983"/>
      <c r="BH162" s="983"/>
      <c r="BI162" s="983"/>
      <c r="BJ162" s="983"/>
      <c r="BK162" s="983"/>
      <c r="BL162" s="983"/>
      <c r="BM162" s="983"/>
      <c r="BN162" s="983"/>
      <c r="BO162" s="983"/>
      <c r="BP162" s="983"/>
      <c r="BQ162" s="983"/>
      <c r="BR162" s="983"/>
      <c r="BS162" s="983"/>
      <c r="BT162" s="983"/>
      <c r="BU162" s="983"/>
      <c r="BV162" s="983"/>
      <c r="BW162" s="983"/>
      <c r="BX162" s="983"/>
      <c r="BY162" s="984"/>
      <c r="BZ162" s="984"/>
      <c r="CA162" s="984"/>
      <c r="CB162" s="985"/>
      <c r="CC162" s="985"/>
      <c r="CD162" s="985"/>
      <c r="CE162" s="985"/>
      <c r="CF162" s="985"/>
      <c r="CG162" s="985"/>
      <c r="CH162" s="1023"/>
      <c r="CI162" s="1023"/>
      <c r="CJ162" s="1023"/>
      <c r="CK162" s="1023"/>
      <c r="CL162" s="1023"/>
      <c r="CM162" s="1023"/>
      <c r="CN162" s="1023"/>
    </row>
    <row r="163" spans="1:92" ht="16.350000000000001" customHeight="1" x14ac:dyDescent="0.25">
      <c r="A163" s="983"/>
      <c r="B163" s="5907"/>
      <c r="C163" s="5907"/>
      <c r="D163" s="5911"/>
      <c r="E163" s="5912"/>
      <c r="F163" s="5913"/>
      <c r="G163" s="5916" t="s">
        <v>350</v>
      </c>
      <c r="H163" s="5916"/>
      <c r="I163" s="5916" t="s">
        <v>351</v>
      </c>
      <c r="J163" s="5916"/>
      <c r="K163" s="5916" t="s">
        <v>352</v>
      </c>
      <c r="L163" s="5916"/>
      <c r="M163" s="5264" t="s">
        <v>319</v>
      </c>
      <c r="N163" s="5263"/>
      <c r="O163" s="5916" t="s">
        <v>10</v>
      </c>
      <c r="P163" s="5916"/>
      <c r="Q163" s="5262" t="s">
        <v>11</v>
      </c>
      <c r="R163" s="5261"/>
      <c r="S163" s="5902" t="s">
        <v>12</v>
      </c>
      <c r="T163" s="5902"/>
      <c r="U163" s="5262" t="s">
        <v>13</v>
      </c>
      <c r="V163" s="5261"/>
      <c r="W163" s="5902" t="s">
        <v>14</v>
      </c>
      <c r="X163" s="5902"/>
      <c r="Y163" s="5262" t="s">
        <v>15</v>
      </c>
      <c r="Z163" s="5261"/>
      <c r="AA163" s="5261" t="s">
        <v>16</v>
      </c>
      <c r="AB163" s="5262"/>
      <c r="AC163" s="5902" t="s">
        <v>17</v>
      </c>
      <c r="AD163" s="5902"/>
      <c r="AE163" s="5902" t="s">
        <v>18</v>
      </c>
      <c r="AF163" s="5902"/>
      <c r="AG163" s="5902" t="s">
        <v>19</v>
      </c>
      <c r="AH163" s="5902"/>
      <c r="AI163" s="5902" t="s">
        <v>20</v>
      </c>
      <c r="AJ163" s="5902"/>
      <c r="AK163" s="5902" t="s">
        <v>21</v>
      </c>
      <c r="AL163" s="5902"/>
      <c r="AM163" s="5902" t="s">
        <v>22</v>
      </c>
      <c r="AN163" s="5902"/>
      <c r="AO163" s="983"/>
      <c r="AP163" s="983"/>
      <c r="AQ163" s="983"/>
      <c r="AR163" s="983"/>
      <c r="AS163" s="983"/>
      <c r="AT163" s="983"/>
      <c r="AU163" s="983"/>
      <c r="AV163" s="983"/>
      <c r="AW163" s="983"/>
      <c r="AX163" s="983"/>
      <c r="AY163" s="983"/>
      <c r="AZ163" s="983"/>
      <c r="BA163" s="983"/>
      <c r="BB163" s="983"/>
      <c r="BC163" s="983"/>
      <c r="BD163" s="983"/>
      <c r="BE163" s="983"/>
      <c r="BF163" s="983"/>
      <c r="BG163" s="983"/>
      <c r="BH163" s="983"/>
      <c r="BI163" s="983"/>
      <c r="BJ163" s="983"/>
      <c r="BK163" s="983"/>
      <c r="BL163" s="983"/>
      <c r="BM163" s="983"/>
      <c r="BN163" s="983"/>
      <c r="BO163" s="983"/>
      <c r="BP163" s="983"/>
      <c r="BQ163" s="983"/>
      <c r="BR163" s="983"/>
      <c r="BS163" s="983"/>
      <c r="BT163" s="983"/>
      <c r="BU163" s="983"/>
      <c r="BV163" s="983"/>
      <c r="BW163" s="983"/>
      <c r="BX163" s="983"/>
      <c r="BY163" s="984"/>
      <c r="BZ163" s="984"/>
      <c r="CA163" s="984"/>
      <c r="CB163" s="985"/>
      <c r="CC163" s="985"/>
      <c r="CD163" s="985"/>
      <c r="CE163" s="985"/>
      <c r="CF163" s="985"/>
      <c r="CG163" s="985"/>
      <c r="CH163" s="1023"/>
      <c r="CI163" s="1023"/>
      <c r="CJ163" s="1023"/>
      <c r="CK163" s="1023"/>
      <c r="CL163" s="1023"/>
      <c r="CM163" s="1023"/>
      <c r="CN163" s="1023"/>
    </row>
    <row r="164" spans="1:92" ht="16.350000000000001" customHeight="1" x14ac:dyDescent="0.25">
      <c r="A164" s="983"/>
      <c r="B164" s="5907"/>
      <c r="C164" s="5907"/>
      <c r="D164" s="4516" t="s">
        <v>184</v>
      </c>
      <c r="E164" s="4517" t="s">
        <v>24</v>
      </c>
      <c r="F164" s="4518" t="s">
        <v>25</v>
      </c>
      <c r="G164" s="4336" t="s">
        <v>413</v>
      </c>
      <c r="H164" s="4266" t="s">
        <v>25</v>
      </c>
      <c r="I164" s="4336" t="s">
        <v>413</v>
      </c>
      <c r="J164" s="4266" t="s">
        <v>25</v>
      </c>
      <c r="K164" s="4336" t="s">
        <v>413</v>
      </c>
      <c r="L164" s="4266" t="s">
        <v>25</v>
      </c>
      <c r="M164" s="4336" t="s">
        <v>413</v>
      </c>
      <c r="N164" s="4249" t="s">
        <v>25</v>
      </c>
      <c r="O164" s="4336" t="s">
        <v>413</v>
      </c>
      <c r="P164" s="4266" t="s">
        <v>25</v>
      </c>
      <c r="Q164" s="4336" t="s">
        <v>413</v>
      </c>
      <c r="R164" s="4249" t="s">
        <v>25</v>
      </c>
      <c r="S164" s="4336" t="s">
        <v>413</v>
      </c>
      <c r="T164" s="4266" t="s">
        <v>25</v>
      </c>
      <c r="U164" s="4336" t="s">
        <v>413</v>
      </c>
      <c r="V164" s="4249" t="s">
        <v>25</v>
      </c>
      <c r="W164" s="4336" t="s">
        <v>413</v>
      </c>
      <c r="X164" s="4266" t="s">
        <v>25</v>
      </c>
      <c r="Y164" s="4336" t="s">
        <v>413</v>
      </c>
      <c r="Z164" s="4249" t="s">
        <v>25</v>
      </c>
      <c r="AA164" s="4336" t="s">
        <v>413</v>
      </c>
      <c r="AB164" s="4266" t="s">
        <v>25</v>
      </c>
      <c r="AC164" s="4336" t="s">
        <v>413</v>
      </c>
      <c r="AD164" s="4266" t="s">
        <v>25</v>
      </c>
      <c r="AE164" s="4336" t="s">
        <v>413</v>
      </c>
      <c r="AF164" s="4266" t="s">
        <v>25</v>
      </c>
      <c r="AG164" s="4336" t="s">
        <v>413</v>
      </c>
      <c r="AH164" s="4266" t="s">
        <v>25</v>
      </c>
      <c r="AI164" s="4336" t="s">
        <v>413</v>
      </c>
      <c r="AJ164" s="4266" t="s">
        <v>25</v>
      </c>
      <c r="AK164" s="4336" t="s">
        <v>413</v>
      </c>
      <c r="AL164" s="4266" t="s">
        <v>25</v>
      </c>
      <c r="AM164" s="4336" t="s">
        <v>413</v>
      </c>
      <c r="AN164" s="4266" t="s">
        <v>25</v>
      </c>
      <c r="AO164" s="983"/>
      <c r="AP164" s="983"/>
      <c r="AQ164" s="983"/>
      <c r="AR164" s="983"/>
      <c r="AS164" s="983"/>
      <c r="AT164" s="983"/>
      <c r="AU164" s="983"/>
      <c r="AV164" s="983"/>
      <c r="AW164" s="983"/>
      <c r="AX164" s="983"/>
      <c r="AY164" s="983"/>
      <c r="AZ164" s="983"/>
      <c r="BA164" s="983"/>
      <c r="BB164" s="983"/>
      <c r="BC164" s="983"/>
      <c r="BD164" s="983"/>
      <c r="BE164" s="983"/>
      <c r="BF164" s="983"/>
      <c r="BG164" s="983"/>
      <c r="BH164" s="983"/>
      <c r="BI164" s="983"/>
      <c r="BJ164" s="983"/>
      <c r="BK164" s="983"/>
      <c r="BL164" s="983"/>
      <c r="BM164" s="983"/>
      <c r="BN164" s="983"/>
      <c r="BO164" s="983"/>
      <c r="BP164" s="983"/>
      <c r="BQ164" s="983"/>
      <c r="BR164" s="983"/>
      <c r="BS164" s="983"/>
      <c r="BT164" s="983"/>
      <c r="BU164" s="983"/>
      <c r="BV164" s="983"/>
      <c r="BW164" s="983"/>
      <c r="BX164" s="983"/>
      <c r="BY164" s="984"/>
      <c r="BZ164" s="984"/>
      <c r="CA164" s="984"/>
      <c r="CB164" s="985"/>
      <c r="CC164" s="985"/>
      <c r="CD164" s="985"/>
      <c r="CE164" s="985"/>
      <c r="CF164" s="985"/>
      <c r="CG164" s="985"/>
      <c r="CH164" s="1023"/>
      <c r="CI164" s="1023"/>
      <c r="CJ164" s="1023"/>
      <c r="CK164" s="1023"/>
      <c r="CL164" s="1023"/>
      <c r="CM164" s="1023"/>
      <c r="CN164" s="1023"/>
    </row>
    <row r="165" spans="1:92" ht="16.350000000000001" customHeight="1" x14ac:dyDescent="0.25">
      <c r="A165" s="2949" t="s">
        <v>3544</v>
      </c>
      <c r="B165" s="5903" t="s">
        <v>1053</v>
      </c>
      <c r="C165" s="5904"/>
      <c r="D165" s="4519" t="s">
        <v>2777</v>
      </c>
      <c r="E165" s="4520" t="s">
        <v>2778</v>
      </c>
      <c r="F165" s="4521" t="s">
        <v>2779</v>
      </c>
      <c r="G165" s="4522" t="s">
        <v>2780</v>
      </c>
      <c r="H165" s="4523" t="s">
        <v>2781</v>
      </c>
      <c r="I165" s="4524" t="s">
        <v>2782</v>
      </c>
      <c r="J165" s="4525" t="s">
        <v>2783</v>
      </c>
      <c r="K165" s="4522" t="s">
        <v>2784</v>
      </c>
      <c r="L165" s="4523" t="s">
        <v>2785</v>
      </c>
      <c r="M165" s="4524" t="s">
        <v>2786</v>
      </c>
      <c r="N165" s="4525" t="s">
        <v>2787</v>
      </c>
      <c r="O165" s="4524" t="s">
        <v>2788</v>
      </c>
      <c r="P165" s="4525" t="s">
        <v>2789</v>
      </c>
      <c r="Q165" s="4526" t="s">
        <v>2790</v>
      </c>
      <c r="R165" s="4527" t="s">
        <v>2791</v>
      </c>
      <c r="S165" s="4528" t="s">
        <v>2792</v>
      </c>
      <c r="T165" s="4529" t="s">
        <v>2793</v>
      </c>
      <c r="U165" s="4526" t="s">
        <v>2794</v>
      </c>
      <c r="V165" s="4527" t="s">
        <v>2795</v>
      </c>
      <c r="W165" s="4528" t="s">
        <v>2796</v>
      </c>
      <c r="X165" s="4529" t="s">
        <v>2797</v>
      </c>
      <c r="Y165" s="4526" t="s">
        <v>2798</v>
      </c>
      <c r="Z165" s="4527" t="s">
        <v>2799</v>
      </c>
      <c r="AA165" s="4528" t="s">
        <v>2800</v>
      </c>
      <c r="AB165" s="4529" t="s">
        <v>2801</v>
      </c>
      <c r="AC165" s="4528" t="s">
        <v>2817</v>
      </c>
      <c r="AD165" s="4529" t="s">
        <v>2818</v>
      </c>
      <c r="AE165" s="4528" t="s">
        <v>2819</v>
      </c>
      <c r="AF165" s="4529" t="s">
        <v>2821</v>
      </c>
      <c r="AG165" s="4528" t="s">
        <v>2822</v>
      </c>
      <c r="AH165" s="4529" t="s">
        <v>2823</v>
      </c>
      <c r="AI165" s="4528" t="s">
        <v>2824</v>
      </c>
      <c r="AJ165" s="4529" t="s">
        <v>2825</v>
      </c>
      <c r="AK165" s="4528" t="s">
        <v>2826</v>
      </c>
      <c r="AL165" s="4529" t="s">
        <v>2827</v>
      </c>
      <c r="AM165" s="4528" t="s">
        <v>2831</v>
      </c>
      <c r="AN165" s="4529" t="s">
        <v>2832</v>
      </c>
      <c r="AO165" s="209"/>
      <c r="AP165" s="983"/>
      <c r="AQ165" s="983"/>
      <c r="AR165" s="983"/>
      <c r="AS165" s="983"/>
      <c r="AT165" s="983"/>
      <c r="AU165" s="983"/>
      <c r="AV165" s="983"/>
      <c r="AW165" s="983"/>
      <c r="AX165" s="983"/>
      <c r="AY165" s="983"/>
      <c r="AZ165" s="983"/>
      <c r="BA165" s="983"/>
      <c r="BB165" s="983"/>
      <c r="BC165" s="983"/>
      <c r="BD165" s="983"/>
      <c r="BE165" s="983"/>
      <c r="BF165" s="983"/>
      <c r="BG165" s="983"/>
      <c r="BH165" s="983"/>
      <c r="BI165" s="983"/>
      <c r="BJ165" s="983"/>
      <c r="BK165" s="983"/>
      <c r="BL165" s="983"/>
      <c r="BM165" s="983"/>
      <c r="BN165" s="983"/>
      <c r="BO165" s="983"/>
      <c r="BP165" s="983"/>
      <c r="BQ165" s="983"/>
      <c r="BR165" s="983"/>
      <c r="BS165" s="983"/>
      <c r="BT165" s="983"/>
      <c r="BU165" s="983"/>
      <c r="BV165" s="983"/>
      <c r="BW165" s="983"/>
      <c r="BX165" s="983"/>
      <c r="BY165" s="984"/>
      <c r="BZ165" s="984"/>
      <c r="CA165" s="984"/>
      <c r="CB165" s="985"/>
      <c r="CC165" s="985"/>
      <c r="CD165" s="985"/>
      <c r="CE165" s="985"/>
      <c r="CF165" s="985"/>
      <c r="CG165" s="985"/>
      <c r="CH165" s="1023"/>
      <c r="CI165" s="1023"/>
      <c r="CJ165" s="1023"/>
      <c r="CK165" s="1023"/>
      <c r="CL165" s="1023"/>
      <c r="CM165" s="1023"/>
      <c r="CN165" s="1023"/>
    </row>
    <row r="166" spans="1:92" ht="16.350000000000001" customHeight="1" x14ac:dyDescent="0.25">
      <c r="A166" s="2949" t="s">
        <v>3545</v>
      </c>
      <c r="B166" s="5905" t="s">
        <v>831</v>
      </c>
      <c r="C166" s="5906"/>
      <c r="D166" s="2412" t="s">
        <v>2777</v>
      </c>
      <c r="E166" s="723" t="s">
        <v>2778</v>
      </c>
      <c r="F166" s="284" t="s">
        <v>2779</v>
      </c>
      <c r="G166" s="4530" t="s">
        <v>2780</v>
      </c>
      <c r="H166" s="4531" t="s">
        <v>2781</v>
      </c>
      <c r="I166" s="4530" t="s">
        <v>2782</v>
      </c>
      <c r="J166" s="4531" t="s">
        <v>2783</v>
      </c>
      <c r="K166" s="4530" t="s">
        <v>2784</v>
      </c>
      <c r="L166" s="4531" t="s">
        <v>2785</v>
      </c>
      <c r="M166" s="4532" t="s">
        <v>2786</v>
      </c>
      <c r="N166" s="4533" t="s">
        <v>2787</v>
      </c>
      <c r="O166" s="4530" t="s">
        <v>2788</v>
      </c>
      <c r="P166" s="4531" t="s">
        <v>2789</v>
      </c>
      <c r="Q166" s="4532" t="s">
        <v>2790</v>
      </c>
      <c r="R166" s="4533" t="s">
        <v>2791</v>
      </c>
      <c r="S166" s="4530" t="s">
        <v>2792</v>
      </c>
      <c r="T166" s="4531" t="s">
        <v>2793</v>
      </c>
      <c r="U166" s="4532" t="s">
        <v>2794</v>
      </c>
      <c r="V166" s="4533" t="s">
        <v>2795</v>
      </c>
      <c r="W166" s="4530" t="s">
        <v>2796</v>
      </c>
      <c r="X166" s="4531" t="s">
        <v>2797</v>
      </c>
      <c r="Y166" s="4532" t="s">
        <v>2798</v>
      </c>
      <c r="Z166" s="4533" t="s">
        <v>2799</v>
      </c>
      <c r="AA166" s="4530" t="s">
        <v>2800</v>
      </c>
      <c r="AB166" s="4531" t="s">
        <v>2801</v>
      </c>
      <c r="AC166" s="4530" t="s">
        <v>2817</v>
      </c>
      <c r="AD166" s="4531" t="s">
        <v>2818</v>
      </c>
      <c r="AE166" s="4530" t="s">
        <v>2819</v>
      </c>
      <c r="AF166" s="4531" t="s">
        <v>2821</v>
      </c>
      <c r="AG166" s="4530" t="s">
        <v>2822</v>
      </c>
      <c r="AH166" s="4531" t="s">
        <v>2823</v>
      </c>
      <c r="AI166" s="4530" t="s">
        <v>2824</v>
      </c>
      <c r="AJ166" s="4531" t="s">
        <v>2825</v>
      </c>
      <c r="AK166" s="4530" t="s">
        <v>2826</v>
      </c>
      <c r="AL166" s="4531" t="s">
        <v>2827</v>
      </c>
      <c r="AM166" s="4530" t="s">
        <v>2831</v>
      </c>
      <c r="AN166" s="4531" t="s">
        <v>2832</v>
      </c>
      <c r="AO166" s="209"/>
      <c r="AP166" s="983"/>
      <c r="AQ166" s="983"/>
      <c r="AR166" s="983"/>
      <c r="AS166" s="983"/>
      <c r="AT166" s="983"/>
      <c r="AU166" s="983"/>
      <c r="AV166" s="983"/>
      <c r="AW166" s="983"/>
      <c r="AX166" s="983"/>
      <c r="AY166" s="983"/>
      <c r="AZ166" s="983"/>
      <c r="BA166" s="983"/>
      <c r="BB166" s="983"/>
      <c r="BC166" s="983"/>
      <c r="BD166" s="983"/>
      <c r="BE166" s="983"/>
      <c r="BF166" s="983"/>
      <c r="BG166" s="983"/>
      <c r="BH166" s="983"/>
      <c r="BI166" s="983"/>
      <c r="BJ166" s="983"/>
      <c r="BK166" s="983"/>
      <c r="BL166" s="983"/>
      <c r="BM166" s="983"/>
      <c r="BN166" s="983"/>
      <c r="BO166" s="983"/>
      <c r="BP166" s="983"/>
      <c r="BQ166" s="983"/>
      <c r="BR166" s="983"/>
      <c r="BS166" s="983"/>
      <c r="BT166" s="983"/>
      <c r="BU166" s="983"/>
      <c r="BV166" s="983"/>
      <c r="BW166" s="983"/>
      <c r="BX166" s="983"/>
      <c r="BY166" s="984"/>
      <c r="BZ166" s="984"/>
      <c r="CA166" s="984"/>
      <c r="CB166" s="985"/>
      <c r="CC166" s="985"/>
      <c r="CD166" s="985"/>
      <c r="CE166" s="985"/>
      <c r="CF166" s="985"/>
      <c r="CG166" s="985"/>
      <c r="CH166" s="1023"/>
      <c r="CI166" s="1023"/>
      <c r="CJ166" s="1023"/>
      <c r="CK166" s="1023"/>
      <c r="CL166" s="1023"/>
      <c r="CM166" s="1023"/>
      <c r="CN166" s="1023"/>
    </row>
    <row r="167" spans="1:92" ht="16.350000000000001" customHeight="1" x14ac:dyDescent="0.25">
      <c r="A167" s="2949" t="s">
        <v>3546</v>
      </c>
      <c r="B167" s="5917" t="s">
        <v>830</v>
      </c>
      <c r="C167" s="5918"/>
      <c r="D167" s="2412" t="s">
        <v>2777</v>
      </c>
      <c r="E167" s="723" t="s">
        <v>2778</v>
      </c>
      <c r="F167" s="284" t="s">
        <v>2779</v>
      </c>
      <c r="G167" s="4530" t="s">
        <v>2780</v>
      </c>
      <c r="H167" s="4531" t="s">
        <v>2781</v>
      </c>
      <c r="I167" s="4530" t="s">
        <v>2782</v>
      </c>
      <c r="J167" s="4531" t="s">
        <v>2783</v>
      </c>
      <c r="K167" s="4530" t="s">
        <v>2784</v>
      </c>
      <c r="L167" s="4531" t="s">
        <v>2785</v>
      </c>
      <c r="M167" s="4532" t="s">
        <v>2786</v>
      </c>
      <c r="N167" s="4533" t="s">
        <v>2787</v>
      </c>
      <c r="O167" s="4530" t="s">
        <v>2788</v>
      </c>
      <c r="P167" s="4531" t="s">
        <v>2789</v>
      </c>
      <c r="Q167" s="4532" t="s">
        <v>2790</v>
      </c>
      <c r="R167" s="4533" t="s">
        <v>2791</v>
      </c>
      <c r="S167" s="4530" t="s">
        <v>2792</v>
      </c>
      <c r="T167" s="4531" t="s">
        <v>2793</v>
      </c>
      <c r="U167" s="4532" t="s">
        <v>2794</v>
      </c>
      <c r="V167" s="4533" t="s">
        <v>2795</v>
      </c>
      <c r="W167" s="4530" t="s">
        <v>2796</v>
      </c>
      <c r="X167" s="4531" t="s">
        <v>2797</v>
      </c>
      <c r="Y167" s="4532" t="s">
        <v>2798</v>
      </c>
      <c r="Z167" s="4533" t="s">
        <v>2799</v>
      </c>
      <c r="AA167" s="4530" t="s">
        <v>2800</v>
      </c>
      <c r="AB167" s="4531" t="s">
        <v>2801</v>
      </c>
      <c r="AC167" s="4530" t="s">
        <v>2817</v>
      </c>
      <c r="AD167" s="4531" t="s">
        <v>2818</v>
      </c>
      <c r="AE167" s="4530" t="s">
        <v>2819</v>
      </c>
      <c r="AF167" s="4531" t="s">
        <v>2821</v>
      </c>
      <c r="AG167" s="4530" t="s">
        <v>2822</v>
      </c>
      <c r="AH167" s="4531" t="s">
        <v>2823</v>
      </c>
      <c r="AI167" s="4530" t="s">
        <v>2824</v>
      </c>
      <c r="AJ167" s="4531" t="s">
        <v>2825</v>
      </c>
      <c r="AK167" s="4530" t="s">
        <v>2826</v>
      </c>
      <c r="AL167" s="4531" t="s">
        <v>2827</v>
      </c>
      <c r="AM167" s="4530" t="s">
        <v>2831</v>
      </c>
      <c r="AN167" s="4531" t="s">
        <v>2832</v>
      </c>
      <c r="AO167" s="209"/>
      <c r="AP167" s="983"/>
      <c r="AQ167" s="983"/>
      <c r="AR167" s="983"/>
      <c r="AS167" s="983"/>
      <c r="AT167" s="983"/>
      <c r="AU167" s="983"/>
      <c r="AV167" s="983"/>
      <c r="AW167" s="983"/>
      <c r="AX167" s="983"/>
      <c r="AY167" s="983"/>
      <c r="AZ167" s="983"/>
      <c r="BA167" s="983"/>
      <c r="BB167" s="983"/>
      <c r="BC167" s="983"/>
      <c r="BD167" s="983"/>
      <c r="BE167" s="983"/>
      <c r="BF167" s="983"/>
      <c r="BG167" s="983"/>
      <c r="BH167" s="983"/>
      <c r="BI167" s="983"/>
      <c r="BJ167" s="983"/>
      <c r="BK167" s="983"/>
      <c r="BL167" s="983"/>
      <c r="BM167" s="983"/>
      <c r="BN167" s="983"/>
      <c r="BO167" s="983"/>
      <c r="BP167" s="983"/>
      <c r="BQ167" s="983"/>
      <c r="BR167" s="983"/>
      <c r="BS167" s="983"/>
      <c r="BT167" s="983"/>
      <c r="BU167" s="983"/>
      <c r="BV167" s="983"/>
      <c r="BW167" s="983"/>
      <c r="BX167" s="983"/>
      <c r="BY167" s="984"/>
      <c r="BZ167" s="984"/>
      <c r="CA167" s="984"/>
      <c r="CB167" s="985"/>
      <c r="CC167" s="985"/>
      <c r="CD167" s="985"/>
      <c r="CE167" s="985"/>
      <c r="CF167" s="985"/>
      <c r="CG167" s="985"/>
      <c r="CH167" s="1023"/>
      <c r="CI167" s="1023"/>
      <c r="CJ167" s="1023"/>
      <c r="CK167" s="1023"/>
      <c r="CL167" s="1023"/>
      <c r="CM167" s="1023"/>
      <c r="CN167" s="1023"/>
    </row>
    <row r="168" spans="1:92" ht="16.350000000000001" customHeight="1" x14ac:dyDescent="0.25">
      <c r="A168" s="2949" t="s">
        <v>3547</v>
      </c>
      <c r="B168" s="5919" t="s">
        <v>318</v>
      </c>
      <c r="C168" s="5920"/>
      <c r="D168" s="532" t="s">
        <v>2777</v>
      </c>
      <c r="E168" s="724" t="s">
        <v>2778</v>
      </c>
      <c r="F168" s="4534" t="s">
        <v>2779</v>
      </c>
      <c r="G168" s="4535" t="s">
        <v>2780</v>
      </c>
      <c r="H168" s="4536" t="s">
        <v>2781</v>
      </c>
      <c r="I168" s="4535" t="s">
        <v>2782</v>
      </c>
      <c r="J168" s="4536" t="s">
        <v>2783</v>
      </c>
      <c r="K168" s="4535" t="s">
        <v>2784</v>
      </c>
      <c r="L168" s="4536" t="s">
        <v>2785</v>
      </c>
      <c r="M168" s="4537" t="s">
        <v>2786</v>
      </c>
      <c r="N168" s="4538" t="s">
        <v>2787</v>
      </c>
      <c r="O168" s="4535" t="s">
        <v>2788</v>
      </c>
      <c r="P168" s="4536" t="s">
        <v>2789</v>
      </c>
      <c r="Q168" s="4537" t="s">
        <v>2790</v>
      </c>
      <c r="R168" s="4538" t="s">
        <v>2791</v>
      </c>
      <c r="S168" s="4535" t="s">
        <v>2792</v>
      </c>
      <c r="T168" s="4536" t="s">
        <v>2793</v>
      </c>
      <c r="U168" s="4537" t="s">
        <v>2794</v>
      </c>
      <c r="V168" s="4538" t="s">
        <v>2795</v>
      </c>
      <c r="W168" s="4535" t="s">
        <v>2796</v>
      </c>
      <c r="X168" s="4536" t="s">
        <v>2797</v>
      </c>
      <c r="Y168" s="4537" t="s">
        <v>2798</v>
      </c>
      <c r="Z168" s="4538" t="s">
        <v>2799</v>
      </c>
      <c r="AA168" s="4535" t="s">
        <v>2800</v>
      </c>
      <c r="AB168" s="4536" t="s">
        <v>2801</v>
      </c>
      <c r="AC168" s="4535" t="s">
        <v>2817</v>
      </c>
      <c r="AD168" s="4536" t="s">
        <v>2818</v>
      </c>
      <c r="AE168" s="4535" t="s">
        <v>2819</v>
      </c>
      <c r="AF168" s="4536" t="s">
        <v>2821</v>
      </c>
      <c r="AG168" s="4535" t="s">
        <v>2822</v>
      </c>
      <c r="AH168" s="4536" t="s">
        <v>2823</v>
      </c>
      <c r="AI168" s="4535" t="s">
        <v>2824</v>
      </c>
      <c r="AJ168" s="4536" t="s">
        <v>2825</v>
      </c>
      <c r="AK168" s="4535" t="s">
        <v>2826</v>
      </c>
      <c r="AL168" s="4536" t="s">
        <v>2827</v>
      </c>
      <c r="AM168" s="4535" t="s">
        <v>2831</v>
      </c>
      <c r="AN168" s="4536" t="s">
        <v>2832</v>
      </c>
      <c r="AO168" s="209"/>
      <c r="AP168" s="983"/>
      <c r="AQ168" s="983"/>
      <c r="AR168" s="983"/>
      <c r="AS168" s="983"/>
      <c r="AT168" s="983"/>
      <c r="AU168" s="983"/>
      <c r="AV168" s="983"/>
      <c r="AW168" s="983"/>
      <c r="AX168" s="983"/>
      <c r="AY168" s="983"/>
      <c r="AZ168" s="983"/>
      <c r="BA168" s="983"/>
      <c r="BB168" s="983"/>
      <c r="BC168" s="983"/>
      <c r="BD168" s="983"/>
      <c r="BE168" s="983"/>
      <c r="BF168" s="983"/>
      <c r="BG168" s="983"/>
      <c r="BH168" s="983"/>
      <c r="BI168" s="983"/>
      <c r="BJ168" s="983"/>
      <c r="BK168" s="983"/>
      <c r="BL168" s="983"/>
      <c r="BM168" s="983"/>
      <c r="BN168" s="983"/>
      <c r="BO168" s="983"/>
      <c r="BP168" s="983"/>
      <c r="BQ168" s="983"/>
      <c r="BR168" s="983"/>
      <c r="BS168" s="983"/>
      <c r="BT168" s="983"/>
      <c r="BU168" s="983"/>
      <c r="BV168" s="983"/>
      <c r="BW168" s="983"/>
      <c r="BX168" s="983"/>
      <c r="BY168" s="984"/>
      <c r="BZ168" s="984"/>
      <c r="CA168" s="984"/>
      <c r="CB168" s="985"/>
      <c r="CC168" s="985"/>
      <c r="CD168" s="985"/>
      <c r="CE168" s="985"/>
      <c r="CF168" s="985"/>
      <c r="CG168" s="985"/>
      <c r="CH168" s="1023"/>
      <c r="CI168" s="1023"/>
      <c r="CJ168" s="1023"/>
      <c r="CK168" s="1023"/>
      <c r="CL168" s="1023"/>
      <c r="CM168" s="1023"/>
      <c r="CN168" s="1023"/>
    </row>
    <row r="169" spans="1:92" ht="32.1" customHeight="1" x14ac:dyDescent="0.25">
      <c r="A169" s="983"/>
      <c r="B169" s="4539" t="s">
        <v>2654</v>
      </c>
      <c r="C169" s="4539"/>
      <c r="D169" s="2261"/>
      <c r="E169" s="2261"/>
      <c r="F169" s="480"/>
      <c r="G169" s="86"/>
      <c r="H169" s="190"/>
      <c r="I169" s="190"/>
      <c r="J169" s="205"/>
      <c r="K169" s="205"/>
      <c r="L169" s="205"/>
      <c r="M169" s="219"/>
      <c r="N169" s="4458"/>
      <c r="O169" s="219"/>
      <c r="P169" s="4540"/>
      <c r="Q169" s="4456"/>
      <c r="R169" s="4456"/>
      <c r="S169" s="4456"/>
      <c r="T169" s="4458"/>
      <c r="U169" s="219"/>
      <c r="V169" s="4456"/>
      <c r="W169" s="4456"/>
      <c r="X169" s="4458"/>
      <c r="Y169" s="4458"/>
      <c r="Z169" s="219"/>
      <c r="AA169" s="4458"/>
      <c r="AB169" s="219"/>
      <c r="AC169" s="4458"/>
      <c r="AD169" s="4456"/>
      <c r="AE169" s="983"/>
      <c r="AF169" s="983"/>
      <c r="AG169" s="983"/>
      <c r="AH169" s="983"/>
      <c r="AI169" s="983"/>
      <c r="AJ169" s="983"/>
      <c r="AK169" s="983"/>
      <c r="AL169" s="983"/>
      <c r="AM169" s="983"/>
      <c r="AN169" s="983"/>
      <c r="AO169" s="983"/>
      <c r="AP169" s="983"/>
      <c r="AQ169" s="983"/>
      <c r="AR169" s="983"/>
      <c r="AS169" s="983"/>
      <c r="AT169" s="983"/>
      <c r="AU169" s="983"/>
      <c r="AV169" s="983"/>
      <c r="AW169" s="983"/>
      <c r="AX169" s="983"/>
      <c r="AY169" s="983"/>
      <c r="AZ169" s="983"/>
      <c r="BA169" s="983"/>
      <c r="BB169" s="983"/>
      <c r="BC169" s="983"/>
      <c r="BD169" s="983"/>
      <c r="BE169" s="983"/>
      <c r="BF169" s="983"/>
      <c r="BG169" s="983"/>
      <c r="BH169" s="983"/>
      <c r="BI169" s="983"/>
      <c r="BJ169" s="983"/>
      <c r="BK169" s="983"/>
      <c r="BL169" s="983"/>
      <c r="BM169" s="983"/>
      <c r="BN169" s="983"/>
      <c r="BO169" s="983"/>
      <c r="BP169" s="983"/>
      <c r="BQ169" s="983"/>
      <c r="BR169" s="983"/>
      <c r="BS169" s="983"/>
      <c r="BT169" s="983"/>
      <c r="BU169" s="983"/>
      <c r="BV169" s="983"/>
      <c r="BW169" s="983"/>
      <c r="BX169" s="983"/>
      <c r="BY169" s="983"/>
      <c r="BZ169" s="983"/>
      <c r="CA169" s="983"/>
      <c r="CB169" s="985"/>
      <c r="CC169" s="985"/>
      <c r="CD169" s="985"/>
      <c r="CE169" s="985"/>
      <c r="CF169" s="985"/>
      <c r="CG169" s="985"/>
      <c r="CH169" s="1023"/>
      <c r="CI169" s="1023"/>
      <c r="CJ169" s="1023"/>
      <c r="CK169" s="1023"/>
      <c r="CL169" s="1023"/>
      <c r="CM169" s="1023"/>
      <c r="CN169" s="1023"/>
    </row>
    <row r="170" spans="1:92" ht="16.350000000000001" customHeight="1" x14ac:dyDescent="0.25">
      <c r="A170" s="983"/>
      <c r="B170" s="5855" t="s">
        <v>120</v>
      </c>
      <c r="C170" s="5877"/>
      <c r="D170" s="5855" t="s">
        <v>42</v>
      </c>
      <c r="E170" s="5879"/>
      <c r="F170" s="5877"/>
      <c r="G170" s="5261" t="s">
        <v>585</v>
      </c>
      <c r="H170" s="5157"/>
      <c r="I170" s="5157"/>
      <c r="J170" s="5157"/>
      <c r="K170" s="5157"/>
      <c r="L170" s="5157"/>
      <c r="M170" s="5157"/>
      <c r="N170" s="5157"/>
      <c r="O170" s="5157"/>
      <c r="P170" s="5157"/>
      <c r="Q170" s="5157"/>
      <c r="R170" s="5157"/>
      <c r="S170" s="5157"/>
      <c r="T170" s="5157"/>
      <c r="U170" s="5157"/>
      <c r="V170" s="5262"/>
      <c r="W170" s="5152" t="s">
        <v>353</v>
      </c>
      <c r="X170" s="5924" t="s">
        <v>1366</v>
      </c>
      <c r="Y170" s="5925" t="s">
        <v>1367</v>
      </c>
      <c r="Z170" s="5925" t="s">
        <v>1368</v>
      </c>
      <c r="AA170" s="5925" t="s">
        <v>1369</v>
      </c>
      <c r="AB170" s="5264" t="s">
        <v>3728</v>
      </c>
      <c r="AC170" s="5923" t="s">
        <v>556</v>
      </c>
      <c r="AD170" s="5923"/>
      <c r="AE170" s="5923"/>
      <c r="AF170" s="5923"/>
      <c r="AG170" s="5888" t="s">
        <v>210</v>
      </c>
      <c r="AH170" s="5915"/>
      <c r="AI170" s="987"/>
      <c r="AJ170" s="987"/>
      <c r="AK170" s="987"/>
      <c r="AL170" s="987"/>
      <c r="AM170" s="987"/>
      <c r="AN170" s="987"/>
      <c r="AO170" s="987"/>
      <c r="AP170" s="987"/>
      <c r="AQ170" s="987"/>
      <c r="AR170" s="987"/>
      <c r="AS170" s="987"/>
      <c r="AT170" s="987"/>
      <c r="AU170" s="987"/>
      <c r="AV170" s="987"/>
      <c r="AW170" s="983"/>
      <c r="AX170" s="983"/>
      <c r="AY170" s="983"/>
      <c r="AZ170" s="983"/>
      <c r="BA170" s="983"/>
      <c r="BB170" s="983"/>
      <c r="BC170" s="983"/>
      <c r="BD170" s="983"/>
      <c r="BE170" s="983"/>
      <c r="BF170" s="983"/>
      <c r="BG170" s="983"/>
      <c r="BH170" s="983"/>
      <c r="BI170" s="983"/>
      <c r="BJ170" s="983"/>
      <c r="BK170" s="983"/>
      <c r="BL170" s="983"/>
      <c r="BM170" s="983"/>
      <c r="BN170" s="983"/>
      <c r="BO170" s="983"/>
      <c r="BP170" s="983"/>
      <c r="BQ170" s="983"/>
      <c r="BR170" s="983"/>
      <c r="BS170" s="983"/>
      <c r="BT170" s="983"/>
      <c r="BU170" s="983"/>
      <c r="BV170" s="983"/>
      <c r="BW170" s="983"/>
      <c r="BX170" s="983"/>
      <c r="BY170" s="984"/>
      <c r="BZ170" s="984"/>
      <c r="CA170" s="984"/>
      <c r="CB170" s="985"/>
      <c r="CC170" s="985"/>
      <c r="CD170" s="985"/>
      <c r="CE170" s="985"/>
      <c r="CF170" s="985"/>
      <c r="CG170" s="985"/>
      <c r="CH170" s="1023"/>
      <c r="CI170" s="1023"/>
      <c r="CJ170" s="1023"/>
      <c r="CK170" s="1023"/>
      <c r="CL170" s="1023"/>
      <c r="CM170" s="1023"/>
      <c r="CN170" s="1023"/>
    </row>
    <row r="171" spans="1:92" ht="16.350000000000001" customHeight="1" x14ac:dyDescent="0.25">
      <c r="A171" s="983"/>
      <c r="B171" s="5547"/>
      <c r="C171" s="5258"/>
      <c r="D171" s="5547"/>
      <c r="E171" s="5274"/>
      <c r="F171" s="5258"/>
      <c r="G171" s="5922" t="s">
        <v>350</v>
      </c>
      <c r="H171" s="5922"/>
      <c r="I171" s="5922" t="s">
        <v>351</v>
      </c>
      <c r="J171" s="5922"/>
      <c r="K171" s="5922" t="s">
        <v>352</v>
      </c>
      <c r="L171" s="5922"/>
      <c r="M171" s="5922" t="s">
        <v>586</v>
      </c>
      <c r="N171" s="5922"/>
      <c r="O171" s="5922" t="s">
        <v>548</v>
      </c>
      <c r="P171" s="5922"/>
      <c r="Q171" s="5923" t="s">
        <v>587</v>
      </c>
      <c r="R171" s="5923"/>
      <c r="S171" s="5923" t="s">
        <v>588</v>
      </c>
      <c r="T171" s="5923"/>
      <c r="U171" s="5878" t="s">
        <v>589</v>
      </c>
      <c r="V171" s="5893"/>
      <c r="W171" s="5143"/>
      <c r="X171" s="5924"/>
      <c r="Y171" s="5925"/>
      <c r="Z171" s="5925"/>
      <c r="AA171" s="5925"/>
      <c r="AB171" s="5264"/>
      <c r="AC171" s="5922" t="s">
        <v>557</v>
      </c>
      <c r="AD171" s="5922" t="s">
        <v>558</v>
      </c>
      <c r="AE171" s="5922" t="s">
        <v>559</v>
      </c>
      <c r="AF171" s="5922" t="s">
        <v>823</v>
      </c>
      <c r="AG171" s="5921" t="s">
        <v>502</v>
      </c>
      <c r="AH171" s="5921" t="s">
        <v>307</v>
      </c>
      <c r="AI171" s="1070"/>
      <c r="AJ171" s="987"/>
      <c r="AK171" s="987"/>
      <c r="AL171" s="987"/>
      <c r="AM171" s="987"/>
      <c r="AN171" s="987"/>
      <c r="AO171" s="987"/>
      <c r="AP171" s="987"/>
      <c r="AQ171" s="987"/>
      <c r="AR171" s="987"/>
      <c r="AS171" s="987"/>
      <c r="AT171" s="987"/>
      <c r="AU171" s="987"/>
      <c r="AV171" s="987"/>
      <c r="AW171" s="983"/>
      <c r="AX171" s="983"/>
      <c r="AY171" s="983"/>
      <c r="AZ171" s="983"/>
      <c r="BA171" s="983"/>
      <c r="BB171" s="983"/>
      <c r="BC171" s="983"/>
      <c r="BD171" s="983"/>
      <c r="BE171" s="983"/>
      <c r="BF171" s="983"/>
      <c r="BG171" s="983"/>
      <c r="BH171" s="983"/>
      <c r="BI171" s="983"/>
      <c r="BJ171" s="983"/>
      <c r="BK171" s="983"/>
      <c r="BL171" s="983"/>
      <c r="BM171" s="983"/>
      <c r="BN171" s="983"/>
      <c r="BO171" s="983"/>
      <c r="BP171" s="983"/>
      <c r="BQ171" s="983"/>
      <c r="BR171" s="983"/>
      <c r="BS171" s="983"/>
      <c r="BT171" s="983"/>
      <c r="BU171" s="983"/>
      <c r="BV171" s="983"/>
      <c r="BW171" s="983"/>
      <c r="BX171" s="983"/>
      <c r="BY171" s="984"/>
      <c r="BZ171" s="984"/>
      <c r="CA171" s="984"/>
      <c r="CB171" s="985"/>
      <c r="CC171" s="985"/>
      <c r="CD171" s="985"/>
      <c r="CE171" s="985"/>
      <c r="CF171" s="985"/>
      <c r="CG171" s="985"/>
      <c r="CH171" s="1023"/>
      <c r="CI171" s="1023"/>
      <c r="CJ171" s="1023"/>
      <c r="CK171" s="1023"/>
      <c r="CL171" s="1023"/>
      <c r="CM171" s="1023"/>
      <c r="CN171" s="1023"/>
    </row>
    <row r="172" spans="1:92" ht="16.350000000000001" customHeight="1" x14ac:dyDescent="0.25">
      <c r="A172" s="983"/>
      <c r="B172" s="5856"/>
      <c r="C172" s="5878"/>
      <c r="D172" s="4541" t="s">
        <v>184</v>
      </c>
      <c r="E172" s="4542" t="s">
        <v>413</v>
      </c>
      <c r="F172" s="4753" t="s">
        <v>25</v>
      </c>
      <c r="G172" s="4267" t="s">
        <v>413</v>
      </c>
      <c r="H172" s="4543" t="s">
        <v>25</v>
      </c>
      <c r="I172" s="4267" t="s">
        <v>413</v>
      </c>
      <c r="J172" s="4543" t="s">
        <v>25</v>
      </c>
      <c r="K172" s="4267" t="s">
        <v>413</v>
      </c>
      <c r="L172" s="4543" t="s">
        <v>25</v>
      </c>
      <c r="M172" s="4267" t="s">
        <v>413</v>
      </c>
      <c r="N172" s="4543" t="s">
        <v>25</v>
      </c>
      <c r="O172" s="4267" t="s">
        <v>413</v>
      </c>
      <c r="P172" s="4543" t="s">
        <v>25</v>
      </c>
      <c r="Q172" s="4267" t="s">
        <v>413</v>
      </c>
      <c r="R172" s="4543" t="s">
        <v>25</v>
      </c>
      <c r="S172" s="4267" t="s">
        <v>413</v>
      </c>
      <c r="T172" s="4543" t="s">
        <v>25</v>
      </c>
      <c r="U172" s="4358" t="s">
        <v>413</v>
      </c>
      <c r="V172" s="4543" t="s">
        <v>25</v>
      </c>
      <c r="W172" s="5297"/>
      <c r="X172" s="5924"/>
      <c r="Y172" s="5925"/>
      <c r="Z172" s="5925"/>
      <c r="AA172" s="5925"/>
      <c r="AB172" s="5264"/>
      <c r="AC172" s="5922"/>
      <c r="AD172" s="5922"/>
      <c r="AE172" s="5922"/>
      <c r="AF172" s="5922"/>
      <c r="AG172" s="5921"/>
      <c r="AH172" s="5921"/>
      <c r="AI172" s="1070"/>
      <c r="AJ172" s="987"/>
      <c r="AK172" s="987"/>
      <c r="AL172" s="987"/>
      <c r="AM172" s="987"/>
      <c r="AN172" s="987"/>
      <c r="AO172" s="987"/>
      <c r="AP172" s="987"/>
      <c r="AQ172" s="987"/>
      <c r="AR172" s="987"/>
      <c r="AS172" s="987"/>
      <c r="AT172" s="987"/>
      <c r="AU172" s="987"/>
      <c r="AV172" s="987"/>
      <c r="AW172" s="983"/>
      <c r="AX172" s="983"/>
      <c r="AY172" s="983"/>
      <c r="AZ172" s="983"/>
      <c r="BA172" s="983"/>
      <c r="BB172" s="983"/>
      <c r="BC172" s="983"/>
      <c r="BD172" s="983"/>
      <c r="BE172" s="983"/>
      <c r="BF172" s="983"/>
      <c r="BG172" s="983"/>
      <c r="BH172" s="983"/>
      <c r="BI172" s="983"/>
      <c r="BJ172" s="983"/>
      <c r="BK172" s="983"/>
      <c r="BL172" s="983"/>
      <c r="BM172" s="983"/>
      <c r="BN172" s="983"/>
      <c r="BO172" s="983"/>
      <c r="BP172" s="983"/>
      <c r="BQ172" s="983"/>
      <c r="BR172" s="983"/>
      <c r="BS172" s="983"/>
      <c r="BT172" s="983"/>
      <c r="BU172" s="983"/>
      <c r="BV172" s="983"/>
      <c r="BW172" s="983"/>
      <c r="BX172" s="983"/>
      <c r="BY172" s="984"/>
      <c r="BZ172" s="984"/>
      <c r="CA172" s="984"/>
      <c r="CB172" s="985"/>
      <c r="CC172" s="985"/>
      <c r="CD172" s="985"/>
      <c r="CE172" s="985"/>
      <c r="CF172" s="985"/>
      <c r="CG172" s="985"/>
      <c r="CH172" s="1023"/>
      <c r="CI172" s="1023"/>
      <c r="CJ172" s="1023"/>
      <c r="CK172" s="1023"/>
      <c r="CL172" s="1023"/>
      <c r="CM172" s="1023"/>
      <c r="CN172" s="1023"/>
    </row>
    <row r="173" spans="1:92" ht="26.25" customHeight="1" x14ac:dyDescent="0.25">
      <c r="A173" s="4641" t="s">
        <v>3786</v>
      </c>
      <c r="B173" s="5922" t="s">
        <v>590</v>
      </c>
      <c r="C173" s="4785" t="s">
        <v>1725</v>
      </c>
      <c r="D173" s="4380" t="s">
        <v>2777</v>
      </c>
      <c r="E173" s="4372" t="s">
        <v>2778</v>
      </c>
      <c r="F173" s="219" t="s">
        <v>2779</v>
      </c>
      <c r="G173" s="4403" t="s">
        <v>2780</v>
      </c>
      <c r="H173" s="4544" t="s">
        <v>2781</v>
      </c>
      <c r="I173" s="4403" t="s">
        <v>2782</v>
      </c>
      <c r="J173" s="4544" t="s">
        <v>2783</v>
      </c>
      <c r="K173" s="4403" t="s">
        <v>2784</v>
      </c>
      <c r="L173" s="4544" t="s">
        <v>2785</v>
      </c>
      <c r="M173" s="4403" t="s">
        <v>2786</v>
      </c>
      <c r="N173" s="4544" t="s">
        <v>2787</v>
      </c>
      <c r="O173" s="4403" t="s">
        <v>2788</v>
      </c>
      <c r="P173" s="4544" t="s">
        <v>2789</v>
      </c>
      <c r="Q173" s="4403" t="s">
        <v>2790</v>
      </c>
      <c r="R173" s="4544" t="s">
        <v>2791</v>
      </c>
      <c r="S173" s="4403" t="s">
        <v>2792</v>
      </c>
      <c r="T173" s="4544" t="s">
        <v>2793</v>
      </c>
      <c r="U173" s="4403" t="s">
        <v>2794</v>
      </c>
      <c r="V173" s="4544" t="s">
        <v>2795</v>
      </c>
      <c r="W173" s="4405" t="s">
        <v>2796</v>
      </c>
      <c r="X173" s="4403" t="s">
        <v>2797</v>
      </c>
      <c r="Y173" s="4544" t="s">
        <v>2798</v>
      </c>
      <c r="Z173" s="4544" t="s">
        <v>2799</v>
      </c>
      <c r="AA173" s="4544" t="s">
        <v>2800</v>
      </c>
      <c r="AB173" s="4544" t="s">
        <v>2801</v>
      </c>
      <c r="AC173" s="4403" t="s">
        <v>2817</v>
      </c>
      <c r="AD173" s="4544" t="s">
        <v>2818</v>
      </c>
      <c r="AE173" s="4544" t="s">
        <v>2819</v>
      </c>
      <c r="AF173" s="4406" t="s">
        <v>2821</v>
      </c>
      <c r="AG173" s="4544" t="s">
        <v>2822</v>
      </c>
      <c r="AH173" s="4406" t="s">
        <v>2823</v>
      </c>
      <c r="AI173" s="1057"/>
      <c r="AJ173" s="1058"/>
      <c r="AK173" s="1058"/>
      <c r="AL173" s="1058"/>
      <c r="AM173" s="1058"/>
      <c r="AN173" s="1058"/>
      <c r="AO173" s="1058"/>
      <c r="AP173" s="1058"/>
      <c r="AQ173" s="1058"/>
      <c r="AR173" s="1058"/>
      <c r="AS173" s="1058"/>
      <c r="AT173" s="987"/>
      <c r="AU173" s="987"/>
      <c r="AV173" s="983"/>
      <c r="AW173" s="983"/>
      <c r="AX173" s="983"/>
      <c r="AY173" s="983"/>
      <c r="AZ173" s="983"/>
      <c r="BA173" s="983"/>
      <c r="BB173" s="983"/>
      <c r="BC173" s="983"/>
      <c r="BD173" s="983"/>
      <c r="BE173" s="983"/>
      <c r="BF173" s="983"/>
      <c r="BG173" s="983"/>
      <c r="BH173" s="983"/>
      <c r="BI173" s="983"/>
      <c r="BJ173" s="983"/>
      <c r="BK173" s="983"/>
      <c r="BL173" s="983"/>
      <c r="BM173" s="983"/>
      <c r="BN173" s="983"/>
      <c r="BO173" s="983"/>
      <c r="BP173" s="983"/>
      <c r="BQ173" s="983"/>
      <c r="BR173" s="983"/>
      <c r="BS173" s="983"/>
      <c r="BT173" s="983"/>
      <c r="BU173" s="983"/>
      <c r="BV173" s="983"/>
      <c r="BW173" s="983"/>
      <c r="BX173" s="984"/>
      <c r="BY173" s="984"/>
      <c r="BZ173" s="984"/>
      <c r="CA173" s="984"/>
      <c r="CB173" s="985"/>
      <c r="CC173" s="985"/>
      <c r="CD173" s="985"/>
      <c r="CE173" s="985"/>
      <c r="CF173" s="985"/>
      <c r="CG173" s="985"/>
      <c r="CH173" s="1023">
        <v>0</v>
      </c>
      <c r="CI173" s="1023">
        <v>0</v>
      </c>
      <c r="CJ173" s="1023">
        <v>0</v>
      </c>
      <c r="CK173" s="1023">
        <v>0</v>
      </c>
      <c r="CL173" s="1023"/>
      <c r="CM173" s="1023"/>
      <c r="CN173" s="1023"/>
    </row>
    <row r="174" spans="1:92" ht="26.25" customHeight="1" x14ac:dyDescent="0.25">
      <c r="A174" s="4641" t="s">
        <v>3787</v>
      </c>
      <c r="B174" s="5922"/>
      <c r="C174" s="4758" t="s">
        <v>2655</v>
      </c>
      <c r="D174" s="4545" t="s">
        <v>2777</v>
      </c>
      <c r="E174" s="703" t="s">
        <v>2778</v>
      </c>
      <c r="F174" s="5024" t="s">
        <v>2779</v>
      </c>
      <c r="G174" s="455" t="s">
        <v>2780</v>
      </c>
      <c r="H174" s="4310" t="s">
        <v>2781</v>
      </c>
      <c r="I174" s="455" t="s">
        <v>2782</v>
      </c>
      <c r="J174" s="4310" t="s">
        <v>2783</v>
      </c>
      <c r="K174" s="455" t="s">
        <v>2784</v>
      </c>
      <c r="L174" s="4310" t="s">
        <v>2785</v>
      </c>
      <c r="M174" s="455" t="s">
        <v>2786</v>
      </c>
      <c r="N174" s="4310" t="s">
        <v>2787</v>
      </c>
      <c r="O174" s="455" t="s">
        <v>2788</v>
      </c>
      <c r="P174" s="4310" t="s">
        <v>2789</v>
      </c>
      <c r="Q174" s="455" t="s">
        <v>2790</v>
      </c>
      <c r="R174" s="4310" t="s">
        <v>2791</v>
      </c>
      <c r="S174" s="455" t="s">
        <v>2792</v>
      </c>
      <c r="T174" s="4310" t="s">
        <v>2793</v>
      </c>
      <c r="U174" s="455" t="s">
        <v>2794</v>
      </c>
      <c r="V174" s="4310" t="s">
        <v>2795</v>
      </c>
      <c r="W174" s="4546" t="s">
        <v>2796</v>
      </c>
      <c r="X174" s="455" t="s">
        <v>2797</v>
      </c>
      <c r="Y174" s="4310" t="s">
        <v>2798</v>
      </c>
      <c r="Z174" s="4310" t="s">
        <v>2799</v>
      </c>
      <c r="AA174" s="4310" t="s">
        <v>2800</v>
      </c>
      <c r="AB174" s="4310" t="s">
        <v>2801</v>
      </c>
      <c r="AC174" s="455" t="s">
        <v>2817</v>
      </c>
      <c r="AD174" s="4310" t="s">
        <v>2818</v>
      </c>
      <c r="AE174" s="4310" t="s">
        <v>2819</v>
      </c>
      <c r="AF174" s="456" t="s">
        <v>2821</v>
      </c>
      <c r="AG174" s="4310" t="s">
        <v>2822</v>
      </c>
      <c r="AH174" s="456" t="s">
        <v>2823</v>
      </c>
      <c r="AI174" s="1057"/>
      <c r="AJ174" s="1058"/>
      <c r="AK174" s="1058"/>
      <c r="AL174" s="1058"/>
      <c r="AM174" s="1058"/>
      <c r="AN174" s="1058"/>
      <c r="AO174" s="1058"/>
      <c r="AP174" s="1058"/>
      <c r="AQ174" s="1058"/>
      <c r="AR174" s="1058"/>
      <c r="AS174" s="1058"/>
      <c r="AT174" s="987"/>
      <c r="AU174" s="987"/>
      <c r="AV174" s="983"/>
      <c r="AW174" s="983"/>
      <c r="AX174" s="983"/>
      <c r="AY174" s="983"/>
      <c r="AZ174" s="983"/>
      <c r="BA174" s="983"/>
      <c r="BB174" s="983"/>
      <c r="BC174" s="983"/>
      <c r="BD174" s="983"/>
      <c r="BE174" s="983"/>
      <c r="BF174" s="983"/>
      <c r="BG174" s="983"/>
      <c r="BH174" s="983"/>
      <c r="BI174" s="983"/>
      <c r="BJ174" s="983"/>
      <c r="BK174" s="983"/>
      <c r="BL174" s="983"/>
      <c r="BM174" s="983"/>
      <c r="BN174" s="983"/>
      <c r="BO174" s="983"/>
      <c r="BP174" s="983"/>
      <c r="BQ174" s="983"/>
      <c r="BR174" s="983"/>
      <c r="BS174" s="983"/>
      <c r="BT174" s="983"/>
      <c r="BU174" s="983"/>
      <c r="BV174" s="983"/>
      <c r="BW174" s="983"/>
      <c r="BX174" s="984"/>
      <c r="BY174" s="984"/>
      <c r="BZ174" s="984"/>
      <c r="CA174" s="984"/>
      <c r="CB174" s="985"/>
      <c r="CC174" s="985"/>
      <c r="CD174" s="985"/>
      <c r="CE174" s="985"/>
      <c r="CF174" s="985"/>
      <c r="CG174" s="985"/>
      <c r="CH174" s="1023">
        <v>0</v>
      </c>
      <c r="CI174" s="1023">
        <v>0</v>
      </c>
      <c r="CJ174" s="1023">
        <v>0</v>
      </c>
      <c r="CK174" s="1023">
        <v>0</v>
      </c>
      <c r="CL174" s="1023"/>
      <c r="CM174" s="1023"/>
      <c r="CN174" s="1023"/>
    </row>
    <row r="175" spans="1:92" ht="32.1" customHeight="1" x14ac:dyDescent="0.25">
      <c r="A175" s="983"/>
      <c r="B175" s="85" t="s">
        <v>3729</v>
      </c>
      <c r="C175" s="85"/>
      <c r="D175" s="243"/>
      <c r="E175" s="243"/>
      <c r="F175" s="983"/>
      <c r="G175" s="983"/>
      <c r="H175" s="983"/>
      <c r="I175" s="983"/>
      <c r="J175" s="983"/>
      <c r="K175" s="983"/>
      <c r="L175" s="983"/>
      <c r="M175" s="983"/>
      <c r="N175" s="983"/>
      <c r="O175" s="983"/>
      <c r="P175" s="983"/>
      <c r="Q175" s="983"/>
      <c r="R175" s="983"/>
      <c r="S175" s="983"/>
      <c r="T175" s="983"/>
      <c r="U175" s="983"/>
      <c r="V175" s="983"/>
      <c r="W175" s="983"/>
      <c r="X175" s="983"/>
      <c r="Y175" s="983"/>
      <c r="Z175" s="983"/>
      <c r="AA175" s="983"/>
      <c r="AB175" s="983"/>
      <c r="AC175" s="983"/>
      <c r="AD175" s="983"/>
      <c r="AE175" s="983"/>
      <c r="AF175" s="983"/>
      <c r="AG175" s="983"/>
      <c r="AH175" s="983"/>
      <c r="AI175" s="987"/>
      <c r="AJ175" s="987"/>
      <c r="AK175" s="987"/>
      <c r="AL175" s="987"/>
      <c r="AM175" s="987"/>
      <c r="AN175" s="987"/>
      <c r="AO175" s="987"/>
      <c r="AP175" s="987"/>
      <c r="AQ175" s="987"/>
      <c r="AR175" s="987"/>
      <c r="AS175" s="987"/>
      <c r="AT175" s="987"/>
      <c r="AU175" s="987"/>
      <c r="AV175" s="987"/>
      <c r="AW175" s="983"/>
      <c r="AX175" s="983"/>
      <c r="AY175" s="983"/>
      <c r="AZ175" s="983"/>
      <c r="BA175" s="983"/>
      <c r="BB175" s="983"/>
      <c r="BC175" s="983"/>
      <c r="BD175" s="983"/>
      <c r="BE175" s="983"/>
      <c r="BF175" s="983"/>
      <c r="BG175" s="983"/>
      <c r="BH175" s="983"/>
      <c r="BI175" s="983"/>
      <c r="BJ175" s="983"/>
      <c r="BK175" s="983"/>
      <c r="BL175" s="983"/>
      <c r="BM175" s="983"/>
      <c r="BN175" s="983"/>
      <c r="BO175" s="983"/>
      <c r="BP175" s="983"/>
      <c r="BQ175" s="983"/>
      <c r="BR175" s="983"/>
      <c r="BS175" s="983"/>
      <c r="BT175" s="983"/>
      <c r="BU175" s="983"/>
      <c r="BV175" s="983"/>
      <c r="BW175" s="983"/>
      <c r="BX175" s="983"/>
      <c r="BY175" s="983"/>
      <c r="BZ175" s="983"/>
      <c r="CA175" s="983"/>
      <c r="CB175" s="985"/>
      <c r="CC175" s="985"/>
      <c r="CD175" s="985"/>
      <c r="CE175" s="985"/>
      <c r="CF175" s="985"/>
      <c r="CG175" s="985"/>
      <c r="CH175" s="1023"/>
      <c r="CI175" s="1023"/>
      <c r="CJ175" s="1023"/>
      <c r="CK175" s="1023"/>
      <c r="CL175" s="1023"/>
      <c r="CM175" s="1023"/>
      <c r="CN175" s="1023"/>
    </row>
    <row r="176" spans="1:92" ht="16.350000000000001" customHeight="1" x14ac:dyDescent="0.25">
      <c r="A176" s="983"/>
      <c r="B176" s="5145" t="s">
        <v>510</v>
      </c>
      <c r="C176" s="5145" t="s">
        <v>42</v>
      </c>
      <c r="D176" s="5142" t="s">
        <v>527</v>
      </c>
      <c r="E176" s="5152" t="s">
        <v>1724</v>
      </c>
      <c r="F176" s="983"/>
      <c r="G176" s="983"/>
      <c r="H176" s="983"/>
      <c r="I176" s="983"/>
      <c r="J176" s="983"/>
      <c r="K176" s="983"/>
      <c r="L176" s="983"/>
      <c r="M176" s="983"/>
      <c r="N176" s="983"/>
      <c r="O176" s="983"/>
      <c r="P176" s="983"/>
      <c r="Q176" s="983"/>
      <c r="R176" s="983"/>
      <c r="S176" s="983"/>
      <c r="T176" s="983"/>
      <c r="U176" s="983"/>
      <c r="V176" s="983"/>
      <c r="W176" s="983"/>
      <c r="X176" s="983"/>
      <c r="Y176" s="983"/>
      <c r="Z176" s="983"/>
      <c r="AA176" s="983"/>
      <c r="AB176" s="983"/>
      <c r="AC176" s="983"/>
      <c r="AD176" s="983"/>
      <c r="AE176" s="983"/>
      <c r="AF176" s="983"/>
      <c r="AG176" s="983"/>
      <c r="AH176" s="983"/>
      <c r="AI176" s="983"/>
      <c r="AJ176" s="987"/>
      <c r="AK176" s="987"/>
      <c r="AL176" s="987"/>
      <c r="AM176" s="987"/>
      <c r="AN176" s="987"/>
      <c r="AO176" s="987"/>
      <c r="AP176" s="987"/>
      <c r="AQ176" s="987"/>
      <c r="AR176" s="987"/>
      <c r="AS176" s="987"/>
      <c r="AT176" s="987"/>
      <c r="AU176" s="987"/>
      <c r="AV176" s="987"/>
      <c r="AW176" s="987"/>
      <c r="AX176" s="983"/>
      <c r="AY176" s="983"/>
      <c r="AZ176" s="983"/>
      <c r="BA176" s="983"/>
      <c r="BB176" s="983"/>
      <c r="BC176" s="983"/>
      <c r="BD176" s="983"/>
      <c r="BE176" s="983"/>
      <c r="BF176" s="983"/>
      <c r="BG176" s="983"/>
      <c r="BH176" s="983"/>
      <c r="BI176" s="983"/>
      <c r="BJ176" s="983"/>
      <c r="BK176" s="983"/>
      <c r="BL176" s="983"/>
      <c r="BM176" s="983"/>
      <c r="BN176" s="983"/>
      <c r="BO176" s="983"/>
      <c r="BP176" s="983"/>
      <c r="BQ176" s="983"/>
      <c r="BR176" s="983"/>
      <c r="BS176" s="983"/>
      <c r="BT176" s="983"/>
      <c r="BU176" s="983"/>
      <c r="BV176" s="983"/>
      <c r="BW176" s="983"/>
      <c r="BX176" s="983"/>
      <c r="BY176" s="983"/>
      <c r="BZ176" s="984"/>
      <c r="CA176" s="984"/>
      <c r="CB176" s="985"/>
      <c r="CC176" s="985"/>
      <c r="CD176" s="985"/>
      <c r="CE176" s="985"/>
      <c r="CF176" s="985"/>
      <c r="CG176" s="985"/>
      <c r="CH176" s="1023"/>
      <c r="CI176" s="1023"/>
      <c r="CJ176" s="1023"/>
      <c r="CK176" s="1023"/>
      <c r="CL176" s="1023"/>
      <c r="CM176" s="1023"/>
      <c r="CN176" s="1023"/>
    </row>
    <row r="177" spans="1:105" ht="16.350000000000001" customHeight="1" x14ac:dyDescent="0.25">
      <c r="A177" s="983"/>
      <c r="B177" s="5893"/>
      <c r="C177" s="5893"/>
      <c r="D177" s="5861"/>
      <c r="E177" s="5297"/>
      <c r="F177" s="983"/>
      <c r="G177" s="983"/>
      <c r="H177" s="983"/>
      <c r="I177" s="983"/>
      <c r="J177" s="983"/>
      <c r="K177" s="983"/>
      <c r="L177" s="983"/>
      <c r="M177" s="983"/>
      <c r="N177" s="983"/>
      <c r="O177" s="983"/>
      <c r="P177" s="983"/>
      <c r="Q177" s="983"/>
      <c r="R177" s="983"/>
      <c r="S177" s="983"/>
      <c r="T177" s="983"/>
      <c r="U177" s="983"/>
      <c r="V177" s="983"/>
      <c r="W177" s="983"/>
      <c r="X177" s="983"/>
      <c r="Y177" s="983"/>
      <c r="Z177" s="983"/>
      <c r="AA177" s="983"/>
      <c r="AB177" s="983"/>
      <c r="AC177" s="983"/>
      <c r="AD177" s="983"/>
      <c r="AE177" s="983"/>
      <c r="AF177" s="983"/>
      <c r="AG177" s="983"/>
      <c r="AH177" s="983"/>
      <c r="AI177" s="983"/>
      <c r="AJ177" s="987"/>
      <c r="AK177" s="987"/>
      <c r="AL177" s="987"/>
      <c r="AM177" s="987"/>
      <c r="AN177" s="987"/>
      <c r="AO177" s="987"/>
      <c r="AP177" s="987"/>
      <c r="AQ177" s="987"/>
      <c r="AR177" s="987"/>
      <c r="AS177" s="987"/>
      <c r="AT177" s="987"/>
      <c r="AU177" s="987"/>
      <c r="AV177" s="987"/>
      <c r="AW177" s="987"/>
      <c r="AX177" s="983"/>
      <c r="AY177" s="983"/>
      <c r="AZ177" s="983"/>
      <c r="BA177" s="983"/>
      <c r="BB177" s="983"/>
      <c r="BC177" s="983"/>
      <c r="BD177" s="983"/>
      <c r="BE177" s="983"/>
      <c r="BF177" s="983"/>
      <c r="BG177" s="983"/>
      <c r="BH177" s="983"/>
      <c r="BI177" s="983"/>
      <c r="BJ177" s="983"/>
      <c r="BK177" s="983"/>
      <c r="BL177" s="983"/>
      <c r="BM177" s="983"/>
      <c r="BN177" s="983"/>
      <c r="BO177" s="983"/>
      <c r="BP177" s="983"/>
      <c r="BQ177" s="983"/>
      <c r="BR177" s="983"/>
      <c r="BS177" s="983"/>
      <c r="BT177" s="983"/>
      <c r="BU177" s="983"/>
      <c r="BV177" s="983"/>
      <c r="BW177" s="983"/>
      <c r="BX177" s="983"/>
      <c r="BY177" s="983"/>
      <c r="BZ177" s="984"/>
      <c r="CA177" s="984"/>
      <c r="CB177" s="985"/>
      <c r="CC177" s="985"/>
      <c r="CD177" s="985"/>
      <c r="CE177" s="985"/>
      <c r="CF177" s="985"/>
      <c r="CG177" s="985"/>
      <c r="CH177" s="1023"/>
      <c r="CI177" s="1023"/>
      <c r="CJ177" s="1023"/>
      <c r="CK177" s="1023"/>
      <c r="CL177" s="1023"/>
      <c r="CM177" s="1023"/>
      <c r="CN177" s="1023"/>
    </row>
    <row r="178" spans="1:105" ht="20.25" customHeight="1" x14ac:dyDescent="0.25">
      <c r="A178" s="4634" t="s">
        <v>3784</v>
      </c>
      <c r="B178" s="4785" t="s">
        <v>1723</v>
      </c>
      <c r="C178" s="5025" t="s">
        <v>2777</v>
      </c>
      <c r="D178" s="4407" t="s">
        <v>2778</v>
      </c>
      <c r="E178" s="5026" t="s">
        <v>2779</v>
      </c>
      <c r="F178" s="983"/>
      <c r="G178" s="983"/>
      <c r="H178" s="983"/>
      <c r="I178" s="983"/>
      <c r="J178" s="983"/>
      <c r="K178" s="983"/>
      <c r="L178" s="983"/>
      <c r="M178" s="983"/>
      <c r="N178" s="983"/>
      <c r="O178" s="983"/>
      <c r="P178" s="983"/>
      <c r="Q178" s="983"/>
      <c r="R178" s="983"/>
      <c r="S178" s="983"/>
      <c r="T178" s="983"/>
      <c r="U178" s="983"/>
      <c r="V178" s="983"/>
      <c r="W178" s="983"/>
      <c r="X178" s="983"/>
      <c r="Y178" s="983"/>
      <c r="Z178" s="983"/>
      <c r="AA178" s="983"/>
      <c r="AB178" s="983"/>
      <c r="AC178" s="983"/>
      <c r="AD178" s="983"/>
      <c r="AE178" s="983"/>
      <c r="AF178" s="983"/>
      <c r="AG178" s="983"/>
      <c r="AH178" s="983"/>
      <c r="AI178" s="983"/>
      <c r="AJ178" s="987"/>
      <c r="AK178" s="987"/>
      <c r="AL178" s="987"/>
      <c r="AM178" s="987"/>
      <c r="AN178" s="987"/>
      <c r="AO178" s="987"/>
      <c r="AP178" s="987"/>
      <c r="AQ178" s="987"/>
      <c r="AR178" s="987"/>
      <c r="AS178" s="987"/>
      <c r="AT178" s="987"/>
      <c r="AU178" s="987"/>
      <c r="AV178" s="987"/>
      <c r="AW178" s="987"/>
      <c r="AX178" s="983"/>
      <c r="AY178" s="983"/>
      <c r="AZ178" s="983"/>
      <c r="BA178" s="983"/>
      <c r="BB178" s="983"/>
      <c r="BC178" s="983"/>
      <c r="BD178" s="983"/>
      <c r="BE178" s="983"/>
      <c r="BF178" s="983"/>
      <c r="BG178" s="983"/>
      <c r="BH178" s="983"/>
      <c r="BI178" s="983"/>
      <c r="BJ178" s="983"/>
      <c r="BK178" s="983"/>
      <c r="BL178" s="983"/>
      <c r="BM178" s="983"/>
      <c r="BN178" s="983"/>
      <c r="BO178" s="983"/>
      <c r="BP178" s="983"/>
      <c r="BQ178" s="983"/>
      <c r="BR178" s="983"/>
      <c r="BS178" s="983"/>
      <c r="BT178" s="983"/>
      <c r="BU178" s="983"/>
      <c r="BV178" s="983"/>
      <c r="BW178" s="983"/>
      <c r="BX178" s="983"/>
      <c r="BY178" s="983"/>
      <c r="BZ178" s="984"/>
      <c r="CA178" s="984"/>
      <c r="CB178" s="985"/>
      <c r="CC178" s="985"/>
      <c r="CD178" s="985"/>
      <c r="CE178" s="985"/>
      <c r="CF178" s="985"/>
      <c r="CG178" s="985"/>
      <c r="CH178" s="1023"/>
      <c r="CI178" s="1023"/>
      <c r="CJ178" s="1023"/>
      <c r="CK178" s="1023"/>
      <c r="CL178" s="1023"/>
      <c r="CM178" s="1023"/>
      <c r="CN178" s="1023"/>
    </row>
    <row r="179" spans="1:105" ht="20.25" customHeight="1" x14ac:dyDescent="0.25">
      <c r="A179" s="4634" t="s">
        <v>3785</v>
      </c>
      <c r="B179" s="4758" t="s">
        <v>1268</v>
      </c>
      <c r="C179" s="5027" t="s">
        <v>2777</v>
      </c>
      <c r="D179" s="5028" t="s">
        <v>2778</v>
      </c>
      <c r="E179" s="5029" t="s">
        <v>2779</v>
      </c>
      <c r="F179" s="983"/>
      <c r="G179" s="983"/>
      <c r="H179" s="983"/>
      <c r="I179" s="983"/>
      <c r="J179" s="983"/>
      <c r="K179" s="983"/>
      <c r="L179" s="983"/>
      <c r="M179" s="983"/>
      <c r="N179" s="983"/>
      <c r="O179" s="983"/>
      <c r="P179" s="983"/>
      <c r="Q179" s="983"/>
      <c r="R179" s="983"/>
      <c r="S179" s="983"/>
      <c r="T179" s="983"/>
      <c r="U179" s="983"/>
      <c r="V179" s="983"/>
      <c r="W179" s="983"/>
      <c r="X179" s="983"/>
      <c r="Y179" s="983"/>
      <c r="Z179" s="983"/>
      <c r="AA179" s="983"/>
      <c r="AB179" s="983"/>
      <c r="AC179" s="983"/>
      <c r="AD179" s="983"/>
      <c r="AE179" s="983"/>
      <c r="AF179" s="983"/>
      <c r="AG179" s="983"/>
      <c r="AH179" s="983"/>
      <c r="AI179" s="983"/>
      <c r="AJ179" s="987"/>
      <c r="AK179" s="987"/>
      <c r="AL179" s="987"/>
      <c r="AM179" s="987"/>
      <c r="AN179" s="987"/>
      <c r="AO179" s="987"/>
      <c r="AP179" s="987"/>
      <c r="AQ179" s="987"/>
      <c r="AR179" s="987"/>
      <c r="AS179" s="987"/>
      <c r="AT179" s="987"/>
      <c r="AU179" s="987"/>
      <c r="AV179" s="987"/>
      <c r="AW179" s="987"/>
      <c r="AX179" s="983"/>
      <c r="AY179" s="983"/>
      <c r="AZ179" s="983"/>
      <c r="BA179" s="983"/>
      <c r="BB179" s="983"/>
      <c r="BC179" s="983"/>
      <c r="BD179" s="983"/>
      <c r="BE179" s="983"/>
      <c r="BF179" s="983"/>
      <c r="BG179" s="983"/>
      <c r="BH179" s="983"/>
      <c r="BI179" s="983"/>
      <c r="BJ179" s="983"/>
      <c r="BK179" s="983"/>
      <c r="BL179" s="983"/>
      <c r="BM179" s="983"/>
      <c r="BN179" s="983"/>
      <c r="BO179" s="983"/>
      <c r="BP179" s="983"/>
      <c r="BQ179" s="983"/>
      <c r="BR179" s="983"/>
      <c r="BS179" s="983"/>
      <c r="BT179" s="983"/>
      <c r="BU179" s="983"/>
      <c r="BV179" s="983"/>
      <c r="BW179" s="983"/>
      <c r="BX179" s="983"/>
      <c r="BY179" s="983"/>
      <c r="BZ179" s="984"/>
      <c r="CA179" s="984"/>
      <c r="CB179" s="985"/>
      <c r="CC179" s="985"/>
      <c r="CD179" s="985"/>
      <c r="CE179" s="985"/>
      <c r="CF179" s="985"/>
      <c r="CG179" s="985"/>
      <c r="CH179" s="1023"/>
      <c r="CI179" s="1023"/>
      <c r="CJ179" s="1023"/>
      <c r="CK179" s="1023"/>
      <c r="CL179" s="1023"/>
      <c r="CM179" s="1023"/>
      <c r="CN179" s="1023"/>
    </row>
    <row r="180" spans="1:105" ht="32.1" customHeight="1" x14ac:dyDescent="0.25">
      <c r="A180" s="983"/>
      <c r="B180" s="4547" t="s">
        <v>1258</v>
      </c>
      <c r="C180" s="4539"/>
      <c r="D180" s="4548"/>
      <c r="E180" s="2261"/>
      <c r="F180" s="983"/>
      <c r="G180" s="4459"/>
      <c r="H180" s="4458"/>
      <c r="I180" s="219"/>
      <c r="J180" s="4458"/>
      <c r="K180" s="4456"/>
      <c r="L180" s="4456"/>
      <c r="M180" s="4458"/>
      <c r="N180" s="219"/>
      <c r="O180" s="4458"/>
      <c r="P180" s="4458"/>
      <c r="Q180" s="219"/>
      <c r="R180" s="4458"/>
      <c r="S180" s="4458"/>
      <c r="T180" s="219"/>
      <c r="U180" s="4458"/>
      <c r="V180" s="4458"/>
      <c r="W180" s="4456"/>
      <c r="X180" s="983"/>
      <c r="Y180" s="983"/>
      <c r="Z180" s="983"/>
      <c r="AA180" s="983"/>
      <c r="AB180" s="983"/>
      <c r="AC180" s="983"/>
      <c r="AD180" s="983"/>
      <c r="AE180" s="983"/>
      <c r="AF180" s="983"/>
      <c r="AG180" s="983"/>
      <c r="AH180" s="983"/>
      <c r="AI180" s="987"/>
      <c r="AJ180" s="987"/>
      <c r="AK180" s="987"/>
      <c r="AL180" s="987"/>
      <c r="AM180" s="987"/>
      <c r="AN180" s="987"/>
      <c r="AO180" s="987"/>
      <c r="AP180" s="987"/>
      <c r="AQ180" s="987"/>
      <c r="AR180" s="987"/>
      <c r="AS180" s="987"/>
      <c r="AT180" s="987"/>
      <c r="AU180" s="987"/>
      <c r="AV180" s="987"/>
      <c r="AW180" s="983"/>
      <c r="AX180" s="983"/>
      <c r="AY180" s="983"/>
      <c r="AZ180" s="983"/>
      <c r="BA180" s="983"/>
      <c r="BB180" s="983"/>
      <c r="BC180" s="983"/>
      <c r="BD180" s="983"/>
      <c r="BE180" s="983"/>
      <c r="BF180" s="983"/>
      <c r="BG180" s="983"/>
      <c r="BH180" s="983"/>
      <c r="BI180" s="983"/>
      <c r="BJ180" s="983"/>
      <c r="BK180" s="983"/>
      <c r="BL180" s="983"/>
      <c r="BM180" s="983"/>
      <c r="BN180" s="983"/>
      <c r="BO180" s="983"/>
      <c r="BP180" s="983"/>
      <c r="BQ180" s="983"/>
      <c r="BR180" s="983"/>
      <c r="BS180" s="983"/>
      <c r="BT180" s="983"/>
      <c r="BU180" s="983"/>
      <c r="BV180" s="983"/>
      <c r="BW180" s="983"/>
      <c r="BX180" s="983"/>
      <c r="BY180" s="983"/>
      <c r="BZ180" s="983"/>
      <c r="CA180" s="983"/>
      <c r="CB180" s="985"/>
      <c r="CC180" s="985"/>
      <c r="CD180" s="985"/>
      <c r="CE180" s="985"/>
      <c r="CF180" s="985"/>
      <c r="CG180" s="985"/>
      <c r="CH180" s="1023"/>
      <c r="CI180" s="1023"/>
      <c r="CJ180" s="1023"/>
      <c r="CK180" s="1023"/>
      <c r="CL180" s="1023"/>
      <c r="CM180" s="1023"/>
      <c r="CN180" s="1023"/>
    </row>
    <row r="181" spans="1:105" ht="16.350000000000001" customHeight="1" x14ac:dyDescent="0.25">
      <c r="A181" s="983"/>
      <c r="B181" s="5145" t="s">
        <v>120</v>
      </c>
      <c r="C181" s="5855" t="s">
        <v>42</v>
      </c>
      <c r="D181" s="5879"/>
      <c r="E181" s="5877"/>
      <c r="F181" s="5943" t="s">
        <v>406</v>
      </c>
      <c r="G181" s="5944"/>
      <c r="H181" s="5944"/>
      <c r="I181" s="5944"/>
      <c r="J181" s="5944"/>
      <c r="K181" s="5944"/>
      <c r="L181" s="5944"/>
      <c r="M181" s="5944"/>
      <c r="N181" s="5944"/>
      <c r="O181" s="5944"/>
      <c r="P181" s="5944"/>
      <c r="Q181" s="5944"/>
      <c r="R181" s="5944"/>
      <c r="S181" s="5944"/>
      <c r="T181" s="5944"/>
      <c r="U181" s="5944"/>
      <c r="V181" s="5944"/>
      <c r="W181" s="5945"/>
      <c r="X181" s="983"/>
      <c r="Y181" s="983"/>
      <c r="Z181" s="983"/>
      <c r="AA181" s="983"/>
      <c r="AB181" s="983"/>
      <c r="AC181" s="983"/>
      <c r="AD181" s="983"/>
      <c r="AE181" s="983"/>
      <c r="AF181" s="983"/>
      <c r="AG181" s="983"/>
      <c r="AH181" s="983"/>
      <c r="AI181" s="983"/>
      <c r="AJ181" s="983"/>
      <c r="AK181" s="983"/>
      <c r="AL181" s="983"/>
      <c r="AM181" s="983"/>
      <c r="AN181" s="983"/>
      <c r="AO181" s="983"/>
      <c r="AP181" s="983"/>
      <c r="AQ181" s="983"/>
      <c r="AR181" s="983"/>
      <c r="AS181" s="983"/>
      <c r="AT181" s="983"/>
      <c r="AU181" s="983"/>
      <c r="AV181" s="983"/>
      <c r="AW181" s="983"/>
      <c r="AX181" s="983"/>
      <c r="AY181" s="983"/>
      <c r="AZ181" s="983"/>
      <c r="BA181" s="983"/>
      <c r="BB181" s="983"/>
      <c r="BC181" s="983"/>
      <c r="BD181" s="983"/>
      <c r="BE181" s="983"/>
      <c r="BF181" s="983"/>
      <c r="BG181" s="983"/>
      <c r="BH181" s="983"/>
      <c r="BI181" s="983"/>
      <c r="BJ181" s="983"/>
      <c r="BK181" s="983"/>
      <c r="BL181" s="983"/>
      <c r="BM181" s="983"/>
      <c r="BN181" s="983"/>
      <c r="BO181" s="983"/>
      <c r="BP181" s="983"/>
      <c r="BQ181" s="983"/>
      <c r="BR181" s="983"/>
      <c r="BS181" s="983"/>
      <c r="BT181" s="983"/>
      <c r="BU181" s="983"/>
      <c r="BV181" s="983"/>
      <c r="BW181" s="983"/>
      <c r="BX181" s="983"/>
      <c r="BY181" s="984"/>
      <c r="BZ181" s="984"/>
      <c r="CA181" s="984"/>
      <c r="CB181" s="985"/>
      <c r="CC181" s="985"/>
      <c r="CD181" s="985"/>
      <c r="CE181" s="985"/>
      <c r="CF181" s="985"/>
      <c r="CG181" s="985"/>
      <c r="CH181" s="1023"/>
      <c r="CI181" s="1023"/>
      <c r="CJ181" s="1023"/>
      <c r="CK181" s="1023"/>
      <c r="CL181" s="1023"/>
      <c r="CM181" s="1023"/>
      <c r="CN181" s="1023"/>
    </row>
    <row r="182" spans="1:105" ht="16.350000000000001" customHeight="1" x14ac:dyDescent="0.25">
      <c r="A182" s="983"/>
      <c r="B182" s="5135"/>
      <c r="C182" s="5856"/>
      <c r="D182" s="5259"/>
      <c r="E182" s="5878"/>
      <c r="F182" s="5922" t="s">
        <v>546</v>
      </c>
      <c r="G182" s="5922"/>
      <c r="H182" s="5946" t="s">
        <v>591</v>
      </c>
      <c r="I182" s="5922"/>
      <c r="J182" s="5922" t="s">
        <v>10</v>
      </c>
      <c r="K182" s="5922"/>
      <c r="L182" s="5922" t="s">
        <v>592</v>
      </c>
      <c r="M182" s="5922"/>
      <c r="N182" s="5922" t="s">
        <v>551</v>
      </c>
      <c r="O182" s="5922"/>
      <c r="P182" s="5923" t="s">
        <v>552</v>
      </c>
      <c r="Q182" s="5923"/>
      <c r="R182" s="5923" t="s">
        <v>593</v>
      </c>
      <c r="S182" s="5923"/>
      <c r="T182" s="5923" t="s">
        <v>594</v>
      </c>
      <c r="U182" s="5923"/>
      <c r="V182" s="5262" t="s">
        <v>595</v>
      </c>
      <c r="W182" s="5923"/>
      <c r="X182" s="983"/>
      <c r="Y182" s="983"/>
      <c r="Z182" s="983"/>
      <c r="AA182" s="983"/>
      <c r="AB182" s="983"/>
      <c r="AC182" s="983"/>
      <c r="AD182" s="983"/>
      <c r="AE182" s="983"/>
      <c r="AF182" s="983"/>
      <c r="AG182" s="983"/>
      <c r="AH182" s="983"/>
      <c r="AI182" s="983"/>
      <c r="AJ182" s="983"/>
      <c r="AK182" s="983"/>
      <c r="AL182" s="983"/>
      <c r="AM182" s="983"/>
      <c r="AN182" s="983"/>
      <c r="AO182" s="983"/>
      <c r="AP182" s="983"/>
      <c r="AQ182" s="983"/>
      <c r="AR182" s="983"/>
      <c r="AS182" s="983"/>
      <c r="AT182" s="983"/>
      <c r="AU182" s="983"/>
      <c r="AV182" s="983"/>
      <c r="AW182" s="983"/>
      <c r="AX182" s="983"/>
      <c r="AY182" s="983"/>
      <c r="AZ182" s="983"/>
      <c r="BA182" s="983"/>
      <c r="BB182" s="983"/>
      <c r="BC182" s="983"/>
      <c r="BD182" s="983"/>
      <c r="BE182" s="983"/>
      <c r="BF182" s="983"/>
      <c r="BG182" s="983"/>
      <c r="BH182" s="983"/>
      <c r="BI182" s="983"/>
      <c r="BJ182" s="983"/>
      <c r="BK182" s="983"/>
      <c r="BL182" s="983"/>
      <c r="BM182" s="983"/>
      <c r="BN182" s="983"/>
      <c r="BO182" s="983"/>
      <c r="BP182" s="983"/>
      <c r="BQ182" s="983"/>
      <c r="BR182" s="983"/>
      <c r="BS182" s="983"/>
      <c r="BT182" s="983"/>
      <c r="BU182" s="983"/>
      <c r="BV182" s="983"/>
      <c r="BW182" s="983"/>
      <c r="BX182" s="983"/>
      <c r="BY182" s="984"/>
      <c r="BZ182" s="984"/>
      <c r="CA182" s="984"/>
      <c r="CB182" s="985"/>
      <c r="CC182" s="985"/>
      <c r="CD182" s="985"/>
      <c r="CE182" s="985"/>
      <c r="CF182" s="985"/>
      <c r="CG182" s="985"/>
      <c r="CH182" s="1023"/>
      <c r="CI182" s="1023"/>
      <c r="CJ182" s="1023"/>
      <c r="CK182" s="1023"/>
      <c r="CL182" s="1023"/>
      <c r="CM182" s="1023"/>
      <c r="CN182" s="1023"/>
    </row>
    <row r="183" spans="1:105" ht="16.350000000000001" customHeight="1" x14ac:dyDescent="0.25">
      <c r="A183" s="983"/>
      <c r="B183" s="5893"/>
      <c r="C183" s="4367" t="s">
        <v>184</v>
      </c>
      <c r="D183" s="4368" t="s">
        <v>24</v>
      </c>
      <c r="E183" s="4231" t="s">
        <v>25</v>
      </c>
      <c r="F183" s="4267" t="s">
        <v>413</v>
      </c>
      <c r="G183" s="4543" t="s">
        <v>25</v>
      </c>
      <c r="H183" s="4267" t="s">
        <v>413</v>
      </c>
      <c r="I183" s="4543" t="s">
        <v>25</v>
      </c>
      <c r="J183" s="4267" t="s">
        <v>413</v>
      </c>
      <c r="K183" s="4543" t="s">
        <v>25</v>
      </c>
      <c r="L183" s="4267" t="s">
        <v>413</v>
      </c>
      <c r="M183" s="4266" t="s">
        <v>25</v>
      </c>
      <c r="N183" s="4267" t="s">
        <v>413</v>
      </c>
      <c r="O183" s="4266" t="s">
        <v>25</v>
      </c>
      <c r="P183" s="4267" t="s">
        <v>413</v>
      </c>
      <c r="Q183" s="4266" t="s">
        <v>25</v>
      </c>
      <c r="R183" s="4267" t="s">
        <v>413</v>
      </c>
      <c r="S183" s="4543" t="s">
        <v>25</v>
      </c>
      <c r="T183" s="4267" t="s">
        <v>413</v>
      </c>
      <c r="U183" s="4543" t="s">
        <v>25</v>
      </c>
      <c r="V183" s="4358" t="s">
        <v>413</v>
      </c>
      <c r="W183" s="4543" t="s">
        <v>25</v>
      </c>
      <c r="X183" s="983"/>
      <c r="Y183" s="983"/>
      <c r="Z183" s="983"/>
      <c r="AA183" s="983"/>
      <c r="AB183" s="983"/>
      <c r="AC183" s="983"/>
      <c r="AD183" s="983"/>
      <c r="AE183" s="983"/>
      <c r="AF183" s="983"/>
      <c r="AG183" s="983"/>
      <c r="AH183" s="983"/>
      <c r="AI183" s="983"/>
      <c r="AJ183" s="983"/>
      <c r="AK183" s="983"/>
      <c r="AL183" s="983"/>
      <c r="AM183" s="983"/>
      <c r="AN183" s="983"/>
      <c r="AO183" s="983"/>
      <c r="AP183" s="983"/>
      <c r="AQ183" s="983"/>
      <c r="AR183" s="983"/>
      <c r="AS183" s="983"/>
      <c r="AT183" s="983"/>
      <c r="AU183" s="983"/>
      <c r="AV183" s="983"/>
      <c r="AW183" s="983"/>
      <c r="AX183" s="983"/>
      <c r="AY183" s="983"/>
      <c r="AZ183" s="983"/>
      <c r="BA183" s="983"/>
      <c r="BB183" s="983"/>
      <c r="BC183" s="983"/>
      <c r="BD183" s="983"/>
      <c r="BE183" s="983"/>
      <c r="BF183" s="983"/>
      <c r="BG183" s="983"/>
      <c r="BH183" s="983"/>
      <c r="BI183" s="983"/>
      <c r="BJ183" s="983"/>
      <c r="BK183" s="983"/>
      <c r="BL183" s="983"/>
      <c r="BM183" s="983"/>
      <c r="BN183" s="983"/>
      <c r="BO183" s="983"/>
      <c r="BP183" s="983"/>
      <c r="BQ183" s="983"/>
      <c r="BR183" s="983"/>
      <c r="BS183" s="983"/>
      <c r="BT183" s="983"/>
      <c r="BU183" s="983"/>
      <c r="BV183" s="983"/>
      <c r="BW183" s="983"/>
      <c r="BX183" s="983"/>
      <c r="BY183" s="984"/>
      <c r="BZ183" s="984"/>
      <c r="CA183" s="984"/>
      <c r="CB183" s="985"/>
      <c r="CC183" s="985"/>
      <c r="CD183" s="985"/>
      <c r="CE183" s="985"/>
      <c r="CF183" s="985"/>
      <c r="CG183" s="985"/>
      <c r="CH183" s="1023"/>
      <c r="CI183" s="1023"/>
      <c r="CJ183" s="1023"/>
      <c r="CK183" s="1023"/>
      <c r="CL183" s="1023"/>
      <c r="CM183" s="1023"/>
      <c r="CN183" s="1023"/>
    </row>
    <row r="184" spans="1:105" ht="16.350000000000001" customHeight="1" x14ac:dyDescent="0.25">
      <c r="A184" s="2996" t="s">
        <v>3548</v>
      </c>
      <c r="B184" s="4549" t="s">
        <v>596</v>
      </c>
      <c r="C184" s="4550" t="s">
        <v>2777</v>
      </c>
      <c r="D184" s="4551" t="s">
        <v>2778</v>
      </c>
      <c r="E184" s="4388" t="s">
        <v>2779</v>
      </c>
      <c r="F184" s="4552" t="s">
        <v>2780</v>
      </c>
      <c r="G184" s="4553" t="s">
        <v>2781</v>
      </c>
      <c r="H184" s="4552" t="s">
        <v>2782</v>
      </c>
      <c r="I184" s="4553" t="s">
        <v>2783</v>
      </c>
      <c r="J184" s="4552" t="s">
        <v>2784</v>
      </c>
      <c r="K184" s="4553" t="s">
        <v>2785</v>
      </c>
      <c r="L184" s="4552" t="s">
        <v>2786</v>
      </c>
      <c r="M184" s="4554" t="s">
        <v>2787</v>
      </c>
      <c r="N184" s="4552" t="s">
        <v>2788</v>
      </c>
      <c r="O184" s="4554" t="s">
        <v>2789</v>
      </c>
      <c r="P184" s="4552" t="s">
        <v>2790</v>
      </c>
      <c r="Q184" s="4554" t="s">
        <v>2791</v>
      </c>
      <c r="R184" s="4552" t="s">
        <v>2792</v>
      </c>
      <c r="S184" s="4553" t="s">
        <v>2793</v>
      </c>
      <c r="T184" s="4552" t="s">
        <v>2794</v>
      </c>
      <c r="U184" s="4553" t="s">
        <v>2795</v>
      </c>
      <c r="V184" s="4552" t="s">
        <v>2796</v>
      </c>
      <c r="W184" s="4554" t="s">
        <v>2797</v>
      </c>
      <c r="X184" s="209"/>
      <c r="Y184" s="983"/>
      <c r="Z184" s="983"/>
      <c r="AA184" s="983"/>
      <c r="AB184" s="983"/>
      <c r="AC184" s="983"/>
      <c r="AD184" s="983"/>
      <c r="AE184" s="983"/>
      <c r="AF184" s="983"/>
      <c r="AG184" s="983"/>
      <c r="AH184" s="983"/>
      <c r="AI184" s="983"/>
      <c r="AJ184" s="983"/>
      <c r="AK184" s="983"/>
      <c r="AL184" s="983"/>
      <c r="AM184" s="983"/>
      <c r="AN184" s="983"/>
      <c r="AO184" s="983"/>
      <c r="AP184" s="983"/>
      <c r="AQ184" s="983"/>
      <c r="AR184" s="983"/>
      <c r="AS184" s="983"/>
      <c r="AT184" s="983"/>
      <c r="AU184" s="983"/>
      <c r="AV184" s="983"/>
      <c r="AW184" s="983"/>
      <c r="AX184" s="983"/>
      <c r="AY184" s="983"/>
      <c r="AZ184" s="983"/>
      <c r="BA184" s="983"/>
      <c r="BB184" s="983"/>
      <c r="BC184" s="983"/>
      <c r="BD184" s="983"/>
      <c r="BE184" s="983"/>
      <c r="BF184" s="983"/>
      <c r="BG184" s="983"/>
      <c r="BH184" s="983"/>
      <c r="BI184" s="983"/>
      <c r="BJ184" s="983"/>
      <c r="BK184" s="983"/>
      <c r="BL184" s="983"/>
      <c r="BM184" s="983"/>
      <c r="BN184" s="983"/>
      <c r="BO184" s="983"/>
      <c r="BP184" s="983"/>
      <c r="BQ184" s="983"/>
      <c r="BR184" s="983"/>
      <c r="BS184" s="983"/>
      <c r="BT184" s="983"/>
      <c r="BU184" s="983"/>
      <c r="BV184" s="983"/>
      <c r="BW184" s="983"/>
      <c r="BX184" s="983"/>
      <c r="BY184" s="984"/>
      <c r="BZ184" s="984"/>
      <c r="CA184" s="984"/>
      <c r="CB184" s="985"/>
      <c r="CC184" s="985"/>
      <c r="CD184" s="985"/>
      <c r="CE184" s="985"/>
      <c r="CF184" s="985"/>
      <c r="CG184" s="985"/>
      <c r="CH184" s="1023"/>
      <c r="CI184" s="1023"/>
      <c r="CJ184" s="1023"/>
      <c r="CK184" s="1023"/>
      <c r="CL184" s="1023"/>
      <c r="CM184" s="1023"/>
      <c r="CN184" s="1023"/>
    </row>
    <row r="185" spans="1:105" ht="32.1" customHeight="1" x14ac:dyDescent="0.25">
      <c r="A185" s="983"/>
      <c r="B185" s="961" t="s">
        <v>2205</v>
      </c>
      <c r="C185" s="961"/>
      <c r="D185" s="983"/>
      <c r="E185" s="983"/>
      <c r="F185" s="983"/>
      <c r="G185" s="983"/>
      <c r="H185" s="983"/>
      <c r="I185" s="983"/>
      <c r="J185" s="983"/>
      <c r="K185" s="983"/>
      <c r="L185" s="983"/>
      <c r="M185" s="983"/>
      <c r="N185" s="983"/>
      <c r="O185" s="983"/>
      <c r="P185" s="983"/>
      <c r="Q185" s="983"/>
      <c r="R185" s="983"/>
      <c r="S185" s="983"/>
      <c r="T185" s="983"/>
      <c r="U185" s="983"/>
      <c r="V185" s="983"/>
      <c r="W185" s="983"/>
      <c r="X185" s="983"/>
      <c r="Y185" s="983"/>
      <c r="Z185" s="983"/>
      <c r="AA185" s="983"/>
      <c r="AB185" s="983"/>
      <c r="AC185" s="983"/>
      <c r="AD185" s="983"/>
      <c r="AE185" s="983"/>
      <c r="AF185" s="983"/>
      <c r="AG185" s="983"/>
      <c r="AH185" s="983"/>
      <c r="AI185" s="983"/>
      <c r="AJ185" s="983"/>
      <c r="AK185" s="983"/>
      <c r="AL185" s="983"/>
      <c r="AM185" s="983"/>
      <c r="AN185" s="983"/>
      <c r="AO185" s="983"/>
      <c r="AP185" s="983"/>
      <c r="AQ185" s="983"/>
      <c r="AR185" s="983"/>
      <c r="AS185" s="983"/>
      <c r="AT185" s="983"/>
      <c r="AU185" s="983"/>
      <c r="AV185" s="983"/>
      <c r="AW185" s="983"/>
      <c r="AX185" s="983"/>
      <c r="AY185" s="983"/>
      <c r="AZ185" s="983"/>
      <c r="BA185" s="983"/>
      <c r="BB185" s="983"/>
      <c r="BC185" s="983"/>
      <c r="BD185" s="983"/>
      <c r="BE185" s="983"/>
      <c r="BF185" s="983"/>
      <c r="BG185" s="983"/>
      <c r="BH185" s="983"/>
      <c r="BI185" s="983"/>
      <c r="BJ185" s="983"/>
      <c r="BK185" s="983"/>
      <c r="BL185" s="983"/>
      <c r="BM185" s="983"/>
      <c r="BN185" s="983"/>
      <c r="BO185" s="983"/>
      <c r="BP185" s="983"/>
      <c r="BQ185" s="983"/>
      <c r="BR185" s="983"/>
      <c r="BS185" s="983"/>
      <c r="BT185" s="983"/>
      <c r="BU185" s="983"/>
      <c r="BV185" s="983"/>
      <c r="BW185" s="983"/>
      <c r="BX185" s="983"/>
      <c r="BY185" s="983"/>
      <c r="BZ185" s="983"/>
      <c r="CA185" s="983"/>
      <c r="CB185" s="985"/>
      <c r="CC185" s="985"/>
      <c r="CD185" s="985"/>
      <c r="CE185" s="985"/>
      <c r="CF185" s="985"/>
      <c r="CG185" s="985"/>
      <c r="CH185" s="1023"/>
      <c r="CI185" s="1023"/>
      <c r="CJ185" s="1023"/>
      <c r="CK185" s="1023"/>
      <c r="CL185" s="1023"/>
      <c r="CM185" s="1023"/>
      <c r="CN185" s="1023"/>
    </row>
    <row r="186" spans="1:105" ht="16.350000000000001" customHeight="1" x14ac:dyDescent="0.25">
      <c r="A186" s="983"/>
      <c r="B186" s="5931" t="s">
        <v>2656</v>
      </c>
      <c r="C186" s="5933" t="s">
        <v>42</v>
      </c>
      <c r="D186" s="5934"/>
      <c r="E186" s="5935"/>
      <c r="F186" s="5938" t="s">
        <v>406</v>
      </c>
      <c r="G186" s="5939"/>
      <c r="H186" s="5939"/>
      <c r="I186" s="5939"/>
      <c r="J186" s="5939"/>
      <c r="K186" s="5939"/>
      <c r="L186" s="5939"/>
      <c r="M186" s="5940"/>
      <c r="N186" s="5934" t="s">
        <v>1373</v>
      </c>
      <c r="O186" s="5941"/>
      <c r="P186" s="5935" t="s">
        <v>1433</v>
      </c>
      <c r="Q186" s="983"/>
      <c r="R186" s="983"/>
      <c r="S186" s="983"/>
      <c r="T186" s="983"/>
      <c r="U186" s="983"/>
      <c r="V186" s="983"/>
      <c r="W186" s="983"/>
      <c r="X186" s="983"/>
      <c r="Y186" s="983"/>
      <c r="Z186" s="983"/>
      <c r="AA186" s="983"/>
      <c r="AB186" s="983"/>
      <c r="AC186" s="983"/>
      <c r="AD186" s="983"/>
      <c r="AE186" s="983"/>
      <c r="AF186" s="983"/>
      <c r="AG186" s="983"/>
      <c r="AH186" s="983"/>
      <c r="AI186" s="983"/>
      <c r="AJ186" s="983"/>
      <c r="AK186" s="983"/>
      <c r="AL186" s="983"/>
      <c r="AM186" s="983"/>
      <c r="AN186" s="983"/>
      <c r="AO186" s="983"/>
      <c r="AP186" s="983"/>
      <c r="AQ186" s="983"/>
      <c r="AR186" s="983"/>
      <c r="AS186" s="983"/>
      <c r="AT186" s="983"/>
      <c r="AU186" s="983"/>
      <c r="AV186" s="983"/>
      <c r="AW186" s="983"/>
      <c r="AX186" s="983"/>
      <c r="AY186" s="983"/>
      <c r="AZ186" s="983"/>
      <c r="BA186" s="983"/>
      <c r="BB186" s="983"/>
      <c r="BC186" s="983"/>
      <c r="BD186" s="983"/>
      <c r="BE186" s="983"/>
      <c r="BF186" s="983"/>
      <c r="BG186" s="983"/>
      <c r="BH186" s="983"/>
      <c r="BI186" s="983"/>
      <c r="BJ186" s="983"/>
      <c r="BK186" s="983"/>
      <c r="BL186" s="983"/>
      <c r="BM186" s="983"/>
      <c r="BN186" s="983"/>
      <c r="BO186" s="983"/>
      <c r="BP186" s="983"/>
      <c r="BQ186" s="983"/>
      <c r="BR186" s="983"/>
      <c r="BS186" s="983"/>
      <c r="BT186" s="983"/>
      <c r="BU186" s="983"/>
      <c r="BV186" s="983"/>
      <c r="BW186" s="983"/>
      <c r="BX186" s="983"/>
      <c r="BY186" s="983"/>
      <c r="BZ186" s="983"/>
      <c r="CA186" s="983"/>
      <c r="CB186" s="985"/>
      <c r="CC186" s="985"/>
      <c r="CD186" s="985"/>
      <c r="CE186" s="985"/>
      <c r="CF186" s="985"/>
      <c r="CG186" s="985"/>
      <c r="CH186" s="1023"/>
      <c r="CI186" s="1023"/>
      <c r="CJ186" s="1023"/>
      <c r="CK186" s="1023"/>
      <c r="CL186" s="1023"/>
      <c r="CM186" s="1023"/>
      <c r="CN186" s="1023"/>
      <c r="CO186" s="985"/>
      <c r="CP186" s="985"/>
      <c r="CQ186" s="985"/>
      <c r="CR186" s="985"/>
      <c r="CS186" s="985"/>
      <c r="CT186" s="985"/>
      <c r="CU186" s="985"/>
      <c r="CV186" s="985"/>
      <c r="CW186" s="985"/>
      <c r="CX186" s="985"/>
      <c r="CY186" s="985"/>
      <c r="CZ186" s="985"/>
      <c r="DA186" s="985"/>
    </row>
    <row r="187" spans="1:105" ht="16.350000000000001" customHeight="1" x14ac:dyDescent="0.25">
      <c r="A187" s="983"/>
      <c r="B187" s="5725"/>
      <c r="C187" s="5936"/>
      <c r="D187" s="5937"/>
      <c r="E187" s="5229"/>
      <c r="F187" s="5926" t="s">
        <v>350</v>
      </c>
      <c r="G187" s="5927"/>
      <c r="H187" s="5926" t="s">
        <v>351</v>
      </c>
      <c r="I187" s="5927"/>
      <c r="J187" s="5928" t="s">
        <v>352</v>
      </c>
      <c r="K187" s="5929"/>
      <c r="L187" s="5926" t="s">
        <v>1374</v>
      </c>
      <c r="M187" s="5930"/>
      <c r="N187" s="5937"/>
      <c r="O187" s="5942"/>
      <c r="P187" s="5216"/>
      <c r="Q187" s="983"/>
      <c r="R187" s="983"/>
      <c r="S187" s="983"/>
      <c r="T187" s="983"/>
      <c r="U187" s="983"/>
      <c r="V187" s="983"/>
      <c r="W187" s="983"/>
      <c r="X187" s="983"/>
      <c r="Y187" s="983"/>
      <c r="Z187" s="983"/>
      <c r="AA187" s="983"/>
      <c r="AB187" s="983"/>
      <c r="AC187" s="983"/>
      <c r="AD187" s="983"/>
      <c r="AE187" s="983"/>
      <c r="AF187" s="983"/>
      <c r="AG187" s="983"/>
      <c r="AH187" s="983"/>
      <c r="AI187" s="983"/>
      <c r="AJ187" s="983"/>
      <c r="AK187" s="983"/>
      <c r="AL187" s="983"/>
      <c r="AM187" s="983"/>
      <c r="AN187" s="983"/>
      <c r="AO187" s="983"/>
      <c r="AP187" s="983"/>
      <c r="AQ187" s="983"/>
      <c r="AR187" s="983"/>
      <c r="AS187" s="983"/>
      <c r="AT187" s="983"/>
      <c r="AU187" s="983"/>
      <c r="AV187" s="983"/>
      <c r="AW187" s="983"/>
      <c r="AX187" s="983"/>
      <c r="AY187" s="983"/>
      <c r="AZ187" s="983"/>
      <c r="BA187" s="983"/>
      <c r="BB187" s="983"/>
      <c r="BC187" s="983"/>
      <c r="BD187" s="983"/>
      <c r="BE187" s="983"/>
      <c r="BF187" s="983"/>
      <c r="BG187" s="983"/>
      <c r="BH187" s="983"/>
      <c r="BI187" s="983"/>
      <c r="BJ187" s="983"/>
      <c r="BK187" s="983"/>
      <c r="BL187" s="983"/>
      <c r="BM187" s="983"/>
      <c r="BN187" s="983"/>
      <c r="BO187" s="983"/>
      <c r="BP187" s="983"/>
      <c r="BQ187" s="983"/>
      <c r="BR187" s="983"/>
      <c r="BS187" s="983"/>
      <c r="BT187" s="983"/>
      <c r="BU187" s="983"/>
      <c r="BV187" s="983"/>
      <c r="BW187" s="983"/>
      <c r="BX187" s="983"/>
      <c r="BY187" s="983"/>
      <c r="BZ187" s="983"/>
      <c r="CA187" s="983"/>
      <c r="CB187" s="985"/>
      <c r="CC187" s="985"/>
      <c r="CD187" s="985"/>
      <c r="CE187" s="985"/>
      <c r="CF187" s="985"/>
      <c r="CG187" s="985"/>
      <c r="CH187" s="1023"/>
      <c r="CI187" s="1023"/>
      <c r="CJ187" s="1023"/>
      <c r="CK187" s="1023"/>
      <c r="CL187" s="1023"/>
      <c r="CM187" s="1023"/>
      <c r="CN187" s="1023"/>
      <c r="CO187" s="985"/>
      <c r="CP187" s="985"/>
      <c r="CQ187" s="985"/>
      <c r="CR187" s="985"/>
      <c r="CS187" s="985"/>
      <c r="CT187" s="985"/>
      <c r="CU187" s="985"/>
      <c r="CV187" s="985"/>
      <c r="CW187" s="985"/>
      <c r="CX187" s="985"/>
      <c r="CY187" s="985"/>
      <c r="CZ187" s="985"/>
      <c r="DA187" s="985"/>
    </row>
    <row r="188" spans="1:105" ht="16.350000000000001" customHeight="1" x14ac:dyDescent="0.25">
      <c r="A188" s="983"/>
      <c r="B188" s="5725"/>
      <c r="C188" s="4555" t="s">
        <v>184</v>
      </c>
      <c r="D188" s="4556" t="s">
        <v>24</v>
      </c>
      <c r="E188" s="4555" t="s">
        <v>25</v>
      </c>
      <c r="F188" s="4557" t="s">
        <v>413</v>
      </c>
      <c r="G188" s="4558" t="s">
        <v>25</v>
      </c>
      <c r="H188" s="4557" t="s">
        <v>413</v>
      </c>
      <c r="I188" s="4558" t="s">
        <v>25</v>
      </c>
      <c r="J188" s="4559" t="s">
        <v>413</v>
      </c>
      <c r="K188" s="4560" t="s">
        <v>25</v>
      </c>
      <c r="L188" s="4557" t="s">
        <v>413</v>
      </c>
      <c r="M188" s="4561" t="s">
        <v>25</v>
      </c>
      <c r="N188" s="4562" t="s">
        <v>1434</v>
      </c>
      <c r="O188" s="4625" t="s">
        <v>1435</v>
      </c>
      <c r="P188" s="5229"/>
      <c r="Q188" s="983"/>
      <c r="R188" s="983"/>
      <c r="S188" s="983"/>
      <c r="T188" s="983"/>
      <c r="U188" s="983"/>
      <c r="V188" s="983"/>
      <c r="W188" s="983"/>
      <c r="X188" s="983"/>
      <c r="Y188" s="983"/>
      <c r="Z188" s="983"/>
      <c r="AA188" s="983"/>
      <c r="AB188" s="983"/>
      <c r="AC188" s="983"/>
      <c r="AD188" s="983"/>
      <c r="AE188" s="983"/>
      <c r="AF188" s="983"/>
      <c r="AG188" s="983"/>
      <c r="AH188" s="983"/>
      <c r="AI188" s="983"/>
      <c r="AJ188" s="983"/>
      <c r="AK188" s="983"/>
      <c r="AL188" s="983"/>
      <c r="AM188" s="983"/>
      <c r="AN188" s="983"/>
      <c r="AO188" s="983"/>
      <c r="AP188" s="983"/>
      <c r="AQ188" s="983"/>
      <c r="AR188" s="983"/>
      <c r="AS188" s="983"/>
      <c r="AT188" s="983"/>
      <c r="AU188" s="983"/>
      <c r="AV188" s="983"/>
      <c r="AW188" s="983"/>
      <c r="AX188" s="983"/>
      <c r="AY188" s="983"/>
      <c r="AZ188" s="983"/>
      <c r="BA188" s="983"/>
      <c r="BB188" s="983"/>
      <c r="BC188" s="983"/>
      <c r="BD188" s="983"/>
      <c r="BE188" s="983"/>
      <c r="BF188" s="983"/>
      <c r="BG188" s="983"/>
      <c r="BH188" s="983"/>
      <c r="BI188" s="983"/>
      <c r="BJ188" s="983"/>
      <c r="BK188" s="983"/>
      <c r="BL188" s="983"/>
      <c r="BM188" s="983"/>
      <c r="BN188" s="983"/>
      <c r="BO188" s="983"/>
      <c r="BP188" s="983"/>
      <c r="BQ188" s="983"/>
      <c r="BR188" s="983"/>
      <c r="BS188" s="983"/>
      <c r="BT188" s="983"/>
      <c r="BU188" s="983"/>
      <c r="BV188" s="983"/>
      <c r="BW188" s="983"/>
      <c r="BX188" s="983"/>
      <c r="BY188" s="983"/>
      <c r="BZ188" s="983"/>
      <c r="CA188" s="983"/>
      <c r="CB188" s="985"/>
      <c r="CC188" s="985"/>
      <c r="CD188" s="985"/>
      <c r="CE188" s="985"/>
      <c r="CF188" s="985"/>
      <c r="CG188" s="985"/>
      <c r="CH188" s="1023"/>
      <c r="CI188" s="1023"/>
      <c r="CJ188" s="1023"/>
      <c r="CK188" s="1023"/>
      <c r="CL188" s="1023"/>
      <c r="CM188" s="1023"/>
      <c r="CN188" s="1023"/>
      <c r="CO188" s="985"/>
      <c r="CP188" s="985"/>
      <c r="CQ188" s="985"/>
      <c r="CR188" s="985"/>
      <c r="CS188" s="985"/>
      <c r="CT188" s="985"/>
      <c r="CU188" s="985"/>
      <c r="CV188" s="985"/>
      <c r="CW188" s="985"/>
      <c r="CX188" s="985"/>
      <c r="CY188" s="985"/>
      <c r="CZ188" s="985"/>
      <c r="DA188" s="985"/>
    </row>
    <row r="189" spans="1:105" ht="16.350000000000001" customHeight="1" x14ac:dyDescent="0.25">
      <c r="A189" s="2995"/>
      <c r="B189" s="5932"/>
      <c r="C189" s="4563">
        <f t="shared" ref="C189" si="2">+D189+E189</f>
        <v>0</v>
      </c>
      <c r="D189" s="4564">
        <f t="shared" ref="D189:E189" si="3">+F189+H189+J189+L189</f>
        <v>0</v>
      </c>
      <c r="E189" s="4565">
        <f t="shared" si="3"/>
        <v>0</v>
      </c>
      <c r="F189" s="4566">
        <f t="shared" ref="F189:P189" si="4">SUM(F190:F194)</f>
        <v>0</v>
      </c>
      <c r="G189" s="4567">
        <f t="shared" si="4"/>
        <v>0</v>
      </c>
      <c r="H189" s="4566">
        <f t="shared" si="4"/>
        <v>0</v>
      </c>
      <c r="I189" s="4567">
        <f t="shared" si="4"/>
        <v>0</v>
      </c>
      <c r="J189" s="4566">
        <f t="shared" si="4"/>
        <v>0</v>
      </c>
      <c r="K189" s="4568">
        <f t="shared" si="4"/>
        <v>0</v>
      </c>
      <c r="L189" s="4569">
        <f t="shared" si="4"/>
        <v>0</v>
      </c>
      <c r="M189" s="4648">
        <f t="shared" si="4"/>
        <v>0</v>
      </c>
      <c r="N189" s="4570">
        <f t="shared" si="4"/>
        <v>0</v>
      </c>
      <c r="O189" s="4567">
        <f t="shared" si="4"/>
        <v>0</v>
      </c>
      <c r="P189" s="4571">
        <f t="shared" si="4"/>
        <v>0</v>
      </c>
      <c r="Q189" s="987"/>
      <c r="R189" s="987"/>
      <c r="S189" s="987"/>
      <c r="T189" s="987"/>
      <c r="U189" s="987"/>
      <c r="V189" s="987"/>
      <c r="W189" s="987"/>
      <c r="X189" s="987"/>
      <c r="Y189" s="987"/>
      <c r="Z189" s="987"/>
      <c r="AA189" s="987"/>
      <c r="AB189" s="987"/>
      <c r="AC189" s="987"/>
      <c r="AD189" s="987"/>
      <c r="AE189" s="987"/>
      <c r="AF189" s="987"/>
      <c r="AG189" s="983"/>
      <c r="AH189" s="983"/>
      <c r="AI189" s="983"/>
      <c r="AJ189" s="983"/>
      <c r="AK189" s="983"/>
      <c r="AL189" s="983"/>
      <c r="AM189" s="983"/>
      <c r="AN189" s="983"/>
      <c r="AO189" s="983"/>
      <c r="AP189" s="983"/>
      <c r="AQ189" s="983"/>
      <c r="AR189" s="983"/>
      <c r="AS189" s="983"/>
      <c r="AT189" s="983"/>
      <c r="AU189" s="983"/>
      <c r="AV189" s="983"/>
      <c r="AW189" s="983"/>
      <c r="AX189" s="983"/>
      <c r="AY189" s="983"/>
      <c r="AZ189" s="983"/>
      <c r="BA189" s="983"/>
      <c r="BB189" s="983"/>
      <c r="BC189" s="983"/>
      <c r="BD189" s="983"/>
      <c r="BE189" s="983"/>
      <c r="BF189" s="983"/>
      <c r="BG189" s="983"/>
      <c r="BH189" s="983"/>
      <c r="BI189" s="983"/>
      <c r="BJ189" s="983"/>
      <c r="BK189" s="983"/>
      <c r="BL189" s="983"/>
      <c r="BM189" s="983"/>
      <c r="BN189" s="983"/>
      <c r="BO189" s="983"/>
      <c r="BP189" s="983"/>
      <c r="BQ189" s="983"/>
      <c r="BR189" s="983"/>
      <c r="BS189" s="983"/>
      <c r="BT189" s="983"/>
      <c r="BU189" s="983"/>
      <c r="BV189" s="983"/>
      <c r="BW189" s="983"/>
      <c r="BX189" s="983"/>
      <c r="BY189" s="983"/>
      <c r="BZ189" s="983"/>
      <c r="CA189" s="983"/>
      <c r="CB189" s="985"/>
      <c r="CC189" s="985"/>
      <c r="CD189" s="985"/>
      <c r="CE189" s="985"/>
      <c r="CF189" s="985"/>
      <c r="CG189" s="985"/>
      <c r="CH189" s="1023"/>
      <c r="CI189" s="1023"/>
      <c r="CJ189" s="1023"/>
      <c r="CK189" s="1023"/>
      <c r="CL189" s="1023"/>
      <c r="CM189" s="1023"/>
      <c r="CN189" s="1023"/>
      <c r="CO189" s="985"/>
      <c r="CP189" s="985"/>
      <c r="CQ189" s="985"/>
      <c r="CR189" s="985"/>
      <c r="CS189" s="985"/>
      <c r="CT189" s="985"/>
      <c r="CU189" s="985"/>
      <c r="CV189" s="985"/>
      <c r="CW189" s="985"/>
      <c r="CX189" s="985"/>
      <c r="CY189" s="985"/>
      <c r="CZ189" s="985"/>
      <c r="DA189" s="985"/>
    </row>
    <row r="190" spans="1:105" ht="16.350000000000001" customHeight="1" x14ac:dyDescent="0.25">
      <c r="A190" s="2996" t="s">
        <v>3549</v>
      </c>
      <c r="B190" s="4572" t="s">
        <v>1436</v>
      </c>
      <c r="C190" s="4573" t="s">
        <v>2777</v>
      </c>
      <c r="D190" s="4573" t="s">
        <v>2778</v>
      </c>
      <c r="E190" s="4574" t="s">
        <v>2779</v>
      </c>
      <c r="F190" s="4575" t="s">
        <v>2780</v>
      </c>
      <c r="G190" s="4576" t="s">
        <v>2781</v>
      </c>
      <c r="H190" s="4575" t="s">
        <v>2782</v>
      </c>
      <c r="I190" s="4576" t="s">
        <v>2783</v>
      </c>
      <c r="J190" s="4575" t="s">
        <v>2784</v>
      </c>
      <c r="K190" s="4577" t="s">
        <v>2785</v>
      </c>
      <c r="L190" s="4575" t="s">
        <v>2786</v>
      </c>
      <c r="M190" s="4578" t="s">
        <v>2787</v>
      </c>
      <c r="N190" s="2659" t="s">
        <v>2788</v>
      </c>
      <c r="O190" s="4576" t="s">
        <v>2789</v>
      </c>
      <c r="P190" s="4579" t="s">
        <v>2790</v>
      </c>
      <c r="Q190" s="1057"/>
      <c r="R190" s="1058"/>
      <c r="S190" s="1058"/>
      <c r="T190" s="1058"/>
      <c r="U190" s="1058"/>
      <c r="V190" s="1058"/>
      <c r="W190" s="1058"/>
      <c r="X190" s="1058"/>
      <c r="Y190" s="1058"/>
      <c r="Z190" s="1058"/>
      <c r="AA190" s="1058"/>
      <c r="AB190" s="1058"/>
      <c r="AC190" s="987"/>
      <c r="AD190" s="987"/>
      <c r="AE190" s="987"/>
      <c r="AF190" s="987"/>
      <c r="AG190" s="983"/>
      <c r="AH190" s="983"/>
      <c r="AI190" s="983"/>
      <c r="AJ190" s="983"/>
      <c r="AK190" s="983"/>
      <c r="AL190" s="983"/>
      <c r="AM190" s="983"/>
      <c r="AN190" s="983"/>
      <c r="AO190" s="983"/>
      <c r="AP190" s="983"/>
      <c r="AQ190" s="983"/>
      <c r="AR190" s="983"/>
      <c r="AS190" s="983"/>
      <c r="AT190" s="983"/>
      <c r="AU190" s="983"/>
      <c r="AV190" s="983"/>
      <c r="AW190" s="983"/>
      <c r="AX190" s="983"/>
      <c r="AY190" s="983"/>
      <c r="AZ190" s="983"/>
      <c r="BA190" s="983"/>
      <c r="BB190" s="983"/>
      <c r="BC190" s="983"/>
      <c r="BD190" s="983"/>
      <c r="BE190" s="983"/>
      <c r="BF190" s="983"/>
      <c r="BG190" s="983"/>
      <c r="BH190" s="983"/>
      <c r="BI190" s="983"/>
      <c r="BJ190" s="983"/>
      <c r="BK190" s="983"/>
      <c r="BL190" s="983"/>
      <c r="BM190" s="983"/>
      <c r="BN190" s="983"/>
      <c r="BO190" s="983"/>
      <c r="BP190" s="983"/>
      <c r="BQ190" s="983"/>
      <c r="BR190" s="983"/>
      <c r="BS190" s="983"/>
      <c r="BT190" s="983"/>
      <c r="BU190" s="983"/>
      <c r="BV190" s="983"/>
      <c r="BW190" s="983"/>
      <c r="BX190" s="983"/>
      <c r="BY190" s="983"/>
      <c r="BZ190" s="983"/>
      <c r="CA190" s="983"/>
      <c r="CB190" s="985"/>
      <c r="CC190" s="985"/>
      <c r="CD190" s="985"/>
      <c r="CE190" s="985"/>
      <c r="CF190" s="985"/>
      <c r="CG190" s="985"/>
      <c r="CH190" s="1023">
        <v>0</v>
      </c>
      <c r="CI190" s="1023">
        <v>0</v>
      </c>
      <c r="CJ190" s="1023"/>
      <c r="CK190" s="1023"/>
      <c r="CL190" s="1023"/>
      <c r="CM190" s="1023"/>
      <c r="CN190" s="1023"/>
      <c r="CO190" s="985"/>
      <c r="CP190" s="985"/>
      <c r="CQ190" s="985"/>
      <c r="CR190" s="985"/>
      <c r="CS190" s="985"/>
      <c r="CT190" s="985"/>
      <c r="CU190" s="985"/>
      <c r="CV190" s="985"/>
      <c r="CW190" s="985"/>
      <c r="CX190" s="985"/>
      <c r="CY190" s="985"/>
      <c r="CZ190" s="985"/>
      <c r="DA190" s="985"/>
    </row>
    <row r="191" spans="1:105" ht="16.350000000000001" customHeight="1" x14ac:dyDescent="0.25">
      <c r="A191" s="2949" t="s">
        <v>3550</v>
      </c>
      <c r="B191" s="788" t="s">
        <v>1437</v>
      </c>
      <c r="C191" s="850" t="s">
        <v>2777</v>
      </c>
      <c r="D191" s="850" t="s">
        <v>2778</v>
      </c>
      <c r="E191" s="4580" t="s">
        <v>2779</v>
      </c>
      <c r="F191" s="789" t="s">
        <v>2780</v>
      </c>
      <c r="G191" s="790" t="s">
        <v>2781</v>
      </c>
      <c r="H191" s="789" t="s">
        <v>2782</v>
      </c>
      <c r="I191" s="790" t="s">
        <v>2783</v>
      </c>
      <c r="J191" s="789" t="s">
        <v>2784</v>
      </c>
      <c r="K191" s="791" t="s">
        <v>2785</v>
      </c>
      <c r="L191" s="789" t="s">
        <v>2786</v>
      </c>
      <c r="M191" s="792" t="s">
        <v>2787</v>
      </c>
      <c r="N191" s="793" t="s">
        <v>2788</v>
      </c>
      <c r="O191" s="790" t="s">
        <v>2789</v>
      </c>
      <c r="P191" s="794" t="s">
        <v>2790</v>
      </c>
      <c r="Q191" s="1057"/>
      <c r="R191" s="1058"/>
      <c r="S191" s="1058"/>
      <c r="T191" s="1058"/>
      <c r="U191" s="1058"/>
      <c r="V191" s="1058"/>
      <c r="W191" s="1058"/>
      <c r="X191" s="1058"/>
      <c r="Y191" s="1058"/>
      <c r="Z191" s="1058"/>
      <c r="AA191" s="1058"/>
      <c r="AB191" s="1058"/>
      <c r="AC191" s="987"/>
      <c r="AD191" s="987"/>
      <c r="AE191" s="987"/>
      <c r="AF191" s="987"/>
      <c r="AG191" s="983"/>
      <c r="AH191" s="983"/>
      <c r="AI191" s="983"/>
      <c r="AJ191" s="983"/>
      <c r="AK191" s="983"/>
      <c r="AL191" s="983"/>
      <c r="AM191" s="983"/>
      <c r="AN191" s="983"/>
      <c r="AO191" s="983"/>
      <c r="AP191" s="983"/>
      <c r="AQ191" s="983"/>
      <c r="AR191" s="983"/>
      <c r="AS191" s="983"/>
      <c r="AT191" s="983"/>
      <c r="AU191" s="983"/>
      <c r="AV191" s="983"/>
      <c r="AW191" s="983"/>
      <c r="AX191" s="983"/>
      <c r="AY191" s="983"/>
      <c r="AZ191" s="983"/>
      <c r="BA191" s="983"/>
      <c r="BB191" s="983"/>
      <c r="BC191" s="983"/>
      <c r="BD191" s="983"/>
      <c r="BE191" s="983"/>
      <c r="BF191" s="983"/>
      <c r="BG191" s="983"/>
      <c r="BH191" s="983"/>
      <c r="BI191" s="983"/>
      <c r="BJ191" s="983"/>
      <c r="BK191" s="983"/>
      <c r="BL191" s="983"/>
      <c r="BM191" s="983"/>
      <c r="BN191" s="983"/>
      <c r="BO191" s="983"/>
      <c r="BP191" s="983"/>
      <c r="BQ191" s="983"/>
      <c r="BR191" s="983"/>
      <c r="BS191" s="983"/>
      <c r="BT191" s="983"/>
      <c r="BU191" s="983"/>
      <c r="BV191" s="983"/>
      <c r="BW191" s="983"/>
      <c r="BX191" s="983"/>
      <c r="BY191" s="983"/>
      <c r="BZ191" s="983"/>
      <c r="CA191" s="983"/>
      <c r="CB191" s="985"/>
      <c r="CC191" s="985"/>
      <c r="CD191" s="985"/>
      <c r="CE191" s="985"/>
      <c r="CF191" s="985"/>
      <c r="CG191" s="985"/>
      <c r="CH191" s="1023">
        <v>0</v>
      </c>
      <c r="CI191" s="1023">
        <v>0</v>
      </c>
      <c r="CJ191" s="1023"/>
      <c r="CK191" s="1023"/>
      <c r="CL191" s="1023"/>
      <c r="CM191" s="1023"/>
      <c r="CN191" s="1023"/>
      <c r="CO191" s="985"/>
      <c r="CP191" s="985"/>
      <c r="CQ191" s="985"/>
      <c r="CR191" s="985"/>
      <c r="CS191" s="985"/>
      <c r="CT191" s="985"/>
      <c r="CU191" s="985"/>
      <c r="CV191" s="985"/>
      <c r="CW191" s="985"/>
      <c r="CX191" s="985"/>
      <c r="CY191" s="985"/>
      <c r="CZ191" s="985"/>
      <c r="DA191" s="985"/>
    </row>
    <row r="192" spans="1:105" ht="16.350000000000001" customHeight="1" x14ac:dyDescent="0.25">
      <c r="A192" s="2949" t="s">
        <v>3551</v>
      </c>
      <c r="B192" s="788" t="s">
        <v>1439</v>
      </c>
      <c r="C192" s="850" t="s">
        <v>2777</v>
      </c>
      <c r="D192" s="850" t="s">
        <v>2778</v>
      </c>
      <c r="E192" s="4580" t="s">
        <v>2779</v>
      </c>
      <c r="F192" s="789" t="s">
        <v>2780</v>
      </c>
      <c r="G192" s="790" t="s">
        <v>2781</v>
      </c>
      <c r="H192" s="789" t="s">
        <v>2782</v>
      </c>
      <c r="I192" s="790" t="s">
        <v>2783</v>
      </c>
      <c r="J192" s="789" t="s">
        <v>2784</v>
      </c>
      <c r="K192" s="791" t="s">
        <v>2785</v>
      </c>
      <c r="L192" s="789" t="s">
        <v>2786</v>
      </c>
      <c r="M192" s="792" t="s">
        <v>2787</v>
      </c>
      <c r="N192" s="793" t="s">
        <v>2788</v>
      </c>
      <c r="O192" s="790" t="s">
        <v>2789</v>
      </c>
      <c r="P192" s="794" t="s">
        <v>2790</v>
      </c>
      <c r="Q192" s="1057"/>
      <c r="R192" s="1058"/>
      <c r="S192" s="1058"/>
      <c r="T192" s="1058"/>
      <c r="U192" s="1058"/>
      <c r="V192" s="1058"/>
      <c r="W192" s="1058"/>
      <c r="X192" s="1058"/>
      <c r="Y192" s="1058"/>
      <c r="Z192" s="1058"/>
      <c r="AA192" s="1058"/>
      <c r="AB192" s="1058"/>
      <c r="AC192" s="987"/>
      <c r="AD192" s="987"/>
      <c r="AE192" s="987"/>
      <c r="AF192" s="987"/>
      <c r="AG192" s="983"/>
      <c r="AH192" s="983"/>
      <c r="AI192" s="983"/>
      <c r="AJ192" s="983"/>
      <c r="AK192" s="983"/>
      <c r="AL192" s="983"/>
      <c r="AM192" s="983"/>
      <c r="AN192" s="983"/>
      <c r="AO192" s="983"/>
      <c r="AP192" s="983"/>
      <c r="AQ192" s="983"/>
      <c r="AR192" s="983"/>
      <c r="AS192" s="983"/>
      <c r="AT192" s="983"/>
      <c r="AU192" s="983"/>
      <c r="AV192" s="983"/>
      <c r="AW192" s="983"/>
      <c r="AX192" s="983"/>
      <c r="AY192" s="983"/>
      <c r="AZ192" s="983"/>
      <c r="BA192" s="983"/>
      <c r="BB192" s="983"/>
      <c r="BC192" s="983"/>
      <c r="BD192" s="983"/>
      <c r="BE192" s="983"/>
      <c r="BF192" s="983"/>
      <c r="BG192" s="983"/>
      <c r="BH192" s="983"/>
      <c r="BI192" s="983"/>
      <c r="BJ192" s="983"/>
      <c r="BK192" s="983"/>
      <c r="BL192" s="983"/>
      <c r="BM192" s="983"/>
      <c r="BN192" s="983"/>
      <c r="BO192" s="983"/>
      <c r="BP192" s="983"/>
      <c r="BQ192" s="983"/>
      <c r="BR192" s="983"/>
      <c r="BS192" s="983"/>
      <c r="BT192" s="983"/>
      <c r="BU192" s="983"/>
      <c r="BV192" s="983"/>
      <c r="BW192" s="983"/>
      <c r="BX192" s="983"/>
      <c r="BY192" s="984"/>
      <c r="BZ192" s="984"/>
      <c r="CA192" s="984"/>
      <c r="CB192" s="985"/>
      <c r="CC192" s="985"/>
      <c r="CD192" s="985"/>
      <c r="CE192" s="985"/>
      <c r="CF192" s="985"/>
      <c r="CG192" s="985"/>
      <c r="CH192" s="1023">
        <v>0</v>
      </c>
      <c r="CI192" s="1023">
        <v>0</v>
      </c>
      <c r="CJ192" s="1023"/>
      <c r="CK192" s="1023"/>
      <c r="CL192" s="1023"/>
      <c r="CM192" s="1023"/>
      <c r="CN192" s="1023"/>
      <c r="CO192" s="985"/>
      <c r="CP192" s="985"/>
      <c r="CQ192" s="985"/>
      <c r="CR192" s="985"/>
      <c r="CS192" s="985"/>
      <c r="CT192" s="985"/>
      <c r="CU192" s="985"/>
      <c r="CV192" s="985"/>
      <c r="CW192" s="985"/>
      <c r="CX192" s="985"/>
      <c r="CY192" s="985"/>
      <c r="CZ192" s="985"/>
      <c r="DA192" s="985"/>
    </row>
    <row r="193" spans="1:105" ht="16.350000000000001" customHeight="1" x14ac:dyDescent="0.25">
      <c r="A193" s="2949" t="s">
        <v>3552</v>
      </c>
      <c r="B193" s="788" t="s">
        <v>3730</v>
      </c>
      <c r="C193" s="850" t="s">
        <v>2777</v>
      </c>
      <c r="D193" s="850" t="s">
        <v>2778</v>
      </c>
      <c r="E193" s="4580" t="s">
        <v>2779</v>
      </c>
      <c r="F193" s="2663" t="s">
        <v>2780</v>
      </c>
      <c r="G193" s="795" t="s">
        <v>2781</v>
      </c>
      <c r="H193" s="2663" t="s">
        <v>2782</v>
      </c>
      <c r="I193" s="795" t="s">
        <v>2783</v>
      </c>
      <c r="J193" s="2663" t="s">
        <v>2784</v>
      </c>
      <c r="K193" s="796" t="s">
        <v>2785</v>
      </c>
      <c r="L193" s="2663" t="s">
        <v>2786</v>
      </c>
      <c r="M193" s="797" t="s">
        <v>2787</v>
      </c>
      <c r="N193" s="798" t="s">
        <v>2788</v>
      </c>
      <c r="O193" s="795" t="s">
        <v>2789</v>
      </c>
      <c r="P193" s="799" t="s">
        <v>2790</v>
      </c>
      <c r="Q193" s="1057"/>
      <c r="R193" s="1058"/>
      <c r="S193" s="1058"/>
      <c r="T193" s="1058"/>
      <c r="U193" s="1058"/>
      <c r="V193" s="1058"/>
      <c r="W193" s="1058"/>
      <c r="X193" s="1058"/>
      <c r="Y193" s="1058"/>
      <c r="Z193" s="1058"/>
      <c r="AA193" s="1058"/>
      <c r="AB193" s="1058"/>
      <c r="AC193" s="987"/>
      <c r="AD193" s="987"/>
      <c r="AE193" s="987"/>
      <c r="AF193" s="987"/>
      <c r="AG193" s="983"/>
      <c r="AH193" s="983"/>
      <c r="AI193" s="983"/>
      <c r="AJ193" s="983"/>
      <c r="AK193" s="983"/>
      <c r="AL193" s="983"/>
      <c r="AM193" s="983"/>
      <c r="AN193" s="983"/>
      <c r="AO193" s="983"/>
      <c r="AP193" s="983"/>
      <c r="AQ193" s="983"/>
      <c r="AR193" s="983"/>
      <c r="AS193" s="983"/>
      <c r="AT193" s="983"/>
      <c r="AU193" s="983"/>
      <c r="AV193" s="983"/>
      <c r="AW193" s="983"/>
      <c r="AX193" s="983"/>
      <c r="AY193" s="983"/>
      <c r="AZ193" s="983"/>
      <c r="BA193" s="983"/>
      <c r="BB193" s="983"/>
      <c r="BC193" s="983"/>
      <c r="BD193" s="983"/>
      <c r="BE193" s="983"/>
      <c r="BF193" s="983"/>
      <c r="BG193" s="983"/>
      <c r="BH193" s="983"/>
      <c r="BI193" s="983"/>
      <c r="BJ193" s="983"/>
      <c r="BK193" s="983"/>
      <c r="BL193" s="983"/>
      <c r="BM193" s="983"/>
      <c r="BN193" s="983"/>
      <c r="BO193" s="983"/>
      <c r="BP193" s="983"/>
      <c r="BQ193" s="983"/>
      <c r="BR193" s="983"/>
      <c r="BS193" s="983"/>
      <c r="BT193" s="983"/>
      <c r="BU193" s="983"/>
      <c r="BV193" s="983"/>
      <c r="BW193" s="983"/>
      <c r="BX193" s="983"/>
      <c r="BY193" s="984"/>
      <c r="BZ193" s="984"/>
      <c r="CA193" s="984"/>
      <c r="CB193" s="985"/>
      <c r="CC193" s="985"/>
      <c r="CD193" s="985"/>
      <c r="CE193" s="985"/>
      <c r="CF193" s="985"/>
      <c r="CG193" s="985"/>
      <c r="CH193" s="1023">
        <v>0</v>
      </c>
      <c r="CI193" s="1023">
        <v>0</v>
      </c>
      <c r="CJ193" s="1023"/>
      <c r="CK193" s="1023"/>
      <c r="CL193" s="1023"/>
      <c r="CM193" s="1023"/>
      <c r="CN193" s="1023"/>
      <c r="CO193" s="985"/>
      <c r="CP193" s="985"/>
      <c r="CQ193" s="985"/>
      <c r="CR193" s="985"/>
      <c r="CS193" s="985"/>
      <c r="CT193" s="985"/>
      <c r="CU193" s="985"/>
      <c r="CV193" s="985"/>
      <c r="CW193" s="985"/>
      <c r="CX193" s="985"/>
      <c r="CY193" s="985"/>
      <c r="CZ193" s="985"/>
      <c r="DA193" s="985"/>
    </row>
    <row r="194" spans="1:105" ht="16.350000000000001" customHeight="1" x14ac:dyDescent="0.25">
      <c r="A194" s="2949" t="s">
        <v>3553</v>
      </c>
      <c r="B194" s="4581" t="s">
        <v>1383</v>
      </c>
      <c r="C194" s="4582" t="s">
        <v>2777</v>
      </c>
      <c r="D194" s="4582" t="s">
        <v>2778</v>
      </c>
      <c r="E194" s="4583" t="s">
        <v>2779</v>
      </c>
      <c r="F194" s="800" t="s">
        <v>2780</v>
      </c>
      <c r="G194" s="801" t="s">
        <v>2781</v>
      </c>
      <c r="H194" s="800" t="s">
        <v>2782</v>
      </c>
      <c r="I194" s="801" t="s">
        <v>2783</v>
      </c>
      <c r="J194" s="800" t="s">
        <v>2784</v>
      </c>
      <c r="K194" s="801" t="s">
        <v>2785</v>
      </c>
      <c r="L194" s="800" t="s">
        <v>2786</v>
      </c>
      <c r="M194" s="802" t="s">
        <v>2787</v>
      </c>
      <c r="N194" s="803" t="s">
        <v>2788</v>
      </c>
      <c r="O194" s="801" t="s">
        <v>2789</v>
      </c>
      <c r="P194" s="804" t="s">
        <v>2790</v>
      </c>
      <c r="Q194" s="1057"/>
      <c r="R194" s="1058"/>
      <c r="S194" s="1058"/>
      <c r="T194" s="1058"/>
      <c r="U194" s="1058"/>
      <c r="V194" s="1058"/>
      <c r="W194" s="1058"/>
      <c r="X194" s="1058"/>
      <c r="Y194" s="1058"/>
      <c r="Z194" s="1058"/>
      <c r="AA194" s="1058"/>
      <c r="AB194" s="1058"/>
      <c r="AC194" s="987"/>
      <c r="AD194" s="987"/>
      <c r="AE194" s="987"/>
      <c r="AF194" s="987"/>
      <c r="AG194" s="983"/>
      <c r="AH194" s="983"/>
      <c r="AI194" s="983"/>
      <c r="AJ194" s="983"/>
      <c r="AK194" s="983"/>
      <c r="AL194" s="983"/>
      <c r="AM194" s="983"/>
      <c r="AN194" s="983"/>
      <c r="AO194" s="983"/>
      <c r="AP194" s="983"/>
      <c r="AQ194" s="983"/>
      <c r="AR194" s="983"/>
      <c r="AS194" s="983"/>
      <c r="AT194" s="983"/>
      <c r="AU194" s="983"/>
      <c r="AV194" s="983"/>
      <c r="AW194" s="983"/>
      <c r="AX194" s="983"/>
      <c r="AY194" s="983"/>
      <c r="AZ194" s="983"/>
      <c r="BA194" s="983"/>
      <c r="BB194" s="983"/>
      <c r="BC194" s="983"/>
      <c r="BD194" s="983"/>
      <c r="BE194" s="983"/>
      <c r="BF194" s="983"/>
      <c r="BG194" s="983"/>
      <c r="BH194" s="983"/>
      <c r="BI194" s="983"/>
      <c r="BJ194" s="983"/>
      <c r="BK194" s="983"/>
      <c r="BL194" s="983"/>
      <c r="BM194" s="983"/>
      <c r="BN194" s="983"/>
      <c r="BO194" s="983"/>
      <c r="BP194" s="983"/>
      <c r="BQ194" s="983"/>
      <c r="BR194" s="983"/>
      <c r="BS194" s="983"/>
      <c r="BT194" s="983"/>
      <c r="BU194" s="983"/>
      <c r="BV194" s="983"/>
      <c r="BW194" s="983"/>
      <c r="BX194" s="983"/>
      <c r="BY194" s="984"/>
      <c r="BZ194" s="984"/>
      <c r="CA194" s="984"/>
      <c r="CB194" s="985"/>
      <c r="CC194" s="985"/>
      <c r="CD194" s="985"/>
      <c r="CE194" s="985"/>
      <c r="CF194" s="985"/>
      <c r="CG194" s="985"/>
      <c r="CH194" s="1023">
        <v>0</v>
      </c>
      <c r="CI194" s="1023">
        <v>0</v>
      </c>
      <c r="CJ194" s="1023"/>
      <c r="CK194" s="1023"/>
      <c r="CL194" s="1023"/>
      <c r="CM194" s="1023"/>
      <c r="CN194" s="1023"/>
      <c r="CO194" s="985"/>
      <c r="CP194" s="985"/>
      <c r="CQ194" s="985"/>
      <c r="CR194" s="985"/>
      <c r="CS194" s="985"/>
      <c r="CT194" s="985"/>
      <c r="CU194" s="985"/>
      <c r="CV194" s="985"/>
      <c r="CW194" s="985"/>
      <c r="CX194" s="985"/>
      <c r="CY194" s="985"/>
      <c r="CZ194" s="985"/>
      <c r="DA194" s="985"/>
    </row>
    <row r="199" spans="1:105" s="991" customFormat="1" ht="14.25" hidden="1" customHeight="1" x14ac:dyDescent="0.2">
      <c r="B199" s="991" t="e">
        <f>SUM(C12:C14,C19:C22,C27:C32,C63,C85,D90,E100:E102,D107:D109,D113:D114,D118:D119,C135,E142:E143,D146:D151,E155:E160,D165:D168,D178:D179,C184,C37:C42,C47:C52,F138:G138,D91:D97,D173:D174,#REF!,C189)</f>
        <v>#REF!</v>
      </c>
      <c r="C199" s="991">
        <f>SUM(CH8:CN184)</f>
        <v>7</v>
      </c>
      <c r="BY199" s="1026"/>
      <c r="BZ199" s="1026"/>
      <c r="CA199" s="1026"/>
      <c r="CB199" s="1026"/>
      <c r="CC199" s="1026"/>
      <c r="CD199" s="1026"/>
      <c r="CE199" s="1026"/>
      <c r="CF199" s="1026"/>
      <c r="CG199" s="1026"/>
      <c r="CH199" s="1026"/>
      <c r="CI199" s="1026"/>
      <c r="CJ199" s="1026"/>
      <c r="CK199" s="1026"/>
      <c r="CL199" s="1026"/>
      <c r="CM199" s="1026"/>
      <c r="CN199" s="1026"/>
      <c r="CO199" s="1026"/>
      <c r="CP199" s="1026"/>
      <c r="CQ199" s="1026"/>
      <c r="CR199" s="1026"/>
      <c r="CS199" s="1026"/>
      <c r="CT199" s="1026"/>
      <c r="CU199" s="1026"/>
      <c r="CV199" s="1026"/>
      <c r="CW199" s="1026"/>
      <c r="CX199" s="1026"/>
      <c r="CY199" s="1026"/>
      <c r="CZ199" s="1026"/>
      <c r="DA199" s="1026"/>
    </row>
    <row r="200" spans="1:105" x14ac:dyDescent="0.25">
      <c r="B200" s="983"/>
      <c r="C200" s="983"/>
      <c r="D200" s="983"/>
      <c r="E200" s="983"/>
      <c r="F200" s="983"/>
      <c r="G200" s="983"/>
      <c r="H200" s="983"/>
      <c r="I200" s="983"/>
      <c r="J200" s="983"/>
      <c r="K200" s="983"/>
      <c r="L200" s="983"/>
      <c r="M200" s="983"/>
      <c r="N200" s="983"/>
      <c r="O200" s="983"/>
      <c r="P200" s="983"/>
      <c r="Q200" s="983"/>
      <c r="R200" s="983"/>
      <c r="S200" s="983"/>
      <c r="T200" s="983"/>
      <c r="U200" s="983"/>
      <c r="V200" s="983"/>
      <c r="W200" s="983"/>
      <c r="X200" s="983"/>
      <c r="Y200" s="983"/>
      <c r="Z200" s="983"/>
      <c r="AA200" s="983"/>
      <c r="AB200" s="983"/>
      <c r="AC200" s="983"/>
      <c r="AD200" s="983"/>
      <c r="AE200" s="983"/>
      <c r="AF200" s="983"/>
      <c r="AG200" s="983"/>
      <c r="AH200" s="983"/>
      <c r="AI200" s="983"/>
      <c r="AJ200" s="983"/>
      <c r="AK200" s="983"/>
      <c r="AL200" s="983"/>
      <c r="AM200" s="983"/>
      <c r="AN200" s="983"/>
      <c r="AO200" s="983"/>
      <c r="AP200" s="983"/>
      <c r="AQ200" s="983"/>
      <c r="AR200" s="983"/>
      <c r="AS200" s="983"/>
      <c r="AT200" s="983"/>
      <c r="AU200" s="983"/>
      <c r="AV200" s="983"/>
      <c r="AW200" s="983"/>
      <c r="AX200" s="983"/>
      <c r="AY200" s="983"/>
      <c r="AZ200" s="983"/>
      <c r="BA200" s="983"/>
      <c r="BB200" s="983"/>
      <c r="BC200" s="983"/>
      <c r="BD200" s="983"/>
      <c r="BE200" s="983"/>
      <c r="BF200" s="983"/>
      <c r="BG200" s="983"/>
      <c r="BH200" s="983"/>
      <c r="BI200" s="983"/>
      <c r="BJ200" s="983"/>
      <c r="BK200" s="983"/>
      <c r="BL200" s="983"/>
      <c r="BM200" s="983"/>
      <c r="BN200" s="983"/>
      <c r="BO200" s="983"/>
      <c r="BP200" s="983"/>
      <c r="BQ200" s="983"/>
      <c r="BR200" s="983"/>
      <c r="BS200" s="983"/>
      <c r="BT200" s="983"/>
      <c r="BU200" s="983"/>
      <c r="BV200" s="983"/>
      <c r="BW200" s="983"/>
      <c r="BX200" s="983"/>
      <c r="BY200" s="984"/>
      <c r="BZ200" s="984"/>
      <c r="CA200" s="984"/>
      <c r="CB200" s="985"/>
      <c r="CC200" s="985"/>
      <c r="CD200" s="985"/>
      <c r="CE200" s="985"/>
      <c r="CF200" s="985"/>
      <c r="CG200" s="985"/>
      <c r="CH200" s="985"/>
      <c r="CI200" s="985"/>
      <c r="CJ200" s="985"/>
      <c r="CK200" s="985"/>
      <c r="CL200" s="985"/>
      <c r="CM200" s="985"/>
      <c r="CN200" s="985"/>
      <c r="CO200" s="985"/>
      <c r="CP200" s="985"/>
      <c r="CQ200" s="985"/>
      <c r="CR200" s="985"/>
      <c r="CS200" s="985"/>
      <c r="CT200" s="985"/>
      <c r="CU200" s="985"/>
      <c r="CV200" s="985"/>
      <c r="CW200" s="985"/>
      <c r="CX200" s="985"/>
      <c r="CY200" s="985"/>
      <c r="CZ200" s="985"/>
      <c r="DA200" s="985"/>
    </row>
    <row r="202" spans="1:105" x14ac:dyDescent="0.25">
      <c r="A202" s="4241" t="s">
        <v>3740</v>
      </c>
    </row>
    <row r="203" spans="1:105" x14ac:dyDescent="0.25">
      <c r="A203" s="4640" t="s">
        <v>3778</v>
      </c>
    </row>
    <row r="204" spans="1:105" x14ac:dyDescent="0.25">
      <c r="A204" s="4640" t="s">
        <v>3779</v>
      </c>
    </row>
    <row r="205" spans="1:105" x14ac:dyDescent="0.25">
      <c r="A205" s="4640" t="s">
        <v>3780</v>
      </c>
    </row>
    <row r="206" spans="1:105" x14ac:dyDescent="0.25">
      <c r="A206" s="4640" t="s">
        <v>3781</v>
      </c>
    </row>
    <row r="207" spans="1:105" x14ac:dyDescent="0.25">
      <c r="A207" s="4640" t="s">
        <v>3782</v>
      </c>
    </row>
    <row r="208" spans="1:105" x14ac:dyDescent="0.25">
      <c r="A208" s="4640" t="s">
        <v>3783</v>
      </c>
    </row>
    <row r="210" spans="1:1" x14ac:dyDescent="0.25">
      <c r="A210" s="4624" t="s">
        <v>3742</v>
      </c>
    </row>
    <row r="211" spans="1:1" x14ac:dyDescent="0.25">
      <c r="A211" s="4641" t="s">
        <v>3786</v>
      </c>
    </row>
    <row r="212" spans="1:1" x14ac:dyDescent="0.25">
      <c r="A212" s="4641" t="s">
        <v>3787</v>
      </c>
    </row>
  </sheetData>
  <mergeCells count="320">
    <mergeCell ref="H187:I187"/>
    <mergeCell ref="J187:K187"/>
    <mergeCell ref="L187:M187"/>
    <mergeCell ref="A10:A11"/>
    <mergeCell ref="T182:U182"/>
    <mergeCell ref="V182:W182"/>
    <mergeCell ref="B186:B189"/>
    <mergeCell ref="C186:E187"/>
    <mergeCell ref="F186:M186"/>
    <mergeCell ref="N186:O187"/>
    <mergeCell ref="P186:P188"/>
    <mergeCell ref="F187:G187"/>
    <mergeCell ref="B181:B183"/>
    <mergeCell ref="C181:E182"/>
    <mergeCell ref="F181:W181"/>
    <mergeCell ref="F182:G182"/>
    <mergeCell ref="H182:I182"/>
    <mergeCell ref="J182:K182"/>
    <mergeCell ref="L182:M182"/>
    <mergeCell ref="N182:O182"/>
    <mergeCell ref="P182:Q182"/>
    <mergeCell ref="R182:S182"/>
    <mergeCell ref="B173:B174"/>
    <mergeCell ref="B176:B177"/>
    <mergeCell ref="C176:C177"/>
    <mergeCell ref="D176:D177"/>
    <mergeCell ref="E176:E177"/>
    <mergeCell ref="AG170:AH170"/>
    <mergeCell ref="G171:H171"/>
    <mergeCell ref="I171:J171"/>
    <mergeCell ref="K171:L171"/>
    <mergeCell ref="M171:N171"/>
    <mergeCell ref="O171:P171"/>
    <mergeCell ref="Q171:R171"/>
    <mergeCell ref="S171:T171"/>
    <mergeCell ref="U171:V171"/>
    <mergeCell ref="AC171:AC172"/>
    <mergeCell ref="X170:X172"/>
    <mergeCell ref="Y170:Y172"/>
    <mergeCell ref="Z170:Z172"/>
    <mergeCell ref="AA170:AA172"/>
    <mergeCell ref="AB170:AB172"/>
    <mergeCell ref="AC170:AF170"/>
    <mergeCell ref="AD171:AD172"/>
    <mergeCell ref="AE171:AE172"/>
    <mergeCell ref="AF171:AF172"/>
    <mergeCell ref="B167:C167"/>
    <mergeCell ref="B168:C168"/>
    <mergeCell ref="B170:C172"/>
    <mergeCell ref="D170:F171"/>
    <mergeCell ref="G170:V170"/>
    <mergeCell ref="W170:W172"/>
    <mergeCell ref="AG163:AH163"/>
    <mergeCell ref="AG171:AG172"/>
    <mergeCell ref="AH171:AH172"/>
    <mergeCell ref="AK163:AL163"/>
    <mergeCell ref="AM163:AN163"/>
    <mergeCell ref="B165:C165"/>
    <mergeCell ref="B166:C166"/>
    <mergeCell ref="U163:V163"/>
    <mergeCell ref="W163:X163"/>
    <mergeCell ref="Y163:Z163"/>
    <mergeCell ref="AA163:AB163"/>
    <mergeCell ref="AC163:AD163"/>
    <mergeCell ref="AE163:AF163"/>
    <mergeCell ref="B162:C164"/>
    <mergeCell ref="D162:F163"/>
    <mergeCell ref="G162:AN162"/>
    <mergeCell ref="G163:H163"/>
    <mergeCell ref="I163:J163"/>
    <mergeCell ref="K163:L163"/>
    <mergeCell ref="M163:N163"/>
    <mergeCell ref="O163:P163"/>
    <mergeCell ref="Q163:R163"/>
    <mergeCell ref="S163:T163"/>
    <mergeCell ref="B155:B157"/>
    <mergeCell ref="C155:D155"/>
    <mergeCell ref="C156:D156"/>
    <mergeCell ref="C157:D157"/>
    <mergeCell ref="B158:B160"/>
    <mergeCell ref="C158:D158"/>
    <mergeCell ref="C159:D159"/>
    <mergeCell ref="C160:D160"/>
    <mergeCell ref="AI163:AJ163"/>
    <mergeCell ref="B146:B147"/>
    <mergeCell ref="B149:B151"/>
    <mergeCell ref="B153:D154"/>
    <mergeCell ref="E153:G153"/>
    <mergeCell ref="H153:H154"/>
    <mergeCell ref="I153:I154"/>
    <mergeCell ref="H140:H141"/>
    <mergeCell ref="I140:K140"/>
    <mergeCell ref="L140:N140"/>
    <mergeCell ref="B142:B143"/>
    <mergeCell ref="C142:D142"/>
    <mergeCell ref="B145:C145"/>
    <mergeCell ref="J153:J154"/>
    <mergeCell ref="B118:B119"/>
    <mergeCell ref="B121:B122"/>
    <mergeCell ref="C121:C122"/>
    <mergeCell ref="B137:E137"/>
    <mergeCell ref="C138:E138"/>
    <mergeCell ref="B140:D141"/>
    <mergeCell ref="E140:G140"/>
    <mergeCell ref="B114:C114"/>
    <mergeCell ref="B116:C117"/>
    <mergeCell ref="D116:D117"/>
    <mergeCell ref="E116:N116"/>
    <mergeCell ref="O116:P116"/>
    <mergeCell ref="Q116:Q117"/>
    <mergeCell ref="Y111:Y112"/>
    <mergeCell ref="Z111:AC111"/>
    <mergeCell ref="AD111:AE111"/>
    <mergeCell ref="AF111:AI111"/>
    <mergeCell ref="AJ111:AJ112"/>
    <mergeCell ref="B113:C113"/>
    <mergeCell ref="M111:N111"/>
    <mergeCell ref="O111:P111"/>
    <mergeCell ref="Q111:R111"/>
    <mergeCell ref="S111:T111"/>
    <mergeCell ref="U111:V111"/>
    <mergeCell ref="W111:X111"/>
    <mergeCell ref="B109:C109"/>
    <mergeCell ref="B111:C112"/>
    <mergeCell ref="D111:F111"/>
    <mergeCell ref="G111:H111"/>
    <mergeCell ref="I111:J111"/>
    <mergeCell ref="K111:L111"/>
    <mergeCell ref="AG105:AH105"/>
    <mergeCell ref="AI105:AJ105"/>
    <mergeCell ref="AK105:AL105"/>
    <mergeCell ref="B107:C107"/>
    <mergeCell ref="B108:C108"/>
    <mergeCell ref="AO104:AO106"/>
    <mergeCell ref="G105:H105"/>
    <mergeCell ref="I105:J105"/>
    <mergeCell ref="K105:L105"/>
    <mergeCell ref="M105:N105"/>
    <mergeCell ref="O105:P105"/>
    <mergeCell ref="Q105:R105"/>
    <mergeCell ref="S105:T105"/>
    <mergeCell ref="U105:V105"/>
    <mergeCell ref="W105:X105"/>
    <mergeCell ref="B97:C97"/>
    <mergeCell ref="B99:D99"/>
    <mergeCell ref="B100:C102"/>
    <mergeCell ref="B104:C106"/>
    <mergeCell ref="D104:F105"/>
    <mergeCell ref="G104:AN104"/>
    <mergeCell ref="Y105:Z105"/>
    <mergeCell ref="AA105:AB105"/>
    <mergeCell ref="AC105:AD105"/>
    <mergeCell ref="AE105:AF105"/>
    <mergeCell ref="AM105:AN105"/>
    <mergeCell ref="B90:C90"/>
    <mergeCell ref="B91:B93"/>
    <mergeCell ref="B94:C94"/>
    <mergeCell ref="B95:C95"/>
    <mergeCell ref="B96:C96"/>
    <mergeCell ref="AA88:AB88"/>
    <mergeCell ref="AC88:AD88"/>
    <mergeCell ref="AE88:AF88"/>
    <mergeCell ref="AG88:AH88"/>
    <mergeCell ref="B87:C89"/>
    <mergeCell ref="D87:F88"/>
    <mergeCell ref="AP87:AP89"/>
    <mergeCell ref="G88:H88"/>
    <mergeCell ref="I88:J88"/>
    <mergeCell ref="K88:L88"/>
    <mergeCell ref="M88:N88"/>
    <mergeCell ref="O88:P88"/>
    <mergeCell ref="Q88:R88"/>
    <mergeCell ref="S88:T88"/>
    <mergeCell ref="U88:V88"/>
    <mergeCell ref="AM88:AN88"/>
    <mergeCell ref="AI88:AJ88"/>
    <mergeCell ref="AK88:AL88"/>
    <mergeCell ref="G87:AN87"/>
    <mergeCell ref="W88:X88"/>
    <mergeCell ref="Y88:Z88"/>
    <mergeCell ref="R55:S55"/>
    <mergeCell ref="T55:U55"/>
    <mergeCell ref="V55:W55"/>
    <mergeCell ref="X55:Y55"/>
    <mergeCell ref="Z55:AA55"/>
    <mergeCell ref="AB55:AC55"/>
    <mergeCell ref="B54:B56"/>
    <mergeCell ref="C54:E55"/>
    <mergeCell ref="F54:AM54"/>
    <mergeCell ref="AL55:AM55"/>
    <mergeCell ref="AN54:AO55"/>
    <mergeCell ref="F55:G55"/>
    <mergeCell ref="H55:I55"/>
    <mergeCell ref="J55:K55"/>
    <mergeCell ref="L55:M55"/>
    <mergeCell ref="AO87:AO89"/>
    <mergeCell ref="N55:O55"/>
    <mergeCell ref="P55:Q55"/>
    <mergeCell ref="AB45:AC45"/>
    <mergeCell ref="AD45:AE45"/>
    <mergeCell ref="AF45:AG45"/>
    <mergeCell ref="AH45:AI45"/>
    <mergeCell ref="AJ45:AK45"/>
    <mergeCell ref="AL45:AM45"/>
    <mergeCell ref="P45:Q45"/>
    <mergeCell ref="R45:S45"/>
    <mergeCell ref="T45:U45"/>
    <mergeCell ref="V45:W45"/>
    <mergeCell ref="X45:Y45"/>
    <mergeCell ref="Z45:AA45"/>
    <mergeCell ref="AD55:AE55"/>
    <mergeCell ref="AF55:AG55"/>
    <mergeCell ref="AH55:AI55"/>
    <mergeCell ref="AJ55:AK55"/>
    <mergeCell ref="B44:B46"/>
    <mergeCell ref="C44:E45"/>
    <mergeCell ref="F44:AM44"/>
    <mergeCell ref="AN44:AN46"/>
    <mergeCell ref="AO44:AO46"/>
    <mergeCell ref="F45:G45"/>
    <mergeCell ref="H45:I45"/>
    <mergeCell ref="J45:K45"/>
    <mergeCell ref="L45:M45"/>
    <mergeCell ref="N45:O45"/>
    <mergeCell ref="B34:B36"/>
    <mergeCell ref="C34:E35"/>
    <mergeCell ref="F34:AM34"/>
    <mergeCell ref="AN34:AN36"/>
    <mergeCell ref="AO34:AO36"/>
    <mergeCell ref="F35:G35"/>
    <mergeCell ref="H35:I35"/>
    <mergeCell ref="J35:K35"/>
    <mergeCell ref="L35:M35"/>
    <mergeCell ref="N35:O35"/>
    <mergeCell ref="AB35:AC35"/>
    <mergeCell ref="AD35:AE35"/>
    <mergeCell ref="AF35:AG35"/>
    <mergeCell ref="AH35:AI35"/>
    <mergeCell ref="AJ35:AK35"/>
    <mergeCell ref="AL35:AM35"/>
    <mergeCell ref="P35:Q35"/>
    <mergeCell ref="R35:S35"/>
    <mergeCell ref="T35:U35"/>
    <mergeCell ref="V35:W35"/>
    <mergeCell ref="X35:Y35"/>
    <mergeCell ref="Z35:AA35"/>
    <mergeCell ref="AN24:AN26"/>
    <mergeCell ref="AO24:AO26"/>
    <mergeCell ref="F25:G25"/>
    <mergeCell ref="H25:I25"/>
    <mergeCell ref="J25:K25"/>
    <mergeCell ref="L25:M25"/>
    <mergeCell ref="N25:O25"/>
    <mergeCell ref="P25:Q25"/>
    <mergeCell ref="R25:S25"/>
    <mergeCell ref="T25:U25"/>
    <mergeCell ref="B24:B26"/>
    <mergeCell ref="C24:E25"/>
    <mergeCell ref="F24:AM24"/>
    <mergeCell ref="V25:W25"/>
    <mergeCell ref="X25:Y25"/>
    <mergeCell ref="Z25:AA25"/>
    <mergeCell ref="T17:U17"/>
    <mergeCell ref="V17:W17"/>
    <mergeCell ref="X17:Y17"/>
    <mergeCell ref="Z17:AA17"/>
    <mergeCell ref="AB17:AC17"/>
    <mergeCell ref="AD17:AE17"/>
    <mergeCell ref="H17:I17"/>
    <mergeCell ref="J17:K17"/>
    <mergeCell ref="L17:M17"/>
    <mergeCell ref="N17:O17"/>
    <mergeCell ref="P17:Q17"/>
    <mergeCell ref="R17:S17"/>
    <mergeCell ref="AB25:AC25"/>
    <mergeCell ref="AD25:AE25"/>
    <mergeCell ref="AF25:AG25"/>
    <mergeCell ref="AH25:AI25"/>
    <mergeCell ref="AJ25:AK25"/>
    <mergeCell ref="AL25:AM25"/>
    <mergeCell ref="B15:N15"/>
    <mergeCell ref="B16:B18"/>
    <mergeCell ref="C16:E17"/>
    <mergeCell ref="F16:AM16"/>
    <mergeCell ref="AN16:AN18"/>
    <mergeCell ref="AO16:AO18"/>
    <mergeCell ref="F17:G17"/>
    <mergeCell ref="AD10:AE10"/>
    <mergeCell ref="AF10:AG10"/>
    <mergeCell ref="AH10:AI10"/>
    <mergeCell ref="AJ10:AK10"/>
    <mergeCell ref="AL10:AM10"/>
    <mergeCell ref="AO10:AO11"/>
    <mergeCell ref="AF17:AG17"/>
    <mergeCell ref="AH17:AI17"/>
    <mergeCell ref="AJ17:AK17"/>
    <mergeCell ref="AL17:AM17"/>
    <mergeCell ref="AS9:AS11"/>
    <mergeCell ref="AT9:AT11"/>
    <mergeCell ref="F10:G10"/>
    <mergeCell ref="H10:I10"/>
    <mergeCell ref="J10:K10"/>
    <mergeCell ref="L10:M10"/>
    <mergeCell ref="N10:O10"/>
    <mergeCell ref="P10:Q10"/>
    <mergeCell ref="R10:S10"/>
    <mergeCell ref="T10:U10"/>
    <mergeCell ref="AP10:AP11"/>
    <mergeCell ref="AQ10:AQ11"/>
    <mergeCell ref="AR10:AR11"/>
    <mergeCell ref="B6:P6"/>
    <mergeCell ref="B9:B11"/>
    <mergeCell ref="C9:E10"/>
    <mergeCell ref="F9:AM9"/>
    <mergeCell ref="AN9:AN11"/>
    <mergeCell ref="AO9:AR9"/>
    <mergeCell ref="V10:W10"/>
    <mergeCell ref="X10:Y10"/>
    <mergeCell ref="Z10:AA10"/>
    <mergeCell ref="AB10:AC10"/>
  </mergeCells>
  <phoneticPr fontId="87" type="noConversion"/>
  <dataValidations count="1">
    <dataValidation type="whole" operator="greaterThanOrEqual" allowBlank="1" showInputMessage="1" showErrorMessage="1" error="Valor no Permitido" sqref="C13:AT14 C12:AU12 C19:AO22 C27:AO32 C37:AO42 C47:AO52 C58:AO62 C57:AP57 D91:AO97" xr:uid="{00000000-0002-0000-0800-000000000000}">
      <formula1>0</formula1>
    </dataValidation>
  </dataValidation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0"/>
  </sheetPr>
  <dimension ref="A1:DA410"/>
  <sheetViews>
    <sheetView zoomScaleNormal="100" workbookViewId="0"/>
  </sheetViews>
  <sheetFormatPr baseColWidth="10" defaultColWidth="11.42578125" defaultRowHeight="14.25" x14ac:dyDescent="0.2"/>
  <cols>
    <col min="1" max="1" width="21" style="4279" customWidth="1"/>
    <col min="2" max="2" width="30.85546875" style="80" customWidth="1"/>
    <col min="3" max="3" width="27.28515625" style="80" customWidth="1"/>
    <col min="4" max="4" width="43" style="80" customWidth="1"/>
    <col min="5" max="5" width="14.140625" style="80" customWidth="1"/>
    <col min="6" max="14" width="13.28515625" style="80" customWidth="1"/>
    <col min="15" max="15" width="15.140625" style="80" customWidth="1"/>
    <col min="16" max="16" width="14.140625" style="80" customWidth="1"/>
    <col min="17" max="17" width="14.42578125" style="80" customWidth="1"/>
    <col min="18" max="18" width="13.140625" style="80" customWidth="1"/>
    <col min="19" max="19" width="12.42578125" style="80" customWidth="1"/>
    <col min="20" max="20" width="14.28515625" style="80" customWidth="1"/>
    <col min="21" max="23" width="11.42578125" style="80"/>
    <col min="24" max="24" width="13.42578125" style="80" customWidth="1"/>
    <col min="25" max="25" width="12.7109375" style="80" customWidth="1"/>
    <col min="26" max="26" width="11.42578125" style="80"/>
    <col min="27" max="27" width="12.85546875" style="80" customWidth="1"/>
    <col min="28" max="28" width="15.140625" style="80" customWidth="1"/>
    <col min="29" max="29" width="13.140625" style="80" customWidth="1"/>
    <col min="30" max="31" width="11.42578125" style="80"/>
    <col min="32" max="32" width="14.140625" style="80" customWidth="1"/>
    <col min="33" max="33" width="14.7109375" style="80" customWidth="1"/>
    <col min="34" max="34" width="15.140625" style="80" customWidth="1"/>
    <col min="35" max="35" width="14" style="80" customWidth="1"/>
    <col min="36" max="36" width="14.85546875" style="80" customWidth="1"/>
    <col min="37" max="37" width="14.42578125" style="80" customWidth="1"/>
    <col min="38" max="38" width="13.42578125" style="80" customWidth="1"/>
    <col min="39" max="73" width="11.42578125" style="80"/>
    <col min="74" max="74" width="10.140625" style="80" customWidth="1"/>
    <col min="75" max="76" width="11.42578125" style="80"/>
    <col min="77" max="79" width="11.42578125" style="891"/>
    <col min="80" max="99" width="11.42578125" style="889" hidden="1" customWidth="1"/>
    <col min="100" max="105" width="11.42578125" style="80" hidden="1" customWidth="1"/>
    <col min="106" max="16384" width="11.42578125" style="80"/>
  </cols>
  <sheetData>
    <row r="1" spans="1:99" ht="16.350000000000001" customHeight="1" x14ac:dyDescent="0.2">
      <c r="B1" s="78" t="s">
        <v>910</v>
      </c>
      <c r="BV1" s="79"/>
      <c r="BW1" s="79"/>
      <c r="BX1" s="79"/>
    </row>
    <row r="2" spans="1:99" ht="16.350000000000001" customHeight="1" x14ac:dyDescent="0.2">
      <c r="B2" s="78" t="str">
        <f>CONCATENATE("COMUNA: ",NOMBRE!B2," - ","( ",NOMBRE!C2,NOMBRE!D2,NOMBRE!E2,NOMBRE!F2,NOMBRE!G2," )")</f>
        <v>COMUNA:  - (  )</v>
      </c>
      <c r="BV2" s="79"/>
      <c r="BW2" s="79"/>
      <c r="BX2" s="79"/>
    </row>
    <row r="3" spans="1:99" ht="16.350000000000001" customHeight="1" x14ac:dyDescent="0.2">
      <c r="B3" s="78" t="str">
        <f>CONCATENATE("ESTABLECIMIENTO/ESTRATEGIA: ",NOMBRE!B3," - ","( ",NOMBRE!C3,NOMBRE!D3,NOMBRE!E3,NOMBRE!F3,NOMBRE!G3,NOMBRE!H3," )")</f>
        <v>ESTABLECIMIENTO/ESTRATEGIA:  - (  )</v>
      </c>
      <c r="BV3" s="79"/>
      <c r="BW3" s="79"/>
      <c r="BX3" s="79"/>
    </row>
    <row r="4" spans="1:99" ht="16.350000000000001" customHeight="1" x14ac:dyDescent="0.2">
      <c r="B4" s="78" t="str">
        <f>CONCATENATE("MES: ",NOMBRE!B6," - ","( ",NOMBRE!C6,NOMBRE!D6," )")</f>
        <v>MES:  - (  )</v>
      </c>
      <c r="BV4" s="79"/>
      <c r="BW4" s="79"/>
      <c r="BX4" s="79"/>
    </row>
    <row r="5" spans="1:99" ht="16.350000000000001" customHeight="1" x14ac:dyDescent="0.2">
      <c r="B5" s="78" t="str">
        <f>CONCATENATE("AÑO: ",NOMBRE!B7)</f>
        <v>AÑO: 2020</v>
      </c>
      <c r="BV5" s="79"/>
      <c r="BW5" s="79"/>
      <c r="BX5" s="79"/>
    </row>
    <row r="6" spans="1:99" s="154" customFormat="1" ht="15" customHeight="1" x14ac:dyDescent="0.25">
      <c r="A6" s="4660"/>
      <c r="B6" s="6195" t="s">
        <v>3710</v>
      </c>
      <c r="C6" s="6195"/>
      <c r="D6" s="6195"/>
      <c r="E6" s="6195"/>
      <c r="F6" s="6195"/>
      <c r="G6" s="6195"/>
      <c r="H6" s="6195"/>
      <c r="I6" s="6195"/>
      <c r="J6" s="6195"/>
      <c r="K6" s="6195"/>
      <c r="L6" s="6195"/>
      <c r="M6" s="6195"/>
      <c r="N6" s="6195"/>
      <c r="O6" s="6195"/>
      <c r="P6" s="6195"/>
      <c r="Q6" s="6195"/>
      <c r="R6" s="3947"/>
      <c r="S6" s="3947"/>
      <c r="T6" s="3947"/>
      <c r="U6" s="3947"/>
      <c r="V6" s="3947"/>
      <c r="W6" s="3947"/>
      <c r="X6" s="3947"/>
      <c r="Y6" s="3947"/>
      <c r="Z6" s="3947"/>
      <c r="AA6" s="3947"/>
      <c r="AB6" s="3947"/>
      <c r="AC6" s="3947"/>
      <c r="AD6" s="3947"/>
      <c r="AE6" s="3947"/>
      <c r="AF6" s="3947"/>
      <c r="AG6" s="3947"/>
      <c r="AH6" s="3947"/>
      <c r="AI6" s="3947"/>
      <c r="AJ6" s="3947"/>
      <c r="AK6" s="3947"/>
      <c r="AL6" s="3947"/>
      <c r="AM6" s="3947"/>
      <c r="AN6" s="3947"/>
      <c r="AO6" s="3947"/>
      <c r="AP6" s="3947"/>
      <c r="AQ6" s="3947"/>
      <c r="AR6" s="3947"/>
      <c r="AS6" s="3947"/>
      <c r="AT6" s="3947"/>
      <c r="AU6" s="3947"/>
      <c r="AV6" s="3947"/>
      <c r="AW6" s="3947"/>
      <c r="AX6" s="6196"/>
      <c r="AY6" s="6196"/>
      <c r="AZ6" s="6196"/>
      <c r="BA6" s="6196"/>
      <c r="BB6" s="6196"/>
      <c r="BC6" s="6196"/>
      <c r="BD6" s="6196"/>
      <c r="BE6" s="6196"/>
      <c r="BF6" s="6196"/>
      <c r="BG6" s="6196"/>
      <c r="BH6" s="6196"/>
      <c r="BI6" s="6196"/>
      <c r="BJ6" s="6196"/>
      <c r="BK6" s="6196"/>
      <c r="BL6" s="6196"/>
      <c r="BM6" s="6196"/>
      <c r="BN6" s="6197"/>
      <c r="BO6" s="6197"/>
      <c r="BP6" s="6197"/>
      <c r="BQ6" s="6197"/>
      <c r="BR6" s="6197"/>
      <c r="BS6" s="6197"/>
      <c r="BT6" s="6197"/>
      <c r="BU6" s="6197"/>
      <c r="BV6" s="6197"/>
      <c r="BW6" s="6197"/>
      <c r="BX6" s="6197"/>
      <c r="BY6" s="6197"/>
      <c r="BZ6" s="6197"/>
      <c r="CA6" s="6197"/>
      <c r="CB6" s="6197"/>
      <c r="CC6" s="6197"/>
      <c r="CD6" s="6197"/>
      <c r="CE6" s="6197"/>
      <c r="CF6" s="6197"/>
      <c r="CG6" s="6197"/>
      <c r="CH6" s="6197"/>
      <c r="CI6" s="6197"/>
      <c r="CJ6" s="6197"/>
      <c r="CK6" s="6197"/>
      <c r="CL6" s="6197"/>
      <c r="CM6" s="6197"/>
      <c r="CN6" s="6197"/>
      <c r="CO6" s="6197"/>
      <c r="CP6" s="6197"/>
      <c r="CQ6" s="6197"/>
      <c r="CR6" s="6197"/>
      <c r="CS6" s="6197"/>
      <c r="CT6" s="6197"/>
      <c r="CU6" s="6197"/>
    </row>
    <row r="7" spans="1:99" x14ac:dyDescent="0.2">
      <c r="B7" s="490"/>
      <c r="C7" s="490"/>
      <c r="D7" s="490"/>
      <c r="E7" s="490"/>
      <c r="F7" s="490"/>
      <c r="G7" s="490"/>
      <c r="H7" s="490"/>
      <c r="I7" s="490"/>
      <c r="J7" s="490"/>
      <c r="K7" s="490"/>
      <c r="L7" s="490"/>
      <c r="M7" s="490"/>
      <c r="N7" s="490"/>
      <c r="O7" s="490"/>
      <c r="P7" s="490"/>
      <c r="Q7" s="490"/>
      <c r="AI7" s="94"/>
      <c r="AJ7" s="94"/>
      <c r="AK7" s="94"/>
      <c r="AL7" s="94"/>
      <c r="AM7" s="94"/>
      <c r="AN7" s="94"/>
      <c r="AO7" s="94"/>
      <c r="AP7" s="94"/>
      <c r="AQ7" s="94"/>
      <c r="AR7" s="94"/>
      <c r="AS7" s="94"/>
      <c r="AT7" s="94"/>
      <c r="AU7" s="94"/>
      <c r="AV7" s="94"/>
      <c r="AW7" s="94"/>
      <c r="AX7" s="94"/>
      <c r="BV7" s="79"/>
      <c r="BW7" s="79"/>
      <c r="BX7" s="79"/>
    </row>
    <row r="8" spans="1:99" ht="32.1" customHeight="1" x14ac:dyDescent="0.2">
      <c r="B8" s="1084" t="s">
        <v>3711</v>
      </c>
      <c r="C8" s="4658"/>
      <c r="D8" s="4658"/>
      <c r="E8" s="4659"/>
      <c r="F8" s="4659"/>
      <c r="G8" s="492"/>
      <c r="H8" s="154"/>
      <c r="I8" s="492"/>
      <c r="J8" s="492"/>
      <c r="K8" s="492"/>
      <c r="L8" s="492"/>
      <c r="M8" s="492"/>
      <c r="N8" s="492"/>
      <c r="O8" s="492"/>
      <c r="P8" s="492"/>
      <c r="Q8" s="154"/>
      <c r="AI8" s="94"/>
      <c r="AJ8" s="94"/>
      <c r="AK8" s="94"/>
      <c r="AL8" s="94"/>
      <c r="AM8" s="94"/>
      <c r="AN8" s="94"/>
      <c r="AO8" s="94"/>
      <c r="AP8" s="94"/>
      <c r="AQ8" s="94"/>
      <c r="AR8" s="94"/>
      <c r="AS8" s="94"/>
      <c r="AT8" s="94"/>
      <c r="AU8" s="94"/>
      <c r="AV8" s="94"/>
      <c r="AW8" s="94"/>
      <c r="AX8" s="94"/>
      <c r="BV8" s="79"/>
      <c r="BW8" s="79"/>
      <c r="BX8" s="79"/>
    </row>
    <row r="9" spans="1:99" ht="30.75" customHeight="1" x14ac:dyDescent="0.2">
      <c r="A9" s="6198" t="s">
        <v>2775</v>
      </c>
      <c r="B9" s="6199" t="s">
        <v>842</v>
      </c>
      <c r="C9" s="6200"/>
      <c r="D9" s="6201"/>
      <c r="E9" s="6046" t="s">
        <v>42</v>
      </c>
      <c r="F9" s="6047"/>
      <c r="G9" s="6020"/>
      <c r="H9" s="6113" t="s">
        <v>1136</v>
      </c>
      <c r="I9" s="6114"/>
      <c r="J9" s="6114"/>
      <c r="K9" s="6114"/>
      <c r="L9" s="6114"/>
      <c r="M9" s="6114"/>
      <c r="N9" s="6114"/>
      <c r="O9" s="6114"/>
      <c r="P9" s="6114"/>
      <c r="Q9" s="6114"/>
      <c r="R9" s="6114"/>
      <c r="S9" s="6114"/>
      <c r="T9" s="6114"/>
      <c r="U9" s="6114"/>
      <c r="V9" s="6114"/>
      <c r="W9" s="6114"/>
      <c r="X9" s="6114"/>
      <c r="Y9" s="6114"/>
      <c r="Z9" s="6114"/>
      <c r="AA9" s="6114"/>
      <c r="AB9" s="6114"/>
      <c r="AC9" s="6114"/>
      <c r="AD9" s="6114"/>
      <c r="AE9" s="6122"/>
      <c r="AF9" s="6020" t="s">
        <v>287</v>
      </c>
      <c r="AG9" s="6184" t="s">
        <v>1269</v>
      </c>
      <c r="AH9" s="6184" t="s">
        <v>2765</v>
      </c>
      <c r="AI9" s="6156" t="s">
        <v>1551</v>
      </c>
      <c r="AJ9" s="6156" t="s">
        <v>23</v>
      </c>
      <c r="AL9" s="94"/>
      <c r="AM9" s="94"/>
      <c r="AN9" s="94"/>
      <c r="AO9" s="94"/>
      <c r="AP9" s="94"/>
      <c r="AQ9" s="94"/>
      <c r="AR9" s="94"/>
      <c r="AS9" s="94"/>
      <c r="AT9" s="94"/>
      <c r="AU9" s="94"/>
      <c r="AV9" s="94"/>
      <c r="AW9" s="94"/>
      <c r="AX9" s="94"/>
      <c r="BV9" s="79"/>
      <c r="BW9" s="79"/>
      <c r="BX9" s="79"/>
      <c r="CI9" s="1020"/>
      <c r="CJ9" s="1020"/>
      <c r="CK9" s="1020"/>
      <c r="CL9" s="1020"/>
      <c r="CM9" s="1020"/>
      <c r="CN9" s="1020"/>
      <c r="CO9" s="1020"/>
    </row>
    <row r="10" spans="1:99" ht="27.75" customHeight="1" x14ac:dyDescent="0.2">
      <c r="A10" s="6198"/>
      <c r="B10" s="6202"/>
      <c r="C10" s="5506"/>
      <c r="D10" s="5628"/>
      <c r="E10" s="5844"/>
      <c r="F10" s="5317"/>
      <c r="G10" s="5297"/>
      <c r="H10" s="6206" t="s">
        <v>840</v>
      </c>
      <c r="I10" s="6207"/>
      <c r="J10" s="6113" t="s">
        <v>841</v>
      </c>
      <c r="K10" s="6115"/>
      <c r="L10" s="6114" t="s">
        <v>605</v>
      </c>
      <c r="M10" s="6115"/>
      <c r="N10" s="6113" t="s">
        <v>606</v>
      </c>
      <c r="O10" s="6115"/>
      <c r="P10" s="6113" t="s">
        <v>607</v>
      </c>
      <c r="Q10" s="6115"/>
      <c r="R10" s="6113" t="s">
        <v>608</v>
      </c>
      <c r="S10" s="6115"/>
      <c r="T10" s="6113" t="s">
        <v>609</v>
      </c>
      <c r="U10" s="6115"/>
      <c r="V10" s="6134" t="s">
        <v>610</v>
      </c>
      <c r="W10" s="6136"/>
      <c r="X10" s="6134" t="s">
        <v>611</v>
      </c>
      <c r="Y10" s="6136"/>
      <c r="Z10" s="6134" t="s">
        <v>612</v>
      </c>
      <c r="AA10" s="6136"/>
      <c r="AB10" s="6134" t="s">
        <v>613</v>
      </c>
      <c r="AC10" s="6136"/>
      <c r="AD10" s="6134" t="s">
        <v>614</v>
      </c>
      <c r="AE10" s="6187"/>
      <c r="AF10" s="5143"/>
      <c r="AG10" s="5493"/>
      <c r="AH10" s="5493"/>
      <c r="AI10" s="5647"/>
      <c r="AJ10" s="5647"/>
      <c r="AL10" s="94"/>
      <c r="AM10" s="94"/>
      <c r="AN10" s="94"/>
      <c r="AO10" s="94"/>
      <c r="AP10" s="94"/>
      <c r="AQ10" s="94"/>
      <c r="AR10" s="94"/>
      <c r="AS10" s="94"/>
      <c r="AT10" s="94"/>
      <c r="AU10" s="94"/>
      <c r="AV10" s="94"/>
      <c r="AW10" s="94"/>
      <c r="AX10" s="94"/>
      <c r="BV10" s="79"/>
      <c r="BW10" s="79"/>
      <c r="BX10" s="79"/>
      <c r="CI10" s="1020"/>
      <c r="CJ10" s="1020"/>
      <c r="CK10" s="1020"/>
      <c r="CL10" s="1020"/>
      <c r="CM10" s="1020"/>
      <c r="CN10" s="1020"/>
      <c r="CO10" s="1020"/>
    </row>
    <row r="11" spans="1:99" ht="32.25" customHeight="1" x14ac:dyDescent="0.2">
      <c r="A11" s="6198"/>
      <c r="B11" s="6203"/>
      <c r="C11" s="6204"/>
      <c r="D11" s="6205"/>
      <c r="E11" s="3957" t="s">
        <v>184</v>
      </c>
      <c r="F11" s="3958" t="s">
        <v>24</v>
      </c>
      <c r="G11" s="3959" t="s">
        <v>25</v>
      </c>
      <c r="H11" s="3960" t="s">
        <v>24</v>
      </c>
      <c r="I11" s="3959" t="s">
        <v>25</v>
      </c>
      <c r="J11" s="3960" t="s">
        <v>24</v>
      </c>
      <c r="K11" s="3959" t="s">
        <v>25</v>
      </c>
      <c r="L11" s="3960" t="s">
        <v>24</v>
      </c>
      <c r="M11" s="3959" t="s">
        <v>25</v>
      </c>
      <c r="N11" s="3960" t="s">
        <v>24</v>
      </c>
      <c r="O11" s="3959" t="s">
        <v>25</v>
      </c>
      <c r="P11" s="3960" t="s">
        <v>24</v>
      </c>
      <c r="Q11" s="3959" t="s">
        <v>25</v>
      </c>
      <c r="R11" s="3960" t="s">
        <v>24</v>
      </c>
      <c r="S11" s="3959" t="s">
        <v>25</v>
      </c>
      <c r="T11" s="3960" t="s">
        <v>24</v>
      </c>
      <c r="U11" s="3959" t="s">
        <v>25</v>
      </c>
      <c r="V11" s="3960" t="s">
        <v>24</v>
      </c>
      <c r="W11" s="3959" t="s">
        <v>25</v>
      </c>
      <c r="X11" s="3960" t="s">
        <v>24</v>
      </c>
      <c r="Y11" s="3959" t="s">
        <v>25</v>
      </c>
      <c r="Z11" s="3960" t="s">
        <v>24</v>
      </c>
      <c r="AA11" s="3959" t="s">
        <v>25</v>
      </c>
      <c r="AB11" s="3960" t="s">
        <v>24</v>
      </c>
      <c r="AC11" s="3959" t="s">
        <v>25</v>
      </c>
      <c r="AD11" s="3960" t="s">
        <v>24</v>
      </c>
      <c r="AE11" s="3961" t="s">
        <v>25</v>
      </c>
      <c r="AF11" s="5297"/>
      <c r="AG11" s="5494"/>
      <c r="AH11" s="5494"/>
      <c r="AI11" s="5648"/>
      <c r="AJ11" s="5648"/>
      <c r="AL11" s="94"/>
      <c r="AM11" s="94"/>
      <c r="AN11" s="94"/>
      <c r="AO11" s="94"/>
      <c r="AP11" s="94"/>
      <c r="AQ11" s="94"/>
      <c r="AR11" s="94"/>
      <c r="AS11" s="94"/>
      <c r="AT11" s="94"/>
      <c r="AU11" s="94"/>
      <c r="AV11" s="94"/>
      <c r="AW11" s="94"/>
      <c r="AX11" s="94"/>
      <c r="BV11" s="79"/>
      <c r="BW11" s="79"/>
      <c r="BX11" s="79"/>
      <c r="CI11" s="1020"/>
      <c r="CJ11" s="1020"/>
      <c r="CK11" s="1020"/>
      <c r="CL11" s="1020"/>
      <c r="CM11" s="1020"/>
      <c r="CN11" s="1020"/>
      <c r="CO11" s="1020"/>
    </row>
    <row r="12" spans="1:99" ht="16.350000000000001" customHeight="1" x14ac:dyDescent="0.2">
      <c r="A12" s="3007" t="s">
        <v>3554</v>
      </c>
      <c r="B12" s="6189" t="s">
        <v>673</v>
      </c>
      <c r="C12" s="6190"/>
      <c r="D12" s="6190"/>
      <c r="E12" s="2389" t="s">
        <v>2777</v>
      </c>
      <c r="F12" s="2390" t="s">
        <v>2778</v>
      </c>
      <c r="G12" s="3946" t="s">
        <v>2779</v>
      </c>
      <c r="H12" s="2577" t="s">
        <v>2780</v>
      </c>
      <c r="I12" s="2975" t="s">
        <v>2781</v>
      </c>
      <c r="J12" s="3962" t="s">
        <v>2782</v>
      </c>
      <c r="K12" s="2975" t="s">
        <v>2783</v>
      </c>
      <c r="L12" s="3962" t="s">
        <v>2784</v>
      </c>
      <c r="M12" s="2975" t="s">
        <v>2785</v>
      </c>
      <c r="N12" s="2577" t="s">
        <v>2786</v>
      </c>
      <c r="O12" s="2975" t="s">
        <v>2787</v>
      </c>
      <c r="P12" s="2577" t="s">
        <v>2788</v>
      </c>
      <c r="Q12" s="2975" t="s">
        <v>2789</v>
      </c>
      <c r="R12" s="2577" t="s">
        <v>2790</v>
      </c>
      <c r="S12" s="2270" t="s">
        <v>2791</v>
      </c>
      <c r="T12" s="2577" t="s">
        <v>2792</v>
      </c>
      <c r="U12" s="2270" t="s">
        <v>2793</v>
      </c>
      <c r="V12" s="2577" t="s">
        <v>2794</v>
      </c>
      <c r="W12" s="2270" t="s">
        <v>2795</v>
      </c>
      <c r="X12" s="2577" t="s">
        <v>2796</v>
      </c>
      <c r="Y12" s="2270" t="s">
        <v>2797</v>
      </c>
      <c r="Z12" s="2577" t="s">
        <v>2798</v>
      </c>
      <c r="AA12" s="2270" t="s">
        <v>2799</v>
      </c>
      <c r="AB12" s="2577" t="s">
        <v>2800</v>
      </c>
      <c r="AC12" s="2270" t="s">
        <v>2801</v>
      </c>
      <c r="AD12" s="2598" t="s">
        <v>2817</v>
      </c>
      <c r="AE12" s="2294" t="s">
        <v>2818</v>
      </c>
      <c r="AF12" s="2975" t="s">
        <v>2819</v>
      </c>
      <c r="AG12" s="2580" t="s">
        <v>2821</v>
      </c>
      <c r="AH12" s="2580" t="s">
        <v>2822</v>
      </c>
      <c r="AI12" s="2580" t="s">
        <v>2823</v>
      </c>
      <c r="AJ12" s="2580" t="s">
        <v>2824</v>
      </c>
      <c r="AK12" s="643" t="e">
        <f>CB12&amp;CC12&amp;CD12&amp;CE12&amp;CF12</f>
        <v>#VALUE!</v>
      </c>
      <c r="AL12" s="1058"/>
      <c r="AM12" s="1058"/>
      <c r="AN12" s="1058"/>
      <c r="AO12" s="1058"/>
      <c r="AP12" s="1058"/>
      <c r="AQ12" s="1058"/>
      <c r="AR12" s="1058"/>
      <c r="AS12" s="1058"/>
      <c r="AT12" s="1058"/>
      <c r="AU12" s="94"/>
      <c r="AV12" s="94"/>
      <c r="AW12" s="94"/>
      <c r="AX12" s="94"/>
      <c r="BV12" s="79"/>
      <c r="BW12" s="79"/>
      <c r="BX12" s="79"/>
      <c r="CB12" s="1031" t="e">
        <f>IF(CI12=1,"* Las consultas de 60 años NO DEBEN ser mayor que el total de Consultas entre 20-64 Años. ","")</f>
        <v>#VALUE!</v>
      </c>
      <c r="CC12" s="1031" t="str">
        <f>IF(CJ12=1,"* Las actividades de usuarios en situación de discapacidad NO DEBEN superar el total. ","")</f>
        <v xml:space="preserve">* Las actividades de usuarios en situación de discapacidad NO DEBEN superar el total. </v>
      </c>
      <c r="CD12" s="1031" t="str">
        <f>IF(AND(AF12="",E12&lt;&gt;0),"* Recuerde que las Embarazadas deben ser incluídas en el ingreso por rango Etario (Digite CEROS si no tiene). ",IF(G12&lt;AF12,"* Las Embarazadas NO DEBEN ser mayor al total de mujeres. ",""))</f>
        <v xml:space="preserve">* Las Embarazadas NO DEBEN ser mayor al total de mujeres. </v>
      </c>
      <c r="CE12" s="1031" t="str">
        <f>IF(AND(AI12="",E12&lt;&gt;0),"* No olvide digitar la población SENAME (Digite CEROS si no tiene). ",IF(E12&lt;AI12,"* La Población SENAME NO DEBE ser mayor al Total. ",""))</f>
        <v xml:space="preserve">* La Población SENAME NO DEBE ser mayor al Total. </v>
      </c>
      <c r="CF12" s="1031" t="str">
        <f>IF(AND(AJ12="",E12&lt;&gt;0),"* No olvide digitar la población Migrante (Digite CEROS si no tiene). ",IF(E12&lt;AJ12,"* La Población Migrante NO DEBE ser mayor al Total. ",""))</f>
        <v xml:space="preserve">* La Población Migrante NO DEBE ser mayor al Total. </v>
      </c>
      <c r="CG12" s="1031"/>
      <c r="CH12" s="1031"/>
      <c r="CI12" s="1163" t="e">
        <f>IF(AG12&gt;(AB12+AC12),1,0)</f>
        <v>#VALUE!</v>
      </c>
      <c r="CJ12" s="1163">
        <f>IF(E12&lt;AH12,1,0)</f>
        <v>1</v>
      </c>
      <c r="CK12" s="1163">
        <f>IF(AND(AF12="",E12&lt;&gt;0),1,IF(G12&lt;AF12,1,0))</f>
        <v>1</v>
      </c>
      <c r="CL12" s="1163">
        <f>IF(AND(AI12="",E12&lt;&gt;0),1,IF(E12&lt;AI12,1,0))</f>
        <v>1</v>
      </c>
      <c r="CM12" s="1163">
        <f>IF(AND(AJ12="",E12&lt;&gt;0),1,IF(E12&lt;AJ12,1,0))</f>
        <v>1</v>
      </c>
      <c r="CN12" s="1163"/>
      <c r="CO12" s="1163"/>
    </row>
    <row r="13" spans="1:99" ht="16.350000000000001" customHeight="1" x14ac:dyDescent="0.2">
      <c r="A13" s="3007" t="s">
        <v>3555</v>
      </c>
      <c r="B13" s="6189" t="s">
        <v>1055</v>
      </c>
      <c r="C13" s="6190"/>
      <c r="D13" s="6190"/>
      <c r="E13" s="2389" t="s">
        <v>2777</v>
      </c>
      <c r="F13" s="2390" t="s">
        <v>2778</v>
      </c>
      <c r="G13" s="3946" t="s">
        <v>2779</v>
      </c>
      <c r="H13" s="141" t="s">
        <v>2780</v>
      </c>
      <c r="I13" s="198" t="s">
        <v>2781</v>
      </c>
      <c r="J13" s="141" t="s">
        <v>2782</v>
      </c>
      <c r="K13" s="198" t="s">
        <v>2783</v>
      </c>
      <c r="L13" s="141" t="s">
        <v>2784</v>
      </c>
      <c r="M13" s="198" t="s">
        <v>2785</v>
      </c>
      <c r="N13" s="141" t="s">
        <v>2786</v>
      </c>
      <c r="O13" s="198" t="s">
        <v>2787</v>
      </c>
      <c r="P13" s="141" t="s">
        <v>2788</v>
      </c>
      <c r="Q13" s="198" t="s">
        <v>2789</v>
      </c>
      <c r="R13" s="141" t="s">
        <v>2790</v>
      </c>
      <c r="S13" s="163" t="s">
        <v>2791</v>
      </c>
      <c r="T13" s="141" t="s">
        <v>2792</v>
      </c>
      <c r="U13" s="163" t="s">
        <v>2793</v>
      </c>
      <c r="V13" s="141" t="s">
        <v>2794</v>
      </c>
      <c r="W13" s="163" t="s">
        <v>2795</v>
      </c>
      <c r="X13" s="141" t="s">
        <v>2796</v>
      </c>
      <c r="Y13" s="163" t="s">
        <v>2797</v>
      </c>
      <c r="Z13" s="141" t="s">
        <v>2798</v>
      </c>
      <c r="AA13" s="163" t="s">
        <v>2799</v>
      </c>
      <c r="AB13" s="141" t="s">
        <v>2800</v>
      </c>
      <c r="AC13" s="163" t="s">
        <v>2801</v>
      </c>
      <c r="AD13" s="224" t="s">
        <v>2817</v>
      </c>
      <c r="AE13" s="318" t="s">
        <v>2818</v>
      </c>
      <c r="AF13" s="198" t="s">
        <v>2819</v>
      </c>
      <c r="AG13" s="164" t="s">
        <v>2821</v>
      </c>
      <c r="AH13" s="164" t="s">
        <v>2822</v>
      </c>
      <c r="AI13" s="164" t="s">
        <v>2823</v>
      </c>
      <c r="AJ13" s="164" t="s">
        <v>2824</v>
      </c>
      <c r="AK13" s="643" t="e">
        <f>CB13&amp;CC13&amp;CD13&amp;CE13&amp;CF13</f>
        <v>#VALUE!</v>
      </c>
      <c r="AL13" s="1058"/>
      <c r="AM13" s="1058"/>
      <c r="AN13" s="1058"/>
      <c r="AO13" s="1058"/>
      <c r="AP13" s="1058"/>
      <c r="AQ13" s="1058"/>
      <c r="AR13" s="1058"/>
      <c r="AS13" s="1058"/>
      <c r="AT13" s="1058"/>
      <c r="AU13" s="94"/>
      <c r="AV13" s="94"/>
      <c r="AW13" s="94"/>
      <c r="AX13" s="94"/>
      <c r="BV13" s="79"/>
      <c r="BW13" s="79"/>
      <c r="BX13" s="79"/>
      <c r="CB13" s="1031" t="e">
        <f>IF(CI13=1,"* Las consultas de 60 años NO DEBEN ser mayor que el total de Consultas entre 20-64 Años. ","")</f>
        <v>#VALUE!</v>
      </c>
      <c r="CC13" s="1031" t="str">
        <f>IF(CJ13=1,"* Las actividades de usuarios en situación de discapacidad NO DEBEN superar el total. ","")</f>
        <v xml:space="preserve">* Las actividades de usuarios en situación de discapacidad NO DEBEN superar el total. </v>
      </c>
      <c r="CD13" s="1031" t="str">
        <f>IF(AND(AF13="",E13&lt;&gt;0),"* Recuerde que las Embarazadas deben ser incluídas en el ingreso por rango Etario (Digite CEROS si no tiene). ",IF(G13&lt;AF13,"* Las Embarazadas NO DEBEN ser mayor al total de mujeres. ",""))</f>
        <v xml:space="preserve">* Las Embarazadas NO DEBEN ser mayor al total de mujeres. </v>
      </c>
      <c r="CE13" s="1031" t="str">
        <f>IF(AND(AI13="",E13&lt;&gt;0),"* No olvide digitar la población SENAME (Digite CEROS si no tiene). ",IF(E13&lt;AI13,"* La Población SENAME NO DEBE ser mayor al Total. ",""))</f>
        <v xml:space="preserve">* La Población SENAME NO DEBE ser mayor al Total. </v>
      </c>
      <c r="CF13" s="1031" t="str">
        <f>IF(AND(AJ13="",E13&lt;&gt;0),"* No olvide digitar la población Migrante (Digite CEROS si no tiene). ",IF(E13&lt;AJ13,"* La Población Migrante NO DEBE ser mayor al Total. ",""))</f>
        <v xml:space="preserve">* La Población Migrante NO DEBE ser mayor al Total. </v>
      </c>
      <c r="CG13" s="1031"/>
      <c r="CH13" s="1031"/>
      <c r="CI13" s="1163" t="e">
        <f>IF(AG13&gt;(AB13+AC13),1,0)</f>
        <v>#VALUE!</v>
      </c>
      <c r="CJ13" s="1163">
        <f>IF(E13&lt;AH13,1,0)</f>
        <v>1</v>
      </c>
      <c r="CK13" s="1163">
        <f>IF(AND(AF13="",E13&lt;&gt;0),1,IF(G13&lt;AF13,1,0))</f>
        <v>1</v>
      </c>
      <c r="CL13" s="1163">
        <f>IF(AND(AI13="",E13&lt;&gt;0),1,IF(E13&lt;AI13,1,0))</f>
        <v>1</v>
      </c>
      <c r="CM13" s="1163">
        <f>IF(AND(AJ13="",E13&lt;&gt;0),1,IF(E13&lt;AJ13,1,0))</f>
        <v>1</v>
      </c>
      <c r="CN13" s="1163"/>
      <c r="CO13" s="1163"/>
    </row>
    <row r="14" spans="1:99" ht="16.350000000000001" customHeight="1" x14ac:dyDescent="0.2">
      <c r="A14" s="3007" t="s">
        <v>3556</v>
      </c>
      <c r="B14" s="6189" t="s">
        <v>1056</v>
      </c>
      <c r="C14" s="6190"/>
      <c r="D14" s="6190"/>
      <c r="E14" s="2389" t="s">
        <v>2777</v>
      </c>
      <c r="F14" s="2390" t="s">
        <v>2778</v>
      </c>
      <c r="G14" s="3946" t="s">
        <v>2779</v>
      </c>
      <c r="H14" s="141" t="s">
        <v>2780</v>
      </c>
      <c r="I14" s="198" t="s">
        <v>2781</v>
      </c>
      <c r="J14" s="141" t="s">
        <v>2782</v>
      </c>
      <c r="K14" s="198" t="s">
        <v>2783</v>
      </c>
      <c r="L14" s="141" t="s">
        <v>2784</v>
      </c>
      <c r="M14" s="198" t="s">
        <v>2785</v>
      </c>
      <c r="N14" s="141" t="s">
        <v>2786</v>
      </c>
      <c r="O14" s="163" t="s">
        <v>2787</v>
      </c>
      <c r="P14" s="141" t="s">
        <v>2788</v>
      </c>
      <c r="Q14" s="163" t="s">
        <v>2789</v>
      </c>
      <c r="R14" s="141" t="s">
        <v>2790</v>
      </c>
      <c r="S14" s="163" t="s">
        <v>2791</v>
      </c>
      <c r="T14" s="141" t="s">
        <v>2792</v>
      </c>
      <c r="U14" s="163" t="s">
        <v>2793</v>
      </c>
      <c r="V14" s="141" t="s">
        <v>2794</v>
      </c>
      <c r="W14" s="163" t="s">
        <v>2795</v>
      </c>
      <c r="X14" s="141" t="s">
        <v>2796</v>
      </c>
      <c r="Y14" s="163" t="s">
        <v>2797</v>
      </c>
      <c r="Z14" s="141" t="s">
        <v>2798</v>
      </c>
      <c r="AA14" s="163" t="s">
        <v>2799</v>
      </c>
      <c r="AB14" s="141" t="s">
        <v>2800</v>
      </c>
      <c r="AC14" s="163" t="s">
        <v>2801</v>
      </c>
      <c r="AD14" s="141" t="s">
        <v>2817</v>
      </c>
      <c r="AE14" s="318" t="s">
        <v>2818</v>
      </c>
      <c r="AF14" s="198" t="s">
        <v>2819</v>
      </c>
      <c r="AG14" s="164" t="s">
        <v>2821</v>
      </c>
      <c r="AH14" s="164" t="s">
        <v>2822</v>
      </c>
      <c r="AI14" s="164" t="s">
        <v>2823</v>
      </c>
      <c r="AJ14" s="164" t="s">
        <v>2824</v>
      </c>
      <c r="AK14" s="643" t="e">
        <f>CB14&amp;CC14&amp;CD14&amp;CE14&amp;CF14</f>
        <v>#VALUE!</v>
      </c>
      <c r="AL14" s="1058"/>
      <c r="AM14" s="1058"/>
      <c r="AN14" s="1058"/>
      <c r="AO14" s="1058"/>
      <c r="AP14" s="1058"/>
      <c r="AQ14" s="1058"/>
      <c r="AR14" s="1058"/>
      <c r="AS14" s="1058"/>
      <c r="AT14" s="1058"/>
      <c r="AU14" s="94"/>
      <c r="AV14" s="94"/>
      <c r="AW14" s="94"/>
      <c r="AX14" s="94"/>
      <c r="BV14" s="79"/>
      <c r="BW14" s="79"/>
      <c r="BX14" s="79"/>
      <c r="CB14" s="1031" t="e">
        <f>IF(CI14=1,"* Las consultas de 60 años NO DEBEN ser mayor que el total de Consultas entre 20-64 Años. ","")</f>
        <v>#VALUE!</v>
      </c>
      <c r="CC14" s="1031" t="str">
        <f>IF(CJ14=1,"* Las actividades de usuarios en situación de discapacidad NO DEBEN superar el total. ","")</f>
        <v xml:space="preserve">* Las actividades de usuarios en situación de discapacidad NO DEBEN superar el total. </v>
      </c>
      <c r="CD14" s="1031" t="str">
        <f>IF(AND(AF14="",E14&lt;&gt;0),"* Recuerde que las Embarazadas deben ser incluídas en el ingreso por rango Etario (Digite CEROS si no tiene). ",IF(G14&lt;AF14,"* Las Embarazadas NO DEBEN ser mayor al total de mujeres. ",""))</f>
        <v xml:space="preserve">* Las Embarazadas NO DEBEN ser mayor al total de mujeres. </v>
      </c>
      <c r="CE14" s="1031" t="str">
        <f>IF(AND(AI14="",E14&lt;&gt;0),"* No olvide digitar la población SENAME (Digite CEROS si no tiene). ",IF(E14&lt;AI14,"* La Población SENAME NO DEBE ser mayor al Total. ",""))</f>
        <v xml:space="preserve">* La Población SENAME NO DEBE ser mayor al Total. </v>
      </c>
      <c r="CF14" s="1031" t="str">
        <f>IF(AND(AJ14="",E14&lt;&gt;0),"* No olvide digitar la población Migrante (Digite CEROS si no tiene). ",IF(E14&lt;AJ14,"* La Población Migrante NO DEBE ser mayor al Total. ",""))</f>
        <v xml:space="preserve">* La Población Migrante NO DEBE ser mayor al Total. </v>
      </c>
      <c r="CG14" s="1031"/>
      <c r="CH14" s="1031"/>
      <c r="CI14" s="1163" t="e">
        <f>IF(AG14&gt;(AB14+AC14),1,0)</f>
        <v>#VALUE!</v>
      </c>
      <c r="CJ14" s="1163">
        <f>IF(E14&lt;AH14,1,0)</f>
        <v>1</v>
      </c>
      <c r="CK14" s="1163">
        <f>IF(AND(AF14="",E14&lt;&gt;0),1,IF(G14&lt;AF14,1,0))</f>
        <v>1</v>
      </c>
      <c r="CL14" s="1163">
        <f>IF(AND(AI14="",E14&lt;&gt;0),1,IF(E14&lt;AI14,1,0))</f>
        <v>1</v>
      </c>
      <c r="CM14" s="1163">
        <f>IF(AND(AJ14="",E14&lt;&gt;0),1,IF(E14&lt;AJ14,1,0))</f>
        <v>1</v>
      </c>
      <c r="CN14" s="1163"/>
      <c r="CO14" s="1163"/>
    </row>
    <row r="15" spans="1:99" ht="16.350000000000001" customHeight="1" x14ac:dyDescent="0.2">
      <c r="A15" s="3007" t="s">
        <v>3557</v>
      </c>
      <c r="B15" s="6191" t="s">
        <v>1057</v>
      </c>
      <c r="C15" s="6192"/>
      <c r="D15" s="6192"/>
      <c r="E15" s="3008" t="s">
        <v>2777</v>
      </c>
      <c r="F15" s="2394" t="s">
        <v>2778</v>
      </c>
      <c r="G15" s="3963" t="s">
        <v>2779</v>
      </c>
      <c r="H15" s="166" t="s">
        <v>2780</v>
      </c>
      <c r="I15" s="168" t="s">
        <v>2781</v>
      </c>
      <c r="J15" s="166" t="s">
        <v>2782</v>
      </c>
      <c r="K15" s="168" t="s">
        <v>2783</v>
      </c>
      <c r="L15" s="166" t="s">
        <v>2784</v>
      </c>
      <c r="M15" s="168" t="s">
        <v>2785</v>
      </c>
      <c r="N15" s="166" t="s">
        <v>2786</v>
      </c>
      <c r="O15" s="125" t="s">
        <v>2787</v>
      </c>
      <c r="P15" s="166" t="s">
        <v>2788</v>
      </c>
      <c r="Q15" s="125" t="s">
        <v>2789</v>
      </c>
      <c r="R15" s="166" t="s">
        <v>2790</v>
      </c>
      <c r="S15" s="125" t="s">
        <v>2791</v>
      </c>
      <c r="T15" s="166" t="s">
        <v>2792</v>
      </c>
      <c r="U15" s="125" t="s">
        <v>2793</v>
      </c>
      <c r="V15" s="166" t="s">
        <v>2794</v>
      </c>
      <c r="W15" s="125" t="s">
        <v>2795</v>
      </c>
      <c r="X15" s="166" t="s">
        <v>2796</v>
      </c>
      <c r="Y15" s="125" t="s">
        <v>2797</v>
      </c>
      <c r="Z15" s="166" t="s">
        <v>2798</v>
      </c>
      <c r="AA15" s="125" t="s">
        <v>2799</v>
      </c>
      <c r="AB15" s="166" t="s">
        <v>2800</v>
      </c>
      <c r="AC15" s="125" t="s">
        <v>2801</v>
      </c>
      <c r="AD15" s="166" t="s">
        <v>2817</v>
      </c>
      <c r="AE15" s="319" t="s">
        <v>2818</v>
      </c>
      <c r="AF15" s="168" t="s">
        <v>2819</v>
      </c>
      <c r="AG15" s="105" t="s">
        <v>2821</v>
      </c>
      <c r="AH15" s="105" t="s">
        <v>2822</v>
      </c>
      <c r="AI15" s="105" t="s">
        <v>2823</v>
      </c>
      <c r="AJ15" s="105" t="s">
        <v>2824</v>
      </c>
      <c r="AK15" s="643" t="e">
        <f>CB15&amp;CC15&amp;CD15&amp;CE15&amp;CF15</f>
        <v>#VALUE!</v>
      </c>
      <c r="AL15" s="1058"/>
      <c r="AM15" s="1058"/>
      <c r="AN15" s="1058"/>
      <c r="AO15" s="1058"/>
      <c r="AP15" s="1058"/>
      <c r="AQ15" s="1058"/>
      <c r="AR15" s="1058"/>
      <c r="AS15" s="1058"/>
      <c r="AT15" s="1058"/>
      <c r="AU15" s="94"/>
      <c r="AV15" s="94"/>
      <c r="AW15" s="94"/>
      <c r="AX15" s="94"/>
      <c r="AY15" s="94"/>
      <c r="AZ15" s="94"/>
      <c r="BV15" s="79"/>
      <c r="BW15" s="79"/>
      <c r="BX15" s="79"/>
      <c r="CB15" s="1031" t="e">
        <f>IF(CI15=1,"* Las consultas de 60 años NO DEBEN ser mayor que el total de Consultas entre 20-64 Años. ","")</f>
        <v>#VALUE!</v>
      </c>
      <c r="CC15" s="1031" t="str">
        <f>IF(CJ15=1,"* Las actividades de usuarios en situación de discapacidad NO DEBEN superar el total. ","")</f>
        <v xml:space="preserve">* Las actividades de usuarios en situación de discapacidad NO DEBEN superar el total. </v>
      </c>
      <c r="CD15" s="1031" t="str">
        <f>IF(AND(AF15="",E15&lt;&gt;0),"* Recuerde que las Embarazadas deben ser incluídas en el ingreso por rango Etario (Digite CEROS si no tiene). ",IF(G15&lt;AF15,"* Las Embarazadas NO DEBEN ser mayor al total de mujeres. ",""))</f>
        <v xml:space="preserve">* Las Embarazadas NO DEBEN ser mayor al total de mujeres. </v>
      </c>
      <c r="CE15" s="1031" t="str">
        <f>IF(AND(AI15="",E15&lt;&gt;0),"* No olvide digitar la población SENAME (Digite CEROS si no tiene). ",IF(E15&lt;AI15,"* La Población SENAME NO DEBE ser mayor al Total. ",""))</f>
        <v xml:space="preserve">* La Población SENAME NO DEBE ser mayor al Total. </v>
      </c>
      <c r="CF15" s="1031" t="str">
        <f>IF(AND(AJ15="",E15&lt;&gt;0),"* No olvide digitar la población Migrante (Digite CEROS si no tiene). ",IF(E15&lt;AJ15,"* La Población Migrante NO DEBE ser mayor al Total. ",""))</f>
        <v xml:space="preserve">* La Población Migrante NO DEBE ser mayor al Total. </v>
      </c>
      <c r="CG15" s="1031"/>
      <c r="CH15" s="1031"/>
      <c r="CI15" s="1163" t="e">
        <f>IF(AG15&gt;(AB15+AC15),1,0)</f>
        <v>#VALUE!</v>
      </c>
      <c r="CJ15" s="1163">
        <f>IF(E15&lt;AH15,1,0)</f>
        <v>1</v>
      </c>
      <c r="CK15" s="1163">
        <f>IF(AND(AF15="",E15&lt;&gt;0),1,IF(G15&lt;AF15,1,0))</f>
        <v>1</v>
      </c>
      <c r="CL15" s="1163">
        <f>IF(AND(AI15="",E15&lt;&gt;0),1,IF(E15&lt;AI15,1,0))</f>
        <v>1</v>
      </c>
      <c r="CM15" s="1163">
        <f>IF(AND(AJ15="",E15&lt;&gt;0),1,IF(E15&lt;AJ15,1,0))</f>
        <v>1</v>
      </c>
      <c r="CN15" s="1163"/>
      <c r="CO15" s="1163"/>
    </row>
    <row r="16" spans="1:99" ht="32.1" customHeight="1" x14ac:dyDescent="0.2">
      <c r="B16" s="4948" t="s">
        <v>3712</v>
      </c>
      <c r="C16" s="3964"/>
      <c r="D16" s="3964"/>
      <c r="E16" s="492"/>
      <c r="F16" s="492"/>
      <c r="G16" s="492"/>
      <c r="H16" s="3965"/>
      <c r="I16" s="3965"/>
      <c r="J16" s="492"/>
      <c r="K16" s="492"/>
      <c r="L16" s="492"/>
      <c r="M16" s="492"/>
      <c r="N16" s="492"/>
      <c r="O16" s="492"/>
      <c r="P16" s="492"/>
      <c r="Q16" s="494"/>
      <c r="R16" s="492"/>
      <c r="S16" s="492"/>
      <c r="T16" s="492"/>
      <c r="U16" s="492"/>
      <c r="V16" s="492"/>
      <c r="W16" s="492"/>
      <c r="X16" s="492"/>
      <c r="Y16" s="492"/>
      <c r="Z16" s="492"/>
      <c r="AA16" s="492"/>
      <c r="AB16" s="492"/>
      <c r="AC16" s="492"/>
      <c r="AD16" s="492"/>
      <c r="AE16" s="492"/>
      <c r="AF16" s="492"/>
      <c r="AG16" s="492"/>
      <c r="AH16" s="492"/>
      <c r="AI16" s="94"/>
      <c r="AJ16" s="94"/>
      <c r="AK16" s="94"/>
      <c r="AL16" s="94"/>
      <c r="AM16" s="94"/>
      <c r="AN16" s="94"/>
      <c r="AO16" s="94"/>
      <c r="AP16" s="94"/>
      <c r="AQ16" s="94"/>
      <c r="AR16" s="94"/>
      <c r="AS16" s="94"/>
      <c r="AT16" s="94"/>
      <c r="AU16" s="94"/>
      <c r="AV16" s="94"/>
      <c r="AW16" s="94"/>
      <c r="AX16" s="94"/>
      <c r="AY16" s="94"/>
      <c r="AZ16" s="94"/>
      <c r="BV16" s="79"/>
      <c r="BW16" s="79"/>
      <c r="BX16" s="79"/>
      <c r="CI16" s="1020"/>
      <c r="CJ16" s="1020"/>
      <c r="CK16" s="1020"/>
      <c r="CL16" s="1020"/>
      <c r="CM16" s="1020"/>
      <c r="CN16" s="1020"/>
      <c r="CO16" s="1020"/>
    </row>
    <row r="17" spans="1:96" ht="33" customHeight="1" x14ac:dyDescent="0.2">
      <c r="B17" s="6064" t="s">
        <v>615</v>
      </c>
      <c r="C17" s="6065"/>
      <c r="D17" s="6066"/>
      <c r="E17" s="6113" t="s">
        <v>149</v>
      </c>
      <c r="F17" s="6114"/>
      <c r="G17" s="6115"/>
      <c r="H17" s="6193" t="s">
        <v>840</v>
      </c>
      <c r="I17" s="6194"/>
      <c r="J17" s="6113" t="s">
        <v>841</v>
      </c>
      <c r="K17" s="6115"/>
      <c r="L17" s="6113" t="s">
        <v>605</v>
      </c>
      <c r="M17" s="6115"/>
      <c r="N17" s="6113" t="s">
        <v>606</v>
      </c>
      <c r="O17" s="6115"/>
      <c r="P17" s="6114" t="s">
        <v>607</v>
      </c>
      <c r="Q17" s="6114"/>
      <c r="R17" s="6113" t="s">
        <v>608</v>
      </c>
      <c r="S17" s="6115"/>
      <c r="T17" s="6114" t="s">
        <v>609</v>
      </c>
      <c r="U17" s="6114"/>
      <c r="V17" s="6134" t="s">
        <v>610</v>
      </c>
      <c r="W17" s="6136"/>
      <c r="X17" s="6134" t="s">
        <v>611</v>
      </c>
      <c r="Y17" s="6136"/>
      <c r="Z17" s="6134" t="s">
        <v>612</v>
      </c>
      <c r="AA17" s="6136"/>
      <c r="AB17" s="6134" t="s">
        <v>613</v>
      </c>
      <c r="AC17" s="6136"/>
      <c r="AD17" s="6134" t="s">
        <v>614</v>
      </c>
      <c r="AE17" s="6187"/>
      <c r="AF17" s="6020" t="s">
        <v>287</v>
      </c>
      <c r="AG17" s="6184" t="s">
        <v>1356</v>
      </c>
      <c r="AH17" s="6184" t="s">
        <v>1269</v>
      </c>
      <c r="AI17" s="6184" t="s">
        <v>573</v>
      </c>
      <c r="AJ17" s="6164" t="s">
        <v>2765</v>
      </c>
      <c r="AK17" s="6185" t="s">
        <v>1551</v>
      </c>
      <c r="AL17" s="6185" t="s">
        <v>23</v>
      </c>
      <c r="AM17" s="94"/>
      <c r="AN17" s="94"/>
      <c r="AO17" s="94"/>
      <c r="AP17" s="94"/>
      <c r="AQ17" s="94"/>
      <c r="AR17" s="94"/>
      <c r="AS17" s="94"/>
      <c r="AT17" s="94"/>
      <c r="AU17" s="94"/>
      <c r="AV17" s="94"/>
      <c r="AW17" s="94"/>
      <c r="AX17" s="94"/>
      <c r="AY17" s="94"/>
      <c r="AZ17" s="94"/>
      <c r="BA17" s="94"/>
      <c r="BB17" s="94"/>
      <c r="BC17" s="94"/>
      <c r="BD17" s="94"/>
      <c r="BE17" s="94"/>
      <c r="BF17" s="94"/>
      <c r="BG17" s="94"/>
      <c r="BH17" s="94"/>
      <c r="BI17" s="94"/>
      <c r="BJ17" s="94"/>
      <c r="BK17" s="94"/>
      <c r="BL17" s="94"/>
      <c r="BM17" s="94"/>
      <c r="BN17" s="94"/>
      <c r="BO17" s="94"/>
      <c r="BP17" s="94"/>
      <c r="BQ17" s="94"/>
      <c r="BR17" s="94"/>
      <c r="BS17" s="94"/>
      <c r="BT17" s="94"/>
      <c r="BU17" s="891"/>
      <c r="BV17" s="891"/>
      <c r="BW17" s="891"/>
      <c r="BX17" s="891"/>
      <c r="CI17" s="1020"/>
      <c r="CJ17" s="1020"/>
      <c r="CK17" s="1020"/>
      <c r="CL17" s="1020"/>
      <c r="CM17" s="1020"/>
      <c r="CN17" s="1020"/>
      <c r="CO17" s="1020"/>
    </row>
    <row r="18" spans="1:96" ht="44.25" customHeight="1" x14ac:dyDescent="0.2">
      <c r="B18" s="5856"/>
      <c r="C18" s="5259"/>
      <c r="D18" s="5878"/>
      <c r="E18" s="3966" t="s">
        <v>184</v>
      </c>
      <c r="F18" s="3967" t="s">
        <v>24</v>
      </c>
      <c r="G18" s="3938" t="s">
        <v>25</v>
      </c>
      <c r="H18" s="3966" t="s">
        <v>24</v>
      </c>
      <c r="I18" s="3959" t="s">
        <v>25</v>
      </c>
      <c r="J18" s="3968" t="s">
        <v>24</v>
      </c>
      <c r="K18" s="3931" t="s">
        <v>25</v>
      </c>
      <c r="L18" s="3968" t="s">
        <v>24</v>
      </c>
      <c r="M18" s="3948" t="s">
        <v>25</v>
      </c>
      <c r="N18" s="3968" t="s">
        <v>24</v>
      </c>
      <c r="O18" s="3934" t="s">
        <v>25</v>
      </c>
      <c r="P18" s="3968" t="s">
        <v>24</v>
      </c>
      <c r="Q18" s="3931" t="s">
        <v>25</v>
      </c>
      <c r="R18" s="3968" t="s">
        <v>24</v>
      </c>
      <c r="S18" s="3934" t="s">
        <v>25</v>
      </c>
      <c r="T18" s="3968" t="s">
        <v>24</v>
      </c>
      <c r="U18" s="3931" t="s">
        <v>25</v>
      </c>
      <c r="V18" s="3933" t="s">
        <v>24</v>
      </c>
      <c r="W18" s="3934" t="s">
        <v>25</v>
      </c>
      <c r="X18" s="3933" t="s">
        <v>24</v>
      </c>
      <c r="Y18" s="3934" t="s">
        <v>25</v>
      </c>
      <c r="Z18" s="3933" t="s">
        <v>24</v>
      </c>
      <c r="AA18" s="3934" t="s">
        <v>25</v>
      </c>
      <c r="AB18" s="3933" t="s">
        <v>24</v>
      </c>
      <c r="AC18" s="3934" t="s">
        <v>25</v>
      </c>
      <c r="AD18" s="3933" t="s">
        <v>24</v>
      </c>
      <c r="AE18" s="3969" t="s">
        <v>25</v>
      </c>
      <c r="AF18" s="6188"/>
      <c r="AG18" s="5494"/>
      <c r="AH18" s="5494"/>
      <c r="AI18" s="5494"/>
      <c r="AJ18" s="6169"/>
      <c r="AK18" s="6186"/>
      <c r="AL18" s="6186"/>
      <c r="AM18" s="94"/>
      <c r="AN18" s="94"/>
      <c r="AO18" s="94"/>
      <c r="AP18" s="94"/>
      <c r="AQ18" s="94"/>
      <c r="AR18" s="94"/>
      <c r="AS18" s="94"/>
      <c r="AT18" s="94"/>
      <c r="AU18" s="94"/>
      <c r="AV18" s="94"/>
      <c r="AW18" s="94"/>
      <c r="AX18" s="94"/>
      <c r="AY18" s="94"/>
      <c r="AZ18" s="94"/>
      <c r="BA18" s="94"/>
      <c r="BB18" s="94"/>
      <c r="BC18" s="94"/>
      <c r="BD18" s="94"/>
      <c r="BE18" s="94"/>
      <c r="BF18" s="94"/>
      <c r="BG18" s="94"/>
      <c r="BH18" s="94"/>
      <c r="BI18" s="94"/>
      <c r="BJ18" s="94"/>
      <c r="BK18" s="94"/>
      <c r="BL18" s="94"/>
      <c r="BM18" s="94"/>
      <c r="BN18" s="94"/>
      <c r="BO18" s="94"/>
      <c r="BP18" s="94"/>
      <c r="BQ18" s="94"/>
      <c r="BR18" s="94"/>
      <c r="BS18" s="94"/>
      <c r="BT18" s="94"/>
      <c r="BU18" s="891"/>
      <c r="BV18" s="891"/>
      <c r="BW18" s="891"/>
      <c r="BX18" s="891"/>
      <c r="CI18" s="1020"/>
      <c r="CJ18" s="1020"/>
      <c r="CK18" s="1020"/>
      <c r="CL18" s="1020"/>
      <c r="CM18" s="1020"/>
      <c r="CN18" s="1020"/>
      <c r="CO18" s="1020"/>
    </row>
    <row r="19" spans="1:96" ht="16.350000000000001" customHeight="1" x14ac:dyDescent="0.2">
      <c r="A19" s="3009" t="s">
        <v>3558</v>
      </c>
      <c r="B19" s="6031" t="s">
        <v>1058</v>
      </c>
      <c r="C19" s="6032"/>
      <c r="D19" s="6183"/>
      <c r="E19" s="3970" t="s">
        <v>2777</v>
      </c>
      <c r="F19" s="3971" t="s">
        <v>2778</v>
      </c>
      <c r="G19" s="3972" t="s">
        <v>2779</v>
      </c>
      <c r="H19" s="3962" t="s">
        <v>2780</v>
      </c>
      <c r="I19" s="3973" t="s">
        <v>2781</v>
      </c>
      <c r="J19" s="3962" t="s">
        <v>2782</v>
      </c>
      <c r="K19" s="3974" t="s">
        <v>2783</v>
      </c>
      <c r="L19" s="3962" t="s">
        <v>2784</v>
      </c>
      <c r="M19" s="3973" t="s">
        <v>2785</v>
      </c>
      <c r="N19" s="3962" t="s">
        <v>2786</v>
      </c>
      <c r="O19" s="3973" t="s">
        <v>2787</v>
      </c>
      <c r="P19" s="3962" t="s">
        <v>2788</v>
      </c>
      <c r="Q19" s="3974" t="s">
        <v>2789</v>
      </c>
      <c r="R19" s="3962" t="s">
        <v>2790</v>
      </c>
      <c r="S19" s="3973" t="s">
        <v>2791</v>
      </c>
      <c r="T19" s="3962" t="s">
        <v>2792</v>
      </c>
      <c r="U19" s="3974" t="s">
        <v>2793</v>
      </c>
      <c r="V19" s="3962" t="s">
        <v>2794</v>
      </c>
      <c r="W19" s="3973" t="s">
        <v>2795</v>
      </c>
      <c r="X19" s="3962" t="s">
        <v>2796</v>
      </c>
      <c r="Y19" s="3973" t="s">
        <v>2797</v>
      </c>
      <c r="Z19" s="3962" t="s">
        <v>2798</v>
      </c>
      <c r="AA19" s="3973" t="s">
        <v>2799</v>
      </c>
      <c r="AB19" s="3962" t="s">
        <v>2800</v>
      </c>
      <c r="AC19" s="3973" t="s">
        <v>2801</v>
      </c>
      <c r="AD19" s="3962" t="s">
        <v>2817</v>
      </c>
      <c r="AE19" s="3975" t="s">
        <v>2818</v>
      </c>
      <c r="AF19" s="3973" t="s">
        <v>2819</v>
      </c>
      <c r="AG19" s="3976" t="s">
        <v>2821</v>
      </c>
      <c r="AH19" s="3976" t="s">
        <v>2822</v>
      </c>
      <c r="AI19" s="3976" t="s">
        <v>2823</v>
      </c>
      <c r="AJ19" s="3976" t="s">
        <v>2824</v>
      </c>
      <c r="AK19" s="3976" t="s">
        <v>2825</v>
      </c>
      <c r="AL19" s="3976" t="s">
        <v>2826</v>
      </c>
      <c r="AM19" s="1162" t="str">
        <f t="shared" ref="AM19:AM35" si="0">CB19&amp;CC19&amp;CD19&amp;CE19&amp;CF19&amp;CG19</f>
        <v/>
      </c>
      <c r="AN19" s="1058"/>
      <c r="AO19" s="1058"/>
      <c r="AP19" s="1058"/>
      <c r="AQ19" s="1058"/>
      <c r="AR19" s="1058"/>
      <c r="AS19" s="1058"/>
      <c r="AT19" s="1058"/>
      <c r="AU19" s="1058"/>
      <c r="AV19" s="94"/>
      <c r="AW19" s="94"/>
      <c r="AX19" s="94"/>
      <c r="AY19" s="94"/>
      <c r="AZ19" s="94"/>
      <c r="BA19" s="94"/>
      <c r="BB19" s="94"/>
      <c r="BC19" s="94"/>
      <c r="BD19" s="94"/>
      <c r="BE19" s="94"/>
      <c r="BF19" s="94"/>
      <c r="BG19" s="94"/>
      <c r="BH19" s="94"/>
      <c r="BI19" s="94"/>
      <c r="BJ19" s="94"/>
      <c r="BK19" s="94"/>
      <c r="BL19" s="94"/>
      <c r="BM19" s="94"/>
      <c r="BN19" s="94"/>
      <c r="BO19" s="94"/>
      <c r="BP19" s="94"/>
      <c r="BQ19" s="94"/>
      <c r="BR19" s="94"/>
      <c r="BS19" s="94"/>
      <c r="BT19" s="94"/>
      <c r="BU19" s="891"/>
      <c r="BV19" s="891"/>
      <c r="BW19" s="891"/>
      <c r="BX19" s="891"/>
      <c r="CB19" s="1031"/>
      <c r="CC19" s="1031"/>
      <c r="CD19" s="1031"/>
      <c r="CE19" s="1031"/>
      <c r="CF19" s="1031"/>
      <c r="CG19" s="1031"/>
      <c r="CH19" s="1031"/>
      <c r="CI19" s="1163" t="e">
        <f t="shared" ref="CI19:CI35" si="1">IF(AH19&gt;(AB19+AC19),1,0)</f>
        <v>#VALUE!</v>
      </c>
      <c r="CJ19" s="1163">
        <f t="shared" ref="CJ19:CJ35" si="2">IF(E19&lt;AJ19,1,0)</f>
        <v>1</v>
      </c>
      <c r="CK19" s="1163">
        <f t="shared" ref="CK19:CK35" si="3">IF(AND(AF19="",E19&lt;&gt;0),1,IF(G19&lt;AF19,1,0))</f>
        <v>1</v>
      </c>
      <c r="CL19" s="1163">
        <f t="shared" ref="CL19:CL35" si="4">IF(AND(AG19="",E19&lt;&gt;0),1,IF(E19&lt;AG19,1,0))</f>
        <v>1</v>
      </c>
      <c r="CM19" s="1163">
        <f t="shared" ref="CM19:CM35" si="5">IF(AND(AK19="",E19&lt;&gt;0),1,IF(E19&lt;AK19,1,0))</f>
        <v>1</v>
      </c>
      <c r="CN19" s="1163">
        <f t="shared" ref="CN19:CN35" si="6">IF(AND(AL19="",E19&lt;&gt;0),1,IF(E19&lt;AL19,1,0))</f>
        <v>1</v>
      </c>
      <c r="CO19" s="1163"/>
    </row>
    <row r="20" spans="1:96" ht="16.350000000000001" customHeight="1" x14ac:dyDescent="0.2">
      <c r="A20" s="3009" t="s">
        <v>3559</v>
      </c>
      <c r="B20" s="6031" t="s">
        <v>1059</v>
      </c>
      <c r="C20" s="6032"/>
      <c r="D20" s="6183"/>
      <c r="E20" s="2330" t="s">
        <v>2777</v>
      </c>
      <c r="F20" s="704" t="s">
        <v>2778</v>
      </c>
      <c r="G20" s="264" t="s">
        <v>2779</v>
      </c>
      <c r="H20" s="2395" t="s">
        <v>2780</v>
      </c>
      <c r="I20" s="258" t="s">
        <v>2781</v>
      </c>
      <c r="J20" s="2395" t="s">
        <v>2782</v>
      </c>
      <c r="K20" s="497" t="s">
        <v>2783</v>
      </c>
      <c r="L20" s="2395" t="s">
        <v>2784</v>
      </c>
      <c r="M20" s="497" t="s">
        <v>2785</v>
      </c>
      <c r="N20" s="2395" t="s">
        <v>2786</v>
      </c>
      <c r="O20" s="497" t="s">
        <v>2787</v>
      </c>
      <c r="P20" s="2395" t="s">
        <v>2788</v>
      </c>
      <c r="Q20" s="497" t="s">
        <v>2789</v>
      </c>
      <c r="R20" s="2395" t="s">
        <v>2790</v>
      </c>
      <c r="S20" s="497" t="s">
        <v>2791</v>
      </c>
      <c r="T20" s="2395" t="s">
        <v>2792</v>
      </c>
      <c r="U20" s="497" t="s">
        <v>2793</v>
      </c>
      <c r="V20" s="2577" t="s">
        <v>2794</v>
      </c>
      <c r="W20" s="2975" t="s">
        <v>2795</v>
      </c>
      <c r="X20" s="2577" t="s">
        <v>2796</v>
      </c>
      <c r="Y20" s="2975" t="s">
        <v>2797</v>
      </c>
      <c r="Z20" s="2577" t="s">
        <v>2798</v>
      </c>
      <c r="AA20" s="2975" t="s">
        <v>2799</v>
      </c>
      <c r="AB20" s="2577" t="s">
        <v>2800</v>
      </c>
      <c r="AC20" s="2975" t="s">
        <v>2801</v>
      </c>
      <c r="AD20" s="2577" t="s">
        <v>2817</v>
      </c>
      <c r="AE20" s="2986" t="s">
        <v>2818</v>
      </c>
      <c r="AF20" s="2975" t="s">
        <v>2819</v>
      </c>
      <c r="AG20" s="3010" t="s">
        <v>2821</v>
      </c>
      <c r="AH20" s="3010" t="s">
        <v>2822</v>
      </c>
      <c r="AI20" s="3010" t="s">
        <v>2823</v>
      </c>
      <c r="AJ20" s="3010" t="s">
        <v>2824</v>
      </c>
      <c r="AK20" s="3010" t="s">
        <v>2825</v>
      </c>
      <c r="AL20" s="3010" t="s">
        <v>2826</v>
      </c>
      <c r="AM20" s="1162" t="e">
        <f t="shared" si="0"/>
        <v>#VALUE!</v>
      </c>
      <c r="AN20" s="1058"/>
      <c r="AO20" s="1058"/>
      <c r="AP20" s="1058"/>
      <c r="AQ20" s="1058"/>
      <c r="AR20" s="1058"/>
      <c r="AS20" s="1058"/>
      <c r="AT20" s="1058"/>
      <c r="AU20" s="1058"/>
      <c r="AV20" s="94"/>
      <c r="AW20" s="94"/>
      <c r="AX20" s="94"/>
      <c r="AY20" s="94"/>
      <c r="AZ20" s="94"/>
      <c r="BA20" s="94"/>
      <c r="BB20" s="94"/>
      <c r="BC20" s="94"/>
      <c r="BD20" s="94"/>
      <c r="BE20" s="94"/>
      <c r="BF20" s="94"/>
      <c r="BG20" s="94"/>
      <c r="BH20" s="94"/>
      <c r="BI20" s="94"/>
      <c r="BJ20" s="94"/>
      <c r="BK20" s="94"/>
      <c r="BL20" s="94"/>
      <c r="BM20" s="94"/>
      <c r="BN20" s="94"/>
      <c r="BO20" s="94"/>
      <c r="BP20" s="94"/>
      <c r="BQ20" s="94"/>
      <c r="BR20" s="94"/>
      <c r="BS20" s="94"/>
      <c r="BT20" s="94"/>
      <c r="BU20" s="891"/>
      <c r="BV20" s="891"/>
      <c r="BW20" s="891"/>
      <c r="BX20" s="891"/>
      <c r="CB20" s="1031" t="e">
        <f t="shared" ref="CB20:CB35" si="7">IF(CI20=1,"* Las consultas de 60 años NO DEBEN ser mayor que el total de Consultas entre 20-64 Años. ","")</f>
        <v>#VALUE!</v>
      </c>
      <c r="CC20" s="1031" t="str">
        <f t="shared" ref="CC20:CC35" si="8">IF(CJ20=1,"* Las actividades de usuarios en situación de discapacidad NO DEBEN superar el total. ","")</f>
        <v xml:space="preserve">* Las actividades de usuarios en situación de discapacidad NO DEBEN superar el total. </v>
      </c>
      <c r="CD20" s="1031" t="str">
        <f t="shared" ref="CD20:CD35" si="9">IF(AND(AF20="",E20&lt;&gt;0),"* Recuerde que las Embarazadas deben ser incluídas en el ingreso por rango Etario (Digite CEROS si no tiene). ",IF(G20&lt;AF20,"* Las Embarazadas NO DEBEN ser mayor al total de mujeres. ",""))</f>
        <v xml:space="preserve">* Las Embarazadas NO DEBEN ser mayor al total de mujeres. </v>
      </c>
      <c r="CE20" s="1031" t="str">
        <f t="shared" ref="CE20:CE35" si="10">IF(AND(AG20="",E20&lt;&gt;0),"* No olvide digitar la columna Beneficiarios (Digite CEROS si no tiene). ",IF(E20&lt;AG20,"* El número de Beneficiarios NO DEBE ser mayor que el Total. ",""))</f>
        <v xml:space="preserve">* El número de Beneficiarios NO DEBE ser mayor que el Total. </v>
      </c>
      <c r="CF20" s="1031" t="str">
        <f t="shared" ref="CF20:CF35" si="11">IF(AND(AK20="",E20&lt;&gt;0),"* No olvide digitar la Población SENAME (Digite CEROS si no tiene). ",IF(E20&lt;AK20,"* La Población SENAME NO DEBE ser mayor al Total. ",""))</f>
        <v xml:space="preserve">* La Población SENAME NO DEBE ser mayor al Total. </v>
      </c>
      <c r="CG20" s="1031" t="str">
        <f t="shared" ref="CG20:CG35" si="12">IF(AND(AL20="",E20&lt;&gt;0),"* No olvide digitar la Población Migrante (Digite CEROS si no tiene). ",IF(E20&lt;AL20,"* La Población Migrante NO DEBE superar el Total. ",""))</f>
        <v xml:space="preserve">* La Población Migrante NO DEBE superar el Total. </v>
      </c>
      <c r="CH20" s="1031"/>
      <c r="CI20" s="1163" t="e">
        <f t="shared" si="1"/>
        <v>#VALUE!</v>
      </c>
      <c r="CJ20" s="1163">
        <f t="shared" si="2"/>
        <v>1</v>
      </c>
      <c r="CK20" s="1163">
        <f t="shared" si="3"/>
        <v>1</v>
      </c>
      <c r="CL20" s="1163">
        <f t="shared" si="4"/>
        <v>1</v>
      </c>
      <c r="CM20" s="1163">
        <f t="shared" si="5"/>
        <v>1</v>
      </c>
      <c r="CN20" s="1163">
        <f t="shared" si="6"/>
        <v>1</v>
      </c>
      <c r="CO20" s="1163"/>
    </row>
    <row r="21" spans="1:96" ht="16.350000000000001" customHeight="1" x14ac:dyDescent="0.2">
      <c r="A21" s="3009" t="s">
        <v>3560</v>
      </c>
      <c r="B21" s="6180" t="s">
        <v>1061</v>
      </c>
      <c r="C21" s="6181"/>
      <c r="D21" s="6182"/>
      <c r="E21" s="3970" t="s">
        <v>2777</v>
      </c>
      <c r="F21" s="3971" t="s">
        <v>2778</v>
      </c>
      <c r="G21" s="3972" t="s">
        <v>2779</v>
      </c>
      <c r="H21" s="3962" t="s">
        <v>2780</v>
      </c>
      <c r="I21" s="3973" t="s">
        <v>2781</v>
      </c>
      <c r="J21" s="3962" t="s">
        <v>2782</v>
      </c>
      <c r="K21" s="3974" t="s">
        <v>2783</v>
      </c>
      <c r="L21" s="3962" t="s">
        <v>2784</v>
      </c>
      <c r="M21" s="3973" t="s">
        <v>2785</v>
      </c>
      <c r="N21" s="3962" t="s">
        <v>2786</v>
      </c>
      <c r="O21" s="3973" t="s">
        <v>2787</v>
      </c>
      <c r="P21" s="3962" t="s">
        <v>2788</v>
      </c>
      <c r="Q21" s="3974" t="s">
        <v>2789</v>
      </c>
      <c r="R21" s="3962" t="s">
        <v>2790</v>
      </c>
      <c r="S21" s="3973" t="s">
        <v>2791</v>
      </c>
      <c r="T21" s="3962" t="s">
        <v>2792</v>
      </c>
      <c r="U21" s="3974" t="s">
        <v>2793</v>
      </c>
      <c r="V21" s="3962" t="s">
        <v>2794</v>
      </c>
      <c r="W21" s="3973" t="s">
        <v>2795</v>
      </c>
      <c r="X21" s="3962" t="s">
        <v>2796</v>
      </c>
      <c r="Y21" s="3973" t="s">
        <v>2797</v>
      </c>
      <c r="Z21" s="3962" t="s">
        <v>2798</v>
      </c>
      <c r="AA21" s="3973" t="s">
        <v>2799</v>
      </c>
      <c r="AB21" s="3962" t="s">
        <v>2800</v>
      </c>
      <c r="AC21" s="3973" t="s">
        <v>2801</v>
      </c>
      <c r="AD21" s="3962" t="s">
        <v>2817</v>
      </c>
      <c r="AE21" s="3975" t="s">
        <v>2818</v>
      </c>
      <c r="AF21" s="3973" t="s">
        <v>2819</v>
      </c>
      <c r="AG21" s="3976" t="s">
        <v>2821</v>
      </c>
      <c r="AH21" s="3976" t="s">
        <v>2822</v>
      </c>
      <c r="AI21" s="3976" t="s">
        <v>2823</v>
      </c>
      <c r="AJ21" s="3976" t="s">
        <v>2824</v>
      </c>
      <c r="AK21" s="3976" t="s">
        <v>2825</v>
      </c>
      <c r="AL21" s="3976" t="s">
        <v>2826</v>
      </c>
      <c r="AM21" s="1162" t="e">
        <f t="shared" si="0"/>
        <v>#VALUE!</v>
      </c>
      <c r="AN21" s="998"/>
      <c r="AO21" s="998"/>
      <c r="AP21" s="998"/>
      <c r="AQ21" s="998"/>
      <c r="AR21" s="998"/>
      <c r="AS21" s="998"/>
      <c r="AT21" s="998"/>
      <c r="AU21" s="998"/>
      <c r="AV21" s="998"/>
      <c r="AW21" s="998"/>
      <c r="AX21" s="998"/>
      <c r="AY21" s="998"/>
      <c r="AZ21" s="998"/>
      <c r="BA21" s="998"/>
      <c r="BB21" s="998"/>
      <c r="BC21" s="998"/>
      <c r="BD21" s="998"/>
      <c r="BE21" s="998"/>
      <c r="BF21" s="998"/>
      <c r="BG21" s="998"/>
      <c r="BH21" s="998"/>
      <c r="BI21" s="998"/>
      <c r="BJ21" s="998"/>
      <c r="BK21" s="998"/>
      <c r="BL21" s="998"/>
      <c r="BM21" s="998"/>
      <c r="BN21" s="998"/>
      <c r="BO21" s="998"/>
      <c r="BP21" s="998"/>
      <c r="BQ21" s="998"/>
      <c r="BR21" s="998"/>
      <c r="BS21" s="998"/>
      <c r="BT21" s="998"/>
      <c r="BU21" s="891"/>
      <c r="BV21" s="891"/>
      <c r="BW21" s="891"/>
      <c r="BX21" s="999"/>
      <c r="BY21" s="999"/>
      <c r="BZ21" s="999"/>
      <c r="CB21" s="1031" t="e">
        <f t="shared" si="7"/>
        <v>#VALUE!</v>
      </c>
      <c r="CC21" s="1031" t="str">
        <f t="shared" si="8"/>
        <v xml:space="preserve">* Las actividades de usuarios en situación de discapacidad NO DEBEN superar el total. </v>
      </c>
      <c r="CD21" s="1031" t="str">
        <f t="shared" si="9"/>
        <v xml:space="preserve">* Las Embarazadas NO DEBEN ser mayor al total de mujeres. </v>
      </c>
      <c r="CE21" s="1031" t="str">
        <f t="shared" si="10"/>
        <v xml:space="preserve">* El número de Beneficiarios NO DEBE ser mayor que el Total. </v>
      </c>
      <c r="CF21" s="1031" t="str">
        <f t="shared" si="11"/>
        <v xml:space="preserve">* La Población SENAME NO DEBE ser mayor al Total. </v>
      </c>
      <c r="CG21" s="1031" t="str">
        <f t="shared" si="12"/>
        <v xml:space="preserve">* La Población Migrante NO DEBE superar el Total. </v>
      </c>
      <c r="CH21" s="1031"/>
      <c r="CI21" s="1163" t="e">
        <f t="shared" si="1"/>
        <v>#VALUE!</v>
      </c>
      <c r="CJ21" s="1163">
        <f t="shared" si="2"/>
        <v>1</v>
      </c>
      <c r="CK21" s="1163">
        <f t="shared" si="3"/>
        <v>1</v>
      </c>
      <c r="CL21" s="1163">
        <f t="shared" si="4"/>
        <v>1</v>
      </c>
      <c r="CM21" s="1163">
        <f t="shared" si="5"/>
        <v>1</v>
      </c>
      <c r="CN21" s="1163">
        <f t="shared" si="6"/>
        <v>1</v>
      </c>
      <c r="CO21" s="1163"/>
      <c r="CP21" s="1000"/>
      <c r="CQ21" s="1000"/>
      <c r="CR21" s="1000"/>
    </row>
    <row r="22" spans="1:96" ht="16.350000000000001" customHeight="1" x14ac:dyDescent="0.2">
      <c r="A22" s="3009" t="s">
        <v>3561</v>
      </c>
      <c r="B22" s="5313" t="s">
        <v>1062</v>
      </c>
      <c r="C22" s="5302"/>
      <c r="D22" s="5303"/>
      <c r="E22" s="3951" t="s">
        <v>2777</v>
      </c>
      <c r="F22" s="3952" t="s">
        <v>2778</v>
      </c>
      <c r="G22" s="200" t="s">
        <v>2779</v>
      </c>
      <c r="H22" s="141" t="s">
        <v>2780</v>
      </c>
      <c r="I22" s="198" t="s">
        <v>2781</v>
      </c>
      <c r="J22" s="141" t="s">
        <v>2782</v>
      </c>
      <c r="K22" s="143" t="s">
        <v>2783</v>
      </c>
      <c r="L22" s="141" t="s">
        <v>2784</v>
      </c>
      <c r="M22" s="198" t="s">
        <v>2785</v>
      </c>
      <c r="N22" s="141" t="s">
        <v>2786</v>
      </c>
      <c r="O22" s="198" t="s">
        <v>2787</v>
      </c>
      <c r="P22" s="141" t="s">
        <v>2788</v>
      </c>
      <c r="Q22" s="143" t="s">
        <v>2789</v>
      </c>
      <c r="R22" s="141" t="s">
        <v>2790</v>
      </c>
      <c r="S22" s="198" t="s">
        <v>2791</v>
      </c>
      <c r="T22" s="141" t="s">
        <v>2792</v>
      </c>
      <c r="U22" s="143" t="s">
        <v>2793</v>
      </c>
      <c r="V22" s="141" t="s">
        <v>2794</v>
      </c>
      <c r="W22" s="198" t="s">
        <v>2795</v>
      </c>
      <c r="X22" s="141" t="s">
        <v>2796</v>
      </c>
      <c r="Y22" s="198" t="s">
        <v>2797</v>
      </c>
      <c r="Z22" s="141" t="s">
        <v>2798</v>
      </c>
      <c r="AA22" s="198" t="s">
        <v>2799</v>
      </c>
      <c r="AB22" s="141" t="s">
        <v>2800</v>
      </c>
      <c r="AC22" s="198" t="s">
        <v>2801</v>
      </c>
      <c r="AD22" s="141" t="s">
        <v>2817</v>
      </c>
      <c r="AE22" s="498" t="s">
        <v>2818</v>
      </c>
      <c r="AF22" s="198" t="s">
        <v>2819</v>
      </c>
      <c r="AG22" s="499" t="s">
        <v>2821</v>
      </c>
      <c r="AH22" s="499" t="s">
        <v>2822</v>
      </c>
      <c r="AI22" s="499" t="s">
        <v>2823</v>
      </c>
      <c r="AJ22" s="499" t="s">
        <v>2824</v>
      </c>
      <c r="AK22" s="499" t="s">
        <v>2825</v>
      </c>
      <c r="AL22" s="499" t="s">
        <v>2826</v>
      </c>
      <c r="AM22" s="1162" t="e">
        <f t="shared" si="0"/>
        <v>#VALUE!</v>
      </c>
      <c r="AN22" s="1058"/>
      <c r="AO22" s="1058"/>
      <c r="AP22" s="1058"/>
      <c r="AQ22" s="1058"/>
      <c r="AR22" s="1058"/>
      <c r="AS22" s="1058"/>
      <c r="AT22" s="1058"/>
      <c r="AU22" s="1058"/>
      <c r="AV22" s="94"/>
      <c r="AW22" s="94"/>
      <c r="AX22" s="94"/>
      <c r="AY22" s="94"/>
      <c r="AZ22" s="94"/>
      <c r="BA22" s="94"/>
      <c r="BB22" s="94"/>
      <c r="BC22" s="94"/>
      <c r="BD22" s="94"/>
      <c r="BE22" s="94"/>
      <c r="BF22" s="94"/>
      <c r="BG22" s="94"/>
      <c r="BH22" s="94"/>
      <c r="BI22" s="94"/>
      <c r="BJ22" s="94"/>
      <c r="BK22" s="94"/>
      <c r="BL22" s="94"/>
      <c r="BM22" s="94"/>
      <c r="BN22" s="94"/>
      <c r="BO22" s="94"/>
      <c r="BP22" s="94"/>
      <c r="BQ22" s="94"/>
      <c r="BR22" s="94"/>
      <c r="BS22" s="94"/>
      <c r="BT22" s="94"/>
      <c r="BU22" s="891"/>
      <c r="BV22" s="891"/>
      <c r="BW22" s="891"/>
      <c r="BX22" s="891"/>
      <c r="CB22" s="1031" t="e">
        <f t="shared" si="7"/>
        <v>#VALUE!</v>
      </c>
      <c r="CC22" s="1031" t="str">
        <f t="shared" si="8"/>
        <v xml:space="preserve">* Las actividades de usuarios en situación de discapacidad NO DEBEN superar el total. </v>
      </c>
      <c r="CD22" s="1031" t="str">
        <f t="shared" si="9"/>
        <v xml:space="preserve">* Las Embarazadas NO DEBEN ser mayor al total de mujeres. </v>
      </c>
      <c r="CE22" s="1031" t="str">
        <f t="shared" si="10"/>
        <v xml:space="preserve">* El número de Beneficiarios NO DEBE ser mayor que el Total. </v>
      </c>
      <c r="CF22" s="1031" t="str">
        <f t="shared" si="11"/>
        <v xml:space="preserve">* La Población SENAME NO DEBE ser mayor al Total. </v>
      </c>
      <c r="CG22" s="1031" t="str">
        <f t="shared" si="12"/>
        <v xml:space="preserve">* La Población Migrante NO DEBE superar el Total. </v>
      </c>
      <c r="CH22" s="1031"/>
      <c r="CI22" s="1163" t="e">
        <f t="shared" si="1"/>
        <v>#VALUE!</v>
      </c>
      <c r="CJ22" s="1163">
        <f t="shared" si="2"/>
        <v>1</v>
      </c>
      <c r="CK22" s="1163">
        <f t="shared" si="3"/>
        <v>1</v>
      </c>
      <c r="CL22" s="1163">
        <f t="shared" si="4"/>
        <v>1</v>
      </c>
      <c r="CM22" s="1163">
        <f t="shared" si="5"/>
        <v>1</v>
      </c>
      <c r="CN22" s="1163">
        <f t="shared" si="6"/>
        <v>1</v>
      </c>
      <c r="CO22" s="1163"/>
    </row>
    <row r="23" spans="1:96" ht="16.350000000000001" customHeight="1" x14ac:dyDescent="0.2">
      <c r="A23" s="3009" t="s">
        <v>3562</v>
      </c>
      <c r="B23" s="5313" t="s">
        <v>1063</v>
      </c>
      <c r="C23" s="5302"/>
      <c r="D23" s="5303"/>
      <c r="E23" s="3951" t="s">
        <v>2777</v>
      </c>
      <c r="F23" s="3952" t="s">
        <v>2778</v>
      </c>
      <c r="G23" s="200" t="s">
        <v>2779</v>
      </c>
      <c r="H23" s="141" t="s">
        <v>2780</v>
      </c>
      <c r="I23" s="198" t="s">
        <v>2781</v>
      </c>
      <c r="J23" s="141" t="s">
        <v>2782</v>
      </c>
      <c r="K23" s="143" t="s">
        <v>2783</v>
      </c>
      <c r="L23" s="141" t="s">
        <v>2784</v>
      </c>
      <c r="M23" s="198" t="s">
        <v>2785</v>
      </c>
      <c r="N23" s="141" t="s">
        <v>2786</v>
      </c>
      <c r="O23" s="198" t="s">
        <v>2787</v>
      </c>
      <c r="P23" s="141" t="s">
        <v>2788</v>
      </c>
      <c r="Q23" s="143" t="s">
        <v>2789</v>
      </c>
      <c r="R23" s="141" t="s">
        <v>2790</v>
      </c>
      <c r="S23" s="198" t="s">
        <v>2791</v>
      </c>
      <c r="T23" s="141" t="s">
        <v>2792</v>
      </c>
      <c r="U23" s="143" t="s">
        <v>2793</v>
      </c>
      <c r="V23" s="141" t="s">
        <v>2794</v>
      </c>
      <c r="W23" s="198" t="s">
        <v>2795</v>
      </c>
      <c r="X23" s="141" t="s">
        <v>2796</v>
      </c>
      <c r="Y23" s="198" t="s">
        <v>2797</v>
      </c>
      <c r="Z23" s="141" t="s">
        <v>2798</v>
      </c>
      <c r="AA23" s="198" t="s">
        <v>2799</v>
      </c>
      <c r="AB23" s="141" t="s">
        <v>2800</v>
      </c>
      <c r="AC23" s="198" t="s">
        <v>2801</v>
      </c>
      <c r="AD23" s="141" t="s">
        <v>2817</v>
      </c>
      <c r="AE23" s="498" t="s">
        <v>2818</v>
      </c>
      <c r="AF23" s="198" t="s">
        <v>2819</v>
      </c>
      <c r="AG23" s="499" t="s">
        <v>2821</v>
      </c>
      <c r="AH23" s="499" t="s">
        <v>2822</v>
      </c>
      <c r="AI23" s="499" t="s">
        <v>2823</v>
      </c>
      <c r="AJ23" s="499" t="s">
        <v>2824</v>
      </c>
      <c r="AK23" s="499" t="s">
        <v>2825</v>
      </c>
      <c r="AL23" s="499" t="s">
        <v>2826</v>
      </c>
      <c r="AM23" s="1162" t="e">
        <f t="shared" si="0"/>
        <v>#VALUE!</v>
      </c>
      <c r="AN23" s="1058"/>
      <c r="AO23" s="1058"/>
      <c r="AP23" s="1058"/>
      <c r="AQ23" s="1058"/>
      <c r="AR23" s="1058"/>
      <c r="AS23" s="1058"/>
      <c r="AT23" s="1058"/>
      <c r="AU23" s="1058"/>
      <c r="AV23" s="94"/>
      <c r="AW23" s="94"/>
      <c r="AX23" s="94"/>
      <c r="AY23" s="94"/>
      <c r="AZ23" s="94"/>
      <c r="BA23" s="94"/>
      <c r="BB23" s="94"/>
      <c r="BC23" s="94"/>
      <c r="BD23" s="94"/>
      <c r="BE23" s="94"/>
      <c r="BF23" s="94"/>
      <c r="BG23" s="94"/>
      <c r="BH23" s="94"/>
      <c r="BI23" s="94"/>
      <c r="BJ23" s="94"/>
      <c r="BK23" s="94"/>
      <c r="BL23" s="94"/>
      <c r="BM23" s="94"/>
      <c r="BN23" s="94"/>
      <c r="BO23" s="94"/>
      <c r="BP23" s="94"/>
      <c r="BQ23" s="94"/>
      <c r="BR23" s="94"/>
      <c r="BS23" s="94"/>
      <c r="BT23" s="94"/>
      <c r="BU23" s="891"/>
      <c r="BV23" s="891"/>
      <c r="BW23" s="891"/>
      <c r="BX23" s="891"/>
      <c r="CB23" s="1031" t="e">
        <f t="shared" si="7"/>
        <v>#VALUE!</v>
      </c>
      <c r="CC23" s="1031" t="str">
        <f t="shared" si="8"/>
        <v xml:space="preserve">* Las actividades de usuarios en situación de discapacidad NO DEBEN superar el total. </v>
      </c>
      <c r="CD23" s="1031" t="str">
        <f t="shared" si="9"/>
        <v xml:space="preserve">* Las Embarazadas NO DEBEN ser mayor al total de mujeres. </v>
      </c>
      <c r="CE23" s="1031" t="str">
        <f t="shared" si="10"/>
        <v xml:space="preserve">* El número de Beneficiarios NO DEBE ser mayor que el Total. </v>
      </c>
      <c r="CF23" s="1031" t="str">
        <f t="shared" si="11"/>
        <v xml:space="preserve">* La Población SENAME NO DEBE ser mayor al Total. </v>
      </c>
      <c r="CG23" s="1031" t="str">
        <f t="shared" si="12"/>
        <v xml:space="preserve">* La Población Migrante NO DEBE superar el Total. </v>
      </c>
      <c r="CH23" s="1031"/>
      <c r="CI23" s="1163" t="e">
        <f t="shared" si="1"/>
        <v>#VALUE!</v>
      </c>
      <c r="CJ23" s="1163">
        <f t="shared" si="2"/>
        <v>1</v>
      </c>
      <c r="CK23" s="1163">
        <f t="shared" si="3"/>
        <v>1</v>
      </c>
      <c r="CL23" s="1163">
        <f t="shared" si="4"/>
        <v>1</v>
      </c>
      <c r="CM23" s="1163">
        <f t="shared" si="5"/>
        <v>1</v>
      </c>
      <c r="CN23" s="1163">
        <f t="shared" si="6"/>
        <v>1</v>
      </c>
      <c r="CO23" s="1163"/>
    </row>
    <row r="24" spans="1:96" ht="16.350000000000001" customHeight="1" x14ac:dyDescent="0.2">
      <c r="A24" s="3009" t="s">
        <v>3563</v>
      </c>
      <c r="B24" s="5313" t="s">
        <v>1064</v>
      </c>
      <c r="C24" s="5302"/>
      <c r="D24" s="5303"/>
      <c r="E24" s="3951" t="s">
        <v>2777</v>
      </c>
      <c r="F24" s="3952" t="s">
        <v>2778</v>
      </c>
      <c r="G24" s="200" t="s">
        <v>2779</v>
      </c>
      <c r="H24" s="141" t="s">
        <v>2780</v>
      </c>
      <c r="I24" s="198" t="s">
        <v>2781</v>
      </c>
      <c r="J24" s="141" t="s">
        <v>2782</v>
      </c>
      <c r="K24" s="143" t="s">
        <v>2783</v>
      </c>
      <c r="L24" s="141" t="s">
        <v>2784</v>
      </c>
      <c r="M24" s="198" t="s">
        <v>2785</v>
      </c>
      <c r="N24" s="141" t="s">
        <v>2786</v>
      </c>
      <c r="O24" s="198" t="s">
        <v>2787</v>
      </c>
      <c r="P24" s="141" t="s">
        <v>2788</v>
      </c>
      <c r="Q24" s="143" t="s">
        <v>2789</v>
      </c>
      <c r="R24" s="141" t="s">
        <v>2790</v>
      </c>
      <c r="S24" s="198" t="s">
        <v>2791</v>
      </c>
      <c r="T24" s="141" t="s">
        <v>2792</v>
      </c>
      <c r="U24" s="143" t="s">
        <v>2793</v>
      </c>
      <c r="V24" s="141" t="s">
        <v>2794</v>
      </c>
      <c r="W24" s="198" t="s">
        <v>2795</v>
      </c>
      <c r="X24" s="141" t="s">
        <v>2796</v>
      </c>
      <c r="Y24" s="198" t="s">
        <v>2797</v>
      </c>
      <c r="Z24" s="141" t="s">
        <v>2798</v>
      </c>
      <c r="AA24" s="198" t="s">
        <v>2799</v>
      </c>
      <c r="AB24" s="141" t="s">
        <v>2800</v>
      </c>
      <c r="AC24" s="198" t="s">
        <v>2801</v>
      </c>
      <c r="AD24" s="141" t="s">
        <v>2817</v>
      </c>
      <c r="AE24" s="498" t="s">
        <v>2818</v>
      </c>
      <c r="AF24" s="198" t="s">
        <v>2819</v>
      </c>
      <c r="AG24" s="499" t="s">
        <v>2821</v>
      </c>
      <c r="AH24" s="499" t="s">
        <v>2822</v>
      </c>
      <c r="AI24" s="499" t="s">
        <v>2823</v>
      </c>
      <c r="AJ24" s="499" t="s">
        <v>2824</v>
      </c>
      <c r="AK24" s="499" t="s">
        <v>2825</v>
      </c>
      <c r="AL24" s="499" t="s">
        <v>2826</v>
      </c>
      <c r="AM24" s="1162" t="e">
        <f t="shared" si="0"/>
        <v>#VALUE!</v>
      </c>
      <c r="AN24" s="1058"/>
      <c r="AO24" s="1058"/>
      <c r="AP24" s="1058"/>
      <c r="AQ24" s="1058"/>
      <c r="AR24" s="1058"/>
      <c r="AS24" s="1058"/>
      <c r="AT24" s="1058"/>
      <c r="AU24" s="1058"/>
      <c r="AV24" s="94"/>
      <c r="AW24" s="94"/>
      <c r="AX24" s="94"/>
      <c r="AY24" s="94"/>
      <c r="AZ24" s="94"/>
      <c r="BA24" s="94"/>
      <c r="BB24" s="94"/>
      <c r="BC24" s="94"/>
      <c r="BD24" s="94"/>
      <c r="BE24" s="94"/>
      <c r="BF24" s="94"/>
      <c r="BG24" s="94"/>
      <c r="BH24" s="94"/>
      <c r="BI24" s="94"/>
      <c r="BJ24" s="94"/>
      <c r="BK24" s="94"/>
      <c r="BL24" s="94"/>
      <c r="BM24" s="94"/>
      <c r="BN24" s="94"/>
      <c r="BO24" s="94"/>
      <c r="BP24" s="94"/>
      <c r="BQ24" s="94"/>
      <c r="BR24" s="94"/>
      <c r="BS24" s="94"/>
      <c r="BT24" s="94"/>
      <c r="BU24" s="891"/>
      <c r="BV24" s="891"/>
      <c r="BW24" s="891"/>
      <c r="BX24" s="891"/>
      <c r="CB24" s="1031" t="e">
        <f t="shared" si="7"/>
        <v>#VALUE!</v>
      </c>
      <c r="CC24" s="1031" t="str">
        <f t="shared" si="8"/>
        <v xml:space="preserve">* Las actividades de usuarios en situación de discapacidad NO DEBEN superar el total. </v>
      </c>
      <c r="CD24" s="1031" t="str">
        <f t="shared" si="9"/>
        <v xml:space="preserve">* Las Embarazadas NO DEBEN ser mayor al total de mujeres. </v>
      </c>
      <c r="CE24" s="1031" t="str">
        <f t="shared" si="10"/>
        <v xml:space="preserve">* El número de Beneficiarios NO DEBE ser mayor que el Total. </v>
      </c>
      <c r="CF24" s="1031" t="str">
        <f t="shared" si="11"/>
        <v xml:space="preserve">* La Población SENAME NO DEBE ser mayor al Total. </v>
      </c>
      <c r="CG24" s="1031" t="str">
        <f t="shared" si="12"/>
        <v xml:space="preserve">* La Población Migrante NO DEBE superar el Total. </v>
      </c>
      <c r="CH24" s="1031"/>
      <c r="CI24" s="1163" t="e">
        <f t="shared" si="1"/>
        <v>#VALUE!</v>
      </c>
      <c r="CJ24" s="1163">
        <f t="shared" si="2"/>
        <v>1</v>
      </c>
      <c r="CK24" s="1163">
        <f t="shared" si="3"/>
        <v>1</v>
      </c>
      <c r="CL24" s="1163">
        <f t="shared" si="4"/>
        <v>1</v>
      </c>
      <c r="CM24" s="1163">
        <f t="shared" si="5"/>
        <v>1</v>
      </c>
      <c r="CN24" s="1163">
        <f t="shared" si="6"/>
        <v>1</v>
      </c>
      <c r="CO24" s="1163"/>
    </row>
    <row r="25" spans="1:96" ht="16.350000000000001" customHeight="1" x14ac:dyDescent="0.2">
      <c r="A25" s="3009" t="s">
        <v>3564</v>
      </c>
      <c r="B25" s="5313" t="s">
        <v>1065</v>
      </c>
      <c r="C25" s="5302"/>
      <c r="D25" s="5303"/>
      <c r="E25" s="3951" t="s">
        <v>2777</v>
      </c>
      <c r="F25" s="3952" t="s">
        <v>2778</v>
      </c>
      <c r="G25" s="200" t="s">
        <v>2779</v>
      </c>
      <c r="H25" s="141" t="s">
        <v>2780</v>
      </c>
      <c r="I25" s="198" t="s">
        <v>2781</v>
      </c>
      <c r="J25" s="141" t="s">
        <v>2782</v>
      </c>
      <c r="K25" s="143" t="s">
        <v>2783</v>
      </c>
      <c r="L25" s="141" t="s">
        <v>2784</v>
      </c>
      <c r="M25" s="198" t="s">
        <v>2785</v>
      </c>
      <c r="N25" s="141" t="s">
        <v>2786</v>
      </c>
      <c r="O25" s="198" t="s">
        <v>2787</v>
      </c>
      <c r="P25" s="141" t="s">
        <v>2788</v>
      </c>
      <c r="Q25" s="143" t="s">
        <v>2789</v>
      </c>
      <c r="R25" s="141" t="s">
        <v>2790</v>
      </c>
      <c r="S25" s="198" t="s">
        <v>2791</v>
      </c>
      <c r="T25" s="141" t="s">
        <v>2792</v>
      </c>
      <c r="U25" s="143" t="s">
        <v>2793</v>
      </c>
      <c r="V25" s="141" t="s">
        <v>2794</v>
      </c>
      <c r="W25" s="198" t="s">
        <v>2795</v>
      </c>
      <c r="X25" s="141" t="s">
        <v>2796</v>
      </c>
      <c r="Y25" s="198" t="s">
        <v>2797</v>
      </c>
      <c r="Z25" s="141" t="s">
        <v>2798</v>
      </c>
      <c r="AA25" s="198" t="s">
        <v>2799</v>
      </c>
      <c r="AB25" s="141" t="s">
        <v>2800</v>
      </c>
      <c r="AC25" s="198" t="s">
        <v>2801</v>
      </c>
      <c r="AD25" s="141" t="s">
        <v>2817</v>
      </c>
      <c r="AE25" s="498" t="s">
        <v>2818</v>
      </c>
      <c r="AF25" s="198" t="s">
        <v>2819</v>
      </c>
      <c r="AG25" s="499" t="s">
        <v>2821</v>
      </c>
      <c r="AH25" s="499" t="s">
        <v>2822</v>
      </c>
      <c r="AI25" s="499" t="s">
        <v>2823</v>
      </c>
      <c r="AJ25" s="499" t="s">
        <v>2824</v>
      </c>
      <c r="AK25" s="499" t="s">
        <v>2825</v>
      </c>
      <c r="AL25" s="499" t="s">
        <v>2826</v>
      </c>
      <c r="AM25" s="1162" t="e">
        <f t="shared" si="0"/>
        <v>#VALUE!</v>
      </c>
      <c r="AN25" s="1058"/>
      <c r="AO25" s="1058"/>
      <c r="AP25" s="1058"/>
      <c r="AQ25" s="1058"/>
      <c r="AR25" s="1058"/>
      <c r="AS25" s="1058"/>
      <c r="AT25" s="1058"/>
      <c r="AU25" s="1058"/>
      <c r="AV25" s="94"/>
      <c r="AW25" s="94"/>
      <c r="AX25" s="94"/>
      <c r="AY25" s="94"/>
      <c r="AZ25" s="94"/>
      <c r="BA25" s="94"/>
      <c r="BB25" s="94"/>
      <c r="BC25" s="94"/>
      <c r="BD25" s="94"/>
      <c r="BE25" s="94"/>
      <c r="BF25" s="94"/>
      <c r="BG25" s="94"/>
      <c r="BH25" s="94"/>
      <c r="BI25" s="94"/>
      <c r="BJ25" s="94"/>
      <c r="BK25" s="94"/>
      <c r="BL25" s="94"/>
      <c r="BM25" s="94"/>
      <c r="BN25" s="94"/>
      <c r="BO25" s="94"/>
      <c r="BP25" s="94"/>
      <c r="BQ25" s="94"/>
      <c r="BR25" s="94"/>
      <c r="BS25" s="94"/>
      <c r="BT25" s="94"/>
      <c r="BU25" s="891"/>
      <c r="BV25" s="891"/>
      <c r="BW25" s="891"/>
      <c r="BX25" s="891"/>
      <c r="CB25" s="1031" t="e">
        <f t="shared" si="7"/>
        <v>#VALUE!</v>
      </c>
      <c r="CC25" s="1031" t="str">
        <f t="shared" si="8"/>
        <v xml:space="preserve">* Las actividades de usuarios en situación de discapacidad NO DEBEN superar el total. </v>
      </c>
      <c r="CD25" s="1031" t="str">
        <f t="shared" si="9"/>
        <v xml:space="preserve">* Las Embarazadas NO DEBEN ser mayor al total de mujeres. </v>
      </c>
      <c r="CE25" s="1031" t="str">
        <f t="shared" si="10"/>
        <v xml:space="preserve">* El número de Beneficiarios NO DEBE ser mayor que el Total. </v>
      </c>
      <c r="CF25" s="1031" t="str">
        <f t="shared" si="11"/>
        <v xml:space="preserve">* La Población SENAME NO DEBE ser mayor al Total. </v>
      </c>
      <c r="CG25" s="1031" t="str">
        <f t="shared" si="12"/>
        <v xml:space="preserve">* La Población Migrante NO DEBE superar el Total. </v>
      </c>
      <c r="CH25" s="1031"/>
      <c r="CI25" s="1163" t="e">
        <f t="shared" si="1"/>
        <v>#VALUE!</v>
      </c>
      <c r="CJ25" s="1163">
        <f t="shared" si="2"/>
        <v>1</v>
      </c>
      <c r="CK25" s="1163">
        <f t="shared" si="3"/>
        <v>1</v>
      </c>
      <c r="CL25" s="1163">
        <f t="shared" si="4"/>
        <v>1</v>
      </c>
      <c r="CM25" s="1163">
        <f t="shared" si="5"/>
        <v>1</v>
      </c>
      <c r="CN25" s="1163">
        <f t="shared" si="6"/>
        <v>1</v>
      </c>
      <c r="CO25" s="1163"/>
    </row>
    <row r="26" spans="1:96" ht="16.350000000000001" customHeight="1" x14ac:dyDescent="0.2">
      <c r="A26" s="3009" t="s">
        <v>3565</v>
      </c>
      <c r="B26" s="6145" t="s">
        <v>1066</v>
      </c>
      <c r="C26" s="6146"/>
      <c r="D26" s="6147"/>
      <c r="E26" s="3951" t="s">
        <v>2777</v>
      </c>
      <c r="F26" s="3952" t="s">
        <v>2778</v>
      </c>
      <c r="G26" s="200" t="s">
        <v>2779</v>
      </c>
      <c r="H26" s="141" t="s">
        <v>2780</v>
      </c>
      <c r="I26" s="198" t="s">
        <v>2781</v>
      </c>
      <c r="J26" s="141" t="s">
        <v>2782</v>
      </c>
      <c r="K26" s="143" t="s">
        <v>2783</v>
      </c>
      <c r="L26" s="141" t="s">
        <v>2784</v>
      </c>
      <c r="M26" s="198" t="s">
        <v>2785</v>
      </c>
      <c r="N26" s="141" t="s">
        <v>2786</v>
      </c>
      <c r="O26" s="198" t="s">
        <v>2787</v>
      </c>
      <c r="P26" s="141" t="s">
        <v>2788</v>
      </c>
      <c r="Q26" s="143" t="s">
        <v>2789</v>
      </c>
      <c r="R26" s="141" t="s">
        <v>2790</v>
      </c>
      <c r="S26" s="198" t="s">
        <v>2791</v>
      </c>
      <c r="T26" s="141" t="s">
        <v>2792</v>
      </c>
      <c r="U26" s="143" t="s">
        <v>2793</v>
      </c>
      <c r="V26" s="141" t="s">
        <v>2794</v>
      </c>
      <c r="W26" s="198" t="s">
        <v>2795</v>
      </c>
      <c r="X26" s="141" t="s">
        <v>2796</v>
      </c>
      <c r="Y26" s="198" t="s">
        <v>2797</v>
      </c>
      <c r="Z26" s="141" t="s">
        <v>2798</v>
      </c>
      <c r="AA26" s="198" t="s">
        <v>2799</v>
      </c>
      <c r="AB26" s="141" t="s">
        <v>2800</v>
      </c>
      <c r="AC26" s="198" t="s">
        <v>2801</v>
      </c>
      <c r="AD26" s="141" t="s">
        <v>2817</v>
      </c>
      <c r="AE26" s="498" t="s">
        <v>2818</v>
      </c>
      <c r="AF26" s="198" t="s">
        <v>2819</v>
      </c>
      <c r="AG26" s="499" t="s">
        <v>2821</v>
      </c>
      <c r="AH26" s="499" t="s">
        <v>2822</v>
      </c>
      <c r="AI26" s="499" t="s">
        <v>2823</v>
      </c>
      <c r="AJ26" s="499" t="s">
        <v>2824</v>
      </c>
      <c r="AK26" s="499" t="s">
        <v>2825</v>
      </c>
      <c r="AL26" s="499" t="s">
        <v>2826</v>
      </c>
      <c r="AM26" s="1162" t="e">
        <f t="shared" si="0"/>
        <v>#VALUE!</v>
      </c>
      <c r="AN26" s="1058"/>
      <c r="AO26" s="1058"/>
      <c r="AP26" s="1058"/>
      <c r="AQ26" s="1058"/>
      <c r="AR26" s="1058"/>
      <c r="AS26" s="1058"/>
      <c r="AT26" s="1058"/>
      <c r="AU26" s="1058"/>
      <c r="AV26" s="94"/>
      <c r="AW26" s="94"/>
      <c r="AX26" s="94"/>
      <c r="AY26" s="94"/>
      <c r="BU26" s="79"/>
      <c r="BV26" s="79"/>
      <c r="BW26" s="79"/>
      <c r="BX26" s="891"/>
      <c r="CB26" s="1031" t="e">
        <f t="shared" si="7"/>
        <v>#VALUE!</v>
      </c>
      <c r="CC26" s="1031" t="str">
        <f t="shared" si="8"/>
        <v xml:space="preserve">* Las actividades de usuarios en situación de discapacidad NO DEBEN superar el total. </v>
      </c>
      <c r="CD26" s="1031" t="str">
        <f t="shared" si="9"/>
        <v xml:space="preserve">* Las Embarazadas NO DEBEN ser mayor al total de mujeres. </v>
      </c>
      <c r="CE26" s="1031" t="str">
        <f t="shared" si="10"/>
        <v xml:space="preserve">* El número de Beneficiarios NO DEBE ser mayor que el Total. </v>
      </c>
      <c r="CF26" s="1031" t="str">
        <f t="shared" si="11"/>
        <v xml:space="preserve">* La Población SENAME NO DEBE ser mayor al Total. </v>
      </c>
      <c r="CG26" s="1031" t="str">
        <f t="shared" si="12"/>
        <v xml:space="preserve">* La Población Migrante NO DEBE superar el Total. </v>
      </c>
      <c r="CH26" s="1031"/>
      <c r="CI26" s="1163" t="e">
        <f t="shared" si="1"/>
        <v>#VALUE!</v>
      </c>
      <c r="CJ26" s="1163">
        <f t="shared" si="2"/>
        <v>1</v>
      </c>
      <c r="CK26" s="1163">
        <f t="shared" si="3"/>
        <v>1</v>
      </c>
      <c r="CL26" s="1163">
        <f t="shared" si="4"/>
        <v>1</v>
      </c>
      <c r="CM26" s="1163">
        <f t="shared" si="5"/>
        <v>1</v>
      </c>
      <c r="CN26" s="1163">
        <f t="shared" si="6"/>
        <v>1</v>
      </c>
      <c r="CO26" s="1163"/>
    </row>
    <row r="27" spans="1:96" ht="16.350000000000001" customHeight="1" x14ac:dyDescent="0.2">
      <c r="A27" s="3009" t="s">
        <v>3566</v>
      </c>
      <c r="B27" s="6180" t="s">
        <v>1067</v>
      </c>
      <c r="C27" s="6181"/>
      <c r="D27" s="6182"/>
      <c r="E27" s="3977" t="s">
        <v>2777</v>
      </c>
      <c r="F27" s="3978" t="s">
        <v>2778</v>
      </c>
      <c r="G27" s="3979" t="s">
        <v>2779</v>
      </c>
      <c r="H27" s="3962" t="s">
        <v>2780</v>
      </c>
      <c r="I27" s="3973" t="s">
        <v>2781</v>
      </c>
      <c r="J27" s="3962" t="s">
        <v>2782</v>
      </c>
      <c r="K27" s="3974" t="s">
        <v>2783</v>
      </c>
      <c r="L27" s="3962" t="s">
        <v>2784</v>
      </c>
      <c r="M27" s="3973" t="s">
        <v>2785</v>
      </c>
      <c r="N27" s="3962" t="s">
        <v>2786</v>
      </c>
      <c r="O27" s="3973" t="s">
        <v>2787</v>
      </c>
      <c r="P27" s="3962" t="s">
        <v>2788</v>
      </c>
      <c r="Q27" s="3974" t="s">
        <v>2789</v>
      </c>
      <c r="R27" s="3962" t="s">
        <v>2790</v>
      </c>
      <c r="S27" s="3973" t="s">
        <v>2791</v>
      </c>
      <c r="T27" s="3962" t="s">
        <v>2792</v>
      </c>
      <c r="U27" s="3974" t="s">
        <v>2793</v>
      </c>
      <c r="V27" s="3962" t="s">
        <v>2794</v>
      </c>
      <c r="W27" s="3973" t="s">
        <v>2795</v>
      </c>
      <c r="X27" s="3962" t="s">
        <v>2796</v>
      </c>
      <c r="Y27" s="3973" t="s">
        <v>2797</v>
      </c>
      <c r="Z27" s="3962" t="s">
        <v>2798</v>
      </c>
      <c r="AA27" s="3973" t="s">
        <v>2799</v>
      </c>
      <c r="AB27" s="3962" t="s">
        <v>2800</v>
      </c>
      <c r="AC27" s="3973" t="s">
        <v>2801</v>
      </c>
      <c r="AD27" s="3962" t="s">
        <v>2817</v>
      </c>
      <c r="AE27" s="3975" t="s">
        <v>2818</v>
      </c>
      <c r="AF27" s="3973" t="s">
        <v>2819</v>
      </c>
      <c r="AG27" s="3976" t="s">
        <v>2821</v>
      </c>
      <c r="AH27" s="3980" t="s">
        <v>2822</v>
      </c>
      <c r="AI27" s="3980" t="s">
        <v>2823</v>
      </c>
      <c r="AJ27" s="3980" t="s">
        <v>2824</v>
      </c>
      <c r="AK27" s="3980" t="s">
        <v>2825</v>
      </c>
      <c r="AL27" s="3980" t="s">
        <v>2826</v>
      </c>
      <c r="AM27" s="1162" t="e">
        <f t="shared" si="0"/>
        <v>#VALUE!</v>
      </c>
      <c r="AN27" s="1058"/>
      <c r="AO27" s="1058"/>
      <c r="AP27" s="1058"/>
      <c r="AQ27" s="1058"/>
      <c r="AR27" s="1058"/>
      <c r="AS27" s="1058"/>
      <c r="AT27" s="1058"/>
      <c r="AU27" s="1058"/>
      <c r="AV27" s="94"/>
      <c r="AW27" s="94"/>
      <c r="AX27" s="94"/>
      <c r="AY27" s="94"/>
      <c r="BU27" s="79"/>
      <c r="BV27" s="79"/>
      <c r="BW27" s="79"/>
      <c r="BX27" s="891"/>
      <c r="CB27" s="1031" t="e">
        <f t="shared" si="7"/>
        <v>#VALUE!</v>
      </c>
      <c r="CC27" s="1031" t="str">
        <f t="shared" si="8"/>
        <v xml:space="preserve">* Las actividades de usuarios en situación de discapacidad NO DEBEN superar el total. </v>
      </c>
      <c r="CD27" s="1031" t="str">
        <f t="shared" si="9"/>
        <v xml:space="preserve">* Las Embarazadas NO DEBEN ser mayor al total de mujeres. </v>
      </c>
      <c r="CE27" s="1031" t="str">
        <f t="shared" si="10"/>
        <v xml:space="preserve">* El número de Beneficiarios NO DEBE ser mayor que el Total. </v>
      </c>
      <c r="CF27" s="1031" t="str">
        <f t="shared" si="11"/>
        <v xml:space="preserve">* La Población SENAME NO DEBE ser mayor al Total. </v>
      </c>
      <c r="CG27" s="1031" t="str">
        <f t="shared" si="12"/>
        <v xml:space="preserve">* La Población Migrante NO DEBE superar el Total. </v>
      </c>
      <c r="CH27" s="1031"/>
      <c r="CI27" s="1163" t="e">
        <f t="shared" si="1"/>
        <v>#VALUE!</v>
      </c>
      <c r="CJ27" s="1163">
        <f t="shared" si="2"/>
        <v>1</v>
      </c>
      <c r="CK27" s="1163">
        <f t="shared" si="3"/>
        <v>1</v>
      </c>
      <c r="CL27" s="1163">
        <f t="shared" si="4"/>
        <v>1</v>
      </c>
      <c r="CM27" s="1163">
        <f t="shared" si="5"/>
        <v>1</v>
      </c>
      <c r="CN27" s="1163">
        <f t="shared" si="6"/>
        <v>1</v>
      </c>
      <c r="CO27" s="1163"/>
    </row>
    <row r="28" spans="1:96" ht="16.350000000000001" customHeight="1" x14ac:dyDescent="0.2">
      <c r="A28" s="3009" t="s">
        <v>3567</v>
      </c>
      <c r="B28" s="5313" t="s">
        <v>1068</v>
      </c>
      <c r="C28" s="5302"/>
      <c r="D28" s="5303"/>
      <c r="E28" s="725" t="s">
        <v>2777</v>
      </c>
      <c r="F28" s="726" t="s">
        <v>2778</v>
      </c>
      <c r="G28" s="316" t="s">
        <v>2779</v>
      </c>
      <c r="H28" s="2577" t="s">
        <v>2780</v>
      </c>
      <c r="I28" s="2975" t="s">
        <v>2781</v>
      </c>
      <c r="J28" s="2577" t="s">
        <v>2782</v>
      </c>
      <c r="K28" s="3011" t="s">
        <v>2783</v>
      </c>
      <c r="L28" s="2577" t="s">
        <v>2784</v>
      </c>
      <c r="M28" s="2975" t="s">
        <v>2785</v>
      </c>
      <c r="N28" s="2577" t="s">
        <v>2786</v>
      </c>
      <c r="O28" s="2975" t="s">
        <v>2787</v>
      </c>
      <c r="P28" s="2577" t="s">
        <v>2788</v>
      </c>
      <c r="Q28" s="3011" t="s">
        <v>2789</v>
      </c>
      <c r="R28" s="2577" t="s">
        <v>2790</v>
      </c>
      <c r="S28" s="2975" t="s">
        <v>2791</v>
      </c>
      <c r="T28" s="2577" t="s">
        <v>2792</v>
      </c>
      <c r="U28" s="3011" t="s">
        <v>2793</v>
      </c>
      <c r="V28" s="2577" t="s">
        <v>2794</v>
      </c>
      <c r="W28" s="2975" t="s">
        <v>2795</v>
      </c>
      <c r="X28" s="2577" t="s">
        <v>2796</v>
      </c>
      <c r="Y28" s="2975" t="s">
        <v>2797</v>
      </c>
      <c r="Z28" s="2577" t="s">
        <v>2798</v>
      </c>
      <c r="AA28" s="2975" t="s">
        <v>2799</v>
      </c>
      <c r="AB28" s="2577" t="s">
        <v>2800</v>
      </c>
      <c r="AC28" s="2975" t="s">
        <v>2801</v>
      </c>
      <c r="AD28" s="2577" t="s">
        <v>2817</v>
      </c>
      <c r="AE28" s="2986" t="s">
        <v>2818</v>
      </c>
      <c r="AF28" s="2975" t="s">
        <v>2819</v>
      </c>
      <c r="AG28" s="3010" t="s">
        <v>2821</v>
      </c>
      <c r="AH28" s="3010" t="s">
        <v>2822</v>
      </c>
      <c r="AI28" s="3010" t="s">
        <v>2823</v>
      </c>
      <c r="AJ28" s="3010" t="s">
        <v>2824</v>
      </c>
      <c r="AK28" s="3010" t="s">
        <v>2825</v>
      </c>
      <c r="AL28" s="3010" t="s">
        <v>2826</v>
      </c>
      <c r="AM28" s="1162" t="e">
        <f t="shared" si="0"/>
        <v>#VALUE!</v>
      </c>
      <c r="AN28" s="1058"/>
      <c r="AO28" s="1058"/>
      <c r="AP28" s="1058"/>
      <c r="AQ28" s="1058"/>
      <c r="AR28" s="1058"/>
      <c r="AS28" s="1058"/>
      <c r="AT28" s="1058"/>
      <c r="AU28" s="1058"/>
      <c r="AV28" s="94"/>
      <c r="AW28" s="94"/>
      <c r="AX28" s="94"/>
      <c r="AY28" s="94"/>
      <c r="BU28" s="79"/>
      <c r="BV28" s="79"/>
      <c r="BW28" s="79"/>
      <c r="BX28" s="891"/>
      <c r="CB28" s="1031" t="e">
        <f t="shared" si="7"/>
        <v>#VALUE!</v>
      </c>
      <c r="CC28" s="1031" t="str">
        <f t="shared" si="8"/>
        <v xml:space="preserve">* Las actividades de usuarios en situación de discapacidad NO DEBEN superar el total. </v>
      </c>
      <c r="CD28" s="1031" t="str">
        <f t="shared" si="9"/>
        <v xml:space="preserve">* Las Embarazadas NO DEBEN ser mayor al total de mujeres. </v>
      </c>
      <c r="CE28" s="1031" t="str">
        <f t="shared" si="10"/>
        <v xml:space="preserve">* El número de Beneficiarios NO DEBE ser mayor que el Total. </v>
      </c>
      <c r="CF28" s="1031" t="str">
        <f t="shared" si="11"/>
        <v xml:space="preserve">* La Población SENAME NO DEBE ser mayor al Total. </v>
      </c>
      <c r="CG28" s="1031" t="str">
        <f t="shared" si="12"/>
        <v xml:space="preserve">* La Población Migrante NO DEBE superar el Total. </v>
      </c>
      <c r="CH28" s="1031"/>
      <c r="CI28" s="1163" t="e">
        <f t="shared" si="1"/>
        <v>#VALUE!</v>
      </c>
      <c r="CJ28" s="1163">
        <f t="shared" si="2"/>
        <v>1</v>
      </c>
      <c r="CK28" s="1163">
        <f t="shared" si="3"/>
        <v>1</v>
      </c>
      <c r="CL28" s="1163">
        <f t="shared" si="4"/>
        <v>1</v>
      </c>
      <c r="CM28" s="1163">
        <f t="shared" si="5"/>
        <v>1</v>
      </c>
      <c r="CN28" s="1163">
        <f t="shared" si="6"/>
        <v>1</v>
      </c>
      <c r="CO28" s="1163"/>
    </row>
    <row r="29" spans="1:96" ht="16.350000000000001" customHeight="1" x14ac:dyDescent="0.2">
      <c r="A29" s="3009" t="s">
        <v>3568</v>
      </c>
      <c r="B29" s="5313" t="s">
        <v>1069</v>
      </c>
      <c r="C29" s="5302"/>
      <c r="D29" s="5303"/>
      <c r="E29" s="3951" t="s">
        <v>2777</v>
      </c>
      <c r="F29" s="3952" t="s">
        <v>2778</v>
      </c>
      <c r="G29" s="200" t="s">
        <v>2779</v>
      </c>
      <c r="H29" s="141" t="s">
        <v>2780</v>
      </c>
      <c r="I29" s="198" t="s">
        <v>2781</v>
      </c>
      <c r="J29" s="141" t="s">
        <v>2782</v>
      </c>
      <c r="K29" s="143" t="s">
        <v>2783</v>
      </c>
      <c r="L29" s="141" t="s">
        <v>2784</v>
      </c>
      <c r="M29" s="198" t="s">
        <v>2785</v>
      </c>
      <c r="N29" s="141" t="s">
        <v>2786</v>
      </c>
      <c r="O29" s="198" t="s">
        <v>2787</v>
      </c>
      <c r="P29" s="141" t="s">
        <v>2788</v>
      </c>
      <c r="Q29" s="143" t="s">
        <v>2789</v>
      </c>
      <c r="R29" s="141" t="s">
        <v>2790</v>
      </c>
      <c r="S29" s="198" t="s">
        <v>2791</v>
      </c>
      <c r="T29" s="141" t="s">
        <v>2792</v>
      </c>
      <c r="U29" s="143" t="s">
        <v>2793</v>
      </c>
      <c r="V29" s="141" t="s">
        <v>2794</v>
      </c>
      <c r="W29" s="198" t="s">
        <v>2795</v>
      </c>
      <c r="X29" s="141" t="s">
        <v>2796</v>
      </c>
      <c r="Y29" s="198" t="s">
        <v>2797</v>
      </c>
      <c r="Z29" s="141" t="s">
        <v>2798</v>
      </c>
      <c r="AA29" s="198" t="s">
        <v>2799</v>
      </c>
      <c r="AB29" s="141" t="s">
        <v>2800</v>
      </c>
      <c r="AC29" s="198" t="s">
        <v>2801</v>
      </c>
      <c r="AD29" s="141" t="s">
        <v>2817</v>
      </c>
      <c r="AE29" s="498" t="s">
        <v>2818</v>
      </c>
      <c r="AF29" s="198" t="s">
        <v>2819</v>
      </c>
      <c r="AG29" s="499" t="s">
        <v>2821</v>
      </c>
      <c r="AH29" s="502" t="s">
        <v>2822</v>
      </c>
      <c r="AI29" s="502" t="s">
        <v>2823</v>
      </c>
      <c r="AJ29" s="502" t="s">
        <v>2824</v>
      </c>
      <c r="AK29" s="502" t="s">
        <v>2825</v>
      </c>
      <c r="AL29" s="502" t="s">
        <v>2826</v>
      </c>
      <c r="AM29" s="1162" t="e">
        <f t="shared" si="0"/>
        <v>#VALUE!</v>
      </c>
      <c r="AN29" s="1058"/>
      <c r="AO29" s="1058"/>
      <c r="AP29" s="1058"/>
      <c r="AQ29" s="1058"/>
      <c r="AR29" s="1058"/>
      <c r="AS29" s="1058"/>
      <c r="AT29" s="1058"/>
      <c r="AU29" s="1058"/>
      <c r="AV29" s="94"/>
      <c r="AW29" s="94"/>
      <c r="AX29" s="94"/>
      <c r="AY29" s="94"/>
      <c r="BU29" s="79"/>
      <c r="BV29" s="79"/>
      <c r="BW29" s="79"/>
      <c r="BX29" s="891"/>
      <c r="CB29" s="1031" t="e">
        <f t="shared" si="7"/>
        <v>#VALUE!</v>
      </c>
      <c r="CC29" s="1031" t="str">
        <f t="shared" si="8"/>
        <v xml:space="preserve">* Las actividades de usuarios en situación de discapacidad NO DEBEN superar el total. </v>
      </c>
      <c r="CD29" s="1031" t="str">
        <f t="shared" si="9"/>
        <v xml:space="preserve">* Las Embarazadas NO DEBEN ser mayor al total de mujeres. </v>
      </c>
      <c r="CE29" s="1031" t="str">
        <f t="shared" si="10"/>
        <v xml:space="preserve">* El número de Beneficiarios NO DEBE ser mayor que el Total. </v>
      </c>
      <c r="CF29" s="1031" t="str">
        <f t="shared" si="11"/>
        <v xml:space="preserve">* La Población SENAME NO DEBE ser mayor al Total. </v>
      </c>
      <c r="CG29" s="1031" t="str">
        <f t="shared" si="12"/>
        <v xml:space="preserve">* La Población Migrante NO DEBE superar el Total. </v>
      </c>
      <c r="CH29" s="1031"/>
      <c r="CI29" s="1163" t="e">
        <f t="shared" si="1"/>
        <v>#VALUE!</v>
      </c>
      <c r="CJ29" s="1163">
        <f t="shared" si="2"/>
        <v>1</v>
      </c>
      <c r="CK29" s="1163">
        <f t="shared" si="3"/>
        <v>1</v>
      </c>
      <c r="CL29" s="1163">
        <f t="shared" si="4"/>
        <v>1</v>
      </c>
      <c r="CM29" s="1163">
        <f t="shared" si="5"/>
        <v>1</v>
      </c>
      <c r="CN29" s="1163">
        <f t="shared" si="6"/>
        <v>1</v>
      </c>
      <c r="CO29" s="1163"/>
    </row>
    <row r="30" spans="1:96" ht="16.350000000000001" customHeight="1" x14ac:dyDescent="0.2">
      <c r="A30" s="3009" t="s">
        <v>3569</v>
      </c>
      <c r="B30" s="5313" t="s">
        <v>1070</v>
      </c>
      <c r="C30" s="5302"/>
      <c r="D30" s="5303"/>
      <c r="E30" s="3951" t="s">
        <v>2777</v>
      </c>
      <c r="F30" s="3952" t="s">
        <v>2778</v>
      </c>
      <c r="G30" s="200" t="s">
        <v>2779</v>
      </c>
      <c r="H30" s="141" t="s">
        <v>2780</v>
      </c>
      <c r="I30" s="198" t="s">
        <v>2781</v>
      </c>
      <c r="J30" s="141" t="s">
        <v>2782</v>
      </c>
      <c r="K30" s="143" t="s">
        <v>2783</v>
      </c>
      <c r="L30" s="141" t="s">
        <v>2784</v>
      </c>
      <c r="M30" s="198" t="s">
        <v>2785</v>
      </c>
      <c r="N30" s="141" t="s">
        <v>2786</v>
      </c>
      <c r="O30" s="198" t="s">
        <v>2787</v>
      </c>
      <c r="P30" s="141" t="s">
        <v>2788</v>
      </c>
      <c r="Q30" s="143" t="s">
        <v>2789</v>
      </c>
      <c r="R30" s="141" t="s">
        <v>2790</v>
      </c>
      <c r="S30" s="198" t="s">
        <v>2791</v>
      </c>
      <c r="T30" s="141" t="s">
        <v>2792</v>
      </c>
      <c r="U30" s="143" t="s">
        <v>2793</v>
      </c>
      <c r="V30" s="141" t="s">
        <v>2794</v>
      </c>
      <c r="W30" s="198" t="s">
        <v>2795</v>
      </c>
      <c r="X30" s="141" t="s">
        <v>2796</v>
      </c>
      <c r="Y30" s="198" t="s">
        <v>2797</v>
      </c>
      <c r="Z30" s="141" t="s">
        <v>2798</v>
      </c>
      <c r="AA30" s="198" t="s">
        <v>2799</v>
      </c>
      <c r="AB30" s="141" t="s">
        <v>2800</v>
      </c>
      <c r="AC30" s="198" t="s">
        <v>2801</v>
      </c>
      <c r="AD30" s="141" t="s">
        <v>2817</v>
      </c>
      <c r="AE30" s="498" t="s">
        <v>2818</v>
      </c>
      <c r="AF30" s="198" t="s">
        <v>2819</v>
      </c>
      <c r="AG30" s="499" t="s">
        <v>2821</v>
      </c>
      <c r="AH30" s="502" t="s">
        <v>2822</v>
      </c>
      <c r="AI30" s="502" t="s">
        <v>2823</v>
      </c>
      <c r="AJ30" s="502" t="s">
        <v>2824</v>
      </c>
      <c r="AK30" s="502" t="s">
        <v>2825</v>
      </c>
      <c r="AL30" s="502" t="s">
        <v>2826</v>
      </c>
      <c r="AM30" s="1162" t="e">
        <f t="shared" si="0"/>
        <v>#VALUE!</v>
      </c>
      <c r="AN30" s="1058"/>
      <c r="AO30" s="1058"/>
      <c r="AP30" s="1058"/>
      <c r="AQ30" s="1058"/>
      <c r="AR30" s="1058"/>
      <c r="AS30" s="1058"/>
      <c r="AT30" s="1058"/>
      <c r="AU30" s="1058"/>
      <c r="AV30" s="94"/>
      <c r="AW30" s="94"/>
      <c r="AX30" s="94"/>
      <c r="AY30" s="94"/>
      <c r="BU30" s="79"/>
      <c r="BV30" s="79"/>
      <c r="BW30" s="79"/>
      <c r="BX30" s="891"/>
      <c r="CB30" s="1031" t="e">
        <f t="shared" si="7"/>
        <v>#VALUE!</v>
      </c>
      <c r="CC30" s="1031" t="str">
        <f t="shared" si="8"/>
        <v xml:space="preserve">* Las actividades de usuarios en situación de discapacidad NO DEBEN superar el total. </v>
      </c>
      <c r="CD30" s="1031" t="str">
        <f t="shared" si="9"/>
        <v xml:space="preserve">* Las Embarazadas NO DEBEN ser mayor al total de mujeres. </v>
      </c>
      <c r="CE30" s="1031" t="str">
        <f t="shared" si="10"/>
        <v xml:space="preserve">* El número de Beneficiarios NO DEBE ser mayor que el Total. </v>
      </c>
      <c r="CF30" s="1031" t="str">
        <f t="shared" si="11"/>
        <v xml:space="preserve">* La Población SENAME NO DEBE ser mayor al Total. </v>
      </c>
      <c r="CG30" s="1031" t="str">
        <f t="shared" si="12"/>
        <v xml:space="preserve">* La Población Migrante NO DEBE superar el Total. </v>
      </c>
      <c r="CH30" s="1031"/>
      <c r="CI30" s="1163" t="e">
        <f t="shared" si="1"/>
        <v>#VALUE!</v>
      </c>
      <c r="CJ30" s="1163">
        <f t="shared" si="2"/>
        <v>1</v>
      </c>
      <c r="CK30" s="1163">
        <f t="shared" si="3"/>
        <v>1</v>
      </c>
      <c r="CL30" s="1163">
        <f t="shared" si="4"/>
        <v>1</v>
      </c>
      <c r="CM30" s="1163">
        <f t="shared" si="5"/>
        <v>1</v>
      </c>
      <c r="CN30" s="1163">
        <f t="shared" si="6"/>
        <v>1</v>
      </c>
      <c r="CO30" s="1163"/>
    </row>
    <row r="31" spans="1:96" ht="16.350000000000001" customHeight="1" x14ac:dyDescent="0.2">
      <c r="A31" s="3009" t="s">
        <v>3570</v>
      </c>
      <c r="B31" s="5313" t="s">
        <v>1071</v>
      </c>
      <c r="C31" s="5302"/>
      <c r="D31" s="5303"/>
      <c r="E31" s="3951" t="s">
        <v>2777</v>
      </c>
      <c r="F31" s="3952" t="s">
        <v>2778</v>
      </c>
      <c r="G31" s="200" t="s">
        <v>2779</v>
      </c>
      <c r="H31" s="141" t="s">
        <v>2780</v>
      </c>
      <c r="I31" s="198" t="s">
        <v>2781</v>
      </c>
      <c r="J31" s="141" t="s">
        <v>2782</v>
      </c>
      <c r="K31" s="143" t="s">
        <v>2783</v>
      </c>
      <c r="L31" s="141" t="s">
        <v>2784</v>
      </c>
      <c r="M31" s="198" t="s">
        <v>2785</v>
      </c>
      <c r="N31" s="141" t="s">
        <v>2786</v>
      </c>
      <c r="O31" s="198" t="s">
        <v>2787</v>
      </c>
      <c r="P31" s="141" t="s">
        <v>2788</v>
      </c>
      <c r="Q31" s="143" t="s">
        <v>2789</v>
      </c>
      <c r="R31" s="141" t="s">
        <v>2790</v>
      </c>
      <c r="S31" s="198" t="s">
        <v>2791</v>
      </c>
      <c r="T31" s="141" t="s">
        <v>2792</v>
      </c>
      <c r="U31" s="143" t="s">
        <v>2793</v>
      </c>
      <c r="V31" s="141" t="s">
        <v>2794</v>
      </c>
      <c r="W31" s="198" t="s">
        <v>2795</v>
      </c>
      <c r="X31" s="141" t="s">
        <v>2796</v>
      </c>
      <c r="Y31" s="198" t="s">
        <v>2797</v>
      </c>
      <c r="Z31" s="141" t="s">
        <v>2798</v>
      </c>
      <c r="AA31" s="198" t="s">
        <v>2799</v>
      </c>
      <c r="AB31" s="141" t="s">
        <v>2800</v>
      </c>
      <c r="AC31" s="198" t="s">
        <v>2801</v>
      </c>
      <c r="AD31" s="141" t="s">
        <v>2817</v>
      </c>
      <c r="AE31" s="498" t="s">
        <v>2818</v>
      </c>
      <c r="AF31" s="198" t="s">
        <v>2819</v>
      </c>
      <c r="AG31" s="499" t="s">
        <v>2821</v>
      </c>
      <c r="AH31" s="502" t="s">
        <v>2822</v>
      </c>
      <c r="AI31" s="502" t="s">
        <v>2823</v>
      </c>
      <c r="AJ31" s="502" t="s">
        <v>2824</v>
      </c>
      <c r="AK31" s="502" t="s">
        <v>2825</v>
      </c>
      <c r="AL31" s="502" t="s">
        <v>2826</v>
      </c>
      <c r="AM31" s="1162" t="e">
        <f t="shared" si="0"/>
        <v>#VALUE!</v>
      </c>
      <c r="AN31" s="1058"/>
      <c r="AO31" s="1058"/>
      <c r="AP31" s="1058"/>
      <c r="AQ31" s="1058"/>
      <c r="AR31" s="1058"/>
      <c r="AS31" s="1058"/>
      <c r="AT31" s="1058"/>
      <c r="AU31" s="1058"/>
      <c r="AV31" s="94"/>
      <c r="AW31" s="94"/>
      <c r="AX31" s="94"/>
      <c r="AY31" s="94"/>
      <c r="BU31" s="79"/>
      <c r="BV31" s="79"/>
      <c r="BW31" s="79"/>
      <c r="BX31" s="891"/>
      <c r="CB31" s="1031" t="e">
        <f t="shared" si="7"/>
        <v>#VALUE!</v>
      </c>
      <c r="CC31" s="1031" t="str">
        <f t="shared" si="8"/>
        <v xml:space="preserve">* Las actividades de usuarios en situación de discapacidad NO DEBEN superar el total. </v>
      </c>
      <c r="CD31" s="1031" t="str">
        <f t="shared" si="9"/>
        <v xml:space="preserve">* Las Embarazadas NO DEBEN ser mayor al total de mujeres. </v>
      </c>
      <c r="CE31" s="1031" t="str">
        <f t="shared" si="10"/>
        <v xml:space="preserve">* El número de Beneficiarios NO DEBE ser mayor que el Total. </v>
      </c>
      <c r="CF31" s="1031" t="str">
        <f t="shared" si="11"/>
        <v xml:space="preserve">* La Población SENAME NO DEBE ser mayor al Total. </v>
      </c>
      <c r="CG31" s="1031" t="str">
        <f t="shared" si="12"/>
        <v xml:space="preserve">* La Población Migrante NO DEBE superar el Total. </v>
      </c>
      <c r="CH31" s="1031"/>
      <c r="CI31" s="1163" t="e">
        <f t="shared" si="1"/>
        <v>#VALUE!</v>
      </c>
      <c r="CJ31" s="1163">
        <f t="shared" si="2"/>
        <v>1</v>
      </c>
      <c r="CK31" s="1163">
        <f t="shared" si="3"/>
        <v>1</v>
      </c>
      <c r="CL31" s="1163">
        <f t="shared" si="4"/>
        <v>1</v>
      </c>
      <c r="CM31" s="1163">
        <f t="shared" si="5"/>
        <v>1</v>
      </c>
      <c r="CN31" s="1163">
        <f t="shared" si="6"/>
        <v>1</v>
      </c>
      <c r="CO31" s="1163"/>
    </row>
    <row r="32" spans="1:96" ht="16.350000000000001" customHeight="1" x14ac:dyDescent="0.2">
      <c r="A32" s="3009" t="s">
        <v>3571</v>
      </c>
      <c r="B32" s="5313" t="s">
        <v>3713</v>
      </c>
      <c r="C32" s="5302"/>
      <c r="D32" s="5303"/>
      <c r="E32" s="3951" t="s">
        <v>2777</v>
      </c>
      <c r="F32" s="3952" t="s">
        <v>2778</v>
      </c>
      <c r="G32" s="200" t="s">
        <v>2779</v>
      </c>
      <c r="H32" s="141" t="s">
        <v>2780</v>
      </c>
      <c r="I32" s="198" t="s">
        <v>2781</v>
      </c>
      <c r="J32" s="141" t="s">
        <v>2782</v>
      </c>
      <c r="K32" s="143" t="s">
        <v>2783</v>
      </c>
      <c r="L32" s="141" t="s">
        <v>2784</v>
      </c>
      <c r="M32" s="198" t="s">
        <v>2785</v>
      </c>
      <c r="N32" s="141" t="s">
        <v>2786</v>
      </c>
      <c r="O32" s="198" t="s">
        <v>2787</v>
      </c>
      <c r="P32" s="141" t="s">
        <v>2788</v>
      </c>
      <c r="Q32" s="143" t="s">
        <v>2789</v>
      </c>
      <c r="R32" s="141" t="s">
        <v>2790</v>
      </c>
      <c r="S32" s="198" t="s">
        <v>2791</v>
      </c>
      <c r="T32" s="141" t="s">
        <v>2792</v>
      </c>
      <c r="U32" s="143" t="s">
        <v>2793</v>
      </c>
      <c r="V32" s="141" t="s">
        <v>2794</v>
      </c>
      <c r="W32" s="198" t="s">
        <v>2795</v>
      </c>
      <c r="X32" s="141" t="s">
        <v>2796</v>
      </c>
      <c r="Y32" s="198" t="s">
        <v>2797</v>
      </c>
      <c r="Z32" s="141" t="s">
        <v>2798</v>
      </c>
      <c r="AA32" s="198" t="s">
        <v>2799</v>
      </c>
      <c r="AB32" s="141" t="s">
        <v>2800</v>
      </c>
      <c r="AC32" s="198" t="s">
        <v>2801</v>
      </c>
      <c r="AD32" s="141" t="s">
        <v>2817</v>
      </c>
      <c r="AE32" s="498" t="s">
        <v>2818</v>
      </c>
      <c r="AF32" s="198" t="s">
        <v>2819</v>
      </c>
      <c r="AG32" s="499" t="s">
        <v>2821</v>
      </c>
      <c r="AH32" s="502" t="s">
        <v>2822</v>
      </c>
      <c r="AI32" s="502" t="s">
        <v>2823</v>
      </c>
      <c r="AJ32" s="502" t="s">
        <v>2824</v>
      </c>
      <c r="AK32" s="502" t="s">
        <v>2825</v>
      </c>
      <c r="AL32" s="502" t="s">
        <v>2826</v>
      </c>
      <c r="AM32" s="1162" t="e">
        <f t="shared" si="0"/>
        <v>#VALUE!</v>
      </c>
      <c r="AN32" s="1058"/>
      <c r="AO32" s="1058"/>
      <c r="AP32" s="1058"/>
      <c r="AQ32" s="1058"/>
      <c r="AR32" s="1058"/>
      <c r="AS32" s="1058"/>
      <c r="AT32" s="1058"/>
      <c r="AU32" s="1058"/>
      <c r="AV32" s="94"/>
      <c r="AW32" s="94"/>
      <c r="AX32" s="94"/>
      <c r="AY32" s="94"/>
      <c r="BU32" s="79"/>
      <c r="BV32" s="79"/>
      <c r="BW32" s="79"/>
      <c r="BX32" s="891"/>
      <c r="CB32" s="1031" t="e">
        <f t="shared" si="7"/>
        <v>#VALUE!</v>
      </c>
      <c r="CC32" s="1031" t="str">
        <f t="shared" si="8"/>
        <v xml:space="preserve">* Las actividades de usuarios en situación de discapacidad NO DEBEN superar el total. </v>
      </c>
      <c r="CD32" s="1031" t="str">
        <f t="shared" si="9"/>
        <v xml:space="preserve">* Las Embarazadas NO DEBEN ser mayor al total de mujeres. </v>
      </c>
      <c r="CE32" s="1031" t="str">
        <f t="shared" si="10"/>
        <v xml:space="preserve">* El número de Beneficiarios NO DEBE ser mayor que el Total. </v>
      </c>
      <c r="CF32" s="1031" t="str">
        <f t="shared" si="11"/>
        <v xml:space="preserve">* La Población SENAME NO DEBE ser mayor al Total. </v>
      </c>
      <c r="CG32" s="1031" t="str">
        <f t="shared" si="12"/>
        <v xml:space="preserve">* La Población Migrante NO DEBE superar el Total. </v>
      </c>
      <c r="CH32" s="1031"/>
      <c r="CI32" s="1163" t="e">
        <f t="shared" si="1"/>
        <v>#VALUE!</v>
      </c>
      <c r="CJ32" s="1163">
        <f t="shared" si="2"/>
        <v>1</v>
      </c>
      <c r="CK32" s="1163">
        <f t="shared" si="3"/>
        <v>1</v>
      </c>
      <c r="CL32" s="1163">
        <f t="shared" si="4"/>
        <v>1</v>
      </c>
      <c r="CM32" s="1163">
        <f t="shared" si="5"/>
        <v>1</v>
      </c>
      <c r="CN32" s="1163">
        <f t="shared" si="6"/>
        <v>1</v>
      </c>
      <c r="CO32" s="1163"/>
    </row>
    <row r="33" spans="1:93" ht="16.350000000000001" customHeight="1" x14ac:dyDescent="0.2">
      <c r="A33" s="3009" t="s">
        <v>3572</v>
      </c>
      <c r="B33" s="5313" t="s">
        <v>1072</v>
      </c>
      <c r="C33" s="5302"/>
      <c r="D33" s="5303"/>
      <c r="E33" s="3951" t="s">
        <v>2777</v>
      </c>
      <c r="F33" s="3952" t="s">
        <v>2778</v>
      </c>
      <c r="G33" s="200" t="s">
        <v>2779</v>
      </c>
      <c r="H33" s="173" t="s">
        <v>2780</v>
      </c>
      <c r="I33" s="174" t="s">
        <v>2781</v>
      </c>
      <c r="J33" s="173" t="s">
        <v>2782</v>
      </c>
      <c r="K33" s="161" t="s">
        <v>2783</v>
      </c>
      <c r="L33" s="173" t="s">
        <v>2784</v>
      </c>
      <c r="M33" s="161" t="s">
        <v>2785</v>
      </c>
      <c r="N33" s="173" t="s">
        <v>2786</v>
      </c>
      <c r="O33" s="161" t="s">
        <v>2787</v>
      </c>
      <c r="P33" s="173" t="s">
        <v>2788</v>
      </c>
      <c r="Q33" s="161" t="s">
        <v>2789</v>
      </c>
      <c r="R33" s="141" t="s">
        <v>2790</v>
      </c>
      <c r="S33" s="198" t="s">
        <v>2791</v>
      </c>
      <c r="T33" s="141" t="s">
        <v>2792</v>
      </c>
      <c r="U33" s="143" t="s">
        <v>2793</v>
      </c>
      <c r="V33" s="141" t="s">
        <v>2794</v>
      </c>
      <c r="W33" s="198" t="s">
        <v>2795</v>
      </c>
      <c r="X33" s="141" t="s">
        <v>2796</v>
      </c>
      <c r="Y33" s="198" t="s">
        <v>2797</v>
      </c>
      <c r="Z33" s="141" t="s">
        <v>2798</v>
      </c>
      <c r="AA33" s="198" t="s">
        <v>2799</v>
      </c>
      <c r="AB33" s="141" t="s">
        <v>2800</v>
      </c>
      <c r="AC33" s="198" t="s">
        <v>2801</v>
      </c>
      <c r="AD33" s="141" t="s">
        <v>2817</v>
      </c>
      <c r="AE33" s="498" t="s">
        <v>2818</v>
      </c>
      <c r="AF33" s="198" t="s">
        <v>2819</v>
      </c>
      <c r="AG33" s="499" t="s">
        <v>2821</v>
      </c>
      <c r="AH33" s="502" t="s">
        <v>2822</v>
      </c>
      <c r="AI33" s="502" t="s">
        <v>2823</v>
      </c>
      <c r="AJ33" s="502" t="s">
        <v>2824</v>
      </c>
      <c r="AK33" s="502" t="s">
        <v>2825</v>
      </c>
      <c r="AL33" s="502" t="s">
        <v>2826</v>
      </c>
      <c r="AM33" s="1162" t="e">
        <f t="shared" si="0"/>
        <v>#VALUE!</v>
      </c>
      <c r="AN33" s="1058"/>
      <c r="AO33" s="1058"/>
      <c r="AP33" s="1058"/>
      <c r="AQ33" s="1058"/>
      <c r="AR33" s="1058"/>
      <c r="AS33" s="1058"/>
      <c r="AT33" s="1058"/>
      <c r="AU33" s="1058"/>
      <c r="AV33" s="94"/>
      <c r="AW33" s="94"/>
      <c r="AX33" s="94"/>
      <c r="AY33" s="94"/>
      <c r="BU33" s="79"/>
      <c r="BV33" s="79"/>
      <c r="BW33" s="79"/>
      <c r="BX33" s="891"/>
      <c r="CB33" s="1031" t="e">
        <f t="shared" si="7"/>
        <v>#VALUE!</v>
      </c>
      <c r="CC33" s="1031" t="str">
        <f t="shared" si="8"/>
        <v xml:space="preserve">* Las actividades de usuarios en situación de discapacidad NO DEBEN superar el total. </v>
      </c>
      <c r="CD33" s="1031" t="str">
        <f t="shared" si="9"/>
        <v xml:space="preserve">* Las Embarazadas NO DEBEN ser mayor al total de mujeres. </v>
      </c>
      <c r="CE33" s="1031" t="str">
        <f t="shared" si="10"/>
        <v xml:space="preserve">* El número de Beneficiarios NO DEBE ser mayor que el Total. </v>
      </c>
      <c r="CF33" s="1031" t="str">
        <f t="shared" si="11"/>
        <v xml:space="preserve">* La Población SENAME NO DEBE ser mayor al Total. </v>
      </c>
      <c r="CG33" s="1031" t="str">
        <f t="shared" si="12"/>
        <v xml:space="preserve">* La Población Migrante NO DEBE superar el Total. </v>
      </c>
      <c r="CH33" s="1031"/>
      <c r="CI33" s="1163" t="e">
        <f t="shared" si="1"/>
        <v>#VALUE!</v>
      </c>
      <c r="CJ33" s="1163">
        <f t="shared" si="2"/>
        <v>1</v>
      </c>
      <c r="CK33" s="1163">
        <f t="shared" si="3"/>
        <v>1</v>
      </c>
      <c r="CL33" s="1163">
        <f t="shared" si="4"/>
        <v>1</v>
      </c>
      <c r="CM33" s="1163">
        <f t="shared" si="5"/>
        <v>1</v>
      </c>
      <c r="CN33" s="1163">
        <f t="shared" si="6"/>
        <v>1</v>
      </c>
      <c r="CO33" s="1163"/>
    </row>
    <row r="34" spans="1:93" ht="16.350000000000001" customHeight="1" x14ac:dyDescent="0.2">
      <c r="A34" s="3009" t="s">
        <v>3573</v>
      </c>
      <c r="B34" s="5313" t="s">
        <v>1073</v>
      </c>
      <c r="C34" s="5302"/>
      <c r="D34" s="5303"/>
      <c r="E34" s="3951" t="s">
        <v>2777</v>
      </c>
      <c r="F34" s="3952" t="s">
        <v>2778</v>
      </c>
      <c r="G34" s="200" t="s">
        <v>2779</v>
      </c>
      <c r="H34" s="141" t="s">
        <v>2780</v>
      </c>
      <c r="I34" s="198" t="s">
        <v>2781</v>
      </c>
      <c r="J34" s="141" t="s">
        <v>2782</v>
      </c>
      <c r="K34" s="143" t="s">
        <v>2783</v>
      </c>
      <c r="L34" s="141" t="s">
        <v>2784</v>
      </c>
      <c r="M34" s="198" t="s">
        <v>2785</v>
      </c>
      <c r="N34" s="141" t="s">
        <v>2786</v>
      </c>
      <c r="O34" s="198" t="s">
        <v>2787</v>
      </c>
      <c r="P34" s="141" t="s">
        <v>2788</v>
      </c>
      <c r="Q34" s="143" t="s">
        <v>2789</v>
      </c>
      <c r="R34" s="141" t="s">
        <v>2790</v>
      </c>
      <c r="S34" s="198" t="s">
        <v>2791</v>
      </c>
      <c r="T34" s="141" t="s">
        <v>2792</v>
      </c>
      <c r="U34" s="143" t="s">
        <v>2793</v>
      </c>
      <c r="V34" s="141" t="s">
        <v>2794</v>
      </c>
      <c r="W34" s="198" t="s">
        <v>2795</v>
      </c>
      <c r="X34" s="141" t="s">
        <v>2796</v>
      </c>
      <c r="Y34" s="198" t="s">
        <v>2797</v>
      </c>
      <c r="Z34" s="141" t="s">
        <v>2798</v>
      </c>
      <c r="AA34" s="198" t="s">
        <v>2799</v>
      </c>
      <c r="AB34" s="141" t="s">
        <v>2800</v>
      </c>
      <c r="AC34" s="198" t="s">
        <v>2801</v>
      </c>
      <c r="AD34" s="141" t="s">
        <v>2817</v>
      </c>
      <c r="AE34" s="498" t="s">
        <v>2818</v>
      </c>
      <c r="AF34" s="198" t="s">
        <v>2819</v>
      </c>
      <c r="AG34" s="499" t="s">
        <v>2821</v>
      </c>
      <c r="AH34" s="502" t="s">
        <v>2822</v>
      </c>
      <c r="AI34" s="502" t="s">
        <v>2823</v>
      </c>
      <c r="AJ34" s="502" t="s">
        <v>2824</v>
      </c>
      <c r="AK34" s="502" t="s">
        <v>2825</v>
      </c>
      <c r="AL34" s="502" t="s">
        <v>2826</v>
      </c>
      <c r="AM34" s="1162" t="e">
        <f t="shared" si="0"/>
        <v>#VALUE!</v>
      </c>
      <c r="AN34" s="1058"/>
      <c r="AO34" s="1058"/>
      <c r="AP34" s="1058"/>
      <c r="AQ34" s="1058"/>
      <c r="AR34" s="1058"/>
      <c r="AS34" s="1058"/>
      <c r="AT34" s="1058"/>
      <c r="AU34" s="1058"/>
      <c r="AV34" s="94"/>
      <c r="AW34" s="94"/>
      <c r="AX34" s="94"/>
      <c r="AY34" s="94"/>
      <c r="BU34" s="79"/>
      <c r="BV34" s="79"/>
      <c r="BW34" s="79"/>
      <c r="BX34" s="891"/>
      <c r="CB34" s="1031" t="e">
        <f t="shared" si="7"/>
        <v>#VALUE!</v>
      </c>
      <c r="CC34" s="1031" t="str">
        <f t="shared" si="8"/>
        <v xml:space="preserve">* Las actividades de usuarios en situación de discapacidad NO DEBEN superar el total. </v>
      </c>
      <c r="CD34" s="1031" t="str">
        <f t="shared" si="9"/>
        <v xml:space="preserve">* Las Embarazadas NO DEBEN ser mayor al total de mujeres. </v>
      </c>
      <c r="CE34" s="1031" t="str">
        <f t="shared" si="10"/>
        <v xml:space="preserve">* El número de Beneficiarios NO DEBE ser mayor que el Total. </v>
      </c>
      <c r="CF34" s="1031" t="str">
        <f t="shared" si="11"/>
        <v xml:space="preserve">* La Población SENAME NO DEBE ser mayor al Total. </v>
      </c>
      <c r="CG34" s="1031" t="str">
        <f t="shared" si="12"/>
        <v xml:space="preserve">* La Población Migrante NO DEBE superar el Total. </v>
      </c>
      <c r="CH34" s="1031"/>
      <c r="CI34" s="1163" t="e">
        <f t="shared" si="1"/>
        <v>#VALUE!</v>
      </c>
      <c r="CJ34" s="1163">
        <f t="shared" si="2"/>
        <v>1</v>
      </c>
      <c r="CK34" s="1163">
        <f t="shared" si="3"/>
        <v>1</v>
      </c>
      <c r="CL34" s="1163">
        <f t="shared" si="4"/>
        <v>1</v>
      </c>
      <c r="CM34" s="1163">
        <f t="shared" si="5"/>
        <v>1</v>
      </c>
      <c r="CN34" s="1163">
        <f t="shared" si="6"/>
        <v>1</v>
      </c>
      <c r="CO34" s="1163"/>
    </row>
    <row r="35" spans="1:93" ht="16.350000000000001" customHeight="1" x14ac:dyDescent="0.2">
      <c r="A35" s="3009" t="s">
        <v>3574</v>
      </c>
      <c r="B35" s="5917" t="s">
        <v>1074</v>
      </c>
      <c r="C35" s="6123"/>
      <c r="D35" s="5918"/>
      <c r="E35" s="2344" t="s">
        <v>2777</v>
      </c>
      <c r="F35" s="2345" t="s">
        <v>2778</v>
      </c>
      <c r="G35" s="2367" t="s">
        <v>2779</v>
      </c>
      <c r="H35" s="2249" t="s">
        <v>2780</v>
      </c>
      <c r="I35" s="2347" t="s">
        <v>2781</v>
      </c>
      <c r="J35" s="2717" t="s">
        <v>2782</v>
      </c>
      <c r="K35" s="366" t="s">
        <v>2783</v>
      </c>
      <c r="L35" s="2249" t="s">
        <v>2784</v>
      </c>
      <c r="M35" s="2347" t="s">
        <v>2785</v>
      </c>
      <c r="N35" s="2249" t="s">
        <v>2786</v>
      </c>
      <c r="O35" s="2347" t="s">
        <v>2787</v>
      </c>
      <c r="P35" s="2249" t="s">
        <v>2788</v>
      </c>
      <c r="Q35" s="366" t="s">
        <v>2789</v>
      </c>
      <c r="R35" s="2249" t="s">
        <v>2790</v>
      </c>
      <c r="S35" s="2347" t="s">
        <v>2791</v>
      </c>
      <c r="T35" s="2249" t="s">
        <v>2792</v>
      </c>
      <c r="U35" s="366" t="s">
        <v>2793</v>
      </c>
      <c r="V35" s="2249" t="s">
        <v>2794</v>
      </c>
      <c r="W35" s="2347" t="s">
        <v>2795</v>
      </c>
      <c r="X35" s="2249" t="s">
        <v>2796</v>
      </c>
      <c r="Y35" s="2347" t="s">
        <v>2797</v>
      </c>
      <c r="Z35" s="2249" t="s">
        <v>2798</v>
      </c>
      <c r="AA35" s="2347" t="s">
        <v>2799</v>
      </c>
      <c r="AB35" s="2249" t="s">
        <v>2800</v>
      </c>
      <c r="AC35" s="2347" t="s">
        <v>2801</v>
      </c>
      <c r="AD35" s="2249" t="s">
        <v>2817</v>
      </c>
      <c r="AE35" s="503" t="s">
        <v>2818</v>
      </c>
      <c r="AF35" s="2347" t="s">
        <v>2819</v>
      </c>
      <c r="AG35" s="2347" t="s">
        <v>2821</v>
      </c>
      <c r="AH35" s="2347" t="s">
        <v>2822</v>
      </c>
      <c r="AI35" s="2347" t="s">
        <v>2823</v>
      </c>
      <c r="AJ35" s="2347" t="s">
        <v>2824</v>
      </c>
      <c r="AK35" s="2347" t="s">
        <v>2825</v>
      </c>
      <c r="AL35" s="2347" t="s">
        <v>2826</v>
      </c>
      <c r="AM35" s="1162" t="e">
        <f t="shared" si="0"/>
        <v>#VALUE!</v>
      </c>
      <c r="AN35" s="1058"/>
      <c r="AO35" s="1058"/>
      <c r="AP35" s="1058"/>
      <c r="AQ35" s="1058"/>
      <c r="AR35" s="1058"/>
      <c r="AS35" s="1058"/>
      <c r="AT35" s="1058"/>
      <c r="AU35" s="1058"/>
      <c r="AV35" s="94"/>
      <c r="AW35" s="94"/>
      <c r="AX35" s="94"/>
      <c r="AY35" s="94"/>
      <c r="BU35" s="79"/>
      <c r="BV35" s="79"/>
      <c r="BW35" s="79"/>
      <c r="BX35" s="891"/>
      <c r="CB35" s="1031" t="e">
        <f t="shared" si="7"/>
        <v>#VALUE!</v>
      </c>
      <c r="CC35" s="1031" t="str">
        <f t="shared" si="8"/>
        <v xml:space="preserve">* Las actividades de usuarios en situación de discapacidad NO DEBEN superar el total. </v>
      </c>
      <c r="CD35" s="1031" t="str">
        <f t="shared" si="9"/>
        <v xml:space="preserve">* Las Embarazadas NO DEBEN ser mayor al total de mujeres. </v>
      </c>
      <c r="CE35" s="1031" t="str">
        <f t="shared" si="10"/>
        <v xml:space="preserve">* El número de Beneficiarios NO DEBE ser mayor que el Total. </v>
      </c>
      <c r="CF35" s="1031" t="str">
        <f t="shared" si="11"/>
        <v xml:space="preserve">* La Población SENAME NO DEBE ser mayor al Total. </v>
      </c>
      <c r="CG35" s="1031" t="str">
        <f t="shared" si="12"/>
        <v xml:space="preserve">* La Población Migrante NO DEBE superar el Total. </v>
      </c>
      <c r="CH35" s="1031"/>
      <c r="CI35" s="1163" t="e">
        <f t="shared" si="1"/>
        <v>#VALUE!</v>
      </c>
      <c r="CJ35" s="1163">
        <f t="shared" si="2"/>
        <v>1</v>
      </c>
      <c r="CK35" s="1163">
        <f t="shared" si="3"/>
        <v>1</v>
      </c>
      <c r="CL35" s="1163">
        <f t="shared" si="4"/>
        <v>1</v>
      </c>
      <c r="CM35" s="1163">
        <f t="shared" si="5"/>
        <v>1</v>
      </c>
      <c r="CN35" s="1163">
        <f t="shared" si="6"/>
        <v>1</v>
      </c>
      <c r="CO35" s="1163"/>
    </row>
    <row r="36" spans="1:93" ht="16.350000000000001" customHeight="1" x14ac:dyDescent="0.2">
      <c r="A36" s="4661"/>
      <c r="B36" s="6179" t="s">
        <v>616</v>
      </c>
      <c r="C36" s="6179"/>
      <c r="D36" s="6179"/>
      <c r="E36" s="3981">
        <f t="shared" ref="E36:AL36" si="13">SUM(E19:E35)</f>
        <v>0</v>
      </c>
      <c r="F36" s="3982">
        <f t="shared" si="13"/>
        <v>0</v>
      </c>
      <c r="G36" s="3983">
        <f t="shared" si="13"/>
        <v>0</v>
      </c>
      <c r="H36" s="3981">
        <f t="shared" si="13"/>
        <v>0</v>
      </c>
      <c r="I36" s="3983">
        <f t="shared" si="13"/>
        <v>0</v>
      </c>
      <c r="J36" s="3981">
        <f t="shared" si="13"/>
        <v>0</v>
      </c>
      <c r="K36" s="3983">
        <f t="shared" si="13"/>
        <v>0</v>
      </c>
      <c r="L36" s="3981">
        <f t="shared" si="13"/>
        <v>0</v>
      </c>
      <c r="M36" s="3983">
        <f t="shared" si="13"/>
        <v>0</v>
      </c>
      <c r="N36" s="3981">
        <f t="shared" si="13"/>
        <v>0</v>
      </c>
      <c r="O36" s="3983">
        <f t="shared" si="13"/>
        <v>0</v>
      </c>
      <c r="P36" s="3981">
        <f t="shared" si="13"/>
        <v>0</v>
      </c>
      <c r="Q36" s="3983">
        <f t="shared" si="13"/>
        <v>0</v>
      </c>
      <c r="R36" s="3981">
        <f t="shared" si="13"/>
        <v>0</v>
      </c>
      <c r="S36" s="3983">
        <f t="shared" si="13"/>
        <v>0</v>
      </c>
      <c r="T36" s="3981">
        <f t="shared" si="13"/>
        <v>0</v>
      </c>
      <c r="U36" s="3983">
        <f t="shared" si="13"/>
        <v>0</v>
      </c>
      <c r="V36" s="3981">
        <f t="shared" si="13"/>
        <v>0</v>
      </c>
      <c r="W36" s="3983">
        <f t="shared" si="13"/>
        <v>0</v>
      </c>
      <c r="X36" s="3981">
        <f t="shared" si="13"/>
        <v>0</v>
      </c>
      <c r="Y36" s="3983">
        <f t="shared" si="13"/>
        <v>0</v>
      </c>
      <c r="Z36" s="3981">
        <f t="shared" si="13"/>
        <v>0</v>
      </c>
      <c r="AA36" s="3983">
        <f t="shared" si="13"/>
        <v>0</v>
      </c>
      <c r="AB36" s="3981">
        <f t="shared" si="13"/>
        <v>0</v>
      </c>
      <c r="AC36" s="3983">
        <f t="shared" si="13"/>
        <v>0</v>
      </c>
      <c r="AD36" s="3981">
        <f t="shared" si="13"/>
        <v>0</v>
      </c>
      <c r="AE36" s="3983">
        <f t="shared" si="13"/>
        <v>0</v>
      </c>
      <c r="AF36" s="3984">
        <f t="shared" si="13"/>
        <v>0</v>
      </c>
      <c r="AG36" s="3984">
        <f t="shared" si="13"/>
        <v>0</v>
      </c>
      <c r="AH36" s="3984">
        <f t="shared" si="13"/>
        <v>0</v>
      </c>
      <c r="AI36" s="3984">
        <f t="shared" si="13"/>
        <v>0</v>
      </c>
      <c r="AJ36" s="3984">
        <f t="shared" si="13"/>
        <v>0</v>
      </c>
      <c r="AK36" s="3984">
        <f t="shared" si="13"/>
        <v>0</v>
      </c>
      <c r="AL36" s="3984">
        <f t="shared" si="13"/>
        <v>0</v>
      </c>
      <c r="AM36" s="1162"/>
      <c r="AN36" s="1058"/>
      <c r="AO36" s="1058"/>
      <c r="AP36" s="1058"/>
      <c r="AQ36" s="1058"/>
      <c r="AR36" s="1058"/>
      <c r="AS36" s="1058"/>
      <c r="AT36" s="1058"/>
      <c r="AU36" s="1058"/>
      <c r="AV36" s="94"/>
      <c r="AW36" s="94"/>
      <c r="AX36" s="94"/>
      <c r="AY36" s="94"/>
      <c r="BU36" s="79"/>
      <c r="BV36" s="79"/>
      <c r="BW36" s="79"/>
      <c r="BX36" s="891"/>
      <c r="CI36" s="1020"/>
      <c r="CJ36" s="1020"/>
      <c r="CK36" s="1020"/>
      <c r="CL36" s="1020"/>
      <c r="CM36" s="1020"/>
      <c r="CN36" s="1020"/>
      <c r="CO36" s="1020"/>
    </row>
    <row r="37" spans="1:93" ht="16.350000000000001" customHeight="1" x14ac:dyDescent="0.2">
      <c r="B37" s="961" t="s">
        <v>2766</v>
      </c>
      <c r="C37" s="504"/>
      <c r="D37" s="504"/>
      <c r="E37" s="378"/>
      <c r="F37" s="378"/>
      <c r="G37" s="378"/>
      <c r="H37" s="378"/>
      <c r="I37" s="378"/>
      <c r="J37" s="378"/>
      <c r="K37" s="378"/>
      <c r="L37" s="378"/>
      <c r="M37" s="378"/>
      <c r="N37" s="378"/>
      <c r="O37" s="378"/>
      <c r="P37" s="378"/>
      <c r="Q37" s="505"/>
      <c r="R37" s="505"/>
      <c r="S37" s="3985"/>
      <c r="T37" s="3986"/>
      <c r="U37" s="3986"/>
      <c r="V37" s="3986"/>
      <c r="W37" s="3986"/>
      <c r="X37" s="3986"/>
      <c r="Y37" s="3986"/>
      <c r="Z37" s="3986"/>
      <c r="AA37" s="3986"/>
      <c r="AB37" s="3986"/>
      <c r="AC37" s="3986"/>
      <c r="AD37" s="3986"/>
      <c r="AE37" s="3986"/>
      <c r="AF37" s="3986"/>
      <c r="AK37" s="94"/>
      <c r="AL37" s="94"/>
      <c r="AM37" s="1162"/>
      <c r="AN37" s="1058"/>
      <c r="AO37" s="1058"/>
      <c r="AP37" s="1058"/>
      <c r="AQ37" s="1058"/>
      <c r="AR37" s="1058"/>
      <c r="AS37" s="1058"/>
      <c r="AT37" s="1058"/>
      <c r="AU37" s="1058"/>
      <c r="AV37" s="94"/>
      <c r="AW37" s="94"/>
      <c r="AX37" s="94"/>
      <c r="AY37" s="94"/>
      <c r="BU37" s="79"/>
      <c r="BV37" s="79"/>
      <c r="BW37" s="79"/>
      <c r="BX37" s="891"/>
      <c r="CI37" s="1020"/>
      <c r="CJ37" s="1020"/>
      <c r="CK37" s="1020"/>
      <c r="CL37" s="1020"/>
      <c r="CM37" s="1020"/>
      <c r="CN37" s="1020"/>
      <c r="CO37" s="1020"/>
    </row>
    <row r="38" spans="1:93" ht="16.350000000000001" customHeight="1" x14ac:dyDescent="0.2">
      <c r="B38" s="6162" t="s">
        <v>617</v>
      </c>
      <c r="C38" s="6163"/>
      <c r="D38" s="6164"/>
      <c r="E38" s="6162" t="s">
        <v>170</v>
      </c>
      <c r="F38" s="6163"/>
      <c r="G38" s="6164"/>
      <c r="H38" s="6160" t="s">
        <v>604</v>
      </c>
      <c r="I38" s="6159"/>
      <c r="J38" s="6159"/>
      <c r="K38" s="6159"/>
      <c r="L38" s="6159"/>
      <c r="M38" s="6159"/>
      <c r="N38" s="6159"/>
      <c r="O38" s="6159"/>
      <c r="P38" s="6159"/>
      <c r="Q38" s="6159"/>
      <c r="R38" s="6159"/>
      <c r="S38" s="6159"/>
      <c r="T38" s="6159"/>
      <c r="U38" s="6159"/>
      <c r="V38" s="6159"/>
      <c r="W38" s="6159"/>
      <c r="X38" s="6159"/>
      <c r="Y38" s="6159"/>
      <c r="Z38" s="6159"/>
      <c r="AA38" s="6159"/>
      <c r="AB38" s="6159"/>
      <c r="AC38" s="6159"/>
      <c r="AD38" s="6159"/>
      <c r="AE38" s="6172"/>
      <c r="AF38" s="6173" t="s">
        <v>287</v>
      </c>
      <c r="AG38" s="6020" t="s">
        <v>1269</v>
      </c>
      <c r="AH38" s="6020" t="s">
        <v>2765</v>
      </c>
      <c r="AI38" s="6156" t="s">
        <v>1551</v>
      </c>
      <c r="AJ38" s="6156" t="s">
        <v>23</v>
      </c>
      <c r="AK38" s="94"/>
      <c r="AL38" s="94"/>
      <c r="AM38" s="94"/>
      <c r="AN38" s="94"/>
      <c r="AO38" s="94"/>
      <c r="AP38" s="94"/>
      <c r="AQ38" s="94"/>
      <c r="AR38" s="94"/>
      <c r="AS38" s="94"/>
      <c r="AT38" s="94"/>
      <c r="AU38" s="94"/>
      <c r="AV38" s="94"/>
      <c r="AW38" s="94"/>
      <c r="AX38" s="94"/>
      <c r="AY38" s="94"/>
      <c r="BU38" s="79"/>
      <c r="BV38" s="79"/>
      <c r="BW38" s="79"/>
      <c r="BX38" s="891"/>
      <c r="CI38" s="1020"/>
      <c r="CJ38" s="1020"/>
      <c r="CK38" s="1020"/>
      <c r="CL38" s="1020"/>
      <c r="CM38" s="1020"/>
      <c r="CN38" s="1020"/>
      <c r="CO38" s="1020"/>
    </row>
    <row r="39" spans="1:93" ht="32.1" customHeight="1" x14ac:dyDescent="0.2">
      <c r="B39" s="5490"/>
      <c r="C39" s="6165"/>
      <c r="D39" s="6166"/>
      <c r="E39" s="6170"/>
      <c r="F39" s="6171"/>
      <c r="G39" s="6169"/>
      <c r="H39" s="6157" t="s">
        <v>840</v>
      </c>
      <c r="I39" s="6158"/>
      <c r="J39" s="6159" t="s">
        <v>841</v>
      </c>
      <c r="K39" s="6159"/>
      <c r="L39" s="6160" t="s">
        <v>605</v>
      </c>
      <c r="M39" s="6161"/>
      <c r="N39" s="6160" t="s">
        <v>606</v>
      </c>
      <c r="O39" s="6161"/>
      <c r="P39" s="6160" t="s">
        <v>607</v>
      </c>
      <c r="Q39" s="6161"/>
      <c r="R39" s="6160" t="s">
        <v>608</v>
      </c>
      <c r="S39" s="6161"/>
      <c r="T39" s="6160" t="s">
        <v>609</v>
      </c>
      <c r="U39" s="6161"/>
      <c r="V39" s="6160" t="s">
        <v>618</v>
      </c>
      <c r="W39" s="6161"/>
      <c r="X39" s="6175" t="s">
        <v>611</v>
      </c>
      <c r="Y39" s="6175"/>
      <c r="Z39" s="6160" t="s">
        <v>233</v>
      </c>
      <c r="AA39" s="6161"/>
      <c r="AB39" s="6176" t="s">
        <v>613</v>
      </c>
      <c r="AC39" s="6177"/>
      <c r="AD39" s="6175" t="s">
        <v>614</v>
      </c>
      <c r="AE39" s="6178"/>
      <c r="AF39" s="5486"/>
      <c r="AG39" s="5143"/>
      <c r="AH39" s="5143"/>
      <c r="AI39" s="5647"/>
      <c r="AJ39" s="5647"/>
      <c r="AK39" s="94"/>
      <c r="AL39" s="94"/>
      <c r="AM39" s="94"/>
      <c r="AN39" s="94"/>
      <c r="AO39" s="94"/>
      <c r="AP39" s="94"/>
      <c r="AQ39" s="94"/>
      <c r="AR39" s="94"/>
      <c r="AS39" s="94"/>
      <c r="AT39" s="94"/>
      <c r="AU39" s="94"/>
      <c r="AV39" s="94"/>
      <c r="AW39" s="94"/>
      <c r="AX39" s="94"/>
      <c r="AY39" s="94"/>
      <c r="AZ39" s="94"/>
      <c r="BV39" s="79"/>
      <c r="BW39" s="79"/>
      <c r="BX39" s="79"/>
      <c r="CI39" s="1020"/>
      <c r="CJ39" s="1020"/>
      <c r="CK39" s="1020"/>
      <c r="CL39" s="1020"/>
      <c r="CM39" s="1020"/>
      <c r="CN39" s="1020"/>
      <c r="CO39" s="1020"/>
    </row>
    <row r="40" spans="1:93" ht="26.25" customHeight="1" x14ac:dyDescent="0.2">
      <c r="B40" s="6167"/>
      <c r="C40" s="6168"/>
      <c r="D40" s="6169"/>
      <c r="E40" s="3987" t="s">
        <v>184</v>
      </c>
      <c r="F40" s="3988" t="s">
        <v>24</v>
      </c>
      <c r="G40" s="3989" t="s">
        <v>25</v>
      </c>
      <c r="H40" s="3988" t="s">
        <v>24</v>
      </c>
      <c r="I40" s="3989" t="s">
        <v>25</v>
      </c>
      <c r="J40" s="3988" t="s">
        <v>24</v>
      </c>
      <c r="K40" s="3990" t="s">
        <v>25</v>
      </c>
      <c r="L40" s="3988" t="s">
        <v>24</v>
      </c>
      <c r="M40" s="3989" t="s">
        <v>25</v>
      </c>
      <c r="N40" s="3988" t="s">
        <v>24</v>
      </c>
      <c r="O40" s="3989" t="s">
        <v>25</v>
      </c>
      <c r="P40" s="3988" t="s">
        <v>24</v>
      </c>
      <c r="Q40" s="3989" t="s">
        <v>25</v>
      </c>
      <c r="R40" s="3988" t="s">
        <v>24</v>
      </c>
      <c r="S40" s="3989" t="s">
        <v>25</v>
      </c>
      <c r="T40" s="3988" t="s">
        <v>24</v>
      </c>
      <c r="U40" s="3989" t="s">
        <v>25</v>
      </c>
      <c r="V40" s="3988" t="s">
        <v>24</v>
      </c>
      <c r="W40" s="3989" t="s">
        <v>25</v>
      </c>
      <c r="X40" s="3988" t="s">
        <v>24</v>
      </c>
      <c r="Y40" s="3989" t="s">
        <v>25</v>
      </c>
      <c r="Z40" s="3988" t="s">
        <v>24</v>
      </c>
      <c r="AA40" s="3989" t="s">
        <v>25</v>
      </c>
      <c r="AB40" s="3988" t="s">
        <v>24</v>
      </c>
      <c r="AC40" s="3991" t="s">
        <v>25</v>
      </c>
      <c r="AD40" s="3990" t="s">
        <v>24</v>
      </c>
      <c r="AE40" s="3992" t="s">
        <v>25</v>
      </c>
      <c r="AF40" s="6174"/>
      <c r="AG40" s="5297"/>
      <c r="AH40" s="5297"/>
      <c r="AI40" s="5648"/>
      <c r="AJ40" s="5648"/>
      <c r="AK40" s="94"/>
      <c r="AL40" s="94"/>
      <c r="AM40" s="94"/>
      <c r="AN40" s="94"/>
      <c r="AO40" s="94"/>
      <c r="AP40" s="94"/>
      <c r="AQ40" s="94"/>
      <c r="AR40" s="94"/>
      <c r="AS40" s="94"/>
      <c r="AT40" s="94"/>
      <c r="AU40" s="94"/>
      <c r="AV40" s="94"/>
      <c r="AW40" s="94"/>
      <c r="AX40" s="94"/>
      <c r="AY40" s="94"/>
      <c r="AZ40" s="94"/>
      <c r="BV40" s="79"/>
      <c r="BW40" s="79"/>
      <c r="BX40" s="79"/>
      <c r="CI40" s="1020"/>
      <c r="CJ40" s="1020"/>
      <c r="CK40" s="1020"/>
      <c r="CL40" s="1020"/>
      <c r="CM40" s="1020"/>
      <c r="CN40" s="1020"/>
      <c r="CO40" s="1020"/>
    </row>
    <row r="41" spans="1:93" ht="15.95" customHeight="1" x14ac:dyDescent="0.2">
      <c r="A41" s="3009" t="s">
        <v>3575</v>
      </c>
      <c r="B41" s="6153" t="s">
        <v>1075</v>
      </c>
      <c r="C41" s="6154"/>
      <c r="D41" s="6155"/>
      <c r="E41" s="3993" t="s">
        <v>2777</v>
      </c>
      <c r="F41" s="3994" t="s">
        <v>2778</v>
      </c>
      <c r="G41" s="3995" t="s">
        <v>2779</v>
      </c>
      <c r="H41" s="173" t="s">
        <v>2780</v>
      </c>
      <c r="I41" s="174" t="s">
        <v>2781</v>
      </c>
      <c r="J41" s="173" t="s">
        <v>2782</v>
      </c>
      <c r="K41" s="174" t="s">
        <v>2783</v>
      </c>
      <c r="L41" s="173" t="s">
        <v>2784</v>
      </c>
      <c r="M41" s="174" t="s">
        <v>2785</v>
      </c>
      <c r="N41" s="173" t="s">
        <v>2786</v>
      </c>
      <c r="O41" s="174" t="s">
        <v>2787</v>
      </c>
      <c r="P41" s="173" t="s">
        <v>2788</v>
      </c>
      <c r="Q41" s="174" t="s">
        <v>2789</v>
      </c>
      <c r="R41" s="173" t="s">
        <v>2790</v>
      </c>
      <c r="S41" s="174" t="s">
        <v>2791</v>
      </c>
      <c r="T41" s="173" t="s">
        <v>2792</v>
      </c>
      <c r="U41" s="174" t="s">
        <v>2793</v>
      </c>
      <c r="V41" s="3996" t="s">
        <v>2794</v>
      </c>
      <c r="W41" s="3997" t="s">
        <v>2795</v>
      </c>
      <c r="X41" s="3996" t="s">
        <v>2796</v>
      </c>
      <c r="Y41" s="3997" t="s">
        <v>2797</v>
      </c>
      <c r="Z41" s="3996" t="s">
        <v>2798</v>
      </c>
      <c r="AA41" s="3997" t="s">
        <v>2799</v>
      </c>
      <c r="AB41" s="3998" t="s">
        <v>2800</v>
      </c>
      <c r="AC41" s="3997" t="s">
        <v>2801</v>
      </c>
      <c r="AD41" s="3999" t="s">
        <v>2817</v>
      </c>
      <c r="AE41" s="4000" t="s">
        <v>2818</v>
      </c>
      <c r="AF41" s="4001" t="s">
        <v>2819</v>
      </c>
      <c r="AG41" s="4001" t="s">
        <v>2821</v>
      </c>
      <c r="AH41" s="4001" t="s">
        <v>2822</v>
      </c>
      <c r="AI41" s="4001" t="s">
        <v>2823</v>
      </c>
      <c r="AJ41" s="4001" t="s">
        <v>2824</v>
      </c>
      <c r="AK41" s="1162" t="e">
        <f>CB41&amp;CC41&amp;CD41&amp;CE41&amp;CF41</f>
        <v>#VALUE!</v>
      </c>
      <c r="AL41" s="1058"/>
      <c r="AM41" s="94"/>
      <c r="AN41" s="94"/>
      <c r="AO41" s="94"/>
      <c r="AP41" s="94"/>
      <c r="AQ41" s="94"/>
      <c r="AR41" s="94"/>
      <c r="AS41" s="94"/>
      <c r="AT41" s="94"/>
      <c r="AU41" s="94"/>
      <c r="AV41" s="94"/>
      <c r="BV41" s="79"/>
      <c r="BW41" s="79"/>
      <c r="BX41" s="79"/>
      <c r="CB41" s="1031" t="e">
        <f>IF(CI41=1,"* Las consultas de 60 años NO DEBEN ser mayor que el total de Consultas entre 20-64 Años. ","")</f>
        <v>#VALUE!</v>
      </c>
      <c r="CC41" s="1031" t="str">
        <f t="shared" ref="CC41:CC57" si="14">IF(CJ41=1,"* Las actividades de usuarios en situación de discapacidad NO DEBEN superar el total. ","")</f>
        <v xml:space="preserve">* Las actividades de usuarios en situación de discapacidad NO DEBEN superar el total. </v>
      </c>
      <c r="CD41" s="1031" t="str">
        <f>IF(AND(AF41="",E41&lt;&gt;0),"* Recuerde que las Embarazadas deben ser incluídas en el ingreso por rango Etario (Digite CEROS si no tiene). ",IF(G41&lt;AF41,"* Las Embarazadas NO DEBEN ser mayor al total de mujeres. ",""))</f>
        <v xml:space="preserve">* Las Embarazadas NO DEBEN ser mayor al total de mujeres. </v>
      </c>
      <c r="CE41" s="1031" t="str">
        <f t="shared" ref="CE41:CE57" si="15">IF(AND(AI41="",E41&lt;&gt;0),"* No olvide digitar la población SENAME (Digite CEROS si no tiene). ",IF(E41&lt;AI41,"* La Población SENAME NO DEBE ser mayor al Total. ",""))</f>
        <v xml:space="preserve">* La Población SENAME NO DEBE ser mayor al Total. </v>
      </c>
      <c r="CF41" s="1031" t="str">
        <f t="shared" ref="CF41:CF57" si="16">IF(AND(AJ41="",E41&lt;&gt;0),"* No olvide digitar la población Migrante (Digite CEROS si no tiene). ",IF(E41&lt;AJ41,"* La Población Migrante NO DEBE ser mayor al Total. ",""))</f>
        <v xml:space="preserve">* La Población Migrante NO DEBE ser mayor al Total. </v>
      </c>
      <c r="CI41" s="1163" t="e">
        <f>IF((AB41+AC41)&lt;AG41,1,0)</f>
        <v>#VALUE!</v>
      </c>
      <c r="CJ41" s="1163">
        <f t="shared" ref="CJ41:CJ57" si="17">IF(E41&lt;AH41,1,0)</f>
        <v>1</v>
      </c>
      <c r="CK41" s="1163">
        <f>IF(AND(AF41="",E41&lt;&gt;0),1,IF(G41&lt;AF41,1,0))</f>
        <v>1</v>
      </c>
      <c r="CL41" s="1163">
        <f t="shared" ref="CL41:CL57" si="18">IF(AND(AI41="",E41&lt;&gt;0),1,IF(E41&lt;AI41,1,0))</f>
        <v>1</v>
      </c>
      <c r="CM41" s="1163">
        <f t="shared" ref="CM41:CM57" si="19">IF(AND(AJ41="",E41&lt;&gt;0),1,IF(E41&lt;AJ41,1,0))</f>
        <v>1</v>
      </c>
      <c r="CN41" s="1020"/>
      <c r="CO41" s="1020"/>
    </row>
    <row r="42" spans="1:93" ht="15.95" customHeight="1" x14ac:dyDescent="0.2">
      <c r="A42" s="3009" t="s">
        <v>3576</v>
      </c>
      <c r="B42" s="5313" t="s">
        <v>1353</v>
      </c>
      <c r="C42" s="5302"/>
      <c r="D42" s="5303"/>
      <c r="E42" s="4002" t="s">
        <v>2777</v>
      </c>
      <c r="F42" s="2301" t="s">
        <v>2778</v>
      </c>
      <c r="G42" s="4003" t="s">
        <v>2779</v>
      </c>
      <c r="H42" s="4004" t="s">
        <v>2780</v>
      </c>
      <c r="I42" s="4005" t="s">
        <v>2781</v>
      </c>
      <c r="J42" s="4004" t="s">
        <v>2782</v>
      </c>
      <c r="K42" s="4006" t="s">
        <v>2783</v>
      </c>
      <c r="L42" s="4004" t="s">
        <v>2784</v>
      </c>
      <c r="M42" s="4005" t="s">
        <v>2785</v>
      </c>
      <c r="N42" s="4004" t="s">
        <v>2786</v>
      </c>
      <c r="O42" s="4005" t="s">
        <v>2787</v>
      </c>
      <c r="P42" s="4004" t="s">
        <v>2788</v>
      </c>
      <c r="Q42" s="4005" t="s">
        <v>2789</v>
      </c>
      <c r="R42" s="4004" t="s">
        <v>2790</v>
      </c>
      <c r="S42" s="4007" t="s">
        <v>2791</v>
      </c>
      <c r="T42" s="4004" t="s">
        <v>2792</v>
      </c>
      <c r="U42" s="4007" t="s">
        <v>2793</v>
      </c>
      <c r="V42" s="173" t="s">
        <v>2794</v>
      </c>
      <c r="W42" s="162" t="s">
        <v>2795</v>
      </c>
      <c r="X42" s="173" t="s">
        <v>2796</v>
      </c>
      <c r="Y42" s="174" t="s">
        <v>2797</v>
      </c>
      <c r="Z42" s="173" t="s">
        <v>2798</v>
      </c>
      <c r="AA42" s="174" t="s">
        <v>2799</v>
      </c>
      <c r="AB42" s="161" t="s">
        <v>2800</v>
      </c>
      <c r="AC42" s="506" t="s">
        <v>2801</v>
      </c>
      <c r="AD42" s="173" t="s">
        <v>2817</v>
      </c>
      <c r="AE42" s="507" t="s">
        <v>2818</v>
      </c>
      <c r="AF42" s="174" t="s">
        <v>2819</v>
      </c>
      <c r="AG42" s="174" t="s">
        <v>2821</v>
      </c>
      <c r="AH42" s="4005" t="s">
        <v>2822</v>
      </c>
      <c r="AI42" s="4005" t="s">
        <v>2823</v>
      </c>
      <c r="AJ42" s="4005" t="s">
        <v>2824</v>
      </c>
      <c r="AK42" s="1162" t="str">
        <f>CB42&amp;CC42&amp;CD42&amp;CE42&amp;CF42</f>
        <v xml:space="preserve">* Las actividades de usuarios en situación de discapacidad NO DEBEN superar el total. * La Población SENAME NO DEBE ser mayor al Total. * La Población Migrante NO DEBE ser mayor al Total. </v>
      </c>
      <c r="AL42" s="1058"/>
      <c r="AM42" s="94"/>
      <c r="AN42" s="94"/>
      <c r="AO42" s="94"/>
      <c r="AP42" s="94"/>
      <c r="AQ42" s="94"/>
      <c r="AR42" s="94"/>
      <c r="AS42" s="94"/>
      <c r="AT42" s="94"/>
      <c r="AU42" s="94"/>
      <c r="AV42" s="94"/>
      <c r="BV42" s="79"/>
      <c r="BW42" s="79"/>
      <c r="BX42" s="79"/>
      <c r="CB42" s="1031"/>
      <c r="CC42" s="1031" t="str">
        <f t="shared" si="14"/>
        <v xml:space="preserve">* Las actividades de usuarios en situación de discapacidad NO DEBEN superar el total. </v>
      </c>
      <c r="CD42" s="1031"/>
      <c r="CE42" s="1031" t="str">
        <f t="shared" si="15"/>
        <v xml:space="preserve">* La Población SENAME NO DEBE ser mayor al Total. </v>
      </c>
      <c r="CF42" s="1031" t="str">
        <f t="shared" si="16"/>
        <v xml:space="preserve">* La Población Migrante NO DEBE ser mayor al Total. </v>
      </c>
      <c r="CI42" s="1163"/>
      <c r="CJ42" s="1163">
        <f t="shared" si="17"/>
        <v>1</v>
      </c>
      <c r="CK42" s="1163"/>
      <c r="CL42" s="1163">
        <f t="shared" si="18"/>
        <v>1</v>
      </c>
      <c r="CM42" s="1163">
        <f t="shared" si="19"/>
        <v>1</v>
      </c>
      <c r="CN42" s="1020"/>
      <c r="CO42" s="1020"/>
    </row>
    <row r="43" spans="1:93" ht="15.95" customHeight="1" x14ac:dyDescent="0.2">
      <c r="A43" s="3009" t="s">
        <v>3577</v>
      </c>
      <c r="B43" s="5313" t="s">
        <v>1354</v>
      </c>
      <c r="C43" s="5302"/>
      <c r="D43" s="5303"/>
      <c r="E43" s="4002" t="s">
        <v>2777</v>
      </c>
      <c r="F43" s="2301" t="s">
        <v>2778</v>
      </c>
      <c r="G43" s="4003" t="s">
        <v>2779</v>
      </c>
      <c r="H43" s="4004" t="s">
        <v>2780</v>
      </c>
      <c r="I43" s="4005" t="s">
        <v>2781</v>
      </c>
      <c r="J43" s="4004" t="s">
        <v>2782</v>
      </c>
      <c r="K43" s="4006" t="s">
        <v>2783</v>
      </c>
      <c r="L43" s="4004" t="s">
        <v>2784</v>
      </c>
      <c r="M43" s="4005" t="s">
        <v>2785</v>
      </c>
      <c r="N43" s="4004" t="s">
        <v>2786</v>
      </c>
      <c r="O43" s="4005" t="s">
        <v>2787</v>
      </c>
      <c r="P43" s="4004" t="s">
        <v>2788</v>
      </c>
      <c r="Q43" s="4005" t="s">
        <v>2789</v>
      </c>
      <c r="R43" s="4004" t="s">
        <v>2790</v>
      </c>
      <c r="S43" s="4007" t="s">
        <v>2791</v>
      </c>
      <c r="T43" s="4004" t="s">
        <v>2792</v>
      </c>
      <c r="U43" s="4007" t="s">
        <v>2793</v>
      </c>
      <c r="V43" s="173" t="s">
        <v>2794</v>
      </c>
      <c r="W43" s="162" t="s">
        <v>2795</v>
      </c>
      <c r="X43" s="173" t="s">
        <v>2796</v>
      </c>
      <c r="Y43" s="174" t="s">
        <v>2797</v>
      </c>
      <c r="Z43" s="173" t="s">
        <v>2798</v>
      </c>
      <c r="AA43" s="174" t="s">
        <v>2799</v>
      </c>
      <c r="AB43" s="161" t="s">
        <v>2800</v>
      </c>
      <c r="AC43" s="506" t="s">
        <v>2801</v>
      </c>
      <c r="AD43" s="173" t="s">
        <v>2817</v>
      </c>
      <c r="AE43" s="507" t="s">
        <v>2818</v>
      </c>
      <c r="AF43" s="174" t="s">
        <v>2819</v>
      </c>
      <c r="AG43" s="174" t="s">
        <v>2821</v>
      </c>
      <c r="AH43" s="4005" t="s">
        <v>2822</v>
      </c>
      <c r="AI43" s="4005" t="s">
        <v>2823</v>
      </c>
      <c r="AJ43" s="4005" t="s">
        <v>2824</v>
      </c>
      <c r="AK43" s="1162" t="str">
        <f>CB43&amp;CC43&amp;CD43&amp;CE43&amp;CF43</f>
        <v xml:space="preserve">* Las actividades de usuarios en situación de discapacidad NO DEBEN superar el total. * La Población SENAME NO DEBE ser mayor al Total. * La Población Migrante NO DEBE ser mayor al Total. </v>
      </c>
      <c r="AL43" s="1058"/>
      <c r="AM43" s="1058"/>
      <c r="AN43" s="1058"/>
      <c r="AO43" s="1058"/>
      <c r="AP43" s="1058"/>
      <c r="AQ43" s="1058"/>
      <c r="AR43" s="1058"/>
      <c r="AS43" s="1058"/>
      <c r="AT43" s="1058"/>
      <c r="AU43" s="94"/>
      <c r="AV43" s="94"/>
      <c r="BV43" s="79"/>
      <c r="BW43" s="79"/>
      <c r="BX43" s="79"/>
      <c r="CB43" s="1031"/>
      <c r="CC43" s="1031" t="str">
        <f t="shared" si="14"/>
        <v xml:space="preserve">* Las actividades de usuarios en situación de discapacidad NO DEBEN superar el total. </v>
      </c>
      <c r="CD43" s="1031"/>
      <c r="CE43" s="1031" t="str">
        <f t="shared" si="15"/>
        <v xml:space="preserve">* La Población SENAME NO DEBE ser mayor al Total. </v>
      </c>
      <c r="CF43" s="1031" t="str">
        <f t="shared" si="16"/>
        <v xml:space="preserve">* La Población Migrante NO DEBE ser mayor al Total. </v>
      </c>
      <c r="CI43" s="1163"/>
      <c r="CJ43" s="1163">
        <f t="shared" si="17"/>
        <v>1</v>
      </c>
      <c r="CK43" s="1163"/>
      <c r="CL43" s="1163">
        <f t="shared" si="18"/>
        <v>1</v>
      </c>
      <c r="CM43" s="1163">
        <f t="shared" si="19"/>
        <v>1</v>
      </c>
      <c r="CN43" s="1020"/>
      <c r="CO43" s="1020"/>
    </row>
    <row r="44" spans="1:93" ht="15.95" customHeight="1" x14ac:dyDescent="0.2">
      <c r="A44" s="3009" t="s">
        <v>3578</v>
      </c>
      <c r="B44" s="5313" t="s">
        <v>1076</v>
      </c>
      <c r="C44" s="5302"/>
      <c r="D44" s="5303"/>
      <c r="E44" s="3950" t="s">
        <v>2777</v>
      </c>
      <c r="F44" s="729" t="s">
        <v>2778</v>
      </c>
      <c r="G44" s="3940" t="s">
        <v>2779</v>
      </c>
      <c r="H44" s="173" t="s">
        <v>2780</v>
      </c>
      <c r="I44" s="174" t="s">
        <v>2781</v>
      </c>
      <c r="J44" s="173" t="s">
        <v>2782</v>
      </c>
      <c r="K44" s="174" t="s">
        <v>2783</v>
      </c>
      <c r="L44" s="173" t="s">
        <v>2784</v>
      </c>
      <c r="M44" s="174" t="s">
        <v>2785</v>
      </c>
      <c r="N44" s="173" t="s">
        <v>2786</v>
      </c>
      <c r="O44" s="174" t="s">
        <v>2787</v>
      </c>
      <c r="P44" s="173" t="s">
        <v>2788</v>
      </c>
      <c r="Q44" s="174" t="s">
        <v>2789</v>
      </c>
      <c r="R44" s="173" t="s">
        <v>2790</v>
      </c>
      <c r="S44" s="174" t="s">
        <v>2791</v>
      </c>
      <c r="T44" s="173" t="s">
        <v>2792</v>
      </c>
      <c r="U44" s="174" t="s">
        <v>2793</v>
      </c>
      <c r="V44" s="4008" t="s">
        <v>2794</v>
      </c>
      <c r="W44" s="4009" t="s">
        <v>2795</v>
      </c>
      <c r="X44" s="4008" t="s">
        <v>2796</v>
      </c>
      <c r="Y44" s="4009" t="s">
        <v>2797</v>
      </c>
      <c r="Z44" s="4008" t="s">
        <v>2798</v>
      </c>
      <c r="AA44" s="4009" t="s">
        <v>2799</v>
      </c>
      <c r="AB44" s="4010" t="s">
        <v>2800</v>
      </c>
      <c r="AC44" s="4011" t="s">
        <v>2801</v>
      </c>
      <c r="AD44" s="4008" t="s">
        <v>2817</v>
      </c>
      <c r="AE44" s="4012" t="s">
        <v>2818</v>
      </c>
      <c r="AF44" s="4013" t="s">
        <v>2819</v>
      </c>
      <c r="AG44" s="4013" t="s">
        <v>2821</v>
      </c>
      <c r="AH44" s="4013" t="s">
        <v>2822</v>
      </c>
      <c r="AI44" s="4013" t="s">
        <v>2823</v>
      </c>
      <c r="AJ44" s="4013" t="s">
        <v>2824</v>
      </c>
      <c r="AK44" s="1162" t="e">
        <f>CB44&amp;CC44&amp;CD44&amp;CE44&amp;CF44</f>
        <v>#VALUE!</v>
      </c>
      <c r="AL44" s="1058"/>
      <c r="AM44" s="1058"/>
      <c r="AN44" s="1058"/>
      <c r="AO44" s="1058"/>
      <c r="AP44" s="1058"/>
      <c r="AQ44" s="1058"/>
      <c r="AR44" s="1058"/>
      <c r="AS44" s="1058"/>
      <c r="AT44" s="1058"/>
      <c r="AU44" s="94"/>
      <c r="AV44" s="94"/>
      <c r="BV44" s="79"/>
      <c r="BW44" s="79"/>
      <c r="BX44" s="79"/>
      <c r="CB44" s="1031" t="e">
        <f>IF(CI44=1,"* Las consultas de 60 años NO DEBEN ser mayor que el total de Consultas entre 20-64 Años. ","")</f>
        <v>#VALUE!</v>
      </c>
      <c r="CC44" s="1031" t="str">
        <f t="shared" si="14"/>
        <v xml:space="preserve">* Las actividades de usuarios en situación de discapacidad NO DEBEN superar el total. </v>
      </c>
      <c r="CD44" s="1031" t="str">
        <f t="shared" ref="CD44:CD57" si="20">IF(AND(AF44="",E44&lt;&gt;0),"* Recuerde que las Embarazadas deben ser incluídas en el ingreso por rango Etario (Digite CEROS si no tiene). ",IF(G44&lt;AF44,"* Las Embarazadas NO DEBEN ser mayor al total de mujeres. ",""))</f>
        <v xml:space="preserve">* Las Embarazadas NO DEBEN ser mayor al total de mujeres. </v>
      </c>
      <c r="CE44" s="1031" t="str">
        <f t="shared" si="15"/>
        <v xml:space="preserve">* La Población SENAME NO DEBE ser mayor al Total. </v>
      </c>
      <c r="CF44" s="1031" t="str">
        <f t="shared" si="16"/>
        <v xml:space="preserve">* La Población Migrante NO DEBE ser mayor al Total. </v>
      </c>
      <c r="CI44" s="1163" t="e">
        <f>IF((AB44+AC44)&lt;AG44,1,0)</f>
        <v>#VALUE!</v>
      </c>
      <c r="CJ44" s="1163">
        <f t="shared" si="17"/>
        <v>1</v>
      </c>
      <c r="CK44" s="1163">
        <f t="shared" ref="CK44:CK57" si="21">IF(AND(AF44="",E44&lt;&gt;0),1,IF(G44&lt;AF44,1,0))</f>
        <v>1</v>
      </c>
      <c r="CL44" s="1163">
        <f t="shared" si="18"/>
        <v>1</v>
      </c>
      <c r="CM44" s="1163">
        <f t="shared" si="19"/>
        <v>1</v>
      </c>
      <c r="CN44" s="1020"/>
      <c r="CO44" s="1020"/>
    </row>
    <row r="45" spans="1:93" ht="15.95" customHeight="1" x14ac:dyDescent="0.2">
      <c r="A45" s="3009" t="s">
        <v>3579</v>
      </c>
      <c r="B45" s="5313" t="s">
        <v>1077</v>
      </c>
      <c r="C45" s="5302"/>
      <c r="D45" s="5303"/>
      <c r="E45" s="4014" t="s">
        <v>2777</v>
      </c>
      <c r="F45" s="4015" t="s">
        <v>2778</v>
      </c>
      <c r="G45" s="4016" t="s">
        <v>2779</v>
      </c>
      <c r="H45" s="2395" t="s">
        <v>2780</v>
      </c>
      <c r="I45" s="258" t="s">
        <v>2781</v>
      </c>
      <c r="J45" s="2395" t="s">
        <v>2782</v>
      </c>
      <c r="K45" s="258" t="s">
        <v>2783</v>
      </c>
      <c r="L45" s="2395" t="s">
        <v>2784</v>
      </c>
      <c r="M45" s="258" t="s">
        <v>2785</v>
      </c>
      <c r="N45" s="2395" t="s">
        <v>2786</v>
      </c>
      <c r="O45" s="258" t="s">
        <v>2787</v>
      </c>
      <c r="P45" s="2395" t="s">
        <v>2788</v>
      </c>
      <c r="Q45" s="258" t="s">
        <v>2789</v>
      </c>
      <c r="R45" s="2395" t="s">
        <v>2790</v>
      </c>
      <c r="S45" s="258" t="s">
        <v>2791</v>
      </c>
      <c r="T45" s="2395" t="s">
        <v>2792</v>
      </c>
      <c r="U45" s="258" t="s">
        <v>2793</v>
      </c>
      <c r="V45" s="4017" t="s">
        <v>2794</v>
      </c>
      <c r="W45" s="4018" t="s">
        <v>2795</v>
      </c>
      <c r="X45" s="4017" t="s">
        <v>2796</v>
      </c>
      <c r="Y45" s="4018" t="s">
        <v>2797</v>
      </c>
      <c r="Z45" s="4017" t="s">
        <v>2798</v>
      </c>
      <c r="AA45" s="4018" t="s">
        <v>2799</v>
      </c>
      <c r="AB45" s="4019" t="s">
        <v>2800</v>
      </c>
      <c r="AC45" s="4020" t="s">
        <v>2801</v>
      </c>
      <c r="AD45" s="4017" t="s">
        <v>2817</v>
      </c>
      <c r="AE45" s="4021" t="s">
        <v>2818</v>
      </c>
      <c r="AF45" s="4022" t="s">
        <v>2819</v>
      </c>
      <c r="AG45" s="169" t="s">
        <v>2821</v>
      </c>
      <c r="AH45" s="4023" t="s">
        <v>2822</v>
      </c>
      <c r="AI45" s="4023" t="s">
        <v>2823</v>
      </c>
      <c r="AJ45" s="4023" t="s">
        <v>2824</v>
      </c>
      <c r="AK45" s="1162" t="str">
        <f>CB45&amp;CC45&amp;CD45&amp;CE45&amp;CF45</f>
        <v xml:space="preserve">* Las actividades de usuarios en situación de discapacidad NO DEBEN superar el total. * Las Embarazadas NO DEBEN ser mayor al total de mujeres. * La Población SENAME NO DEBE ser mayor al Total. * La Población Migrante NO DEBE ser mayor al Total. </v>
      </c>
      <c r="AL45" s="1058"/>
      <c r="AM45" s="1058"/>
      <c r="AN45" s="1058"/>
      <c r="AO45" s="1058"/>
      <c r="AP45" s="1058"/>
      <c r="AQ45" s="1058"/>
      <c r="AR45" s="1058"/>
      <c r="AS45" s="1058"/>
      <c r="AT45" s="1058"/>
      <c r="AU45" s="94"/>
      <c r="AV45" s="94"/>
      <c r="BV45" s="79"/>
      <c r="BW45" s="79"/>
      <c r="BX45" s="79"/>
      <c r="CB45" s="1031"/>
      <c r="CC45" s="1031" t="str">
        <f t="shared" si="14"/>
        <v xml:space="preserve">* Las actividades de usuarios en situación de discapacidad NO DEBEN superar el total. </v>
      </c>
      <c r="CD45" s="1031" t="str">
        <f t="shared" si="20"/>
        <v xml:space="preserve">* Las Embarazadas NO DEBEN ser mayor al total de mujeres. </v>
      </c>
      <c r="CE45" s="1031" t="str">
        <f t="shared" si="15"/>
        <v xml:space="preserve">* La Población SENAME NO DEBE ser mayor al Total. </v>
      </c>
      <c r="CF45" s="1031" t="str">
        <f t="shared" si="16"/>
        <v xml:space="preserve">* La Población Migrante NO DEBE ser mayor al Total. </v>
      </c>
      <c r="CI45" s="1163"/>
      <c r="CJ45" s="1163">
        <f t="shared" si="17"/>
        <v>1</v>
      </c>
      <c r="CK45" s="1163">
        <f t="shared" si="21"/>
        <v>1</v>
      </c>
      <c r="CL45" s="1163">
        <f t="shared" si="18"/>
        <v>1</v>
      </c>
      <c r="CM45" s="1163">
        <f t="shared" si="19"/>
        <v>1</v>
      </c>
      <c r="CN45" s="1020"/>
      <c r="CO45" s="1020"/>
    </row>
    <row r="46" spans="1:93" ht="16.350000000000001" customHeight="1" x14ac:dyDescent="0.2">
      <c r="A46" s="4661"/>
      <c r="B46" s="6113" t="s">
        <v>1078</v>
      </c>
      <c r="C46" s="6114"/>
      <c r="D46" s="6115"/>
      <c r="E46" s="3966">
        <f>SUM(F46+G46)</f>
        <v>0</v>
      </c>
      <c r="F46" s="3967">
        <f>SUM(V46+X46+Z46+AB46+AD46)</f>
        <v>0</v>
      </c>
      <c r="G46" s="3959">
        <f t="shared" ref="G46" si="22">SUM(W46+Y46+AA46+AC46+AE46)</f>
        <v>0</v>
      </c>
      <c r="H46" s="4024"/>
      <c r="I46" s="4025"/>
      <c r="J46" s="4024"/>
      <c r="K46" s="4025"/>
      <c r="L46" s="4024"/>
      <c r="M46" s="4025"/>
      <c r="N46" s="4024"/>
      <c r="O46" s="4025"/>
      <c r="P46" s="4024"/>
      <c r="Q46" s="4025"/>
      <c r="R46" s="4024"/>
      <c r="S46" s="4025"/>
      <c r="T46" s="4024"/>
      <c r="U46" s="4025"/>
      <c r="V46" s="3966">
        <f>SUM(V44:V45)</f>
        <v>0</v>
      </c>
      <c r="W46" s="4026">
        <f t="shared" ref="W46:AF46" si="23">SUM(W44:W45)</f>
        <v>0</v>
      </c>
      <c r="X46" s="3966">
        <f t="shared" si="23"/>
        <v>0</v>
      </c>
      <c r="Y46" s="4026">
        <f t="shared" si="23"/>
        <v>0</v>
      </c>
      <c r="Z46" s="3966">
        <f t="shared" si="23"/>
        <v>0</v>
      </c>
      <c r="AA46" s="4026">
        <f t="shared" si="23"/>
        <v>0</v>
      </c>
      <c r="AB46" s="3966">
        <f t="shared" si="23"/>
        <v>0</v>
      </c>
      <c r="AC46" s="4026">
        <f t="shared" si="23"/>
        <v>0</v>
      </c>
      <c r="AD46" s="3966">
        <f t="shared" si="23"/>
        <v>0</v>
      </c>
      <c r="AE46" s="4026">
        <f t="shared" si="23"/>
        <v>0</v>
      </c>
      <c r="AF46" s="4027">
        <f t="shared" si="23"/>
        <v>0</v>
      </c>
      <c r="AG46" s="3959">
        <f>SUM(AG44)</f>
        <v>0</v>
      </c>
      <c r="AH46" s="3959">
        <f>SUM(AH44:AH45)</f>
        <v>0</v>
      </c>
      <c r="AI46" s="3959">
        <f>SUM(AI44:AI45)</f>
        <v>0</v>
      </c>
      <c r="AJ46" s="3959">
        <f>SUM(AJ44:AJ45)</f>
        <v>0</v>
      </c>
      <c r="AK46" s="1162"/>
      <c r="AL46" s="1037"/>
      <c r="AM46" s="1058"/>
      <c r="AN46" s="1058"/>
      <c r="AO46" s="1058"/>
      <c r="AP46" s="1058"/>
      <c r="AQ46" s="1058"/>
      <c r="AR46" s="1058"/>
      <c r="AS46" s="1058"/>
      <c r="AT46" s="1058"/>
      <c r="AU46" s="94"/>
      <c r="AV46" s="94"/>
      <c r="BV46" s="79"/>
      <c r="BW46" s="79"/>
      <c r="BX46" s="79"/>
      <c r="CB46" s="1031" t="str">
        <f t="shared" ref="CB46:CB57" si="24">IF(CI46=1,"* Las consultas de 60 años NO DEBEN ser mayor que el total de Consultas entre 20-64 Años. ","")</f>
        <v/>
      </c>
      <c r="CC46" s="1031" t="str">
        <f t="shared" si="14"/>
        <v/>
      </c>
      <c r="CD46" s="1031" t="str">
        <f t="shared" si="20"/>
        <v/>
      </c>
      <c r="CE46" s="1031" t="str">
        <f t="shared" si="15"/>
        <v/>
      </c>
      <c r="CF46" s="1031" t="str">
        <f t="shared" si="16"/>
        <v/>
      </c>
      <c r="CI46" s="1163">
        <f t="shared" ref="CI46:CI57" si="25">IF((AB46+AC46)&lt;AG46,1,0)</f>
        <v>0</v>
      </c>
      <c r="CJ46" s="1163">
        <f t="shared" si="17"/>
        <v>0</v>
      </c>
      <c r="CK46" s="1163">
        <f t="shared" si="21"/>
        <v>0</v>
      </c>
      <c r="CL46" s="1163">
        <f t="shared" si="18"/>
        <v>0</v>
      </c>
      <c r="CM46" s="1163">
        <f t="shared" si="19"/>
        <v>0</v>
      </c>
      <c r="CN46" s="1020"/>
      <c r="CO46" s="1020"/>
    </row>
    <row r="47" spans="1:93" ht="16.350000000000001" customHeight="1" x14ac:dyDescent="0.2">
      <c r="A47" s="3009" t="s">
        <v>3580</v>
      </c>
      <c r="B47" s="6148" t="s">
        <v>753</v>
      </c>
      <c r="C47" s="6149"/>
      <c r="D47" s="6150"/>
      <c r="E47" s="4028" t="s">
        <v>2777</v>
      </c>
      <c r="F47" s="4029" t="s">
        <v>2778</v>
      </c>
      <c r="G47" s="4030" t="s">
        <v>2779</v>
      </c>
      <c r="H47" s="3618" t="s">
        <v>2780</v>
      </c>
      <c r="I47" s="3619" t="s">
        <v>2781</v>
      </c>
      <c r="J47" s="3618" t="s">
        <v>2782</v>
      </c>
      <c r="K47" s="3619" t="s">
        <v>2783</v>
      </c>
      <c r="L47" s="3618" t="s">
        <v>2784</v>
      </c>
      <c r="M47" s="3619" t="s">
        <v>2785</v>
      </c>
      <c r="N47" s="3618" t="s">
        <v>2786</v>
      </c>
      <c r="O47" s="3619" t="s">
        <v>2787</v>
      </c>
      <c r="P47" s="3618" t="s">
        <v>2788</v>
      </c>
      <c r="Q47" s="3619" t="s">
        <v>2789</v>
      </c>
      <c r="R47" s="3618" t="s">
        <v>2790</v>
      </c>
      <c r="S47" s="3619" t="s">
        <v>2791</v>
      </c>
      <c r="T47" s="3618" t="s">
        <v>2792</v>
      </c>
      <c r="U47" s="3619" t="s">
        <v>2793</v>
      </c>
      <c r="V47" s="4031" t="s">
        <v>2794</v>
      </c>
      <c r="W47" s="4032" t="s">
        <v>2795</v>
      </c>
      <c r="X47" s="4031" t="s">
        <v>2796</v>
      </c>
      <c r="Y47" s="4032" t="s">
        <v>2797</v>
      </c>
      <c r="Z47" s="4031" t="s">
        <v>2798</v>
      </c>
      <c r="AA47" s="4032" t="s">
        <v>2799</v>
      </c>
      <c r="AB47" s="4031" t="s">
        <v>2800</v>
      </c>
      <c r="AC47" s="4032" t="s">
        <v>2801</v>
      </c>
      <c r="AD47" s="4033" t="s">
        <v>2817</v>
      </c>
      <c r="AE47" s="4034" t="s">
        <v>2818</v>
      </c>
      <c r="AF47" s="4035" t="s">
        <v>2819</v>
      </c>
      <c r="AG47" s="4036" t="s">
        <v>2821</v>
      </c>
      <c r="AH47" s="4036" t="s">
        <v>2822</v>
      </c>
      <c r="AI47" s="4036" t="s">
        <v>2823</v>
      </c>
      <c r="AJ47" s="4036" t="s">
        <v>2824</v>
      </c>
      <c r="AK47" s="1162" t="e">
        <f t="shared" ref="AK47:AK53" si="26">CB47&amp;CC47&amp;CD47&amp;CE47&amp;CF47</f>
        <v>#VALUE!</v>
      </c>
      <c r="AL47" s="1058"/>
      <c r="AM47" s="1058"/>
      <c r="AN47" s="1058"/>
      <c r="AO47" s="1058"/>
      <c r="AP47" s="1058"/>
      <c r="AQ47" s="1058"/>
      <c r="AR47" s="1058"/>
      <c r="AS47" s="1058"/>
      <c r="AT47" s="1058"/>
      <c r="AU47" s="94"/>
      <c r="AV47" s="94"/>
      <c r="BV47" s="79"/>
      <c r="BW47" s="79"/>
      <c r="BX47" s="79"/>
      <c r="CB47" s="1031" t="e">
        <f t="shared" si="24"/>
        <v>#VALUE!</v>
      </c>
      <c r="CC47" s="1031" t="str">
        <f t="shared" si="14"/>
        <v xml:space="preserve">* Las actividades de usuarios en situación de discapacidad NO DEBEN superar el total. </v>
      </c>
      <c r="CD47" s="1031" t="str">
        <f t="shared" si="20"/>
        <v xml:space="preserve">* Las Embarazadas NO DEBEN ser mayor al total de mujeres. </v>
      </c>
      <c r="CE47" s="1031" t="str">
        <f t="shared" si="15"/>
        <v xml:space="preserve">* La Población SENAME NO DEBE ser mayor al Total. </v>
      </c>
      <c r="CF47" s="1031" t="str">
        <f t="shared" si="16"/>
        <v xml:space="preserve">* La Población Migrante NO DEBE ser mayor al Total. </v>
      </c>
      <c r="CI47" s="1163" t="e">
        <f t="shared" si="25"/>
        <v>#VALUE!</v>
      </c>
      <c r="CJ47" s="1163">
        <f t="shared" si="17"/>
        <v>1</v>
      </c>
      <c r="CK47" s="1163">
        <f t="shared" si="21"/>
        <v>1</v>
      </c>
      <c r="CL47" s="1163">
        <f t="shared" si="18"/>
        <v>1</v>
      </c>
      <c r="CM47" s="1163">
        <f t="shared" si="19"/>
        <v>1</v>
      </c>
      <c r="CN47" s="1020"/>
      <c r="CO47" s="1020"/>
    </row>
    <row r="48" spans="1:93" ht="16.350000000000001" customHeight="1" x14ac:dyDescent="0.2">
      <c r="A48" s="3009" t="s">
        <v>3581</v>
      </c>
      <c r="B48" s="6040" t="s">
        <v>1340</v>
      </c>
      <c r="C48" s="6042"/>
      <c r="D48" s="4037">
        <v>0</v>
      </c>
      <c r="E48" s="4038" t="s">
        <v>2777</v>
      </c>
      <c r="F48" s="4039" t="s">
        <v>2778</v>
      </c>
      <c r="G48" s="4003" t="s">
        <v>2779</v>
      </c>
      <c r="H48" s="4004" t="s">
        <v>2780</v>
      </c>
      <c r="I48" s="4005" t="s">
        <v>2781</v>
      </c>
      <c r="J48" s="4004" t="s">
        <v>2782</v>
      </c>
      <c r="K48" s="4006" t="s">
        <v>2783</v>
      </c>
      <c r="L48" s="4004" t="s">
        <v>2784</v>
      </c>
      <c r="M48" s="4005" t="s">
        <v>2785</v>
      </c>
      <c r="N48" s="4004" t="s">
        <v>2786</v>
      </c>
      <c r="O48" s="4005" t="s">
        <v>2787</v>
      </c>
      <c r="P48" s="4004" t="s">
        <v>2788</v>
      </c>
      <c r="Q48" s="4005" t="s">
        <v>2789</v>
      </c>
      <c r="R48" s="4004" t="s">
        <v>2790</v>
      </c>
      <c r="S48" s="4007" t="s">
        <v>2791</v>
      </c>
      <c r="T48" s="4004" t="s">
        <v>2792</v>
      </c>
      <c r="U48" s="4007" t="s">
        <v>2793</v>
      </c>
      <c r="V48" s="4004" t="s">
        <v>2794</v>
      </c>
      <c r="W48" s="4007" t="s">
        <v>2795</v>
      </c>
      <c r="X48" s="4004" t="s">
        <v>2796</v>
      </c>
      <c r="Y48" s="4007" t="s">
        <v>2797</v>
      </c>
      <c r="Z48" s="4004" t="s">
        <v>2798</v>
      </c>
      <c r="AA48" s="4007" t="s">
        <v>2799</v>
      </c>
      <c r="AB48" s="4004" t="s">
        <v>2800</v>
      </c>
      <c r="AC48" s="4007" t="s">
        <v>2801</v>
      </c>
      <c r="AD48" s="4006" t="s">
        <v>2817</v>
      </c>
      <c r="AE48" s="4040" t="s">
        <v>2818</v>
      </c>
      <c r="AF48" s="4041" t="s">
        <v>2819</v>
      </c>
      <c r="AG48" s="4005" t="s">
        <v>2821</v>
      </c>
      <c r="AH48" s="4005" t="s">
        <v>2822</v>
      </c>
      <c r="AI48" s="4005" t="s">
        <v>2823</v>
      </c>
      <c r="AJ48" s="4005" t="s">
        <v>2824</v>
      </c>
      <c r="AK48" s="1162" t="e">
        <f t="shared" si="26"/>
        <v>#VALUE!</v>
      </c>
      <c r="AL48" s="1058"/>
      <c r="AM48" s="1037"/>
      <c r="AN48" s="1037"/>
      <c r="AO48" s="1037"/>
      <c r="AP48" s="1037"/>
      <c r="AQ48" s="1037"/>
      <c r="AR48" s="1037"/>
      <c r="AS48" s="1037"/>
      <c r="AT48" s="1037"/>
      <c r="AU48" s="94"/>
      <c r="AV48" s="94"/>
      <c r="BV48" s="79"/>
      <c r="BW48" s="79"/>
      <c r="BX48" s="79"/>
      <c r="CB48" s="1031" t="e">
        <f t="shared" si="24"/>
        <v>#VALUE!</v>
      </c>
      <c r="CC48" s="1031" t="str">
        <f t="shared" si="14"/>
        <v xml:space="preserve">* Las actividades de usuarios en situación de discapacidad NO DEBEN superar el total. </v>
      </c>
      <c r="CD48" s="1031" t="str">
        <f t="shared" si="20"/>
        <v xml:space="preserve">* Las Embarazadas NO DEBEN ser mayor al total de mujeres. </v>
      </c>
      <c r="CE48" s="1031" t="str">
        <f t="shared" si="15"/>
        <v xml:space="preserve">* La Población SENAME NO DEBE ser mayor al Total. </v>
      </c>
      <c r="CF48" s="1031" t="str">
        <f t="shared" si="16"/>
        <v xml:space="preserve">* La Población Migrante NO DEBE ser mayor al Total. </v>
      </c>
      <c r="CI48" s="1163" t="e">
        <f t="shared" si="25"/>
        <v>#VALUE!</v>
      </c>
      <c r="CJ48" s="1163">
        <f t="shared" si="17"/>
        <v>1</v>
      </c>
      <c r="CK48" s="1163">
        <f t="shared" si="21"/>
        <v>1</v>
      </c>
      <c r="CL48" s="1163">
        <f t="shared" si="18"/>
        <v>1</v>
      </c>
      <c r="CM48" s="1163">
        <f t="shared" si="19"/>
        <v>1</v>
      </c>
      <c r="CN48" s="1020"/>
      <c r="CO48" s="1020"/>
    </row>
    <row r="49" spans="1:93" ht="16.350000000000001" customHeight="1" x14ac:dyDescent="0.2">
      <c r="A49" s="3009" t="s">
        <v>3582</v>
      </c>
      <c r="B49" s="6040"/>
      <c r="C49" s="6042"/>
      <c r="D49" s="3935" t="s">
        <v>619</v>
      </c>
      <c r="E49" s="3950" t="s">
        <v>2777</v>
      </c>
      <c r="F49" s="729" t="s">
        <v>2778</v>
      </c>
      <c r="G49" s="3940" t="s">
        <v>2779</v>
      </c>
      <c r="H49" s="4008" t="s">
        <v>2780</v>
      </c>
      <c r="I49" s="4013" t="s">
        <v>2781</v>
      </c>
      <c r="J49" s="4008" t="s">
        <v>2782</v>
      </c>
      <c r="K49" s="4042" t="s">
        <v>2783</v>
      </c>
      <c r="L49" s="4008" t="s">
        <v>2784</v>
      </c>
      <c r="M49" s="4013" t="s">
        <v>2785</v>
      </c>
      <c r="N49" s="4008" t="s">
        <v>2786</v>
      </c>
      <c r="O49" s="4013" t="s">
        <v>2787</v>
      </c>
      <c r="P49" s="4008" t="s">
        <v>2788</v>
      </c>
      <c r="Q49" s="4013" t="s">
        <v>2789</v>
      </c>
      <c r="R49" s="4008" t="s">
        <v>2790</v>
      </c>
      <c r="S49" s="4009" t="s">
        <v>2791</v>
      </c>
      <c r="T49" s="4008" t="s">
        <v>2792</v>
      </c>
      <c r="U49" s="4009" t="s">
        <v>2793</v>
      </c>
      <c r="V49" s="4008" t="s">
        <v>2794</v>
      </c>
      <c r="W49" s="4009" t="s">
        <v>2795</v>
      </c>
      <c r="X49" s="4008" t="s">
        <v>2796</v>
      </c>
      <c r="Y49" s="4009" t="s">
        <v>2797</v>
      </c>
      <c r="Z49" s="4008" t="s">
        <v>2798</v>
      </c>
      <c r="AA49" s="4009" t="s">
        <v>2799</v>
      </c>
      <c r="AB49" s="4008" t="s">
        <v>2800</v>
      </c>
      <c r="AC49" s="4009" t="s">
        <v>2801</v>
      </c>
      <c r="AD49" s="4042" t="s">
        <v>2817</v>
      </c>
      <c r="AE49" s="4012" t="s">
        <v>2818</v>
      </c>
      <c r="AF49" s="4043" t="s">
        <v>2819</v>
      </c>
      <c r="AG49" s="4013" t="s">
        <v>2821</v>
      </c>
      <c r="AH49" s="4013" t="s">
        <v>2822</v>
      </c>
      <c r="AI49" s="4013" t="s">
        <v>2823</v>
      </c>
      <c r="AJ49" s="4013" t="s">
        <v>2824</v>
      </c>
      <c r="AK49" s="1162" t="e">
        <f t="shared" si="26"/>
        <v>#VALUE!</v>
      </c>
      <c r="AL49" s="1058"/>
      <c r="AM49" s="1058"/>
      <c r="AN49" s="1058"/>
      <c r="AO49" s="1058"/>
      <c r="AP49" s="1058"/>
      <c r="AQ49" s="1058"/>
      <c r="AR49" s="1058"/>
      <c r="AS49" s="1058"/>
      <c r="AT49" s="1058"/>
      <c r="AU49" s="94"/>
      <c r="AV49" s="94"/>
      <c r="BV49" s="79"/>
      <c r="BW49" s="79"/>
      <c r="BX49" s="79"/>
      <c r="CB49" s="1031" t="e">
        <f t="shared" si="24"/>
        <v>#VALUE!</v>
      </c>
      <c r="CC49" s="1031" t="str">
        <f t="shared" si="14"/>
        <v xml:space="preserve">* Las actividades de usuarios en situación de discapacidad NO DEBEN superar el total. </v>
      </c>
      <c r="CD49" s="1031" t="str">
        <f t="shared" si="20"/>
        <v xml:space="preserve">* Las Embarazadas NO DEBEN ser mayor al total de mujeres. </v>
      </c>
      <c r="CE49" s="1031" t="str">
        <f t="shared" si="15"/>
        <v xml:space="preserve">* La Población SENAME NO DEBE ser mayor al Total. </v>
      </c>
      <c r="CF49" s="1031" t="str">
        <f t="shared" si="16"/>
        <v xml:space="preserve">* La Población Migrante NO DEBE ser mayor al Total. </v>
      </c>
      <c r="CI49" s="1163" t="e">
        <f t="shared" si="25"/>
        <v>#VALUE!</v>
      </c>
      <c r="CJ49" s="1163">
        <f t="shared" si="17"/>
        <v>1</v>
      </c>
      <c r="CK49" s="1163">
        <f t="shared" si="21"/>
        <v>1</v>
      </c>
      <c r="CL49" s="1163">
        <f t="shared" si="18"/>
        <v>1</v>
      </c>
      <c r="CM49" s="1163">
        <f t="shared" si="19"/>
        <v>1</v>
      </c>
      <c r="CN49" s="1020"/>
      <c r="CO49" s="1020"/>
    </row>
    <row r="50" spans="1:93" ht="16.350000000000001" customHeight="1" x14ac:dyDescent="0.2">
      <c r="A50" s="3009" t="s">
        <v>3583</v>
      </c>
      <c r="B50" s="6040"/>
      <c r="C50" s="6042"/>
      <c r="D50" s="3935" t="s">
        <v>620</v>
      </c>
      <c r="E50" s="3950" t="s">
        <v>2777</v>
      </c>
      <c r="F50" s="729" t="s">
        <v>2778</v>
      </c>
      <c r="G50" s="3940" t="s">
        <v>2779</v>
      </c>
      <c r="H50" s="4008" t="s">
        <v>2780</v>
      </c>
      <c r="I50" s="4013" t="s">
        <v>2781</v>
      </c>
      <c r="J50" s="4008" t="s">
        <v>2782</v>
      </c>
      <c r="K50" s="4042" t="s">
        <v>2783</v>
      </c>
      <c r="L50" s="4008" t="s">
        <v>2784</v>
      </c>
      <c r="M50" s="4013" t="s">
        <v>2785</v>
      </c>
      <c r="N50" s="4008" t="s">
        <v>2786</v>
      </c>
      <c r="O50" s="4013" t="s">
        <v>2787</v>
      </c>
      <c r="P50" s="4008" t="s">
        <v>2788</v>
      </c>
      <c r="Q50" s="4013" t="s">
        <v>2789</v>
      </c>
      <c r="R50" s="4008" t="s">
        <v>2790</v>
      </c>
      <c r="S50" s="4009" t="s">
        <v>2791</v>
      </c>
      <c r="T50" s="4008" t="s">
        <v>2792</v>
      </c>
      <c r="U50" s="4009" t="s">
        <v>2793</v>
      </c>
      <c r="V50" s="4008" t="s">
        <v>2794</v>
      </c>
      <c r="W50" s="4009" t="s">
        <v>2795</v>
      </c>
      <c r="X50" s="4008" t="s">
        <v>2796</v>
      </c>
      <c r="Y50" s="4009" t="s">
        <v>2797</v>
      </c>
      <c r="Z50" s="4008" t="s">
        <v>2798</v>
      </c>
      <c r="AA50" s="4009" t="s">
        <v>2799</v>
      </c>
      <c r="AB50" s="4008" t="s">
        <v>2800</v>
      </c>
      <c r="AC50" s="4009" t="s">
        <v>2801</v>
      </c>
      <c r="AD50" s="4042" t="s">
        <v>2817</v>
      </c>
      <c r="AE50" s="4012" t="s">
        <v>2818</v>
      </c>
      <c r="AF50" s="4043" t="s">
        <v>2819</v>
      </c>
      <c r="AG50" s="4013" t="s">
        <v>2821</v>
      </c>
      <c r="AH50" s="4013" t="s">
        <v>2822</v>
      </c>
      <c r="AI50" s="4013" t="s">
        <v>2823</v>
      </c>
      <c r="AJ50" s="4013" t="s">
        <v>2824</v>
      </c>
      <c r="AK50" s="1162" t="e">
        <f t="shared" si="26"/>
        <v>#VALUE!</v>
      </c>
      <c r="AL50" s="1058"/>
      <c r="AM50" s="1058"/>
      <c r="AN50" s="1058"/>
      <c r="AO50" s="1058"/>
      <c r="AP50" s="1058"/>
      <c r="AQ50" s="1058"/>
      <c r="AR50" s="1058"/>
      <c r="AS50" s="1058"/>
      <c r="AT50" s="1058"/>
      <c r="AU50" s="94"/>
      <c r="AV50" s="94"/>
      <c r="BV50" s="79"/>
      <c r="BW50" s="79"/>
      <c r="BX50" s="79"/>
      <c r="CB50" s="1031" t="e">
        <f t="shared" si="24"/>
        <v>#VALUE!</v>
      </c>
      <c r="CC50" s="1031" t="str">
        <f t="shared" si="14"/>
        <v xml:space="preserve">* Las actividades de usuarios en situación de discapacidad NO DEBEN superar el total. </v>
      </c>
      <c r="CD50" s="1031" t="str">
        <f t="shared" si="20"/>
        <v xml:space="preserve">* Las Embarazadas NO DEBEN ser mayor al total de mujeres. </v>
      </c>
      <c r="CE50" s="1031" t="str">
        <f t="shared" si="15"/>
        <v xml:space="preserve">* La Población SENAME NO DEBE ser mayor al Total. </v>
      </c>
      <c r="CF50" s="1031" t="str">
        <f t="shared" si="16"/>
        <v xml:space="preserve">* La Población Migrante NO DEBE ser mayor al Total. </v>
      </c>
      <c r="CI50" s="1163" t="e">
        <f t="shared" si="25"/>
        <v>#VALUE!</v>
      </c>
      <c r="CJ50" s="1163">
        <f t="shared" si="17"/>
        <v>1</v>
      </c>
      <c r="CK50" s="1163">
        <f t="shared" si="21"/>
        <v>1</v>
      </c>
      <c r="CL50" s="1163">
        <f t="shared" si="18"/>
        <v>1</v>
      </c>
      <c r="CM50" s="1163">
        <f t="shared" si="19"/>
        <v>1</v>
      </c>
      <c r="CN50" s="1020"/>
      <c r="CO50" s="1020"/>
    </row>
    <row r="51" spans="1:93" ht="16.350000000000001" customHeight="1" x14ac:dyDescent="0.2">
      <c r="A51" s="3009" t="s">
        <v>3584</v>
      </c>
      <c r="B51" s="6040"/>
      <c r="C51" s="6042"/>
      <c r="D51" s="3935" t="s">
        <v>621</v>
      </c>
      <c r="E51" s="3950" t="s">
        <v>2777</v>
      </c>
      <c r="F51" s="729" t="s">
        <v>2778</v>
      </c>
      <c r="G51" s="3940" t="s">
        <v>2779</v>
      </c>
      <c r="H51" s="4008" t="s">
        <v>2780</v>
      </c>
      <c r="I51" s="4013" t="s">
        <v>2781</v>
      </c>
      <c r="J51" s="4008" t="s">
        <v>2782</v>
      </c>
      <c r="K51" s="4042" t="s">
        <v>2783</v>
      </c>
      <c r="L51" s="4008" t="s">
        <v>2784</v>
      </c>
      <c r="M51" s="4013" t="s">
        <v>2785</v>
      </c>
      <c r="N51" s="4008" t="s">
        <v>2786</v>
      </c>
      <c r="O51" s="4013" t="s">
        <v>2787</v>
      </c>
      <c r="P51" s="4008" t="s">
        <v>2788</v>
      </c>
      <c r="Q51" s="4013" t="s">
        <v>2789</v>
      </c>
      <c r="R51" s="4008" t="s">
        <v>2790</v>
      </c>
      <c r="S51" s="4009" t="s">
        <v>2791</v>
      </c>
      <c r="T51" s="4008" t="s">
        <v>2792</v>
      </c>
      <c r="U51" s="4009" t="s">
        <v>2793</v>
      </c>
      <c r="V51" s="4008" t="s">
        <v>2794</v>
      </c>
      <c r="W51" s="4009" t="s">
        <v>2795</v>
      </c>
      <c r="X51" s="4008" t="s">
        <v>2796</v>
      </c>
      <c r="Y51" s="4009" t="s">
        <v>2797</v>
      </c>
      <c r="Z51" s="4008" t="s">
        <v>2798</v>
      </c>
      <c r="AA51" s="4009" t="s">
        <v>2799</v>
      </c>
      <c r="AB51" s="4008" t="s">
        <v>2800</v>
      </c>
      <c r="AC51" s="4009" t="s">
        <v>2801</v>
      </c>
      <c r="AD51" s="4042" t="s">
        <v>2817</v>
      </c>
      <c r="AE51" s="4012" t="s">
        <v>2818</v>
      </c>
      <c r="AF51" s="4043" t="s">
        <v>2819</v>
      </c>
      <c r="AG51" s="4013" t="s">
        <v>2821</v>
      </c>
      <c r="AH51" s="4013" t="s">
        <v>2822</v>
      </c>
      <c r="AI51" s="4013" t="s">
        <v>2823</v>
      </c>
      <c r="AJ51" s="4013" t="s">
        <v>2824</v>
      </c>
      <c r="AK51" s="1162" t="e">
        <f t="shared" si="26"/>
        <v>#VALUE!</v>
      </c>
      <c r="AL51" s="1058"/>
      <c r="AM51" s="1058"/>
      <c r="AN51" s="1058"/>
      <c r="AO51" s="1058"/>
      <c r="AP51" s="1058"/>
      <c r="AQ51" s="1058"/>
      <c r="AR51" s="1058"/>
      <c r="AS51" s="1058"/>
      <c r="AT51" s="1058"/>
      <c r="AU51" s="94"/>
      <c r="AV51" s="94"/>
      <c r="BV51" s="79"/>
      <c r="BW51" s="79"/>
      <c r="BX51" s="79"/>
      <c r="CB51" s="1031" t="e">
        <f t="shared" si="24"/>
        <v>#VALUE!</v>
      </c>
      <c r="CC51" s="1031" t="str">
        <f t="shared" si="14"/>
        <v xml:space="preserve">* Las actividades de usuarios en situación de discapacidad NO DEBEN superar el total. </v>
      </c>
      <c r="CD51" s="1031" t="str">
        <f t="shared" si="20"/>
        <v xml:space="preserve">* Las Embarazadas NO DEBEN ser mayor al total de mujeres. </v>
      </c>
      <c r="CE51" s="1031" t="str">
        <f t="shared" si="15"/>
        <v xml:space="preserve">* La Población SENAME NO DEBE ser mayor al Total. </v>
      </c>
      <c r="CF51" s="1031" t="str">
        <f t="shared" si="16"/>
        <v xml:space="preserve">* La Población Migrante NO DEBE ser mayor al Total. </v>
      </c>
      <c r="CI51" s="1163" t="e">
        <f t="shared" si="25"/>
        <v>#VALUE!</v>
      </c>
      <c r="CJ51" s="1163">
        <f t="shared" si="17"/>
        <v>1</v>
      </c>
      <c r="CK51" s="1163">
        <f t="shared" si="21"/>
        <v>1</v>
      </c>
      <c r="CL51" s="1163">
        <f t="shared" si="18"/>
        <v>1</v>
      </c>
      <c r="CM51" s="1163">
        <f t="shared" si="19"/>
        <v>1</v>
      </c>
      <c r="CN51" s="1020"/>
      <c r="CO51" s="1020"/>
    </row>
    <row r="52" spans="1:93" ht="16.350000000000001" customHeight="1" x14ac:dyDescent="0.2">
      <c r="A52" s="3009" t="s">
        <v>3585</v>
      </c>
      <c r="B52" s="6040"/>
      <c r="C52" s="6042"/>
      <c r="D52" s="4044" t="s">
        <v>622</v>
      </c>
      <c r="E52" s="4014" t="s">
        <v>2777</v>
      </c>
      <c r="F52" s="4015" t="s">
        <v>2778</v>
      </c>
      <c r="G52" s="3940" t="s">
        <v>2779</v>
      </c>
      <c r="H52" s="4045" t="s">
        <v>2780</v>
      </c>
      <c r="I52" s="4023" t="s">
        <v>2781</v>
      </c>
      <c r="J52" s="4045" t="s">
        <v>2782</v>
      </c>
      <c r="K52" s="4046" t="s">
        <v>2783</v>
      </c>
      <c r="L52" s="4045" t="s">
        <v>2784</v>
      </c>
      <c r="M52" s="4023" t="s">
        <v>2785</v>
      </c>
      <c r="N52" s="4045" t="s">
        <v>2786</v>
      </c>
      <c r="O52" s="4023" t="s">
        <v>2787</v>
      </c>
      <c r="P52" s="4045" t="s">
        <v>2788</v>
      </c>
      <c r="Q52" s="4023" t="s">
        <v>2789</v>
      </c>
      <c r="R52" s="4045" t="s">
        <v>2790</v>
      </c>
      <c r="S52" s="4047" t="s">
        <v>2791</v>
      </c>
      <c r="T52" s="4045" t="s">
        <v>2792</v>
      </c>
      <c r="U52" s="4047" t="s">
        <v>2793</v>
      </c>
      <c r="V52" s="4045" t="s">
        <v>2794</v>
      </c>
      <c r="W52" s="4047" t="s">
        <v>2795</v>
      </c>
      <c r="X52" s="4045" t="s">
        <v>2796</v>
      </c>
      <c r="Y52" s="4047" t="s">
        <v>2797</v>
      </c>
      <c r="Z52" s="4045" t="s">
        <v>2798</v>
      </c>
      <c r="AA52" s="4047" t="s">
        <v>2799</v>
      </c>
      <c r="AB52" s="4045" t="s">
        <v>2800</v>
      </c>
      <c r="AC52" s="4047" t="s">
        <v>2801</v>
      </c>
      <c r="AD52" s="4046" t="s">
        <v>2817</v>
      </c>
      <c r="AE52" s="4048" t="s">
        <v>2818</v>
      </c>
      <c r="AF52" s="4049" t="s">
        <v>2819</v>
      </c>
      <c r="AG52" s="4023" t="s">
        <v>2821</v>
      </c>
      <c r="AH52" s="4023" t="s">
        <v>2822</v>
      </c>
      <c r="AI52" s="4023" t="s">
        <v>2823</v>
      </c>
      <c r="AJ52" s="4023" t="s">
        <v>2824</v>
      </c>
      <c r="AK52" s="1162" t="e">
        <f t="shared" si="26"/>
        <v>#VALUE!</v>
      </c>
      <c r="AL52" s="1058"/>
      <c r="AM52" s="1058"/>
      <c r="AN52" s="1058"/>
      <c r="AO52" s="1058"/>
      <c r="AP52" s="1058"/>
      <c r="AQ52" s="1058"/>
      <c r="AR52" s="1058"/>
      <c r="AS52" s="1058"/>
      <c r="AT52" s="1058"/>
      <c r="AU52" s="94"/>
      <c r="AV52" s="94"/>
      <c r="BV52" s="79"/>
      <c r="BW52" s="79"/>
      <c r="BX52" s="79"/>
      <c r="CB52" s="1031" t="e">
        <f t="shared" si="24"/>
        <v>#VALUE!</v>
      </c>
      <c r="CC52" s="1031" t="str">
        <f t="shared" si="14"/>
        <v xml:space="preserve">* Las actividades de usuarios en situación de discapacidad NO DEBEN superar el total. </v>
      </c>
      <c r="CD52" s="1031" t="str">
        <f t="shared" si="20"/>
        <v xml:space="preserve">* Las Embarazadas NO DEBEN ser mayor al total de mujeres. </v>
      </c>
      <c r="CE52" s="1031" t="str">
        <f t="shared" si="15"/>
        <v xml:space="preserve">* La Población SENAME NO DEBE ser mayor al Total. </v>
      </c>
      <c r="CF52" s="1031" t="str">
        <f t="shared" si="16"/>
        <v xml:space="preserve">* La Población Migrante NO DEBE ser mayor al Total. </v>
      </c>
      <c r="CI52" s="1163" t="e">
        <f t="shared" si="25"/>
        <v>#VALUE!</v>
      </c>
      <c r="CJ52" s="1163">
        <f t="shared" si="17"/>
        <v>1</v>
      </c>
      <c r="CK52" s="1163">
        <f t="shared" si="21"/>
        <v>1</v>
      </c>
      <c r="CL52" s="1163">
        <f t="shared" si="18"/>
        <v>1</v>
      </c>
      <c r="CM52" s="1163">
        <f t="shared" si="19"/>
        <v>1</v>
      </c>
      <c r="CN52" s="1020"/>
      <c r="CO52" s="1020"/>
    </row>
    <row r="53" spans="1:93" ht="16.350000000000001" customHeight="1" x14ac:dyDescent="0.2">
      <c r="A53" s="3009" t="s">
        <v>3586</v>
      </c>
      <c r="B53" s="6040"/>
      <c r="C53" s="6042"/>
      <c r="D53" s="4044" t="s">
        <v>623</v>
      </c>
      <c r="E53" s="4014" t="s">
        <v>2777</v>
      </c>
      <c r="F53" s="4015" t="s">
        <v>2778</v>
      </c>
      <c r="G53" s="3940" t="s">
        <v>2779</v>
      </c>
      <c r="H53" s="4045" t="s">
        <v>2780</v>
      </c>
      <c r="I53" s="4023" t="s">
        <v>2781</v>
      </c>
      <c r="J53" s="4045" t="s">
        <v>2782</v>
      </c>
      <c r="K53" s="4046" t="s">
        <v>2783</v>
      </c>
      <c r="L53" s="4017" t="s">
        <v>2784</v>
      </c>
      <c r="M53" s="4023" t="s">
        <v>2785</v>
      </c>
      <c r="N53" s="4045" t="s">
        <v>2786</v>
      </c>
      <c r="O53" s="4023" t="s">
        <v>2787</v>
      </c>
      <c r="P53" s="4045" t="s">
        <v>2788</v>
      </c>
      <c r="Q53" s="4023" t="s">
        <v>2789</v>
      </c>
      <c r="R53" s="4045" t="s">
        <v>2790</v>
      </c>
      <c r="S53" s="4047" t="s">
        <v>2791</v>
      </c>
      <c r="T53" s="4045" t="s">
        <v>2792</v>
      </c>
      <c r="U53" s="4047" t="s">
        <v>2793</v>
      </c>
      <c r="V53" s="4045" t="s">
        <v>2794</v>
      </c>
      <c r="W53" s="4047" t="s">
        <v>2795</v>
      </c>
      <c r="X53" s="4045" t="s">
        <v>2796</v>
      </c>
      <c r="Y53" s="4047" t="s">
        <v>2797</v>
      </c>
      <c r="Z53" s="4045" t="s">
        <v>2798</v>
      </c>
      <c r="AA53" s="4047" t="s">
        <v>2799</v>
      </c>
      <c r="AB53" s="4045" t="s">
        <v>2800</v>
      </c>
      <c r="AC53" s="4047" t="s">
        <v>2801</v>
      </c>
      <c r="AD53" s="4046" t="s">
        <v>2817</v>
      </c>
      <c r="AE53" s="4048" t="s">
        <v>2818</v>
      </c>
      <c r="AF53" s="4050" t="s">
        <v>2819</v>
      </c>
      <c r="AG53" s="4023" t="s">
        <v>2821</v>
      </c>
      <c r="AH53" s="4023" t="s">
        <v>2822</v>
      </c>
      <c r="AI53" s="4023" t="s">
        <v>2823</v>
      </c>
      <c r="AJ53" s="4023" t="s">
        <v>2824</v>
      </c>
      <c r="AK53" s="1162" t="e">
        <f t="shared" si="26"/>
        <v>#VALUE!</v>
      </c>
      <c r="AL53" s="1058"/>
      <c r="AM53" s="1058"/>
      <c r="AN53" s="1058"/>
      <c r="AO53" s="1058"/>
      <c r="AP53" s="1058"/>
      <c r="AQ53" s="1058"/>
      <c r="AR53" s="1058"/>
      <c r="AS53" s="1058"/>
      <c r="AT53" s="1058"/>
      <c r="AU53" s="94"/>
      <c r="AV53" s="94"/>
      <c r="BV53" s="79"/>
      <c r="BW53" s="79"/>
      <c r="BX53" s="79"/>
      <c r="CB53" s="1031" t="e">
        <f t="shared" si="24"/>
        <v>#VALUE!</v>
      </c>
      <c r="CC53" s="1031" t="str">
        <f t="shared" si="14"/>
        <v xml:space="preserve">* Las actividades de usuarios en situación de discapacidad NO DEBEN superar el total. </v>
      </c>
      <c r="CD53" s="1031" t="str">
        <f t="shared" si="20"/>
        <v xml:space="preserve">* Las Embarazadas NO DEBEN ser mayor al total de mujeres. </v>
      </c>
      <c r="CE53" s="1031" t="str">
        <f t="shared" si="15"/>
        <v xml:space="preserve">* La Población SENAME NO DEBE ser mayor al Total. </v>
      </c>
      <c r="CF53" s="1031" t="str">
        <f t="shared" si="16"/>
        <v xml:space="preserve">* La Población Migrante NO DEBE ser mayor al Total. </v>
      </c>
      <c r="CI53" s="1163" t="e">
        <f t="shared" si="25"/>
        <v>#VALUE!</v>
      </c>
      <c r="CJ53" s="1163">
        <f t="shared" si="17"/>
        <v>1</v>
      </c>
      <c r="CK53" s="1163">
        <f t="shared" si="21"/>
        <v>1</v>
      </c>
      <c r="CL53" s="1163">
        <f t="shared" si="18"/>
        <v>1</v>
      </c>
      <c r="CM53" s="1163">
        <f t="shared" si="19"/>
        <v>1</v>
      </c>
      <c r="CN53" s="1020"/>
      <c r="CO53" s="1020"/>
    </row>
    <row r="54" spans="1:93" ht="16.350000000000001" customHeight="1" x14ac:dyDescent="0.2">
      <c r="A54" s="4661"/>
      <c r="B54" s="6043"/>
      <c r="C54" s="6045"/>
      <c r="D54" s="4051" t="s">
        <v>42</v>
      </c>
      <c r="E54" s="4052">
        <f t="shared" ref="E54:AI54" si="27">SUM(E48:E53)</f>
        <v>0</v>
      </c>
      <c r="F54" s="4053">
        <f>SUM(F48:F53)</f>
        <v>0</v>
      </c>
      <c r="G54" s="3959">
        <f t="shared" si="27"/>
        <v>0</v>
      </c>
      <c r="H54" s="3966">
        <f t="shared" si="27"/>
        <v>0</v>
      </c>
      <c r="I54" s="3959">
        <f t="shared" si="27"/>
        <v>0</v>
      </c>
      <c r="J54" s="3966">
        <f t="shared" si="27"/>
        <v>0</v>
      </c>
      <c r="K54" s="4054">
        <f t="shared" si="27"/>
        <v>0</v>
      </c>
      <c r="L54" s="3960">
        <f t="shared" si="27"/>
        <v>0</v>
      </c>
      <c r="M54" s="3959">
        <f t="shared" si="27"/>
        <v>0</v>
      </c>
      <c r="N54" s="3966">
        <f t="shared" si="27"/>
        <v>0</v>
      </c>
      <c r="O54" s="3959">
        <f t="shared" si="27"/>
        <v>0</v>
      </c>
      <c r="P54" s="3966">
        <f t="shared" si="27"/>
        <v>0</v>
      </c>
      <c r="Q54" s="3959">
        <f t="shared" si="27"/>
        <v>0</v>
      </c>
      <c r="R54" s="3966">
        <f t="shared" si="27"/>
        <v>0</v>
      </c>
      <c r="S54" s="4055">
        <f t="shared" si="27"/>
        <v>0</v>
      </c>
      <c r="T54" s="3966">
        <f t="shared" si="27"/>
        <v>0</v>
      </c>
      <c r="U54" s="4055">
        <f t="shared" si="27"/>
        <v>0</v>
      </c>
      <c r="V54" s="3966">
        <f t="shared" si="27"/>
        <v>0</v>
      </c>
      <c r="W54" s="4055">
        <f t="shared" si="27"/>
        <v>0</v>
      </c>
      <c r="X54" s="3966">
        <f>SUM(X48:X53)</f>
        <v>0</v>
      </c>
      <c r="Y54" s="4055">
        <f t="shared" si="27"/>
        <v>0</v>
      </c>
      <c r="Z54" s="3966">
        <f>SUM(Z48:Z53)</f>
        <v>0</v>
      </c>
      <c r="AA54" s="4055">
        <f t="shared" si="27"/>
        <v>0</v>
      </c>
      <c r="AB54" s="3966">
        <f t="shared" si="27"/>
        <v>0</v>
      </c>
      <c r="AC54" s="4055">
        <f t="shared" si="27"/>
        <v>0</v>
      </c>
      <c r="AD54" s="4026">
        <f t="shared" si="27"/>
        <v>0</v>
      </c>
      <c r="AE54" s="4056">
        <f t="shared" si="27"/>
        <v>0</v>
      </c>
      <c r="AF54" s="4057">
        <f t="shared" si="27"/>
        <v>0</v>
      </c>
      <c r="AG54" s="3959">
        <f>SUM(AG48:AG53)</f>
        <v>0</v>
      </c>
      <c r="AH54" s="3959">
        <f t="shared" si="27"/>
        <v>0</v>
      </c>
      <c r="AI54" s="3959">
        <f t="shared" si="27"/>
        <v>0</v>
      </c>
      <c r="AJ54" s="3959">
        <f>SUM(AJ48:AJ53)</f>
        <v>0</v>
      </c>
      <c r="AK54" s="1162"/>
      <c r="AL54" s="1037"/>
      <c r="AM54" s="1058"/>
      <c r="AN54" s="1058"/>
      <c r="AO54" s="1058"/>
      <c r="AP54" s="1058"/>
      <c r="AQ54" s="1058"/>
      <c r="AR54" s="1058"/>
      <c r="AS54" s="1058"/>
      <c r="AT54" s="1058"/>
      <c r="AU54" s="94"/>
      <c r="AV54" s="94"/>
      <c r="BV54" s="79"/>
      <c r="BW54" s="79"/>
      <c r="BX54" s="79"/>
      <c r="CB54" s="1031" t="str">
        <f t="shared" si="24"/>
        <v/>
      </c>
      <c r="CC54" s="1031" t="str">
        <f t="shared" si="14"/>
        <v/>
      </c>
      <c r="CD54" s="1031" t="str">
        <f t="shared" si="20"/>
        <v/>
      </c>
      <c r="CE54" s="1031" t="str">
        <f t="shared" si="15"/>
        <v/>
      </c>
      <c r="CF54" s="1031" t="str">
        <f t="shared" si="16"/>
        <v/>
      </c>
      <c r="CI54" s="1163">
        <f t="shared" si="25"/>
        <v>0</v>
      </c>
      <c r="CJ54" s="1163">
        <f t="shared" si="17"/>
        <v>0</v>
      </c>
      <c r="CK54" s="1163">
        <f t="shared" si="21"/>
        <v>0</v>
      </c>
      <c r="CL54" s="1163">
        <f t="shared" si="18"/>
        <v>0</v>
      </c>
      <c r="CM54" s="1163">
        <f t="shared" si="19"/>
        <v>0</v>
      </c>
      <c r="CN54" s="1020"/>
      <c r="CO54" s="1020"/>
    </row>
    <row r="55" spans="1:93" ht="16.350000000000001" customHeight="1" x14ac:dyDescent="0.25">
      <c r="A55" s="3009" t="s">
        <v>3587</v>
      </c>
      <c r="B55" s="6151" t="s">
        <v>1635</v>
      </c>
      <c r="C55" s="6152"/>
      <c r="D55" s="1225">
        <v>0</v>
      </c>
      <c r="E55" s="4014" t="s">
        <v>2777</v>
      </c>
      <c r="F55" s="4015" t="s">
        <v>2778</v>
      </c>
      <c r="G55" s="3940" t="s">
        <v>2779</v>
      </c>
      <c r="H55" s="4058" t="s">
        <v>2780</v>
      </c>
      <c r="I55" s="4059" t="s">
        <v>2781</v>
      </c>
      <c r="J55" s="4060" t="s">
        <v>2782</v>
      </c>
      <c r="K55" s="4059" t="s">
        <v>2783</v>
      </c>
      <c r="L55" s="4060" t="s">
        <v>2784</v>
      </c>
      <c r="M55" s="4059" t="s">
        <v>2785</v>
      </c>
      <c r="N55" s="4060" t="s">
        <v>2786</v>
      </c>
      <c r="O55" s="4059" t="s">
        <v>2787</v>
      </c>
      <c r="P55" s="4060" t="s">
        <v>2788</v>
      </c>
      <c r="Q55" s="4059" t="s">
        <v>2789</v>
      </c>
      <c r="R55" s="4060" t="s">
        <v>2790</v>
      </c>
      <c r="S55" s="4059" t="s">
        <v>2791</v>
      </c>
      <c r="T55" s="4061" t="s">
        <v>2792</v>
      </c>
      <c r="U55" s="4062" t="s">
        <v>2793</v>
      </c>
      <c r="V55" s="4061" t="s">
        <v>2794</v>
      </c>
      <c r="W55" s="4062" t="s">
        <v>2795</v>
      </c>
      <c r="X55" s="4061" t="s">
        <v>2796</v>
      </c>
      <c r="Y55" s="4062" t="s">
        <v>2797</v>
      </c>
      <c r="Z55" s="4045" t="s">
        <v>2798</v>
      </c>
      <c r="AA55" s="4047" t="s">
        <v>2799</v>
      </c>
      <c r="AB55" s="4045" t="s">
        <v>2800</v>
      </c>
      <c r="AC55" s="4047" t="s">
        <v>2801</v>
      </c>
      <c r="AD55" s="4045" t="s">
        <v>2817</v>
      </c>
      <c r="AE55" s="4063" t="s">
        <v>2818</v>
      </c>
      <c r="AF55" s="4023" t="s">
        <v>2819</v>
      </c>
      <c r="AG55" s="4023" t="s">
        <v>2821</v>
      </c>
      <c r="AH55" s="4064" t="s">
        <v>2822</v>
      </c>
      <c r="AI55" s="4023" t="s">
        <v>2823</v>
      </c>
      <c r="AJ55" s="4064" t="s">
        <v>2824</v>
      </c>
      <c r="AK55" s="1162" t="e">
        <f>CB55&amp;CC55&amp;CD55&amp;CE55&amp;CF55</f>
        <v>#VALUE!</v>
      </c>
      <c r="AL55" s="1037"/>
      <c r="AM55" s="1058"/>
      <c r="AN55" s="1058"/>
      <c r="AO55" s="1058"/>
      <c r="AP55" s="1058"/>
      <c r="AQ55" s="1058"/>
      <c r="AR55" s="1058"/>
      <c r="AS55" s="1058"/>
      <c r="AT55" s="1058"/>
      <c r="AU55" s="94"/>
      <c r="AV55" s="94"/>
      <c r="BV55" s="79"/>
      <c r="BW55" s="79"/>
      <c r="BX55" s="79"/>
      <c r="CB55" s="1031" t="e">
        <f t="shared" si="24"/>
        <v>#VALUE!</v>
      </c>
      <c r="CC55" s="1031" t="str">
        <f t="shared" si="14"/>
        <v xml:space="preserve">* Las actividades de usuarios en situación de discapacidad NO DEBEN superar el total. </v>
      </c>
      <c r="CD55" s="1031" t="str">
        <f t="shared" si="20"/>
        <v xml:space="preserve">* Las Embarazadas NO DEBEN ser mayor al total de mujeres. </v>
      </c>
      <c r="CE55" s="1031" t="str">
        <f t="shared" si="15"/>
        <v xml:space="preserve">* La Población SENAME NO DEBE ser mayor al Total. </v>
      </c>
      <c r="CF55" s="1031" t="str">
        <f t="shared" si="16"/>
        <v xml:space="preserve">* La Población Migrante NO DEBE ser mayor al Total. </v>
      </c>
      <c r="CI55" s="1163" t="e">
        <f t="shared" si="25"/>
        <v>#VALUE!</v>
      </c>
      <c r="CJ55" s="1163">
        <f t="shared" si="17"/>
        <v>1</v>
      </c>
      <c r="CK55" s="1163">
        <f t="shared" si="21"/>
        <v>1</v>
      </c>
      <c r="CL55" s="1163">
        <f t="shared" si="18"/>
        <v>1</v>
      </c>
      <c r="CM55" s="1163">
        <f t="shared" si="19"/>
        <v>1</v>
      </c>
      <c r="CN55" s="1020"/>
      <c r="CO55" s="1020"/>
    </row>
    <row r="56" spans="1:93" ht="16.350000000000001" customHeight="1" x14ac:dyDescent="0.25">
      <c r="A56" s="3009" t="s">
        <v>3588</v>
      </c>
      <c r="B56" s="5215"/>
      <c r="C56" s="5216"/>
      <c r="D56" s="1225" t="s">
        <v>1564</v>
      </c>
      <c r="E56" s="4014" t="s">
        <v>2777</v>
      </c>
      <c r="F56" s="4015" t="s">
        <v>2778</v>
      </c>
      <c r="G56" s="3940" t="s">
        <v>2779</v>
      </c>
      <c r="H56" s="1107" t="s">
        <v>2780</v>
      </c>
      <c r="I56" s="1108" t="s">
        <v>2781</v>
      </c>
      <c r="J56" s="1107" t="s">
        <v>2782</v>
      </c>
      <c r="K56" s="1108" t="s">
        <v>2783</v>
      </c>
      <c r="L56" s="1107" t="s">
        <v>2784</v>
      </c>
      <c r="M56" s="1108" t="s">
        <v>2785</v>
      </c>
      <c r="N56" s="1107" t="s">
        <v>2786</v>
      </c>
      <c r="O56" s="1108" t="s">
        <v>2787</v>
      </c>
      <c r="P56" s="1107" t="s">
        <v>2788</v>
      </c>
      <c r="Q56" s="1108" t="s">
        <v>2789</v>
      </c>
      <c r="R56" s="1107" t="s">
        <v>2790</v>
      </c>
      <c r="S56" s="1108" t="s">
        <v>2791</v>
      </c>
      <c r="T56" s="4061" t="s">
        <v>2792</v>
      </c>
      <c r="U56" s="4062" t="s">
        <v>2793</v>
      </c>
      <c r="V56" s="4061" t="s">
        <v>2794</v>
      </c>
      <c r="W56" s="4062" t="s">
        <v>2795</v>
      </c>
      <c r="X56" s="4061" t="s">
        <v>2796</v>
      </c>
      <c r="Y56" s="4062" t="s">
        <v>2797</v>
      </c>
      <c r="Z56" s="4045" t="s">
        <v>2798</v>
      </c>
      <c r="AA56" s="4047" t="s">
        <v>2799</v>
      </c>
      <c r="AB56" s="4045" t="s">
        <v>2800</v>
      </c>
      <c r="AC56" s="4047" t="s">
        <v>2801</v>
      </c>
      <c r="AD56" s="4045" t="s">
        <v>2817</v>
      </c>
      <c r="AE56" s="4048" t="s">
        <v>2818</v>
      </c>
      <c r="AF56" s="4023" t="s">
        <v>2819</v>
      </c>
      <c r="AG56" s="4023" t="s">
        <v>2821</v>
      </c>
      <c r="AH56" s="4065" t="s">
        <v>2822</v>
      </c>
      <c r="AI56" s="4023" t="s">
        <v>2823</v>
      </c>
      <c r="AJ56" s="4065" t="s">
        <v>2824</v>
      </c>
      <c r="AK56" s="1162" t="e">
        <f>CB56&amp;CC56&amp;CD56&amp;CE56&amp;CF56</f>
        <v>#VALUE!</v>
      </c>
      <c r="AL56" s="1037"/>
      <c r="AM56" s="1037"/>
      <c r="AN56" s="1037"/>
      <c r="AO56" s="1037"/>
      <c r="AP56" s="1037"/>
      <c r="AQ56" s="1037"/>
      <c r="AR56" s="1037"/>
      <c r="AS56" s="1037"/>
      <c r="AT56" s="1037"/>
      <c r="AU56" s="94"/>
      <c r="AV56" s="94"/>
      <c r="BV56" s="79"/>
      <c r="BW56" s="79"/>
      <c r="BX56" s="79"/>
      <c r="CB56" s="1031" t="e">
        <f t="shared" si="24"/>
        <v>#VALUE!</v>
      </c>
      <c r="CC56" s="1031" t="str">
        <f t="shared" si="14"/>
        <v xml:space="preserve">* Las actividades de usuarios en situación de discapacidad NO DEBEN superar el total. </v>
      </c>
      <c r="CD56" s="1031" t="str">
        <f t="shared" si="20"/>
        <v xml:space="preserve">* Las Embarazadas NO DEBEN ser mayor al total de mujeres. </v>
      </c>
      <c r="CE56" s="1031" t="str">
        <f t="shared" si="15"/>
        <v xml:space="preserve">* La Población SENAME NO DEBE ser mayor al Total. </v>
      </c>
      <c r="CF56" s="1031" t="str">
        <f t="shared" si="16"/>
        <v xml:space="preserve">* La Población Migrante NO DEBE ser mayor al Total. </v>
      </c>
      <c r="CI56" s="1163" t="e">
        <f t="shared" si="25"/>
        <v>#VALUE!</v>
      </c>
      <c r="CJ56" s="1163">
        <f t="shared" si="17"/>
        <v>1</v>
      </c>
      <c r="CK56" s="1163">
        <f t="shared" si="21"/>
        <v>1</v>
      </c>
      <c r="CL56" s="1163">
        <f t="shared" si="18"/>
        <v>1</v>
      </c>
      <c r="CM56" s="1163">
        <f t="shared" si="19"/>
        <v>1</v>
      </c>
      <c r="CN56" s="1020"/>
      <c r="CO56" s="1020"/>
    </row>
    <row r="57" spans="1:93" ht="16.350000000000001" customHeight="1" x14ac:dyDescent="0.25">
      <c r="A57" s="3009" t="s">
        <v>3589</v>
      </c>
      <c r="B57" s="5215"/>
      <c r="C57" s="5216"/>
      <c r="D57" s="4066" t="s">
        <v>1565</v>
      </c>
      <c r="E57" s="4014" t="s">
        <v>2777</v>
      </c>
      <c r="F57" s="4015" t="s">
        <v>2778</v>
      </c>
      <c r="G57" s="3940" t="s">
        <v>2779</v>
      </c>
      <c r="H57" s="1107" t="s">
        <v>2780</v>
      </c>
      <c r="I57" s="1108" t="s">
        <v>2781</v>
      </c>
      <c r="J57" s="1107" t="s">
        <v>2782</v>
      </c>
      <c r="K57" s="1108" t="s">
        <v>2783</v>
      </c>
      <c r="L57" s="1107" t="s">
        <v>2784</v>
      </c>
      <c r="M57" s="1108" t="s">
        <v>2785</v>
      </c>
      <c r="N57" s="1107" t="s">
        <v>2786</v>
      </c>
      <c r="O57" s="1108" t="s">
        <v>2787</v>
      </c>
      <c r="P57" s="1107" t="s">
        <v>2788</v>
      </c>
      <c r="Q57" s="1108" t="s">
        <v>2789</v>
      </c>
      <c r="R57" s="1107" t="s">
        <v>2790</v>
      </c>
      <c r="S57" s="1108" t="s">
        <v>2791</v>
      </c>
      <c r="T57" s="4061" t="s">
        <v>2792</v>
      </c>
      <c r="U57" s="4062" t="s">
        <v>2793</v>
      </c>
      <c r="V57" s="4061" t="s">
        <v>2794</v>
      </c>
      <c r="W57" s="4062" t="s">
        <v>2795</v>
      </c>
      <c r="X57" s="4061" t="s">
        <v>2796</v>
      </c>
      <c r="Y57" s="4062" t="s">
        <v>2797</v>
      </c>
      <c r="Z57" s="4045" t="s">
        <v>2798</v>
      </c>
      <c r="AA57" s="4047" t="s">
        <v>2799</v>
      </c>
      <c r="AB57" s="4045" t="s">
        <v>2800</v>
      </c>
      <c r="AC57" s="4047" t="s">
        <v>2801</v>
      </c>
      <c r="AD57" s="4045" t="s">
        <v>2817</v>
      </c>
      <c r="AE57" s="4048" t="s">
        <v>2818</v>
      </c>
      <c r="AF57" s="4023" t="s">
        <v>2819</v>
      </c>
      <c r="AG57" s="4023" t="s">
        <v>2821</v>
      </c>
      <c r="AH57" s="4065" t="s">
        <v>2822</v>
      </c>
      <c r="AI57" s="4023" t="s">
        <v>2823</v>
      </c>
      <c r="AJ57" s="4065" t="s">
        <v>2824</v>
      </c>
      <c r="AK57" s="1162" t="e">
        <f>CB57&amp;CC57&amp;CD57&amp;CE57&amp;CF57</f>
        <v>#VALUE!</v>
      </c>
      <c r="AL57" s="1037"/>
      <c r="AM57" s="1037"/>
      <c r="AN57" s="1037"/>
      <c r="AO57" s="1037"/>
      <c r="AP57" s="1037"/>
      <c r="AQ57" s="1037"/>
      <c r="AR57" s="1037"/>
      <c r="AS57" s="1037"/>
      <c r="AT57" s="1037"/>
      <c r="AU57" s="94"/>
      <c r="AV57" s="94"/>
      <c r="BV57" s="79"/>
      <c r="BW57" s="79"/>
      <c r="BX57" s="79"/>
      <c r="CB57" s="1031" t="e">
        <f t="shared" si="24"/>
        <v>#VALUE!</v>
      </c>
      <c r="CC57" s="1031" t="str">
        <f t="shared" si="14"/>
        <v xml:space="preserve">* Las actividades de usuarios en situación de discapacidad NO DEBEN superar el total. </v>
      </c>
      <c r="CD57" s="1031" t="str">
        <f t="shared" si="20"/>
        <v xml:space="preserve">* Las Embarazadas NO DEBEN ser mayor al total de mujeres. </v>
      </c>
      <c r="CE57" s="1031" t="str">
        <f t="shared" si="15"/>
        <v xml:space="preserve">* La Población SENAME NO DEBE ser mayor al Total. </v>
      </c>
      <c r="CF57" s="1031" t="str">
        <f t="shared" si="16"/>
        <v xml:space="preserve">* La Población Migrante NO DEBE ser mayor al Total. </v>
      </c>
      <c r="CI57" s="1163" t="e">
        <f t="shared" si="25"/>
        <v>#VALUE!</v>
      </c>
      <c r="CJ57" s="1163">
        <f t="shared" si="17"/>
        <v>1</v>
      </c>
      <c r="CK57" s="1163">
        <f t="shared" si="21"/>
        <v>1</v>
      </c>
      <c r="CL57" s="1163">
        <f t="shared" si="18"/>
        <v>1</v>
      </c>
      <c r="CM57" s="1163">
        <f t="shared" si="19"/>
        <v>1</v>
      </c>
      <c r="CN57" s="1020"/>
      <c r="CO57" s="1020"/>
    </row>
    <row r="58" spans="1:93" ht="16.350000000000001" customHeight="1" x14ac:dyDescent="0.2">
      <c r="A58" s="4661"/>
      <c r="B58" s="5936"/>
      <c r="C58" s="5229"/>
      <c r="D58" s="4067" t="s">
        <v>42</v>
      </c>
      <c r="E58" s="4052">
        <f>SUM(F58:G58)</f>
        <v>0</v>
      </c>
      <c r="F58" s="4053">
        <f>SUM(F55:F57)</f>
        <v>0</v>
      </c>
      <c r="G58" s="3959">
        <f>SUM(G55:G57)</f>
        <v>0</v>
      </c>
      <c r="H58" s="4068"/>
      <c r="I58" s="4069"/>
      <c r="J58" s="4068"/>
      <c r="K58" s="4069"/>
      <c r="L58" s="4068"/>
      <c r="M58" s="4069"/>
      <c r="N58" s="4068"/>
      <c r="O58" s="4069"/>
      <c r="P58" s="4068"/>
      <c r="Q58" s="4069"/>
      <c r="R58" s="4068"/>
      <c r="S58" s="4069"/>
      <c r="T58" s="4068"/>
      <c r="U58" s="4070"/>
      <c r="V58" s="4026">
        <f t="shared" ref="V58:AJ58" si="28">SUM(V55:V57)</f>
        <v>0</v>
      </c>
      <c r="W58" s="4026">
        <f t="shared" si="28"/>
        <v>0</v>
      </c>
      <c r="X58" s="4026">
        <f t="shared" si="28"/>
        <v>0</v>
      </c>
      <c r="Y58" s="4026">
        <f t="shared" si="28"/>
        <v>0</v>
      </c>
      <c r="Z58" s="4026">
        <f t="shared" si="28"/>
        <v>0</v>
      </c>
      <c r="AA58" s="3959">
        <f t="shared" si="28"/>
        <v>0</v>
      </c>
      <c r="AB58" s="3966">
        <f t="shared" si="28"/>
        <v>0</v>
      </c>
      <c r="AC58" s="3959">
        <f t="shared" si="28"/>
        <v>0</v>
      </c>
      <c r="AD58" s="3966">
        <f t="shared" si="28"/>
        <v>0</v>
      </c>
      <c r="AE58" s="4056">
        <f t="shared" si="28"/>
        <v>0</v>
      </c>
      <c r="AF58" s="3959">
        <f t="shared" si="28"/>
        <v>0</v>
      </c>
      <c r="AG58" s="3959">
        <f t="shared" si="28"/>
        <v>0</v>
      </c>
      <c r="AH58" s="4027">
        <f t="shared" si="28"/>
        <v>0</v>
      </c>
      <c r="AI58" s="3959">
        <f t="shared" si="28"/>
        <v>0</v>
      </c>
      <c r="AJ58" s="4027">
        <f t="shared" si="28"/>
        <v>0</v>
      </c>
      <c r="AK58" s="1162"/>
      <c r="AL58" s="1037"/>
      <c r="AM58" s="1037"/>
      <c r="AN58" s="1037"/>
      <c r="AO58" s="1037"/>
      <c r="AP58" s="1037"/>
      <c r="AQ58" s="1037"/>
      <c r="AR58" s="1037"/>
      <c r="AS58" s="1037"/>
      <c r="AT58" s="1037"/>
      <c r="AU58" s="94"/>
      <c r="AV58" s="94"/>
      <c r="BV58" s="79"/>
      <c r="BW58" s="79"/>
      <c r="BX58" s="79"/>
      <c r="CI58" s="1020"/>
      <c r="CJ58" s="1020"/>
      <c r="CK58" s="1020"/>
      <c r="CL58" s="1020"/>
      <c r="CM58" s="1020"/>
      <c r="CN58" s="1020"/>
      <c r="CO58" s="1020"/>
    </row>
    <row r="59" spans="1:93" ht="16.350000000000001" customHeight="1" x14ac:dyDescent="0.2">
      <c r="B59" s="85" t="s">
        <v>3714</v>
      </c>
      <c r="C59" s="509"/>
      <c r="D59" s="509"/>
      <c r="E59" s="510"/>
      <c r="F59" s="378"/>
      <c r="AI59" s="94"/>
      <c r="AJ59" s="94"/>
      <c r="AK59" s="94"/>
      <c r="AL59" s="94"/>
      <c r="AM59" s="1037"/>
      <c r="AN59" s="1037"/>
      <c r="AO59" s="1037"/>
      <c r="AP59" s="1037"/>
      <c r="AQ59" s="1037"/>
      <c r="AR59" s="1037"/>
      <c r="AS59" s="1037"/>
      <c r="AT59" s="1037"/>
      <c r="AU59" s="94"/>
      <c r="AV59" s="94"/>
      <c r="BV59" s="79"/>
      <c r="BW59" s="79"/>
      <c r="BX59" s="79"/>
      <c r="CB59" s="1031"/>
      <c r="CC59" s="1031"/>
      <c r="CD59" s="1031"/>
      <c r="CE59" s="1031"/>
      <c r="CF59" s="1031"/>
      <c r="CG59" s="1031"/>
      <c r="CH59" s="1031"/>
      <c r="CI59" s="1163"/>
      <c r="CJ59" s="1020"/>
      <c r="CK59" s="1020"/>
      <c r="CL59" s="1020"/>
      <c r="CM59" s="1020"/>
      <c r="CN59" s="1020"/>
      <c r="CO59" s="1020"/>
    </row>
    <row r="60" spans="1:93" ht="60.75" customHeight="1" x14ac:dyDescent="0.2">
      <c r="B60" s="6134" t="s">
        <v>130</v>
      </c>
      <c r="C60" s="6135"/>
      <c r="D60" s="6136"/>
      <c r="E60" s="4071" t="s">
        <v>42</v>
      </c>
      <c r="F60" s="4071" t="s">
        <v>1137</v>
      </c>
      <c r="G60" s="4072" t="s">
        <v>1964</v>
      </c>
      <c r="H60" s="4072" t="s">
        <v>2765</v>
      </c>
      <c r="I60" s="4072" t="s">
        <v>2008</v>
      </c>
      <c r="J60" s="4073" t="s">
        <v>23</v>
      </c>
      <c r="K60" s="94"/>
      <c r="L60" s="94"/>
      <c r="M60" s="94"/>
      <c r="N60" s="94"/>
      <c r="O60" s="94"/>
      <c r="AE60" s="94"/>
      <c r="AF60" s="94"/>
      <c r="AG60" s="94"/>
      <c r="AH60" s="94"/>
      <c r="AI60" s="94"/>
      <c r="AJ60" s="94"/>
      <c r="AK60" s="94"/>
      <c r="AL60" s="94"/>
      <c r="AM60" s="1037"/>
      <c r="AN60" s="1037"/>
      <c r="AO60" s="1037"/>
      <c r="AP60" s="1037"/>
      <c r="AQ60" s="1037"/>
      <c r="AR60" s="1037"/>
      <c r="AS60" s="1037"/>
      <c r="AT60" s="1037"/>
      <c r="AU60" s="94"/>
      <c r="AV60" s="94"/>
      <c r="BV60" s="79"/>
      <c r="BW60" s="79"/>
      <c r="BX60" s="79"/>
      <c r="CB60" s="1031"/>
      <c r="CC60" s="1031"/>
      <c r="CD60" s="1031"/>
      <c r="CE60" s="1031"/>
      <c r="CF60" s="1031"/>
      <c r="CG60" s="1031"/>
      <c r="CH60" s="1031"/>
      <c r="CI60" s="1163"/>
      <c r="CJ60" s="1020"/>
      <c r="CK60" s="1020"/>
      <c r="CL60" s="1020"/>
      <c r="CM60" s="1020"/>
      <c r="CN60" s="1020"/>
      <c r="CO60" s="1020"/>
    </row>
    <row r="61" spans="1:93" x14ac:dyDescent="0.2">
      <c r="A61" s="3009" t="s">
        <v>3590</v>
      </c>
      <c r="B61" s="6148" t="s">
        <v>1079</v>
      </c>
      <c r="C61" s="6149"/>
      <c r="D61" s="6150"/>
      <c r="E61" s="4074" t="s">
        <v>2777</v>
      </c>
      <c r="F61" s="4074" t="s">
        <v>2778</v>
      </c>
      <c r="G61" s="4075" t="s">
        <v>2779</v>
      </c>
      <c r="H61" s="4075" t="s">
        <v>2780</v>
      </c>
      <c r="I61" s="4075" t="s">
        <v>2781</v>
      </c>
      <c r="J61" s="4075" t="s">
        <v>2782</v>
      </c>
      <c r="K61" s="1162" t="str">
        <f t="shared" ref="K61:K71" si="29">CB61&amp;CC61&amp;CD61&amp;CE61&amp;CF61</f>
        <v xml:space="preserve">* Las Interconsultas de Gestantes NO DEBEN ser mayor al Total de Interconsultas. * Las Interconsultas de Pacientes de 60 años NO DEBEN ser mayor al Total de Interconsultas. * Las Interconsultas de Usuarios en situación de Discapacidad NO DEBEN ser mayor al Total de Interconsultas. * Las Interconsultas de Niños, Niñas, Adolescentes y Jóvenes Red SENAME NO DEBEN ser mayor al Total de Interconsultas. * Las Interconsultas de Migrantes NO DEBEN ser mayor al Total de Interconsultas. </v>
      </c>
      <c r="L61" s="1058"/>
      <c r="M61" s="1058"/>
      <c r="N61" s="1058"/>
      <c r="O61" s="94"/>
      <c r="AM61" s="94"/>
      <c r="AN61" s="94"/>
      <c r="AO61" s="94"/>
      <c r="AP61" s="94"/>
      <c r="AQ61" s="94"/>
      <c r="AR61" s="94"/>
      <c r="AS61" s="94"/>
      <c r="AT61" s="94"/>
      <c r="AU61" s="94"/>
      <c r="AV61" s="94"/>
      <c r="BV61" s="79"/>
      <c r="BW61" s="79"/>
      <c r="BX61" s="79"/>
      <c r="CB61" s="1031" t="str">
        <f t="shared" ref="CB61:CB71" si="30">IF(CI61=1,"* Las Interconsultas de Gestantes NO DEBEN ser mayor al Total de Interconsultas. ","")</f>
        <v xml:space="preserve">* Las Interconsultas de Gestantes NO DEBEN ser mayor al Total de Interconsultas. </v>
      </c>
      <c r="CC61" s="1031" t="str">
        <f t="shared" ref="CC61:CC71" si="31">IF(CJ61=1,"* Las Interconsultas de Pacientes de 60 años NO DEBEN ser mayor al Total de Interconsultas. ","")</f>
        <v xml:space="preserve">* Las Interconsultas de Pacientes de 60 años NO DEBEN ser mayor al Total de Interconsultas. </v>
      </c>
      <c r="CD61" s="1031" t="str">
        <f t="shared" ref="CD61:CD71" si="32">IF(CK61=1,"* Las Interconsultas de Usuarios en situación de Discapacidad NO DEBEN ser mayor al Total de Interconsultas. ","")</f>
        <v xml:space="preserve">* Las Interconsultas de Usuarios en situación de Discapacidad NO DEBEN ser mayor al Total de Interconsultas. </v>
      </c>
      <c r="CE61" s="1031" t="str">
        <f t="shared" ref="CE61:CE71" si="33">IF(CL61=1,"* Las Interconsultas de Niños, Niñas, Adolescentes y Jóvenes Red SENAME NO DEBEN ser mayor al Total de Interconsultas. ","")</f>
        <v xml:space="preserve">* Las Interconsultas de Niños, Niñas, Adolescentes y Jóvenes Red SENAME NO DEBEN ser mayor al Total de Interconsultas. </v>
      </c>
      <c r="CF61" s="1031" t="str">
        <f t="shared" ref="CF61:CF71" si="34">IF(CM61=1,"* Las Interconsultas de Migrantes NO DEBEN ser mayor al Total de Interconsultas. ","")</f>
        <v xml:space="preserve">* Las Interconsultas de Migrantes NO DEBEN ser mayor al Total de Interconsultas. </v>
      </c>
      <c r="CG61" s="1031"/>
      <c r="CH61" s="1031"/>
      <c r="CI61" s="1163">
        <f>IF($E61&lt;F61,1,0)</f>
        <v>1</v>
      </c>
      <c r="CJ61" s="1163">
        <f>IF($E61&lt;G61,1,0)</f>
        <v>1</v>
      </c>
      <c r="CK61" s="1163">
        <f>IF($E61&lt;H61,1,0)</f>
        <v>1</v>
      </c>
      <c r="CL61" s="1163">
        <f>IF($E61&lt;I61,1,0)</f>
        <v>1</v>
      </c>
      <c r="CM61" s="1163">
        <f>IF($E61&lt;J61,1,0)</f>
        <v>1</v>
      </c>
      <c r="CN61" s="1020"/>
      <c r="CO61" s="1020"/>
    </row>
    <row r="62" spans="1:93" x14ac:dyDescent="0.2">
      <c r="A62" s="3009" t="s">
        <v>3591</v>
      </c>
      <c r="B62" s="5103" t="s">
        <v>1080</v>
      </c>
      <c r="C62" s="6143" t="s">
        <v>1081</v>
      </c>
      <c r="D62" s="6144"/>
      <c r="E62" s="4076" t="s">
        <v>2777</v>
      </c>
      <c r="F62" s="4076" t="s">
        <v>2778</v>
      </c>
      <c r="G62" s="4077" t="s">
        <v>2779</v>
      </c>
      <c r="H62" s="4077" t="s">
        <v>2780</v>
      </c>
      <c r="I62" s="4077" t="s">
        <v>2781</v>
      </c>
      <c r="J62" s="4077" t="s">
        <v>2782</v>
      </c>
      <c r="K62" s="1162" t="str">
        <f t="shared" si="29"/>
        <v xml:space="preserve">* Las Interconsultas de Gestantes NO DEBEN ser mayor al Total de Interconsultas. * Las Interconsultas de Pacientes de 60 años NO DEBEN ser mayor al Total de Interconsultas. * Las Interconsultas de Usuarios en situación de Discapacidad NO DEBEN ser mayor al Total de Interconsultas. * Las Interconsultas de Niños, Niñas, Adolescentes y Jóvenes Red SENAME NO DEBEN ser mayor al Total de Interconsultas. * Las Interconsultas de Migrantes NO DEBEN ser mayor al Total de Interconsultas. </v>
      </c>
      <c r="L62" s="1058"/>
      <c r="M62" s="1058"/>
      <c r="N62" s="1058"/>
      <c r="O62" s="94"/>
      <c r="AM62" s="94"/>
      <c r="AN62" s="94"/>
      <c r="AO62" s="94"/>
      <c r="AP62" s="94"/>
      <c r="AQ62" s="94"/>
      <c r="AR62" s="94"/>
      <c r="BR62" s="79"/>
      <c r="BS62" s="79"/>
      <c r="BT62" s="79"/>
      <c r="BU62" s="891"/>
      <c r="BV62" s="891"/>
      <c r="BW62" s="891"/>
      <c r="CB62" s="1031" t="str">
        <f t="shared" si="30"/>
        <v xml:space="preserve">* Las Interconsultas de Gestantes NO DEBEN ser mayor al Total de Interconsultas. </v>
      </c>
      <c r="CC62" s="1031" t="str">
        <f t="shared" si="31"/>
        <v xml:space="preserve">* Las Interconsultas de Pacientes de 60 años NO DEBEN ser mayor al Total de Interconsultas. </v>
      </c>
      <c r="CD62" s="1031" t="str">
        <f t="shared" si="32"/>
        <v xml:space="preserve">* Las Interconsultas de Usuarios en situación de Discapacidad NO DEBEN ser mayor al Total de Interconsultas. </v>
      </c>
      <c r="CE62" s="1031" t="str">
        <f t="shared" si="33"/>
        <v xml:space="preserve">* Las Interconsultas de Niños, Niñas, Adolescentes y Jóvenes Red SENAME NO DEBEN ser mayor al Total de Interconsultas. </v>
      </c>
      <c r="CF62" s="1031" t="str">
        <f t="shared" si="34"/>
        <v xml:space="preserve">* Las Interconsultas de Migrantes NO DEBEN ser mayor al Total de Interconsultas. </v>
      </c>
      <c r="CG62" s="1031"/>
      <c r="CH62" s="1031"/>
      <c r="CI62" s="1163">
        <f t="shared" ref="CI62:CI71" si="35">IF(E62&lt;F62,1,0)</f>
        <v>1</v>
      </c>
      <c r="CJ62" s="1163">
        <f t="shared" ref="CJ62:CM71" si="36">IF($E62&lt;G62,1,0)</f>
        <v>1</v>
      </c>
      <c r="CK62" s="1163">
        <f t="shared" si="36"/>
        <v>1</v>
      </c>
      <c r="CL62" s="1163">
        <f t="shared" si="36"/>
        <v>1</v>
      </c>
      <c r="CM62" s="1163">
        <f t="shared" si="36"/>
        <v>1</v>
      </c>
      <c r="CN62" s="1020"/>
      <c r="CO62" s="1020"/>
    </row>
    <row r="63" spans="1:93" ht="16.350000000000001" customHeight="1" x14ac:dyDescent="0.2">
      <c r="A63" s="3009" t="s">
        <v>3592</v>
      </c>
      <c r="B63" s="5343"/>
      <c r="C63" s="6137" t="s">
        <v>1082</v>
      </c>
      <c r="D63" s="5315"/>
      <c r="E63" s="3091" t="s">
        <v>2777</v>
      </c>
      <c r="F63" s="3091" t="s">
        <v>2778</v>
      </c>
      <c r="G63" s="3092" t="s">
        <v>2779</v>
      </c>
      <c r="H63" s="3092" t="s">
        <v>2780</v>
      </c>
      <c r="I63" s="3092" t="s">
        <v>2781</v>
      </c>
      <c r="J63" s="3092" t="s">
        <v>2782</v>
      </c>
      <c r="K63" s="1162" t="str">
        <f t="shared" si="29"/>
        <v xml:space="preserve">* Las Interconsultas de Gestantes NO DEBEN ser mayor al Total de Interconsultas. * Las Interconsultas de Pacientes de 60 años NO DEBEN ser mayor al Total de Interconsultas. * Las Interconsultas de Usuarios en situación de Discapacidad NO DEBEN ser mayor al Total de Interconsultas. * Las Interconsultas de Niños, Niñas, Adolescentes y Jóvenes Red SENAME NO DEBEN ser mayor al Total de Interconsultas. * Las Interconsultas de Migrantes NO DEBEN ser mayor al Total de Interconsultas. </v>
      </c>
      <c r="L63" s="1058"/>
      <c r="M63" s="1058"/>
      <c r="N63" s="1058"/>
      <c r="O63" s="1058"/>
      <c r="P63" s="1058"/>
      <c r="Q63" s="1058"/>
      <c r="R63" s="1058"/>
      <c r="S63" s="94"/>
      <c r="BS63" s="79"/>
      <c r="BT63" s="79"/>
      <c r="BU63" s="891"/>
      <c r="BV63" s="891"/>
      <c r="BW63" s="891"/>
      <c r="CB63" s="1031" t="str">
        <f t="shared" si="30"/>
        <v xml:space="preserve">* Las Interconsultas de Gestantes NO DEBEN ser mayor al Total de Interconsultas. </v>
      </c>
      <c r="CC63" s="1031" t="str">
        <f t="shared" si="31"/>
        <v xml:space="preserve">* Las Interconsultas de Pacientes de 60 años NO DEBEN ser mayor al Total de Interconsultas. </v>
      </c>
      <c r="CD63" s="1031" t="str">
        <f t="shared" si="32"/>
        <v xml:space="preserve">* Las Interconsultas de Usuarios en situación de Discapacidad NO DEBEN ser mayor al Total de Interconsultas. </v>
      </c>
      <c r="CE63" s="1031" t="str">
        <f t="shared" si="33"/>
        <v xml:space="preserve">* Las Interconsultas de Niños, Niñas, Adolescentes y Jóvenes Red SENAME NO DEBEN ser mayor al Total de Interconsultas. </v>
      </c>
      <c r="CF63" s="1031" t="str">
        <f t="shared" si="34"/>
        <v xml:space="preserve">* Las Interconsultas de Migrantes NO DEBEN ser mayor al Total de Interconsultas. </v>
      </c>
      <c r="CG63" s="1031"/>
      <c r="CH63" s="1031"/>
      <c r="CI63" s="1163">
        <f t="shared" si="35"/>
        <v>1</v>
      </c>
      <c r="CJ63" s="1163">
        <f t="shared" si="36"/>
        <v>1</v>
      </c>
      <c r="CK63" s="1163">
        <f t="shared" si="36"/>
        <v>1</v>
      </c>
      <c r="CL63" s="1163">
        <f t="shared" si="36"/>
        <v>1</v>
      </c>
      <c r="CM63" s="1163">
        <f t="shared" si="36"/>
        <v>1</v>
      </c>
      <c r="CN63" s="1020"/>
      <c r="CO63" s="1020"/>
    </row>
    <row r="64" spans="1:93" ht="16.350000000000001" customHeight="1" x14ac:dyDescent="0.2">
      <c r="A64" s="3009" t="s">
        <v>3593</v>
      </c>
      <c r="B64" s="6142" t="s">
        <v>1083</v>
      </c>
      <c r="C64" s="6143"/>
      <c r="D64" s="6144"/>
      <c r="E64" s="3093" t="s">
        <v>2777</v>
      </c>
      <c r="F64" s="3093" t="s">
        <v>2778</v>
      </c>
      <c r="G64" s="3094" t="s">
        <v>2779</v>
      </c>
      <c r="H64" s="3094" t="s">
        <v>2780</v>
      </c>
      <c r="I64" s="3094" t="s">
        <v>2781</v>
      </c>
      <c r="J64" s="3094" t="s">
        <v>2782</v>
      </c>
      <c r="K64" s="1162" t="str">
        <f t="shared" si="29"/>
        <v xml:space="preserve">* Las Interconsultas de Gestantes NO DEBEN ser mayor al Total de Interconsultas. * Las Interconsultas de Pacientes de 60 años NO DEBEN ser mayor al Total de Interconsultas. * Las Interconsultas de Usuarios en situación de Discapacidad NO DEBEN ser mayor al Total de Interconsultas. * Las Interconsultas de Niños, Niñas, Adolescentes y Jóvenes Red SENAME NO DEBEN ser mayor al Total de Interconsultas. * Las Interconsultas de Migrantes NO DEBEN ser mayor al Total de Interconsultas. </v>
      </c>
      <c r="L64" s="1058"/>
      <c r="M64" s="1058"/>
      <c r="N64" s="1058"/>
      <c r="O64" s="1058"/>
      <c r="P64" s="1058"/>
      <c r="Q64" s="1058"/>
      <c r="R64" s="1058"/>
      <c r="S64" s="94"/>
      <c r="BS64" s="79"/>
      <c r="BT64" s="79"/>
      <c r="BU64" s="891"/>
      <c r="BV64" s="891"/>
      <c r="BW64" s="891"/>
      <c r="CB64" s="1031" t="str">
        <f t="shared" si="30"/>
        <v xml:space="preserve">* Las Interconsultas de Gestantes NO DEBEN ser mayor al Total de Interconsultas. </v>
      </c>
      <c r="CC64" s="1031" t="str">
        <f t="shared" si="31"/>
        <v xml:space="preserve">* Las Interconsultas de Pacientes de 60 años NO DEBEN ser mayor al Total de Interconsultas. </v>
      </c>
      <c r="CD64" s="1031" t="str">
        <f t="shared" si="32"/>
        <v xml:space="preserve">* Las Interconsultas de Usuarios en situación de Discapacidad NO DEBEN ser mayor al Total de Interconsultas. </v>
      </c>
      <c r="CE64" s="1031" t="str">
        <f t="shared" si="33"/>
        <v xml:space="preserve">* Las Interconsultas de Niños, Niñas, Adolescentes y Jóvenes Red SENAME NO DEBEN ser mayor al Total de Interconsultas. </v>
      </c>
      <c r="CF64" s="1031" t="str">
        <f t="shared" si="34"/>
        <v xml:space="preserve">* Las Interconsultas de Migrantes NO DEBEN ser mayor al Total de Interconsultas. </v>
      </c>
      <c r="CG64" s="1031"/>
      <c r="CH64" s="1031"/>
      <c r="CI64" s="1163">
        <f t="shared" si="35"/>
        <v>1</v>
      </c>
      <c r="CJ64" s="1163">
        <f t="shared" si="36"/>
        <v>1</v>
      </c>
      <c r="CK64" s="1163">
        <f t="shared" si="36"/>
        <v>1</v>
      </c>
      <c r="CL64" s="1163">
        <f t="shared" si="36"/>
        <v>1</v>
      </c>
      <c r="CM64" s="1163">
        <f t="shared" si="36"/>
        <v>1</v>
      </c>
      <c r="CN64" s="1020"/>
      <c r="CO64" s="1020"/>
    </row>
    <row r="65" spans="1:93" ht="16.350000000000001" customHeight="1" x14ac:dyDescent="0.2">
      <c r="A65" s="3009" t="s">
        <v>3594</v>
      </c>
      <c r="B65" s="5313" t="s">
        <v>1084</v>
      </c>
      <c r="C65" s="5302"/>
      <c r="D65" s="5303"/>
      <c r="E65" s="3093" t="s">
        <v>2777</v>
      </c>
      <c r="F65" s="3093" t="s">
        <v>2778</v>
      </c>
      <c r="G65" s="3094" t="s">
        <v>2779</v>
      </c>
      <c r="H65" s="3094" t="s">
        <v>2780</v>
      </c>
      <c r="I65" s="3094" t="s">
        <v>2781</v>
      </c>
      <c r="J65" s="3094" t="s">
        <v>2782</v>
      </c>
      <c r="K65" s="1162" t="str">
        <f t="shared" si="29"/>
        <v xml:space="preserve">* Las Interconsultas de Gestantes NO DEBEN ser mayor al Total de Interconsultas. * Las Interconsultas de Pacientes de 60 años NO DEBEN ser mayor al Total de Interconsultas. * Las Interconsultas de Usuarios en situación de Discapacidad NO DEBEN ser mayor al Total de Interconsultas. * Las Interconsultas de Niños, Niñas, Adolescentes y Jóvenes Red SENAME NO DEBEN ser mayor al Total de Interconsultas. * Las Interconsultas de Migrantes NO DEBEN ser mayor al Total de Interconsultas. </v>
      </c>
      <c r="L65" s="1058"/>
      <c r="M65" s="1058"/>
      <c r="N65" s="1058"/>
      <c r="O65" s="1058"/>
      <c r="P65" s="1058"/>
      <c r="Q65" s="1058"/>
      <c r="R65" s="1058"/>
      <c r="S65" s="94"/>
      <c r="BW65" s="79"/>
      <c r="BX65" s="79"/>
      <c r="CB65" s="1031" t="str">
        <f t="shared" si="30"/>
        <v xml:space="preserve">* Las Interconsultas de Gestantes NO DEBEN ser mayor al Total de Interconsultas. </v>
      </c>
      <c r="CC65" s="1031" t="str">
        <f t="shared" si="31"/>
        <v xml:space="preserve">* Las Interconsultas de Pacientes de 60 años NO DEBEN ser mayor al Total de Interconsultas. </v>
      </c>
      <c r="CD65" s="1031" t="str">
        <f t="shared" si="32"/>
        <v xml:space="preserve">* Las Interconsultas de Usuarios en situación de Discapacidad NO DEBEN ser mayor al Total de Interconsultas. </v>
      </c>
      <c r="CE65" s="1031" t="str">
        <f t="shared" si="33"/>
        <v xml:space="preserve">* Las Interconsultas de Niños, Niñas, Adolescentes y Jóvenes Red SENAME NO DEBEN ser mayor al Total de Interconsultas. </v>
      </c>
      <c r="CF65" s="1031" t="str">
        <f t="shared" si="34"/>
        <v xml:space="preserve">* Las Interconsultas de Migrantes NO DEBEN ser mayor al Total de Interconsultas. </v>
      </c>
      <c r="CG65" s="1031"/>
      <c r="CH65" s="1031"/>
      <c r="CI65" s="1163">
        <f t="shared" si="35"/>
        <v>1</v>
      </c>
      <c r="CJ65" s="1163">
        <f t="shared" si="36"/>
        <v>1</v>
      </c>
      <c r="CK65" s="1163">
        <f t="shared" si="36"/>
        <v>1</v>
      </c>
      <c r="CL65" s="1163">
        <f t="shared" si="36"/>
        <v>1</v>
      </c>
      <c r="CM65" s="1163">
        <f t="shared" si="36"/>
        <v>1</v>
      </c>
      <c r="CN65" s="1020"/>
      <c r="CO65" s="1020"/>
    </row>
    <row r="66" spans="1:93" ht="16.350000000000001" customHeight="1" x14ac:dyDescent="0.2">
      <c r="A66" s="3009" t="s">
        <v>3595</v>
      </c>
      <c r="B66" s="5313" t="s">
        <v>1085</v>
      </c>
      <c r="C66" s="5302"/>
      <c r="D66" s="5303"/>
      <c r="E66" s="3093" t="s">
        <v>2777</v>
      </c>
      <c r="F66" s="3093" t="s">
        <v>2778</v>
      </c>
      <c r="G66" s="3094" t="s">
        <v>2779</v>
      </c>
      <c r="H66" s="3094" t="s">
        <v>2780</v>
      </c>
      <c r="I66" s="3094" t="s">
        <v>2781</v>
      </c>
      <c r="J66" s="3094" t="s">
        <v>2782</v>
      </c>
      <c r="K66" s="1162" t="str">
        <f t="shared" si="29"/>
        <v xml:space="preserve">* Las Interconsultas de Gestantes NO DEBEN ser mayor al Total de Interconsultas. * Las Interconsultas de Pacientes de 60 años NO DEBEN ser mayor al Total de Interconsultas. * Las Interconsultas de Usuarios en situación de Discapacidad NO DEBEN ser mayor al Total de Interconsultas. * Las Interconsultas de Niños, Niñas, Adolescentes y Jóvenes Red SENAME NO DEBEN ser mayor al Total de Interconsultas. * Las Interconsultas de Migrantes NO DEBEN ser mayor al Total de Interconsultas. </v>
      </c>
      <c r="L66" s="1058"/>
      <c r="M66" s="1058"/>
      <c r="N66" s="1058"/>
      <c r="O66" s="1058"/>
      <c r="P66" s="1058"/>
      <c r="Q66" s="1058"/>
      <c r="R66" s="1058"/>
      <c r="S66" s="94"/>
      <c r="BW66" s="79"/>
      <c r="BX66" s="79"/>
      <c r="CB66" s="1031" t="str">
        <f t="shared" si="30"/>
        <v xml:space="preserve">* Las Interconsultas de Gestantes NO DEBEN ser mayor al Total de Interconsultas. </v>
      </c>
      <c r="CC66" s="1031" t="str">
        <f t="shared" si="31"/>
        <v xml:space="preserve">* Las Interconsultas de Pacientes de 60 años NO DEBEN ser mayor al Total de Interconsultas. </v>
      </c>
      <c r="CD66" s="1031" t="str">
        <f t="shared" si="32"/>
        <v xml:space="preserve">* Las Interconsultas de Usuarios en situación de Discapacidad NO DEBEN ser mayor al Total de Interconsultas. </v>
      </c>
      <c r="CE66" s="1031" t="str">
        <f t="shared" si="33"/>
        <v xml:space="preserve">* Las Interconsultas de Niños, Niñas, Adolescentes y Jóvenes Red SENAME NO DEBEN ser mayor al Total de Interconsultas. </v>
      </c>
      <c r="CF66" s="1031" t="str">
        <f t="shared" si="34"/>
        <v xml:space="preserve">* Las Interconsultas de Migrantes NO DEBEN ser mayor al Total de Interconsultas. </v>
      </c>
      <c r="CG66" s="1031"/>
      <c r="CH66" s="1031"/>
      <c r="CI66" s="1163">
        <f t="shared" si="35"/>
        <v>1</v>
      </c>
      <c r="CJ66" s="1163">
        <f t="shared" si="36"/>
        <v>1</v>
      </c>
      <c r="CK66" s="1163">
        <f t="shared" si="36"/>
        <v>1</v>
      </c>
      <c r="CL66" s="1163">
        <f t="shared" si="36"/>
        <v>1</v>
      </c>
      <c r="CM66" s="1163">
        <f t="shared" si="36"/>
        <v>1</v>
      </c>
      <c r="CN66" s="1020"/>
      <c r="CO66" s="1020"/>
    </row>
    <row r="67" spans="1:93" ht="16.350000000000001" customHeight="1" x14ac:dyDescent="0.2">
      <c r="A67" s="3009" t="s">
        <v>3596</v>
      </c>
      <c r="B67" s="6145" t="s">
        <v>1086</v>
      </c>
      <c r="C67" s="6146"/>
      <c r="D67" s="6147"/>
      <c r="E67" s="3093" t="s">
        <v>2777</v>
      </c>
      <c r="F67" s="3093" t="s">
        <v>2778</v>
      </c>
      <c r="G67" s="3094" t="s">
        <v>2779</v>
      </c>
      <c r="H67" s="3094" t="s">
        <v>2780</v>
      </c>
      <c r="I67" s="3094" t="s">
        <v>2781</v>
      </c>
      <c r="J67" s="3094" t="s">
        <v>2782</v>
      </c>
      <c r="K67" s="1162" t="str">
        <f t="shared" si="29"/>
        <v xml:space="preserve">* Las Interconsultas de Gestantes NO DEBEN ser mayor al Total de Interconsultas. * Las Interconsultas de Pacientes de 60 años NO DEBEN ser mayor al Total de Interconsultas. * Las Interconsultas de Usuarios en situación de Discapacidad NO DEBEN ser mayor al Total de Interconsultas. * Las Interconsultas de Niños, Niñas, Adolescentes y Jóvenes Red SENAME NO DEBEN ser mayor al Total de Interconsultas. * Las Interconsultas de Migrantes NO DEBEN ser mayor al Total de Interconsultas. </v>
      </c>
      <c r="L67" s="1058"/>
      <c r="M67" s="1058"/>
      <c r="N67" s="1058"/>
      <c r="O67" s="1058"/>
      <c r="P67" s="1058"/>
      <c r="Q67" s="1058"/>
      <c r="R67" s="1058"/>
      <c r="S67" s="94"/>
      <c r="BW67" s="79"/>
      <c r="BX67" s="79"/>
      <c r="CB67" s="1031" t="str">
        <f t="shared" si="30"/>
        <v xml:space="preserve">* Las Interconsultas de Gestantes NO DEBEN ser mayor al Total de Interconsultas. </v>
      </c>
      <c r="CC67" s="1031" t="str">
        <f t="shared" si="31"/>
        <v xml:space="preserve">* Las Interconsultas de Pacientes de 60 años NO DEBEN ser mayor al Total de Interconsultas. </v>
      </c>
      <c r="CD67" s="1031" t="str">
        <f t="shared" si="32"/>
        <v xml:space="preserve">* Las Interconsultas de Usuarios en situación de Discapacidad NO DEBEN ser mayor al Total de Interconsultas. </v>
      </c>
      <c r="CE67" s="1031" t="str">
        <f t="shared" si="33"/>
        <v xml:space="preserve">* Las Interconsultas de Niños, Niñas, Adolescentes y Jóvenes Red SENAME NO DEBEN ser mayor al Total de Interconsultas. </v>
      </c>
      <c r="CF67" s="1031" t="str">
        <f t="shared" si="34"/>
        <v xml:space="preserve">* Las Interconsultas de Migrantes NO DEBEN ser mayor al Total de Interconsultas. </v>
      </c>
      <c r="CG67" s="1031"/>
      <c r="CH67" s="1031"/>
      <c r="CI67" s="1163">
        <f t="shared" si="35"/>
        <v>1</v>
      </c>
      <c r="CJ67" s="1163">
        <f t="shared" si="36"/>
        <v>1</v>
      </c>
      <c r="CK67" s="1163">
        <f t="shared" si="36"/>
        <v>1</v>
      </c>
      <c r="CL67" s="1163">
        <f t="shared" si="36"/>
        <v>1</v>
      </c>
      <c r="CM67" s="1163">
        <f t="shared" si="36"/>
        <v>1</v>
      </c>
      <c r="CN67" s="1020"/>
      <c r="CO67" s="1020"/>
    </row>
    <row r="68" spans="1:93" ht="16.350000000000001" customHeight="1" x14ac:dyDescent="0.2">
      <c r="A68" s="3009" t="s">
        <v>3597</v>
      </c>
      <c r="B68" s="5313" t="s">
        <v>1087</v>
      </c>
      <c r="C68" s="5302"/>
      <c r="D68" s="5303"/>
      <c r="E68" s="3093" t="s">
        <v>2777</v>
      </c>
      <c r="F68" s="3093" t="s">
        <v>2778</v>
      </c>
      <c r="G68" s="3094" t="s">
        <v>2779</v>
      </c>
      <c r="H68" s="3094" t="s">
        <v>2780</v>
      </c>
      <c r="I68" s="3094" t="s">
        <v>2781</v>
      </c>
      <c r="J68" s="3094" t="s">
        <v>2782</v>
      </c>
      <c r="K68" s="1162" t="str">
        <f t="shared" si="29"/>
        <v xml:space="preserve">* Las Interconsultas de Gestantes NO DEBEN ser mayor al Total de Interconsultas. * Las Interconsultas de Pacientes de 60 años NO DEBEN ser mayor al Total de Interconsultas. * Las Interconsultas de Usuarios en situación de Discapacidad NO DEBEN ser mayor al Total de Interconsultas. * Las Interconsultas de Niños, Niñas, Adolescentes y Jóvenes Red SENAME NO DEBEN ser mayor al Total de Interconsultas. * Las Interconsultas de Migrantes NO DEBEN ser mayor al Total de Interconsultas. </v>
      </c>
      <c r="L68" s="1058"/>
      <c r="M68" s="1058"/>
      <c r="N68" s="1058"/>
      <c r="O68" s="1058"/>
      <c r="P68" s="1058"/>
      <c r="Q68" s="1058"/>
      <c r="R68" s="1058"/>
      <c r="S68" s="94"/>
      <c r="BW68" s="79"/>
      <c r="BX68" s="79"/>
      <c r="CB68" s="1031" t="str">
        <f t="shared" si="30"/>
        <v xml:space="preserve">* Las Interconsultas de Gestantes NO DEBEN ser mayor al Total de Interconsultas. </v>
      </c>
      <c r="CC68" s="1031" t="str">
        <f t="shared" si="31"/>
        <v xml:space="preserve">* Las Interconsultas de Pacientes de 60 años NO DEBEN ser mayor al Total de Interconsultas. </v>
      </c>
      <c r="CD68" s="1031" t="str">
        <f t="shared" si="32"/>
        <v xml:space="preserve">* Las Interconsultas de Usuarios en situación de Discapacidad NO DEBEN ser mayor al Total de Interconsultas. </v>
      </c>
      <c r="CE68" s="1031" t="str">
        <f t="shared" si="33"/>
        <v xml:space="preserve">* Las Interconsultas de Niños, Niñas, Adolescentes y Jóvenes Red SENAME NO DEBEN ser mayor al Total de Interconsultas. </v>
      </c>
      <c r="CF68" s="1031" t="str">
        <f t="shared" si="34"/>
        <v xml:space="preserve">* Las Interconsultas de Migrantes NO DEBEN ser mayor al Total de Interconsultas. </v>
      </c>
      <c r="CG68" s="1031"/>
      <c r="CH68" s="1031"/>
      <c r="CI68" s="1163">
        <f t="shared" si="35"/>
        <v>1</v>
      </c>
      <c r="CJ68" s="1163">
        <f t="shared" si="36"/>
        <v>1</v>
      </c>
      <c r="CK68" s="1163">
        <f t="shared" si="36"/>
        <v>1</v>
      </c>
      <c r="CL68" s="1163">
        <f t="shared" si="36"/>
        <v>1</v>
      </c>
      <c r="CM68" s="1163">
        <f t="shared" si="36"/>
        <v>1</v>
      </c>
      <c r="CN68" s="1020"/>
      <c r="CO68" s="1020"/>
    </row>
    <row r="69" spans="1:93" ht="16.350000000000001" customHeight="1" x14ac:dyDescent="0.2">
      <c r="A69" s="3009" t="s">
        <v>3598</v>
      </c>
      <c r="B69" s="5998" t="s">
        <v>1088</v>
      </c>
      <c r="C69" s="6054"/>
      <c r="D69" s="5999"/>
      <c r="E69" s="3093" t="s">
        <v>2777</v>
      </c>
      <c r="F69" s="3093" t="s">
        <v>2778</v>
      </c>
      <c r="G69" s="3094" t="s">
        <v>2779</v>
      </c>
      <c r="H69" s="3094" t="s">
        <v>2780</v>
      </c>
      <c r="I69" s="3094" t="s">
        <v>2781</v>
      </c>
      <c r="J69" s="3094" t="s">
        <v>2782</v>
      </c>
      <c r="K69" s="1162" t="str">
        <f t="shared" si="29"/>
        <v xml:space="preserve">* Las Interconsultas de Gestantes NO DEBEN ser mayor al Total de Interconsultas. * Las Interconsultas de Pacientes de 60 años NO DEBEN ser mayor al Total de Interconsultas. * Las Interconsultas de Usuarios en situación de Discapacidad NO DEBEN ser mayor al Total de Interconsultas. * Las Interconsultas de Niños, Niñas, Adolescentes y Jóvenes Red SENAME NO DEBEN ser mayor al Total de Interconsultas. * Las Interconsultas de Migrantes NO DEBEN ser mayor al Total de Interconsultas. </v>
      </c>
      <c r="L69" s="1058"/>
      <c r="M69" s="1058"/>
      <c r="N69" s="1058"/>
      <c r="O69" s="1058"/>
      <c r="P69" s="1058"/>
      <c r="Q69" s="1058"/>
      <c r="R69" s="1058"/>
      <c r="S69" s="94"/>
      <c r="BW69" s="79"/>
      <c r="BX69" s="79"/>
      <c r="CB69" s="1031" t="str">
        <f t="shared" si="30"/>
        <v xml:space="preserve">* Las Interconsultas de Gestantes NO DEBEN ser mayor al Total de Interconsultas. </v>
      </c>
      <c r="CC69" s="1031" t="str">
        <f t="shared" si="31"/>
        <v xml:space="preserve">* Las Interconsultas de Pacientes de 60 años NO DEBEN ser mayor al Total de Interconsultas. </v>
      </c>
      <c r="CD69" s="1031" t="str">
        <f t="shared" si="32"/>
        <v xml:space="preserve">* Las Interconsultas de Usuarios en situación de Discapacidad NO DEBEN ser mayor al Total de Interconsultas. </v>
      </c>
      <c r="CE69" s="1031" t="str">
        <f t="shared" si="33"/>
        <v xml:space="preserve">* Las Interconsultas de Niños, Niñas, Adolescentes y Jóvenes Red SENAME NO DEBEN ser mayor al Total de Interconsultas. </v>
      </c>
      <c r="CF69" s="1031" t="str">
        <f t="shared" si="34"/>
        <v xml:space="preserve">* Las Interconsultas de Migrantes NO DEBEN ser mayor al Total de Interconsultas. </v>
      </c>
      <c r="CG69" s="1031"/>
      <c r="CH69" s="1031"/>
      <c r="CI69" s="1163">
        <f t="shared" si="35"/>
        <v>1</v>
      </c>
      <c r="CJ69" s="1163">
        <f t="shared" si="36"/>
        <v>1</v>
      </c>
      <c r="CK69" s="1163">
        <f t="shared" si="36"/>
        <v>1</v>
      </c>
      <c r="CL69" s="1163">
        <f t="shared" si="36"/>
        <v>1</v>
      </c>
      <c r="CM69" s="1163">
        <f t="shared" si="36"/>
        <v>1</v>
      </c>
      <c r="CN69" s="1020"/>
      <c r="CO69" s="1020"/>
    </row>
    <row r="70" spans="1:93" ht="16.350000000000001" customHeight="1" x14ac:dyDescent="0.2">
      <c r="A70" s="3009" t="s">
        <v>3599</v>
      </c>
      <c r="B70" s="5998" t="s">
        <v>1089</v>
      </c>
      <c r="C70" s="6054"/>
      <c r="D70" s="5999"/>
      <c r="E70" s="3093" t="s">
        <v>2777</v>
      </c>
      <c r="F70" s="3093" t="s">
        <v>2778</v>
      </c>
      <c r="G70" s="3094" t="s">
        <v>2779</v>
      </c>
      <c r="H70" s="3094" t="s">
        <v>2780</v>
      </c>
      <c r="I70" s="3094" t="s">
        <v>2781</v>
      </c>
      <c r="J70" s="3094" t="s">
        <v>2782</v>
      </c>
      <c r="K70" s="1162" t="str">
        <f t="shared" si="29"/>
        <v xml:space="preserve">* Las Interconsultas de Gestantes NO DEBEN ser mayor al Total de Interconsultas. * Las Interconsultas de Pacientes de 60 años NO DEBEN ser mayor al Total de Interconsultas. * Las Interconsultas de Usuarios en situación de Discapacidad NO DEBEN ser mayor al Total de Interconsultas. * Las Interconsultas de Niños, Niñas, Adolescentes y Jóvenes Red SENAME NO DEBEN ser mayor al Total de Interconsultas. * Las Interconsultas de Migrantes NO DEBEN ser mayor al Total de Interconsultas. </v>
      </c>
      <c r="L70" s="1058"/>
      <c r="M70" s="1058"/>
      <c r="N70" s="1058"/>
      <c r="O70" s="1058"/>
      <c r="P70" s="1058"/>
      <c r="Q70" s="1058"/>
      <c r="R70" s="1058"/>
      <c r="S70" s="94"/>
      <c r="BW70" s="79"/>
      <c r="BX70" s="79"/>
      <c r="CB70" s="1031" t="str">
        <f t="shared" si="30"/>
        <v xml:space="preserve">* Las Interconsultas de Gestantes NO DEBEN ser mayor al Total de Interconsultas. </v>
      </c>
      <c r="CC70" s="1031" t="str">
        <f t="shared" si="31"/>
        <v xml:space="preserve">* Las Interconsultas de Pacientes de 60 años NO DEBEN ser mayor al Total de Interconsultas. </v>
      </c>
      <c r="CD70" s="1031" t="str">
        <f t="shared" si="32"/>
        <v xml:space="preserve">* Las Interconsultas de Usuarios en situación de Discapacidad NO DEBEN ser mayor al Total de Interconsultas. </v>
      </c>
      <c r="CE70" s="1031" t="str">
        <f t="shared" si="33"/>
        <v xml:space="preserve">* Las Interconsultas de Niños, Niñas, Adolescentes y Jóvenes Red SENAME NO DEBEN ser mayor al Total de Interconsultas. </v>
      </c>
      <c r="CF70" s="1031" t="str">
        <f t="shared" si="34"/>
        <v xml:space="preserve">* Las Interconsultas de Migrantes NO DEBEN ser mayor al Total de Interconsultas. </v>
      </c>
      <c r="CI70" s="1163">
        <f t="shared" si="35"/>
        <v>1</v>
      </c>
      <c r="CJ70" s="1163">
        <f t="shared" si="36"/>
        <v>1</v>
      </c>
      <c r="CK70" s="1163">
        <f t="shared" si="36"/>
        <v>1</v>
      </c>
      <c r="CL70" s="1163">
        <f t="shared" si="36"/>
        <v>1</v>
      </c>
      <c r="CM70" s="1163">
        <f t="shared" si="36"/>
        <v>1</v>
      </c>
      <c r="CN70" s="1020"/>
      <c r="CO70" s="1020"/>
    </row>
    <row r="71" spans="1:93" ht="16.350000000000001" customHeight="1" x14ac:dyDescent="0.2">
      <c r="A71" s="3009" t="s">
        <v>3600</v>
      </c>
      <c r="B71" s="5314" t="s">
        <v>1090</v>
      </c>
      <c r="C71" s="6137"/>
      <c r="D71" s="5315"/>
      <c r="E71" s="3091" t="s">
        <v>2777</v>
      </c>
      <c r="F71" s="3091" t="s">
        <v>2778</v>
      </c>
      <c r="G71" s="3092" t="s">
        <v>2779</v>
      </c>
      <c r="H71" s="3092" t="s">
        <v>2780</v>
      </c>
      <c r="I71" s="3092" t="s">
        <v>2781</v>
      </c>
      <c r="J71" s="3092" t="s">
        <v>2782</v>
      </c>
      <c r="K71" s="1162" t="str">
        <f t="shared" si="29"/>
        <v xml:space="preserve">* Las Interconsultas de Gestantes NO DEBEN ser mayor al Total de Interconsultas. * Las Interconsultas de Pacientes de 60 años NO DEBEN ser mayor al Total de Interconsultas. * Las Interconsultas de Usuarios en situación de Discapacidad NO DEBEN ser mayor al Total de Interconsultas. * Las Interconsultas de Niños, Niñas, Adolescentes y Jóvenes Red SENAME NO DEBEN ser mayor al Total de Interconsultas. * Las Interconsultas de Migrantes NO DEBEN ser mayor al Total de Interconsultas. </v>
      </c>
      <c r="L71" s="1058"/>
      <c r="M71" s="1058"/>
      <c r="N71" s="1058"/>
      <c r="O71" s="1058"/>
      <c r="P71" s="1058"/>
      <c r="Q71" s="1058"/>
      <c r="R71" s="1058"/>
      <c r="S71" s="94"/>
      <c r="BW71" s="79"/>
      <c r="BX71" s="79"/>
      <c r="CB71" s="1031" t="str">
        <f t="shared" si="30"/>
        <v xml:space="preserve">* Las Interconsultas de Gestantes NO DEBEN ser mayor al Total de Interconsultas. </v>
      </c>
      <c r="CC71" s="1031" t="str">
        <f t="shared" si="31"/>
        <v xml:space="preserve">* Las Interconsultas de Pacientes de 60 años NO DEBEN ser mayor al Total de Interconsultas. </v>
      </c>
      <c r="CD71" s="1031" t="str">
        <f t="shared" si="32"/>
        <v xml:space="preserve">* Las Interconsultas de Usuarios en situación de Discapacidad NO DEBEN ser mayor al Total de Interconsultas. </v>
      </c>
      <c r="CE71" s="1031" t="str">
        <f t="shared" si="33"/>
        <v xml:space="preserve">* Las Interconsultas de Niños, Niñas, Adolescentes y Jóvenes Red SENAME NO DEBEN ser mayor al Total de Interconsultas. </v>
      </c>
      <c r="CF71" s="1031" t="str">
        <f t="shared" si="34"/>
        <v xml:space="preserve">* Las Interconsultas de Migrantes NO DEBEN ser mayor al Total de Interconsultas. </v>
      </c>
      <c r="CI71" s="1163">
        <f t="shared" si="35"/>
        <v>1</v>
      </c>
      <c r="CJ71" s="1163">
        <f t="shared" si="36"/>
        <v>1</v>
      </c>
      <c r="CK71" s="1163">
        <f t="shared" si="36"/>
        <v>1</v>
      </c>
      <c r="CL71" s="1163">
        <f t="shared" si="36"/>
        <v>1</v>
      </c>
      <c r="CM71" s="1163">
        <f t="shared" si="36"/>
        <v>1</v>
      </c>
      <c r="CN71" s="1020"/>
      <c r="CO71" s="1020"/>
    </row>
    <row r="72" spans="1:93" ht="16.350000000000001" customHeight="1" x14ac:dyDescent="0.2">
      <c r="B72" s="485" t="s">
        <v>625</v>
      </c>
      <c r="C72" s="511"/>
      <c r="D72" s="512"/>
      <c r="E72" s="511"/>
      <c r="F72" s="511"/>
      <c r="G72" s="1075"/>
      <c r="H72" s="94"/>
      <c r="I72" s="94"/>
      <c r="J72" s="94"/>
      <c r="K72" s="94"/>
      <c r="L72" s="94"/>
      <c r="M72" s="94"/>
      <c r="N72" s="94"/>
      <c r="O72" s="94"/>
      <c r="P72" s="94"/>
      <c r="Q72" s="94"/>
      <c r="R72" s="94"/>
      <c r="S72" s="94"/>
      <c r="BW72" s="79"/>
      <c r="BX72" s="79"/>
      <c r="CI72" s="1020"/>
      <c r="CJ72" s="1020"/>
      <c r="CK72" s="1020"/>
      <c r="CL72" s="1020"/>
      <c r="CM72" s="1020"/>
      <c r="CN72" s="1020"/>
      <c r="CO72" s="1020"/>
    </row>
    <row r="73" spans="1:93" ht="16.350000000000001" customHeight="1" x14ac:dyDescent="0.2">
      <c r="B73" s="6064" t="s">
        <v>437</v>
      </c>
      <c r="C73" s="6065"/>
      <c r="D73" s="6066"/>
      <c r="E73" s="6134" t="s">
        <v>626</v>
      </c>
      <c r="F73" s="6135"/>
      <c r="G73" s="6136"/>
      <c r="BW73" s="79"/>
      <c r="BX73" s="79"/>
      <c r="CI73" s="1020"/>
      <c r="CJ73" s="1020"/>
      <c r="CK73" s="1020"/>
      <c r="CL73" s="1020"/>
      <c r="CM73" s="1020"/>
      <c r="CN73" s="1020"/>
      <c r="CO73" s="1020"/>
    </row>
    <row r="74" spans="1:93" ht="32.1" customHeight="1" x14ac:dyDescent="0.2">
      <c r="B74" s="5856"/>
      <c r="C74" s="5259"/>
      <c r="D74" s="5878"/>
      <c r="E74" s="4071" t="s">
        <v>42</v>
      </c>
      <c r="F74" s="3957" t="s">
        <v>24</v>
      </c>
      <c r="G74" s="4078" t="s">
        <v>25</v>
      </c>
      <c r="BW74" s="79"/>
      <c r="BX74" s="79"/>
      <c r="CI74" s="1020"/>
      <c r="CJ74" s="1020"/>
      <c r="CK74" s="1020"/>
      <c r="CL74" s="1020"/>
      <c r="CM74" s="1020"/>
      <c r="CN74" s="1020"/>
      <c r="CO74" s="1020"/>
    </row>
    <row r="75" spans="1:93" ht="16.350000000000001" customHeight="1" x14ac:dyDescent="0.2">
      <c r="A75" s="3009" t="s">
        <v>3601</v>
      </c>
      <c r="B75" s="6138" t="s">
        <v>627</v>
      </c>
      <c r="C75" s="6140" t="s">
        <v>628</v>
      </c>
      <c r="D75" s="6141"/>
      <c r="E75" s="179" t="s">
        <v>2777</v>
      </c>
      <c r="F75" s="2577" t="s">
        <v>2778</v>
      </c>
      <c r="G75" s="2270" t="s">
        <v>2779</v>
      </c>
      <c r="BW75" s="79"/>
      <c r="BX75" s="79"/>
      <c r="CI75" s="1020"/>
      <c r="CJ75" s="1020"/>
      <c r="CK75" s="1020"/>
      <c r="CL75" s="1020"/>
      <c r="CM75" s="1020"/>
      <c r="CN75" s="1020"/>
      <c r="CO75" s="1020"/>
    </row>
    <row r="76" spans="1:93" ht="16.350000000000001" customHeight="1" x14ac:dyDescent="0.2">
      <c r="A76" s="3009" t="s">
        <v>3602</v>
      </c>
      <c r="B76" s="6139"/>
      <c r="C76" s="5561" t="s">
        <v>286</v>
      </c>
      <c r="D76" s="5286"/>
      <c r="E76" s="100" t="s">
        <v>2777</v>
      </c>
      <c r="F76" s="166" t="s">
        <v>2778</v>
      </c>
      <c r="G76" s="125" t="s">
        <v>2779</v>
      </c>
      <c r="BW76" s="79"/>
      <c r="BX76" s="79"/>
      <c r="CI76" s="1020"/>
      <c r="CJ76" s="1020"/>
      <c r="CK76" s="1020"/>
      <c r="CL76" s="1020"/>
      <c r="CM76" s="1020"/>
      <c r="CN76" s="1020"/>
      <c r="CO76" s="1020"/>
    </row>
    <row r="77" spans="1:93" ht="16.350000000000001" customHeight="1" x14ac:dyDescent="0.2">
      <c r="B77" s="485" t="s">
        <v>3715</v>
      </c>
      <c r="C77" s="485"/>
      <c r="D77" s="485"/>
      <c r="E77" s="504"/>
      <c r="F77" s="378"/>
      <c r="G77" s="378"/>
      <c r="U77" s="94"/>
      <c r="V77" s="94"/>
      <c r="W77" s="94"/>
      <c r="X77" s="94"/>
      <c r="Y77" s="94"/>
      <c r="Z77" s="94"/>
      <c r="AA77" s="94"/>
      <c r="AB77" s="94"/>
      <c r="AC77" s="94"/>
      <c r="AD77" s="94"/>
      <c r="AE77" s="94"/>
      <c r="AF77" s="94"/>
      <c r="AG77" s="94"/>
      <c r="AH77" s="94"/>
      <c r="BW77" s="79"/>
      <c r="BX77" s="79"/>
      <c r="CI77" s="1020"/>
      <c r="CJ77" s="1020"/>
      <c r="CK77" s="1020"/>
      <c r="CL77" s="1020"/>
      <c r="CM77" s="1020"/>
      <c r="CN77" s="1020"/>
      <c r="CO77" s="1020"/>
    </row>
    <row r="78" spans="1:93" ht="16.350000000000001" customHeight="1" x14ac:dyDescent="0.2">
      <c r="B78" s="6064" t="s">
        <v>629</v>
      </c>
      <c r="C78" s="6065"/>
      <c r="D78" s="6066"/>
      <c r="E78" s="6134" t="s">
        <v>42</v>
      </c>
      <c r="F78" s="6135"/>
      <c r="G78" s="6136"/>
      <c r="H78" s="6113" t="s">
        <v>604</v>
      </c>
      <c r="I78" s="6114"/>
      <c r="J78" s="6114"/>
      <c r="K78" s="6114"/>
      <c r="L78" s="6114"/>
      <c r="M78" s="6114"/>
      <c r="N78" s="6114"/>
      <c r="O78" s="6122"/>
      <c r="P78" s="6066" t="s">
        <v>287</v>
      </c>
      <c r="Q78" s="6106" t="s">
        <v>1356</v>
      </c>
      <c r="R78" s="6106" t="s">
        <v>1269</v>
      </c>
      <c r="S78" s="6106" t="s">
        <v>817</v>
      </c>
      <c r="T78" s="6130" t="s">
        <v>2767</v>
      </c>
      <c r="U78" s="6132" t="s">
        <v>2008</v>
      </c>
      <c r="V78" s="6132" t="s">
        <v>23</v>
      </c>
      <c r="W78" s="94"/>
      <c r="X78" s="94"/>
      <c r="Y78" s="94"/>
      <c r="Z78" s="94"/>
      <c r="AA78" s="94"/>
      <c r="AB78" s="94"/>
      <c r="AC78" s="94"/>
      <c r="AD78" s="94"/>
      <c r="AE78" s="94"/>
      <c r="AF78" s="94"/>
      <c r="AG78" s="94"/>
      <c r="BW78" s="79"/>
      <c r="BX78" s="79"/>
      <c r="CI78" s="1020"/>
      <c r="CJ78" s="1020"/>
      <c r="CK78" s="1020"/>
      <c r="CL78" s="1020"/>
      <c r="CM78" s="1020"/>
      <c r="CN78" s="1020"/>
      <c r="CO78" s="1020"/>
    </row>
    <row r="79" spans="1:93" ht="32.1" customHeight="1" x14ac:dyDescent="0.2">
      <c r="B79" s="5856"/>
      <c r="C79" s="5259"/>
      <c r="D79" s="5878"/>
      <c r="E79" s="3933" t="s">
        <v>184</v>
      </c>
      <c r="F79" s="3966" t="s">
        <v>24</v>
      </c>
      <c r="G79" s="3959" t="s">
        <v>25</v>
      </c>
      <c r="H79" s="3957" t="s">
        <v>630</v>
      </c>
      <c r="I79" s="3958" t="s">
        <v>631</v>
      </c>
      <c r="J79" s="3958" t="s">
        <v>632</v>
      </c>
      <c r="K79" s="3958" t="s">
        <v>610</v>
      </c>
      <c r="L79" s="3958" t="s">
        <v>611</v>
      </c>
      <c r="M79" s="3958" t="s">
        <v>612</v>
      </c>
      <c r="N79" s="4079" t="s">
        <v>613</v>
      </c>
      <c r="O79" s="4080" t="s">
        <v>614</v>
      </c>
      <c r="P79" s="5878"/>
      <c r="Q79" s="5343"/>
      <c r="R79" s="5343"/>
      <c r="S79" s="5343"/>
      <c r="T79" s="6131"/>
      <c r="U79" s="6023"/>
      <c r="V79" s="6023"/>
      <c r="W79" s="94"/>
      <c r="X79" s="94"/>
      <c r="Y79" s="94"/>
      <c r="Z79" s="94"/>
      <c r="AA79" s="94"/>
      <c r="AB79" s="94"/>
      <c r="AC79" s="94"/>
      <c r="AD79" s="94"/>
      <c r="AE79" s="94"/>
      <c r="AF79" s="94"/>
      <c r="AG79" s="94"/>
      <c r="BW79" s="79"/>
      <c r="BX79" s="79"/>
      <c r="CI79" s="1020"/>
      <c r="CJ79" s="1020"/>
      <c r="CK79" s="1020"/>
      <c r="CL79" s="1020"/>
      <c r="CM79" s="1020"/>
      <c r="CN79" s="1020"/>
      <c r="CO79" s="1020"/>
    </row>
    <row r="80" spans="1:93" ht="16.350000000000001" customHeight="1" x14ac:dyDescent="0.2">
      <c r="A80" s="3009" t="s">
        <v>3603</v>
      </c>
      <c r="B80" s="6133" t="s">
        <v>1091</v>
      </c>
      <c r="C80" s="6133"/>
      <c r="D80" s="6133"/>
      <c r="E80" s="4081" t="s">
        <v>2777</v>
      </c>
      <c r="F80" s="3022" t="s">
        <v>2778</v>
      </c>
      <c r="G80" s="3023" t="s">
        <v>2779</v>
      </c>
      <c r="H80" s="4082" t="s">
        <v>2780</v>
      </c>
      <c r="I80" s="4083" t="s">
        <v>2781</v>
      </c>
      <c r="J80" s="4083" t="s">
        <v>2782</v>
      </c>
      <c r="K80" s="4083" t="s">
        <v>2783</v>
      </c>
      <c r="L80" s="4083" t="s">
        <v>2784</v>
      </c>
      <c r="M80" s="4083" t="s">
        <v>2785</v>
      </c>
      <c r="N80" s="4084" t="s">
        <v>2786</v>
      </c>
      <c r="O80" s="4085" t="s">
        <v>2787</v>
      </c>
      <c r="P80" s="4086" t="s">
        <v>2788</v>
      </c>
      <c r="Q80" s="4087" t="s">
        <v>2789</v>
      </c>
      <c r="R80" s="4087" t="s">
        <v>2790</v>
      </c>
      <c r="S80" s="4087" t="s">
        <v>2791</v>
      </c>
      <c r="T80" s="4086" t="s">
        <v>2792</v>
      </c>
      <c r="U80" s="4086" t="s">
        <v>2793</v>
      </c>
      <c r="V80" s="4086" t="s">
        <v>2794</v>
      </c>
      <c r="W80" s="1162" t="e">
        <f t="shared" ref="W80:W132" si="37">CB80&amp;CC80&amp;CD80&amp;CE80&amp;CF80&amp;CG80&amp;CH80</f>
        <v>#VALUE!</v>
      </c>
      <c r="X80" s="1058"/>
      <c r="Y80" s="1058"/>
      <c r="Z80" s="1058"/>
      <c r="AA80" s="1058"/>
      <c r="AB80" s="1058"/>
      <c r="AC80" s="1058"/>
      <c r="AD80" s="1058"/>
      <c r="AE80" s="1058"/>
      <c r="AF80" s="1058"/>
      <c r="AG80" s="94"/>
      <c r="AH80" s="94"/>
      <c r="BV80" s="79"/>
      <c r="BW80" s="79"/>
      <c r="BX80" s="891"/>
      <c r="CB80" s="1031" t="str">
        <f t="shared" ref="CB80:CB99" si="38">IF(AND($E80&lt;&gt;0,P80=""),"* No olvide digitar la columna Embarazadas (Digite CEROS si no tiene).",IF($E80&lt;P80,"* El número de Embarazadas NO DEBE ser mayor que el total. ",""))</f>
        <v xml:space="preserve">* El número de Embarazadas NO DEBE ser mayor que el total. </v>
      </c>
      <c r="CC80" s="1031" t="str">
        <f t="shared" ref="CC80:CC131" si="39">IF(AND($E80&lt;&gt;0,Q80=""),"* No olvide digitar la columna Beneficiarios (Digite CEROS si no tiene).",IF($E80&lt;Q80,"* El número de Beneficiarios NO DEBE ser mayor que el total. ",""))</f>
        <v xml:space="preserve">* El número de Beneficiarios NO DEBE ser mayor que el total. </v>
      </c>
      <c r="CD80" s="1031" t="str">
        <f t="shared" ref="CD80:CD90" si="40">IF(AND($E80&lt;&gt;0,R80=""),"* No olvide digitar la columna 60 Años (Digite CEROS si no tiene).",IF($E80&lt;R80,"* El número de 60 Años NO DEBE ser mayor que el total. ",""))</f>
        <v xml:space="preserve">* El número de 60 Años NO DEBE ser mayor que el total. </v>
      </c>
      <c r="CE80" s="1031" t="str">
        <f t="shared" ref="CE80:CE131" si="41">IF(AND($E80&lt;&gt;0,T80=""),"* No olvide digitar la columna Usuarios en situación de Discapacidad (Digite CEROS si no tiene).",IF($E80&lt;T80,"* El número de Usuarios en situación de Discapacidad NO DEBE ser mayor que el total. ",""))</f>
        <v xml:space="preserve">* El número de Usuarios en situación de Discapacidad NO DEBE ser mayor que el total. </v>
      </c>
      <c r="CF80" s="1031" t="str">
        <f t="shared" ref="CF80:CF131" si="42">IF(AND($E80&lt;&gt;0,U80=""),"* No olvide digitar la columna Niños, Niñas, Adolescentes y Jóvenes Población SENAME (Digite CEROS si no tiene).",IF($E80&lt;U80,"* El número de Niños, Niñas, Adolescentes y Jóvenes Población SENAME NO DEBE ser mayor que el total. ",""))</f>
        <v xml:space="preserve">* El número de Niños, Niñas, Adolescentes y Jóvenes Población SENAME NO DEBE ser mayor que el total. </v>
      </c>
      <c r="CG80" s="1031" t="str">
        <f t="shared" ref="CG80:CG131" si="43">IF(AND($E80&lt;&gt;0,V80=""),"* No olvide digitar la columna Migrantes (Digite CEROS si no tiene).",IF($E80&lt;V80,"* El número de Migrantes NO DEBE ser mayor que el total. ",""))</f>
        <v xml:space="preserve">* El número de Migrantes NO DEBE ser mayor que el total. </v>
      </c>
      <c r="CH80" s="1031" t="e">
        <f t="shared" ref="CH80:CH131" si="44">IF(CO80=1,"* La suma de los sexos NO DEBE ser diferente al Total. ","")</f>
        <v>#VALUE!</v>
      </c>
      <c r="CI80" s="1163">
        <f t="shared" ref="CI80:CK95" si="45">IF(AND($E80&lt;&gt;0,P80=""),1,IF($E80&lt;P80,1,0))</f>
        <v>1</v>
      </c>
      <c r="CJ80" s="1163">
        <f t="shared" si="45"/>
        <v>1</v>
      </c>
      <c r="CK80" s="1163">
        <f t="shared" si="45"/>
        <v>1</v>
      </c>
      <c r="CL80" s="1163">
        <f t="shared" ref="CL80:CN111" si="46">IF(AND($E80&lt;&gt;0,T80=""),1,IF($E80&lt;T80,1,0))</f>
        <v>1</v>
      </c>
      <c r="CM80" s="1163">
        <f t="shared" si="46"/>
        <v>1</v>
      </c>
      <c r="CN80" s="1163">
        <f t="shared" si="46"/>
        <v>1</v>
      </c>
      <c r="CO80" s="1163" t="e">
        <f t="shared" ref="CO80:CO131" si="47">IF((F80+G80)&lt;&gt;E80,1,0)</f>
        <v>#VALUE!</v>
      </c>
    </row>
    <row r="81" spans="1:93" x14ac:dyDescent="0.2">
      <c r="A81" s="4662" t="s">
        <v>3835</v>
      </c>
      <c r="B81" s="6124" t="s">
        <v>1965</v>
      </c>
      <c r="C81" s="6124"/>
      <c r="D81" s="6124"/>
      <c r="E81" s="4761" t="s">
        <v>2777</v>
      </c>
      <c r="F81" s="141" t="s">
        <v>2778</v>
      </c>
      <c r="G81" s="180" t="s">
        <v>2779</v>
      </c>
      <c r="H81" s="141" t="s">
        <v>2780</v>
      </c>
      <c r="I81" s="142" t="s">
        <v>2781</v>
      </c>
      <c r="J81" s="142" t="s">
        <v>2782</v>
      </c>
      <c r="K81" s="142" t="s">
        <v>2783</v>
      </c>
      <c r="L81" s="142" t="s">
        <v>2784</v>
      </c>
      <c r="M81" s="142" t="s">
        <v>2785</v>
      </c>
      <c r="N81" s="180" t="s">
        <v>2786</v>
      </c>
      <c r="O81" s="498" t="s">
        <v>2787</v>
      </c>
      <c r="P81" s="198" t="s">
        <v>2788</v>
      </c>
      <c r="Q81" s="164" t="s">
        <v>2789</v>
      </c>
      <c r="R81" s="164" t="s">
        <v>2790</v>
      </c>
      <c r="S81" s="164" t="s">
        <v>2791</v>
      </c>
      <c r="T81" s="198" t="s">
        <v>2792</v>
      </c>
      <c r="U81" s="198" t="s">
        <v>2793</v>
      </c>
      <c r="V81" s="198" t="s">
        <v>2794</v>
      </c>
      <c r="W81" s="1162" t="e">
        <f t="shared" si="37"/>
        <v>#VALUE!</v>
      </c>
      <c r="X81" s="1058"/>
      <c r="Y81" s="1058"/>
      <c r="Z81" s="1058"/>
      <c r="AA81" s="1058"/>
      <c r="AB81" s="1058"/>
      <c r="AC81" s="1058"/>
      <c r="AD81" s="1058"/>
      <c r="AE81" s="1058"/>
      <c r="AF81" s="1058"/>
      <c r="AG81" s="94"/>
      <c r="AH81" s="94"/>
      <c r="BV81" s="79"/>
      <c r="BW81" s="79"/>
      <c r="BX81" s="891"/>
      <c r="CB81" s="1031" t="str">
        <f t="shared" si="38"/>
        <v xml:space="preserve">* El número de Embarazadas NO DEBE ser mayor que el total. </v>
      </c>
      <c r="CC81" s="1031" t="str">
        <f t="shared" si="39"/>
        <v xml:space="preserve">* El número de Beneficiarios NO DEBE ser mayor que el total. </v>
      </c>
      <c r="CD81" s="1031" t="str">
        <f t="shared" si="40"/>
        <v xml:space="preserve">* El número de 60 Años NO DEBE ser mayor que el total. </v>
      </c>
      <c r="CE81" s="1031" t="str">
        <f t="shared" si="41"/>
        <v xml:space="preserve">* El número de Usuarios en situación de Discapacidad NO DEBE ser mayor que el total. </v>
      </c>
      <c r="CF81" s="1031" t="str">
        <f t="shared" si="42"/>
        <v xml:space="preserve">* El número de Niños, Niñas, Adolescentes y Jóvenes Población SENAME NO DEBE ser mayor que el total. </v>
      </c>
      <c r="CG81" s="1031" t="str">
        <f t="shared" si="43"/>
        <v xml:space="preserve">* El número de Migrantes NO DEBE ser mayor que el total. </v>
      </c>
      <c r="CH81" s="1031" t="e">
        <f t="shared" si="44"/>
        <v>#VALUE!</v>
      </c>
      <c r="CI81" s="1163">
        <f t="shared" si="45"/>
        <v>1</v>
      </c>
      <c r="CJ81" s="1163">
        <f t="shared" si="45"/>
        <v>1</v>
      </c>
      <c r="CK81" s="1163">
        <f t="shared" si="45"/>
        <v>1</v>
      </c>
      <c r="CL81" s="1163">
        <f t="shared" si="46"/>
        <v>1</v>
      </c>
      <c r="CM81" s="1163">
        <f t="shared" si="46"/>
        <v>1</v>
      </c>
      <c r="CN81" s="1163">
        <f t="shared" si="46"/>
        <v>1</v>
      </c>
      <c r="CO81" s="1163" t="e">
        <f t="shared" si="47"/>
        <v>#VALUE!</v>
      </c>
    </row>
    <row r="82" spans="1:93" ht="16.350000000000001" customHeight="1" x14ac:dyDescent="0.2">
      <c r="A82" s="4662" t="s">
        <v>3836</v>
      </c>
      <c r="B82" s="6110" t="s">
        <v>1966</v>
      </c>
      <c r="C82" s="6111"/>
      <c r="D82" s="6112"/>
      <c r="E82" s="4761" t="s">
        <v>2777</v>
      </c>
      <c r="F82" s="141" t="s">
        <v>2778</v>
      </c>
      <c r="G82" s="180" t="s">
        <v>2779</v>
      </c>
      <c r="H82" s="141" t="s">
        <v>2780</v>
      </c>
      <c r="I82" s="2396" t="s">
        <v>2781</v>
      </c>
      <c r="J82" s="2396" t="s">
        <v>2782</v>
      </c>
      <c r="K82" s="2396" t="s">
        <v>2783</v>
      </c>
      <c r="L82" s="2396" t="s">
        <v>2784</v>
      </c>
      <c r="M82" s="2396" t="s">
        <v>2785</v>
      </c>
      <c r="N82" s="2977" t="s">
        <v>2786</v>
      </c>
      <c r="O82" s="2986" t="s">
        <v>2787</v>
      </c>
      <c r="P82" s="2975" t="s">
        <v>2788</v>
      </c>
      <c r="Q82" s="2580" t="s">
        <v>2789</v>
      </c>
      <c r="R82" s="2580" t="s">
        <v>2790</v>
      </c>
      <c r="S82" s="2580" t="s">
        <v>2791</v>
      </c>
      <c r="T82" s="2975" t="s">
        <v>2792</v>
      </c>
      <c r="U82" s="2975" t="s">
        <v>2793</v>
      </c>
      <c r="V82" s="2975" t="s">
        <v>2794</v>
      </c>
      <c r="W82" s="1162" t="e">
        <f t="shared" si="37"/>
        <v>#VALUE!</v>
      </c>
      <c r="X82" s="1058"/>
      <c r="Y82" s="1058"/>
      <c r="Z82" s="1058"/>
      <c r="AA82" s="1058"/>
      <c r="AB82" s="1058"/>
      <c r="AC82" s="1058"/>
      <c r="AD82" s="1058"/>
      <c r="AE82" s="1058"/>
      <c r="AF82" s="1058"/>
      <c r="AG82" s="94"/>
      <c r="AH82" s="94"/>
      <c r="BW82" s="79"/>
      <c r="BX82" s="79"/>
      <c r="CB82" s="1031" t="str">
        <f t="shared" si="38"/>
        <v xml:space="preserve">* El número de Embarazadas NO DEBE ser mayor que el total. </v>
      </c>
      <c r="CC82" s="1031" t="str">
        <f t="shared" si="39"/>
        <v xml:space="preserve">* El número de Beneficiarios NO DEBE ser mayor que el total. </v>
      </c>
      <c r="CD82" s="1031" t="str">
        <f t="shared" si="40"/>
        <v xml:space="preserve">* El número de 60 Años NO DEBE ser mayor que el total. </v>
      </c>
      <c r="CE82" s="1031" t="str">
        <f t="shared" si="41"/>
        <v xml:space="preserve">* El número de Usuarios en situación de Discapacidad NO DEBE ser mayor que el total. </v>
      </c>
      <c r="CF82" s="1031" t="str">
        <f t="shared" si="42"/>
        <v xml:space="preserve">* El número de Niños, Niñas, Adolescentes y Jóvenes Población SENAME NO DEBE ser mayor que el total. </v>
      </c>
      <c r="CG82" s="1031" t="str">
        <f t="shared" si="43"/>
        <v xml:space="preserve">* El número de Migrantes NO DEBE ser mayor que el total. </v>
      </c>
      <c r="CH82" s="1031" t="e">
        <f t="shared" si="44"/>
        <v>#VALUE!</v>
      </c>
      <c r="CI82" s="1163">
        <f t="shared" si="45"/>
        <v>1</v>
      </c>
      <c r="CJ82" s="1163">
        <f t="shared" si="45"/>
        <v>1</v>
      </c>
      <c r="CK82" s="1163">
        <f t="shared" si="45"/>
        <v>1</v>
      </c>
      <c r="CL82" s="1163">
        <f t="shared" si="46"/>
        <v>1</v>
      </c>
      <c r="CM82" s="1163">
        <f t="shared" si="46"/>
        <v>1</v>
      </c>
      <c r="CN82" s="1163">
        <f t="shared" si="46"/>
        <v>1</v>
      </c>
      <c r="CO82" s="1163" t="e">
        <f t="shared" si="47"/>
        <v>#VALUE!</v>
      </c>
    </row>
    <row r="83" spans="1:93" ht="16.350000000000001" customHeight="1" x14ac:dyDescent="0.2">
      <c r="A83" s="4662" t="s">
        <v>3837</v>
      </c>
      <c r="B83" s="6110" t="s">
        <v>1967</v>
      </c>
      <c r="C83" s="6111"/>
      <c r="D83" s="6112"/>
      <c r="E83" s="4761" t="s">
        <v>2777</v>
      </c>
      <c r="F83" s="141" t="s">
        <v>2778</v>
      </c>
      <c r="G83" s="180" t="s">
        <v>2779</v>
      </c>
      <c r="H83" s="141" t="s">
        <v>2780</v>
      </c>
      <c r="I83" s="2396" t="s">
        <v>2781</v>
      </c>
      <c r="J83" s="2396" t="s">
        <v>2782</v>
      </c>
      <c r="K83" s="2396" t="s">
        <v>2783</v>
      </c>
      <c r="L83" s="2396" t="s">
        <v>2784</v>
      </c>
      <c r="M83" s="2396" t="s">
        <v>2785</v>
      </c>
      <c r="N83" s="2977" t="s">
        <v>2786</v>
      </c>
      <c r="O83" s="2986" t="s">
        <v>2787</v>
      </c>
      <c r="P83" s="2975" t="s">
        <v>2788</v>
      </c>
      <c r="Q83" s="2580" t="s">
        <v>2789</v>
      </c>
      <c r="R83" s="2580" t="s">
        <v>2790</v>
      </c>
      <c r="S83" s="2580" t="s">
        <v>2791</v>
      </c>
      <c r="T83" s="2975" t="s">
        <v>2792</v>
      </c>
      <c r="U83" s="2975" t="s">
        <v>2793</v>
      </c>
      <c r="V83" s="2975" t="s">
        <v>2794</v>
      </c>
      <c r="W83" s="1162" t="e">
        <f t="shared" si="37"/>
        <v>#VALUE!</v>
      </c>
      <c r="X83" s="1058"/>
      <c r="Y83" s="1058"/>
      <c r="Z83" s="1058"/>
      <c r="AA83" s="1058"/>
      <c r="AB83" s="1058"/>
      <c r="AC83" s="1058"/>
      <c r="AD83" s="1058"/>
      <c r="AE83" s="1058"/>
      <c r="AF83" s="1058"/>
      <c r="AG83" s="94"/>
      <c r="AH83" s="94"/>
      <c r="BW83" s="79"/>
      <c r="BX83" s="79"/>
      <c r="CB83" s="1031" t="str">
        <f t="shared" si="38"/>
        <v xml:space="preserve">* El número de Embarazadas NO DEBE ser mayor que el total. </v>
      </c>
      <c r="CC83" s="1031" t="str">
        <f t="shared" si="39"/>
        <v xml:space="preserve">* El número de Beneficiarios NO DEBE ser mayor que el total. </v>
      </c>
      <c r="CD83" s="1031" t="str">
        <f t="shared" si="40"/>
        <v xml:space="preserve">* El número de 60 Años NO DEBE ser mayor que el total. </v>
      </c>
      <c r="CE83" s="1031" t="str">
        <f t="shared" si="41"/>
        <v xml:space="preserve">* El número de Usuarios en situación de Discapacidad NO DEBE ser mayor que el total. </v>
      </c>
      <c r="CF83" s="1031" t="str">
        <f t="shared" si="42"/>
        <v xml:space="preserve">* El número de Niños, Niñas, Adolescentes y Jóvenes Población SENAME NO DEBE ser mayor que el total. </v>
      </c>
      <c r="CG83" s="1031" t="str">
        <f t="shared" si="43"/>
        <v xml:space="preserve">* El número de Migrantes NO DEBE ser mayor que el total. </v>
      </c>
      <c r="CH83" s="1031" t="e">
        <f t="shared" si="44"/>
        <v>#VALUE!</v>
      </c>
      <c r="CI83" s="1163">
        <f t="shared" si="45"/>
        <v>1</v>
      </c>
      <c r="CJ83" s="1163">
        <f t="shared" si="45"/>
        <v>1</v>
      </c>
      <c r="CK83" s="1163">
        <f t="shared" si="45"/>
        <v>1</v>
      </c>
      <c r="CL83" s="1163">
        <f t="shared" si="46"/>
        <v>1</v>
      </c>
      <c r="CM83" s="1163">
        <f t="shared" si="46"/>
        <v>1</v>
      </c>
      <c r="CN83" s="1163">
        <f t="shared" si="46"/>
        <v>1</v>
      </c>
      <c r="CO83" s="1163" t="e">
        <f t="shared" si="47"/>
        <v>#VALUE!</v>
      </c>
    </row>
    <row r="84" spans="1:93" ht="16.350000000000001" customHeight="1" x14ac:dyDescent="0.2">
      <c r="A84" s="4662" t="s">
        <v>3838</v>
      </c>
      <c r="B84" s="6110" t="s">
        <v>1968</v>
      </c>
      <c r="C84" s="6111"/>
      <c r="D84" s="6112"/>
      <c r="E84" s="4761" t="s">
        <v>2777</v>
      </c>
      <c r="F84" s="141" t="s">
        <v>2778</v>
      </c>
      <c r="G84" s="180" t="s">
        <v>2779</v>
      </c>
      <c r="H84" s="141" t="s">
        <v>2780</v>
      </c>
      <c r="I84" s="2396" t="s">
        <v>2781</v>
      </c>
      <c r="J84" s="2396" t="s">
        <v>2782</v>
      </c>
      <c r="K84" s="2396" t="s">
        <v>2783</v>
      </c>
      <c r="L84" s="2396" t="s">
        <v>2784</v>
      </c>
      <c r="M84" s="2396" t="s">
        <v>2785</v>
      </c>
      <c r="N84" s="2977" t="s">
        <v>2786</v>
      </c>
      <c r="O84" s="2986" t="s">
        <v>2787</v>
      </c>
      <c r="P84" s="2975" t="s">
        <v>2788</v>
      </c>
      <c r="Q84" s="2580" t="s">
        <v>2789</v>
      </c>
      <c r="R84" s="2580" t="s">
        <v>2790</v>
      </c>
      <c r="S84" s="2580" t="s">
        <v>2791</v>
      </c>
      <c r="T84" s="2975" t="s">
        <v>2792</v>
      </c>
      <c r="U84" s="2975" t="s">
        <v>2793</v>
      </c>
      <c r="V84" s="2975" t="s">
        <v>2794</v>
      </c>
      <c r="W84" s="1162" t="e">
        <f t="shared" si="37"/>
        <v>#VALUE!</v>
      </c>
      <c r="X84" s="1058"/>
      <c r="Y84" s="1058"/>
      <c r="Z84" s="1058"/>
      <c r="AA84" s="1058"/>
      <c r="AB84" s="1058"/>
      <c r="AC84" s="1058"/>
      <c r="AD84" s="1058"/>
      <c r="AE84" s="1058"/>
      <c r="AF84" s="1058"/>
      <c r="AG84" s="94"/>
      <c r="AH84" s="94"/>
      <c r="BW84" s="79"/>
      <c r="BX84" s="79"/>
      <c r="CB84" s="1031" t="str">
        <f t="shared" si="38"/>
        <v xml:space="preserve">* El número de Embarazadas NO DEBE ser mayor que el total. </v>
      </c>
      <c r="CC84" s="1031" t="str">
        <f t="shared" si="39"/>
        <v xml:space="preserve">* El número de Beneficiarios NO DEBE ser mayor que el total. </v>
      </c>
      <c r="CD84" s="1031" t="str">
        <f t="shared" si="40"/>
        <v xml:space="preserve">* El número de 60 Años NO DEBE ser mayor que el total. </v>
      </c>
      <c r="CE84" s="1031" t="str">
        <f t="shared" si="41"/>
        <v xml:space="preserve">* El número de Usuarios en situación de Discapacidad NO DEBE ser mayor que el total. </v>
      </c>
      <c r="CF84" s="1031" t="str">
        <f t="shared" si="42"/>
        <v xml:space="preserve">* El número de Niños, Niñas, Adolescentes y Jóvenes Población SENAME NO DEBE ser mayor que el total. </v>
      </c>
      <c r="CG84" s="1031" t="str">
        <f t="shared" si="43"/>
        <v xml:space="preserve">* El número de Migrantes NO DEBE ser mayor que el total. </v>
      </c>
      <c r="CH84" s="1031" t="e">
        <f t="shared" si="44"/>
        <v>#VALUE!</v>
      </c>
      <c r="CI84" s="1163">
        <f t="shared" si="45"/>
        <v>1</v>
      </c>
      <c r="CJ84" s="1163">
        <f t="shared" si="45"/>
        <v>1</v>
      </c>
      <c r="CK84" s="1163">
        <f t="shared" si="45"/>
        <v>1</v>
      </c>
      <c r="CL84" s="1163">
        <f t="shared" si="46"/>
        <v>1</v>
      </c>
      <c r="CM84" s="1163">
        <f t="shared" si="46"/>
        <v>1</v>
      </c>
      <c r="CN84" s="1163">
        <f t="shared" si="46"/>
        <v>1</v>
      </c>
      <c r="CO84" s="1163" t="e">
        <f t="shared" si="47"/>
        <v>#VALUE!</v>
      </c>
    </row>
    <row r="85" spans="1:93" ht="16.350000000000001" customHeight="1" x14ac:dyDescent="0.2">
      <c r="A85" s="4662" t="s">
        <v>3839</v>
      </c>
      <c r="B85" s="6110" t="s">
        <v>1969</v>
      </c>
      <c r="C85" s="6111"/>
      <c r="D85" s="6112"/>
      <c r="E85" s="4761" t="s">
        <v>2777</v>
      </c>
      <c r="F85" s="141" t="s">
        <v>2778</v>
      </c>
      <c r="G85" s="180" t="s">
        <v>2779</v>
      </c>
      <c r="H85" s="1104" t="s">
        <v>2780</v>
      </c>
      <c r="I85" s="4949" t="s">
        <v>2781</v>
      </c>
      <c r="J85" s="4949" t="s">
        <v>2782</v>
      </c>
      <c r="K85" s="4949" t="s">
        <v>2783</v>
      </c>
      <c r="L85" s="4949" t="s">
        <v>2784</v>
      </c>
      <c r="M85" s="2396" t="s">
        <v>2785</v>
      </c>
      <c r="N85" s="2977" t="s">
        <v>2786</v>
      </c>
      <c r="O85" s="2986" t="s">
        <v>2787</v>
      </c>
      <c r="P85" s="2975" t="s">
        <v>2788</v>
      </c>
      <c r="Q85" s="2580" t="s">
        <v>2789</v>
      </c>
      <c r="R85" s="2580" t="s">
        <v>2790</v>
      </c>
      <c r="S85" s="2580" t="s">
        <v>2791</v>
      </c>
      <c r="T85" s="2975" t="s">
        <v>2792</v>
      </c>
      <c r="U85" s="2975" t="s">
        <v>2793</v>
      </c>
      <c r="V85" s="2975" t="s">
        <v>2794</v>
      </c>
      <c r="W85" s="1162" t="e">
        <f t="shared" si="37"/>
        <v>#VALUE!</v>
      </c>
      <c r="X85" s="1058"/>
      <c r="Y85" s="1058"/>
      <c r="Z85" s="1058"/>
      <c r="AA85" s="1058"/>
      <c r="AB85" s="1058"/>
      <c r="AC85" s="1058"/>
      <c r="AD85" s="1058"/>
      <c r="AE85" s="1058"/>
      <c r="AF85" s="1058"/>
      <c r="AG85" s="94"/>
      <c r="AH85" s="94"/>
      <c r="BW85" s="79"/>
      <c r="BX85" s="79"/>
      <c r="CB85" s="1031" t="str">
        <f t="shared" si="38"/>
        <v xml:space="preserve">* El número de Embarazadas NO DEBE ser mayor que el total. </v>
      </c>
      <c r="CC85" s="1031" t="str">
        <f t="shared" si="39"/>
        <v xml:space="preserve">* El número de Beneficiarios NO DEBE ser mayor que el total. </v>
      </c>
      <c r="CD85" s="1031" t="str">
        <f t="shared" si="40"/>
        <v xml:space="preserve">* El número de 60 Años NO DEBE ser mayor que el total. </v>
      </c>
      <c r="CE85" s="1031" t="str">
        <f t="shared" si="41"/>
        <v xml:space="preserve">* El número de Usuarios en situación de Discapacidad NO DEBE ser mayor que el total. </v>
      </c>
      <c r="CF85" s="1031" t="str">
        <f t="shared" si="42"/>
        <v xml:space="preserve">* El número de Niños, Niñas, Adolescentes y Jóvenes Población SENAME NO DEBE ser mayor que el total. </v>
      </c>
      <c r="CG85" s="1031" t="str">
        <f t="shared" si="43"/>
        <v xml:space="preserve">* El número de Migrantes NO DEBE ser mayor que el total. </v>
      </c>
      <c r="CH85" s="1031" t="e">
        <f t="shared" si="44"/>
        <v>#VALUE!</v>
      </c>
      <c r="CI85" s="1163">
        <f t="shared" si="45"/>
        <v>1</v>
      </c>
      <c r="CJ85" s="1163">
        <f t="shared" si="45"/>
        <v>1</v>
      </c>
      <c r="CK85" s="1163">
        <f t="shared" si="45"/>
        <v>1</v>
      </c>
      <c r="CL85" s="1163">
        <f t="shared" si="46"/>
        <v>1</v>
      </c>
      <c r="CM85" s="1163">
        <f t="shared" si="46"/>
        <v>1</v>
      </c>
      <c r="CN85" s="1163">
        <f t="shared" si="46"/>
        <v>1</v>
      </c>
      <c r="CO85" s="1163" t="e">
        <f t="shared" si="47"/>
        <v>#VALUE!</v>
      </c>
    </row>
    <row r="86" spans="1:93" ht="16.350000000000001" customHeight="1" x14ac:dyDescent="0.2">
      <c r="A86" s="4662" t="s">
        <v>3840</v>
      </c>
      <c r="B86" s="6124" t="s">
        <v>1970</v>
      </c>
      <c r="C86" s="6124"/>
      <c r="D86" s="6124"/>
      <c r="E86" s="349" t="s">
        <v>2777</v>
      </c>
      <c r="F86" s="141" t="s">
        <v>2778</v>
      </c>
      <c r="G86" s="180" t="s">
        <v>2779</v>
      </c>
      <c r="H86" s="141" t="s">
        <v>2780</v>
      </c>
      <c r="I86" s="142" t="s">
        <v>2781</v>
      </c>
      <c r="J86" s="142" t="s">
        <v>2782</v>
      </c>
      <c r="K86" s="142" t="s">
        <v>2783</v>
      </c>
      <c r="L86" s="142" t="s">
        <v>2784</v>
      </c>
      <c r="M86" s="142" t="s">
        <v>2785</v>
      </c>
      <c r="N86" s="180" t="s">
        <v>2786</v>
      </c>
      <c r="O86" s="498" t="s">
        <v>2787</v>
      </c>
      <c r="P86" s="198" t="s">
        <v>2788</v>
      </c>
      <c r="Q86" s="164" t="s">
        <v>2789</v>
      </c>
      <c r="R86" s="164" t="s">
        <v>2790</v>
      </c>
      <c r="S86" s="164" t="s">
        <v>2791</v>
      </c>
      <c r="T86" s="198" t="s">
        <v>2792</v>
      </c>
      <c r="U86" s="198" t="s">
        <v>2793</v>
      </c>
      <c r="V86" s="198" t="s">
        <v>2794</v>
      </c>
      <c r="W86" s="1162" t="e">
        <f t="shared" si="37"/>
        <v>#VALUE!</v>
      </c>
      <c r="X86" s="1058"/>
      <c r="Y86" s="1058"/>
      <c r="Z86" s="1058"/>
      <c r="AA86" s="1058"/>
      <c r="AB86" s="1058"/>
      <c r="AC86" s="1058"/>
      <c r="AD86" s="1058"/>
      <c r="AE86" s="1058"/>
      <c r="AF86" s="1058"/>
      <c r="AG86" s="94"/>
      <c r="AH86" s="94"/>
      <c r="BW86" s="79"/>
      <c r="BX86" s="79"/>
      <c r="CB86" s="1031" t="str">
        <f t="shared" si="38"/>
        <v xml:space="preserve">* El número de Embarazadas NO DEBE ser mayor que el total. </v>
      </c>
      <c r="CC86" s="1031" t="str">
        <f t="shared" si="39"/>
        <v xml:space="preserve">* El número de Beneficiarios NO DEBE ser mayor que el total. </v>
      </c>
      <c r="CD86" s="1031" t="str">
        <f t="shared" si="40"/>
        <v xml:space="preserve">* El número de 60 Años NO DEBE ser mayor que el total. </v>
      </c>
      <c r="CE86" s="1031" t="str">
        <f t="shared" si="41"/>
        <v xml:space="preserve">* El número de Usuarios en situación de Discapacidad NO DEBE ser mayor que el total. </v>
      </c>
      <c r="CF86" s="1031" t="str">
        <f t="shared" si="42"/>
        <v xml:space="preserve">* El número de Niños, Niñas, Adolescentes y Jóvenes Población SENAME NO DEBE ser mayor que el total. </v>
      </c>
      <c r="CG86" s="1031" t="str">
        <f t="shared" si="43"/>
        <v xml:space="preserve">* El número de Migrantes NO DEBE ser mayor que el total. </v>
      </c>
      <c r="CH86" s="1031" t="e">
        <f t="shared" si="44"/>
        <v>#VALUE!</v>
      </c>
      <c r="CI86" s="1163">
        <f t="shared" si="45"/>
        <v>1</v>
      </c>
      <c r="CJ86" s="1163">
        <f t="shared" si="45"/>
        <v>1</v>
      </c>
      <c r="CK86" s="1163">
        <f t="shared" si="45"/>
        <v>1</v>
      </c>
      <c r="CL86" s="1163">
        <f t="shared" si="46"/>
        <v>1</v>
      </c>
      <c r="CM86" s="1163">
        <f t="shared" si="46"/>
        <v>1</v>
      </c>
      <c r="CN86" s="1163">
        <f t="shared" si="46"/>
        <v>1</v>
      </c>
      <c r="CO86" s="1163" t="e">
        <f t="shared" si="47"/>
        <v>#VALUE!</v>
      </c>
    </row>
    <row r="87" spans="1:93" ht="16.350000000000001" customHeight="1" x14ac:dyDescent="0.2">
      <c r="A87" s="4662" t="s">
        <v>3841</v>
      </c>
      <c r="B87" s="6124" t="s">
        <v>2768</v>
      </c>
      <c r="C87" s="6124"/>
      <c r="D87" s="6124"/>
      <c r="E87" s="349" t="s">
        <v>2777</v>
      </c>
      <c r="F87" s="141" t="s">
        <v>2778</v>
      </c>
      <c r="G87" s="180" t="s">
        <v>2779</v>
      </c>
      <c r="H87" s="141" t="s">
        <v>2780</v>
      </c>
      <c r="I87" s="142" t="s">
        <v>2781</v>
      </c>
      <c r="J87" s="142" t="s">
        <v>2782</v>
      </c>
      <c r="K87" s="142" t="s">
        <v>2783</v>
      </c>
      <c r="L87" s="142" t="s">
        <v>2784</v>
      </c>
      <c r="M87" s="142" t="s">
        <v>2785</v>
      </c>
      <c r="N87" s="180" t="s">
        <v>2786</v>
      </c>
      <c r="O87" s="498" t="s">
        <v>2787</v>
      </c>
      <c r="P87" s="198" t="s">
        <v>2788</v>
      </c>
      <c r="Q87" s="164" t="s">
        <v>2789</v>
      </c>
      <c r="R87" s="164" t="s">
        <v>2790</v>
      </c>
      <c r="S87" s="164" t="s">
        <v>2791</v>
      </c>
      <c r="T87" s="198" t="s">
        <v>2792</v>
      </c>
      <c r="U87" s="198" t="s">
        <v>2793</v>
      </c>
      <c r="V87" s="198" t="s">
        <v>2794</v>
      </c>
      <c r="W87" s="1162" t="e">
        <f t="shared" si="37"/>
        <v>#VALUE!</v>
      </c>
      <c r="X87" s="1058"/>
      <c r="Y87" s="1058"/>
      <c r="Z87" s="1058"/>
      <c r="AA87" s="1058"/>
      <c r="AB87" s="1058"/>
      <c r="AC87" s="1058"/>
      <c r="AD87" s="1058"/>
      <c r="AE87" s="1058"/>
      <c r="AF87" s="1058"/>
      <c r="AG87" s="94"/>
      <c r="AH87" s="94"/>
      <c r="BW87" s="79"/>
      <c r="BX87" s="79"/>
      <c r="CB87" s="1031" t="str">
        <f t="shared" si="38"/>
        <v xml:space="preserve">* El número de Embarazadas NO DEBE ser mayor que el total. </v>
      </c>
      <c r="CC87" s="1031" t="str">
        <f t="shared" si="39"/>
        <v xml:space="preserve">* El número de Beneficiarios NO DEBE ser mayor que el total. </v>
      </c>
      <c r="CD87" s="1031" t="str">
        <f t="shared" si="40"/>
        <v xml:space="preserve">* El número de 60 Años NO DEBE ser mayor que el total. </v>
      </c>
      <c r="CE87" s="1031" t="str">
        <f t="shared" si="41"/>
        <v xml:space="preserve">* El número de Usuarios en situación de Discapacidad NO DEBE ser mayor que el total. </v>
      </c>
      <c r="CF87" s="1031" t="str">
        <f t="shared" si="42"/>
        <v xml:space="preserve">* El número de Niños, Niñas, Adolescentes y Jóvenes Población SENAME NO DEBE ser mayor que el total. </v>
      </c>
      <c r="CG87" s="1031" t="str">
        <f t="shared" si="43"/>
        <v xml:space="preserve">* El número de Migrantes NO DEBE ser mayor que el total. </v>
      </c>
      <c r="CH87" s="1031" t="e">
        <f t="shared" si="44"/>
        <v>#VALUE!</v>
      </c>
      <c r="CI87" s="1163">
        <f t="shared" si="45"/>
        <v>1</v>
      </c>
      <c r="CJ87" s="1163">
        <f t="shared" si="45"/>
        <v>1</v>
      </c>
      <c r="CK87" s="1163">
        <f t="shared" si="45"/>
        <v>1</v>
      </c>
      <c r="CL87" s="1163">
        <f t="shared" si="46"/>
        <v>1</v>
      </c>
      <c r="CM87" s="1163">
        <f t="shared" si="46"/>
        <v>1</v>
      </c>
      <c r="CN87" s="1163">
        <f t="shared" si="46"/>
        <v>1</v>
      </c>
      <c r="CO87" s="1163" t="e">
        <f t="shared" si="47"/>
        <v>#VALUE!</v>
      </c>
    </row>
    <row r="88" spans="1:93" ht="16.350000000000001" customHeight="1" x14ac:dyDescent="0.2">
      <c r="A88" s="3009" t="s">
        <v>3604</v>
      </c>
      <c r="B88" s="6125" t="s">
        <v>1096</v>
      </c>
      <c r="C88" s="6125"/>
      <c r="D88" s="6125"/>
      <c r="E88" s="760" t="s">
        <v>2777</v>
      </c>
      <c r="F88" s="141" t="s">
        <v>2778</v>
      </c>
      <c r="G88" s="180" t="s">
        <v>2779</v>
      </c>
      <c r="H88" s="141" t="s">
        <v>2780</v>
      </c>
      <c r="I88" s="142" t="s">
        <v>2781</v>
      </c>
      <c r="J88" s="142" t="s">
        <v>2782</v>
      </c>
      <c r="K88" s="142" t="s">
        <v>2783</v>
      </c>
      <c r="L88" s="142" t="s">
        <v>2784</v>
      </c>
      <c r="M88" s="142" t="s">
        <v>2785</v>
      </c>
      <c r="N88" s="180" t="s">
        <v>2786</v>
      </c>
      <c r="O88" s="498" t="s">
        <v>2787</v>
      </c>
      <c r="P88" s="198" t="s">
        <v>2788</v>
      </c>
      <c r="Q88" s="164" t="s">
        <v>2789</v>
      </c>
      <c r="R88" s="164" t="s">
        <v>2790</v>
      </c>
      <c r="S88" s="164" t="s">
        <v>2791</v>
      </c>
      <c r="T88" s="198" t="s">
        <v>2792</v>
      </c>
      <c r="U88" s="198" t="s">
        <v>2793</v>
      </c>
      <c r="V88" s="198" t="s">
        <v>2794</v>
      </c>
      <c r="W88" s="1162" t="e">
        <f t="shared" si="37"/>
        <v>#VALUE!</v>
      </c>
      <c r="X88" s="1058"/>
      <c r="Y88" s="1058"/>
      <c r="Z88" s="1058"/>
      <c r="AA88" s="1058"/>
      <c r="AB88" s="1058"/>
      <c r="AC88" s="1058"/>
      <c r="AD88" s="1058"/>
      <c r="AE88" s="1058"/>
      <c r="AF88" s="1058"/>
      <c r="AG88" s="94"/>
      <c r="AH88" s="94"/>
      <c r="BW88" s="79"/>
      <c r="BX88" s="79"/>
      <c r="CB88" s="1031" t="str">
        <f t="shared" si="38"/>
        <v xml:space="preserve">* El número de Embarazadas NO DEBE ser mayor que el total. </v>
      </c>
      <c r="CC88" s="1031" t="str">
        <f t="shared" si="39"/>
        <v xml:space="preserve">* El número de Beneficiarios NO DEBE ser mayor que el total. </v>
      </c>
      <c r="CD88" s="1031" t="str">
        <f t="shared" si="40"/>
        <v xml:space="preserve">* El número de 60 Años NO DEBE ser mayor que el total. </v>
      </c>
      <c r="CE88" s="1031" t="str">
        <f t="shared" si="41"/>
        <v xml:space="preserve">* El número de Usuarios en situación de Discapacidad NO DEBE ser mayor que el total. </v>
      </c>
      <c r="CF88" s="1031" t="str">
        <f t="shared" si="42"/>
        <v xml:space="preserve">* El número de Niños, Niñas, Adolescentes y Jóvenes Población SENAME NO DEBE ser mayor que el total. </v>
      </c>
      <c r="CG88" s="1031" t="str">
        <f t="shared" si="43"/>
        <v xml:space="preserve">* El número de Migrantes NO DEBE ser mayor que el total. </v>
      </c>
      <c r="CH88" s="1031" t="e">
        <f t="shared" si="44"/>
        <v>#VALUE!</v>
      </c>
      <c r="CI88" s="1163">
        <f t="shared" si="45"/>
        <v>1</v>
      </c>
      <c r="CJ88" s="1163">
        <f t="shared" si="45"/>
        <v>1</v>
      </c>
      <c r="CK88" s="1163">
        <f t="shared" si="45"/>
        <v>1</v>
      </c>
      <c r="CL88" s="1163">
        <f t="shared" si="46"/>
        <v>1</v>
      </c>
      <c r="CM88" s="1163">
        <f t="shared" si="46"/>
        <v>1</v>
      </c>
      <c r="CN88" s="1163">
        <f t="shared" si="46"/>
        <v>1</v>
      </c>
      <c r="CO88" s="1163" t="e">
        <f t="shared" si="47"/>
        <v>#VALUE!</v>
      </c>
    </row>
    <row r="89" spans="1:93" ht="16.350000000000001" customHeight="1" x14ac:dyDescent="0.2">
      <c r="A89" s="4662" t="s">
        <v>3842</v>
      </c>
      <c r="B89" s="6110" t="s">
        <v>1971</v>
      </c>
      <c r="C89" s="6111"/>
      <c r="D89" s="6112"/>
      <c r="E89" s="4761" t="s">
        <v>2777</v>
      </c>
      <c r="F89" s="141" t="s">
        <v>2778</v>
      </c>
      <c r="G89" s="180" t="s">
        <v>2779</v>
      </c>
      <c r="H89" s="141" t="s">
        <v>2780</v>
      </c>
      <c r="I89" s="2396" t="s">
        <v>2781</v>
      </c>
      <c r="J89" s="2396" t="s">
        <v>2782</v>
      </c>
      <c r="K89" s="2396" t="s">
        <v>2783</v>
      </c>
      <c r="L89" s="2396" t="s">
        <v>2784</v>
      </c>
      <c r="M89" s="2396" t="s">
        <v>2785</v>
      </c>
      <c r="N89" s="2977" t="s">
        <v>2786</v>
      </c>
      <c r="O89" s="2986" t="s">
        <v>2787</v>
      </c>
      <c r="P89" s="2975" t="s">
        <v>2788</v>
      </c>
      <c r="Q89" s="2580" t="s">
        <v>2789</v>
      </c>
      <c r="R89" s="2580" t="s">
        <v>2790</v>
      </c>
      <c r="S89" s="2580" t="s">
        <v>2791</v>
      </c>
      <c r="T89" s="2975" t="s">
        <v>2792</v>
      </c>
      <c r="U89" s="2975" t="s">
        <v>2793</v>
      </c>
      <c r="V89" s="2975" t="s">
        <v>2794</v>
      </c>
      <c r="W89" s="1162" t="e">
        <f t="shared" si="37"/>
        <v>#VALUE!</v>
      </c>
      <c r="X89" s="1058"/>
      <c r="Y89" s="1058"/>
      <c r="Z89" s="1058"/>
      <c r="AA89" s="1058"/>
      <c r="AB89" s="1058"/>
      <c r="AC89" s="1058"/>
      <c r="AD89" s="1058"/>
      <c r="AE89" s="1058"/>
      <c r="AF89" s="1058"/>
      <c r="AG89" s="94"/>
      <c r="AH89" s="94"/>
      <c r="BW89" s="79"/>
      <c r="BX89" s="79"/>
      <c r="CB89" s="1031" t="str">
        <f t="shared" si="38"/>
        <v xml:space="preserve">* El número de Embarazadas NO DEBE ser mayor que el total. </v>
      </c>
      <c r="CC89" s="1031" t="str">
        <f t="shared" si="39"/>
        <v xml:space="preserve">* El número de Beneficiarios NO DEBE ser mayor que el total. </v>
      </c>
      <c r="CD89" s="1031" t="str">
        <f t="shared" si="40"/>
        <v xml:space="preserve">* El número de 60 Años NO DEBE ser mayor que el total. </v>
      </c>
      <c r="CE89" s="1031" t="str">
        <f t="shared" si="41"/>
        <v xml:space="preserve">* El número de Usuarios en situación de Discapacidad NO DEBE ser mayor que el total. </v>
      </c>
      <c r="CF89" s="1031" t="str">
        <f t="shared" si="42"/>
        <v xml:space="preserve">* El número de Niños, Niñas, Adolescentes y Jóvenes Población SENAME NO DEBE ser mayor que el total. </v>
      </c>
      <c r="CG89" s="1031" t="str">
        <f t="shared" si="43"/>
        <v xml:space="preserve">* El número de Migrantes NO DEBE ser mayor que el total. </v>
      </c>
      <c r="CH89" s="1031" t="e">
        <f t="shared" si="44"/>
        <v>#VALUE!</v>
      </c>
      <c r="CI89" s="1163">
        <f t="shared" si="45"/>
        <v>1</v>
      </c>
      <c r="CJ89" s="1163">
        <f t="shared" si="45"/>
        <v>1</v>
      </c>
      <c r="CK89" s="1163">
        <f t="shared" si="45"/>
        <v>1</v>
      </c>
      <c r="CL89" s="1163">
        <f t="shared" si="46"/>
        <v>1</v>
      </c>
      <c r="CM89" s="1163">
        <f t="shared" si="46"/>
        <v>1</v>
      </c>
      <c r="CN89" s="1163">
        <f t="shared" si="46"/>
        <v>1</v>
      </c>
      <c r="CO89" s="1163" t="e">
        <f t="shared" si="47"/>
        <v>#VALUE!</v>
      </c>
    </row>
    <row r="90" spans="1:93" ht="16.350000000000001" customHeight="1" x14ac:dyDescent="0.2">
      <c r="A90" s="4662" t="s">
        <v>3843</v>
      </c>
      <c r="B90" s="6110" t="s">
        <v>1972</v>
      </c>
      <c r="C90" s="6111"/>
      <c r="D90" s="6112"/>
      <c r="E90" s="4761" t="s">
        <v>2777</v>
      </c>
      <c r="F90" s="141" t="s">
        <v>2778</v>
      </c>
      <c r="G90" s="180" t="s">
        <v>2779</v>
      </c>
      <c r="H90" s="1104" t="s">
        <v>2780</v>
      </c>
      <c r="I90" s="4949" t="s">
        <v>2781</v>
      </c>
      <c r="J90" s="4949" t="s">
        <v>2782</v>
      </c>
      <c r="K90" s="4949" t="s">
        <v>2783</v>
      </c>
      <c r="L90" s="4949" t="s">
        <v>2784</v>
      </c>
      <c r="M90" s="2396" t="s">
        <v>2785</v>
      </c>
      <c r="N90" s="2977" t="s">
        <v>2786</v>
      </c>
      <c r="O90" s="2986" t="s">
        <v>2787</v>
      </c>
      <c r="P90" s="2975" t="s">
        <v>2788</v>
      </c>
      <c r="Q90" s="2580" t="s">
        <v>2789</v>
      </c>
      <c r="R90" s="2580" t="s">
        <v>2790</v>
      </c>
      <c r="S90" s="2580" t="s">
        <v>2791</v>
      </c>
      <c r="T90" s="2975" t="s">
        <v>2792</v>
      </c>
      <c r="U90" s="2975" t="s">
        <v>2793</v>
      </c>
      <c r="V90" s="2975" t="s">
        <v>2794</v>
      </c>
      <c r="W90" s="1162" t="e">
        <f t="shared" si="37"/>
        <v>#VALUE!</v>
      </c>
      <c r="X90" s="1058"/>
      <c r="Y90" s="1058"/>
      <c r="Z90" s="1058"/>
      <c r="AA90" s="1058"/>
      <c r="AB90" s="1058"/>
      <c r="AC90" s="1058"/>
      <c r="AD90" s="1058"/>
      <c r="AE90" s="1058"/>
      <c r="AF90" s="1058"/>
      <c r="AG90" s="94"/>
      <c r="AH90" s="94"/>
      <c r="BW90" s="79"/>
      <c r="BX90" s="79"/>
      <c r="CB90" s="1031" t="str">
        <f t="shared" si="38"/>
        <v xml:space="preserve">* El número de Embarazadas NO DEBE ser mayor que el total. </v>
      </c>
      <c r="CC90" s="1031" t="str">
        <f t="shared" si="39"/>
        <v xml:space="preserve">* El número de Beneficiarios NO DEBE ser mayor que el total. </v>
      </c>
      <c r="CD90" s="1031" t="str">
        <f t="shared" si="40"/>
        <v xml:space="preserve">* El número de 60 Años NO DEBE ser mayor que el total. </v>
      </c>
      <c r="CE90" s="1031" t="str">
        <f t="shared" si="41"/>
        <v xml:space="preserve">* El número de Usuarios en situación de Discapacidad NO DEBE ser mayor que el total. </v>
      </c>
      <c r="CF90" s="1031" t="str">
        <f t="shared" si="42"/>
        <v xml:space="preserve">* El número de Niños, Niñas, Adolescentes y Jóvenes Población SENAME NO DEBE ser mayor que el total. </v>
      </c>
      <c r="CG90" s="1031" t="str">
        <f t="shared" si="43"/>
        <v xml:space="preserve">* El número de Migrantes NO DEBE ser mayor que el total. </v>
      </c>
      <c r="CH90" s="1031" t="e">
        <f t="shared" si="44"/>
        <v>#VALUE!</v>
      </c>
      <c r="CI90" s="1163">
        <f t="shared" si="45"/>
        <v>1</v>
      </c>
      <c r="CJ90" s="1163">
        <f t="shared" si="45"/>
        <v>1</v>
      </c>
      <c r="CK90" s="1163">
        <f t="shared" si="45"/>
        <v>1</v>
      </c>
      <c r="CL90" s="1163">
        <f t="shared" si="46"/>
        <v>1</v>
      </c>
      <c r="CM90" s="1163">
        <f t="shared" si="46"/>
        <v>1</v>
      </c>
      <c r="CN90" s="1163">
        <f t="shared" si="46"/>
        <v>1</v>
      </c>
      <c r="CO90" s="1163" t="e">
        <f t="shared" si="47"/>
        <v>#VALUE!</v>
      </c>
    </row>
    <row r="91" spans="1:93" ht="16.350000000000001" customHeight="1" x14ac:dyDescent="0.2">
      <c r="A91" s="4651" t="s">
        <v>3794</v>
      </c>
      <c r="B91" s="6125" t="s">
        <v>1973</v>
      </c>
      <c r="C91" s="6125"/>
      <c r="D91" s="6125"/>
      <c r="E91" s="349" t="s">
        <v>2777</v>
      </c>
      <c r="F91" s="141" t="s">
        <v>2778</v>
      </c>
      <c r="G91" s="180" t="s">
        <v>2779</v>
      </c>
      <c r="H91" s="141" t="s">
        <v>2780</v>
      </c>
      <c r="I91" s="142" t="s">
        <v>2781</v>
      </c>
      <c r="J91" s="142" t="s">
        <v>2782</v>
      </c>
      <c r="K91" s="142" t="s">
        <v>2783</v>
      </c>
      <c r="L91" s="142" t="s">
        <v>2784</v>
      </c>
      <c r="M91" s="142" t="s">
        <v>2785</v>
      </c>
      <c r="N91" s="1605" t="s">
        <v>2786</v>
      </c>
      <c r="O91" s="4950" t="s">
        <v>2787</v>
      </c>
      <c r="P91" s="164" t="s">
        <v>2788</v>
      </c>
      <c r="Q91" s="164" t="s">
        <v>2789</v>
      </c>
      <c r="R91" s="4951" t="s">
        <v>2790</v>
      </c>
      <c r="S91" s="164" t="s">
        <v>2791</v>
      </c>
      <c r="T91" s="198" t="s">
        <v>2792</v>
      </c>
      <c r="U91" s="198" t="s">
        <v>2793</v>
      </c>
      <c r="V91" s="198" t="s">
        <v>2794</v>
      </c>
      <c r="W91" s="1162" t="e">
        <f t="shared" si="37"/>
        <v>#VALUE!</v>
      </c>
      <c r="X91" s="1058"/>
      <c r="Y91" s="1058"/>
      <c r="Z91" s="1058"/>
      <c r="AA91" s="1058"/>
      <c r="AB91" s="1058"/>
      <c r="AC91" s="1058"/>
      <c r="AD91" s="1058"/>
      <c r="AE91" s="1058"/>
      <c r="AF91" s="1058"/>
      <c r="AG91" s="94"/>
      <c r="AH91" s="94"/>
      <c r="BW91" s="79"/>
      <c r="BX91" s="79"/>
      <c r="CB91" s="1031" t="str">
        <f t="shared" si="38"/>
        <v xml:space="preserve">* El número de Embarazadas NO DEBE ser mayor que el total. </v>
      </c>
      <c r="CC91" s="1031" t="str">
        <f t="shared" si="39"/>
        <v xml:space="preserve">* El número de Beneficiarios NO DEBE ser mayor que el total. </v>
      </c>
      <c r="CD91" s="1031"/>
      <c r="CE91" s="1031" t="str">
        <f t="shared" si="41"/>
        <v xml:space="preserve">* El número de Usuarios en situación de Discapacidad NO DEBE ser mayor que el total. </v>
      </c>
      <c r="CF91" s="1031" t="str">
        <f t="shared" si="42"/>
        <v xml:space="preserve">* El número de Niños, Niñas, Adolescentes y Jóvenes Población SENAME NO DEBE ser mayor que el total. </v>
      </c>
      <c r="CG91" s="1031" t="str">
        <f t="shared" si="43"/>
        <v xml:space="preserve">* El número de Migrantes NO DEBE ser mayor que el total. </v>
      </c>
      <c r="CH91" s="1031" t="e">
        <f t="shared" si="44"/>
        <v>#VALUE!</v>
      </c>
      <c r="CI91" s="1163">
        <f t="shared" si="45"/>
        <v>1</v>
      </c>
      <c r="CJ91" s="1163">
        <f t="shared" si="45"/>
        <v>1</v>
      </c>
      <c r="CK91" s="1163"/>
      <c r="CL91" s="1163">
        <f t="shared" si="46"/>
        <v>1</v>
      </c>
      <c r="CM91" s="1163">
        <f t="shared" si="46"/>
        <v>1</v>
      </c>
      <c r="CN91" s="1163">
        <f t="shared" si="46"/>
        <v>1</v>
      </c>
      <c r="CO91" s="1163" t="e">
        <f t="shared" si="47"/>
        <v>#VALUE!</v>
      </c>
    </row>
    <row r="92" spans="1:93" ht="16.350000000000001" customHeight="1" x14ac:dyDescent="0.2">
      <c r="A92" s="4651" t="s">
        <v>3788</v>
      </c>
      <c r="B92" s="6127" t="s">
        <v>1974</v>
      </c>
      <c r="C92" s="6128"/>
      <c r="D92" s="6129"/>
      <c r="E92" s="4762" t="s">
        <v>2777</v>
      </c>
      <c r="F92" s="141" t="s">
        <v>2778</v>
      </c>
      <c r="G92" s="180" t="s">
        <v>2779</v>
      </c>
      <c r="H92" s="1104" t="s">
        <v>2780</v>
      </c>
      <c r="I92" s="1596" t="s">
        <v>2781</v>
      </c>
      <c r="J92" s="1596" t="s">
        <v>2782</v>
      </c>
      <c r="K92" s="142" t="s">
        <v>2783</v>
      </c>
      <c r="L92" s="142" t="s">
        <v>2784</v>
      </c>
      <c r="M92" s="142" t="s">
        <v>2785</v>
      </c>
      <c r="N92" s="1605" t="s">
        <v>2786</v>
      </c>
      <c r="O92" s="4950" t="s">
        <v>2787</v>
      </c>
      <c r="P92" s="164" t="s">
        <v>2788</v>
      </c>
      <c r="Q92" s="164" t="s">
        <v>2789</v>
      </c>
      <c r="R92" s="4951" t="s">
        <v>2790</v>
      </c>
      <c r="S92" s="164" t="s">
        <v>2791</v>
      </c>
      <c r="T92" s="198" t="s">
        <v>2792</v>
      </c>
      <c r="U92" s="198" t="s">
        <v>2793</v>
      </c>
      <c r="V92" s="198" t="s">
        <v>2794</v>
      </c>
      <c r="W92" s="1162" t="e">
        <f t="shared" si="37"/>
        <v>#VALUE!</v>
      </c>
      <c r="X92" s="1058"/>
      <c r="Y92" s="1058"/>
      <c r="Z92" s="1058"/>
      <c r="AA92" s="1058"/>
      <c r="AB92" s="1058"/>
      <c r="AC92" s="1058"/>
      <c r="AD92" s="1058"/>
      <c r="AE92" s="1058"/>
      <c r="AF92" s="1058"/>
      <c r="AG92" s="94"/>
      <c r="AH92" s="94"/>
      <c r="BW92" s="79"/>
      <c r="BX92" s="79"/>
      <c r="CB92" s="1031" t="str">
        <f t="shared" si="38"/>
        <v xml:space="preserve">* El número de Embarazadas NO DEBE ser mayor que el total. </v>
      </c>
      <c r="CC92" s="1031" t="str">
        <f t="shared" si="39"/>
        <v xml:space="preserve">* El número de Beneficiarios NO DEBE ser mayor que el total. </v>
      </c>
      <c r="CD92" s="1031"/>
      <c r="CE92" s="1031" t="str">
        <f t="shared" si="41"/>
        <v xml:space="preserve">* El número de Usuarios en situación de Discapacidad NO DEBE ser mayor que el total. </v>
      </c>
      <c r="CF92" s="1031" t="str">
        <f t="shared" si="42"/>
        <v xml:space="preserve">* El número de Niños, Niñas, Adolescentes y Jóvenes Población SENAME NO DEBE ser mayor que el total. </v>
      </c>
      <c r="CG92" s="1031" t="str">
        <f t="shared" si="43"/>
        <v xml:space="preserve">* El número de Migrantes NO DEBE ser mayor que el total. </v>
      </c>
      <c r="CH92" s="1031" t="e">
        <f t="shared" si="44"/>
        <v>#VALUE!</v>
      </c>
      <c r="CI92" s="1163">
        <f t="shared" si="45"/>
        <v>1</v>
      </c>
      <c r="CJ92" s="1163">
        <f t="shared" si="45"/>
        <v>1</v>
      </c>
      <c r="CK92" s="1163"/>
      <c r="CL92" s="1163">
        <f t="shared" si="46"/>
        <v>1</v>
      </c>
      <c r="CM92" s="1163">
        <f t="shared" si="46"/>
        <v>1</v>
      </c>
      <c r="CN92" s="1163">
        <f t="shared" si="46"/>
        <v>1</v>
      </c>
      <c r="CO92" s="1163" t="e">
        <f t="shared" si="47"/>
        <v>#VALUE!</v>
      </c>
    </row>
    <row r="93" spans="1:93" ht="16.350000000000001" customHeight="1" x14ac:dyDescent="0.2">
      <c r="A93" s="4651" t="s">
        <v>3789</v>
      </c>
      <c r="B93" s="6127" t="s">
        <v>1975</v>
      </c>
      <c r="C93" s="6128"/>
      <c r="D93" s="6129"/>
      <c r="E93" s="4751" t="s">
        <v>2777</v>
      </c>
      <c r="F93" s="141" t="s">
        <v>2778</v>
      </c>
      <c r="G93" s="180" t="s">
        <v>2779</v>
      </c>
      <c r="H93" s="1104" t="s">
        <v>2780</v>
      </c>
      <c r="I93" s="1596" t="s">
        <v>2781</v>
      </c>
      <c r="J93" s="1596" t="s">
        <v>2782</v>
      </c>
      <c r="K93" s="142" t="s">
        <v>2783</v>
      </c>
      <c r="L93" s="142" t="s">
        <v>2784</v>
      </c>
      <c r="M93" s="142" t="s">
        <v>2785</v>
      </c>
      <c r="N93" s="1605" t="s">
        <v>2786</v>
      </c>
      <c r="O93" s="4950" t="s">
        <v>2787</v>
      </c>
      <c r="P93" s="164" t="s">
        <v>2788</v>
      </c>
      <c r="Q93" s="164" t="s">
        <v>2789</v>
      </c>
      <c r="R93" s="4951" t="s">
        <v>2790</v>
      </c>
      <c r="S93" s="164" t="s">
        <v>2791</v>
      </c>
      <c r="T93" s="198" t="s">
        <v>2792</v>
      </c>
      <c r="U93" s="198" t="s">
        <v>2793</v>
      </c>
      <c r="V93" s="198" t="s">
        <v>2794</v>
      </c>
      <c r="W93" s="1162" t="e">
        <f t="shared" si="37"/>
        <v>#VALUE!</v>
      </c>
      <c r="X93" s="1058"/>
      <c r="Y93" s="1058"/>
      <c r="Z93" s="1058"/>
      <c r="AA93" s="1058"/>
      <c r="AB93" s="1058"/>
      <c r="AC93" s="1058"/>
      <c r="AD93" s="1058"/>
      <c r="AE93" s="1058"/>
      <c r="AF93" s="1058"/>
      <c r="AG93" s="94"/>
      <c r="AH93" s="94"/>
      <c r="BW93" s="79"/>
      <c r="BX93" s="79"/>
      <c r="CB93" s="1031" t="str">
        <f t="shared" si="38"/>
        <v xml:space="preserve">* El número de Embarazadas NO DEBE ser mayor que el total. </v>
      </c>
      <c r="CC93" s="1031" t="str">
        <f t="shared" si="39"/>
        <v xml:space="preserve">* El número de Beneficiarios NO DEBE ser mayor que el total. </v>
      </c>
      <c r="CD93" s="1031"/>
      <c r="CE93" s="1031" t="str">
        <f t="shared" si="41"/>
        <v xml:space="preserve">* El número de Usuarios en situación de Discapacidad NO DEBE ser mayor que el total. </v>
      </c>
      <c r="CF93" s="1031" t="str">
        <f t="shared" si="42"/>
        <v xml:space="preserve">* El número de Niños, Niñas, Adolescentes y Jóvenes Población SENAME NO DEBE ser mayor que el total. </v>
      </c>
      <c r="CG93" s="1031" t="str">
        <f t="shared" si="43"/>
        <v xml:space="preserve">* El número de Migrantes NO DEBE ser mayor que el total. </v>
      </c>
      <c r="CH93" s="1031" t="e">
        <f t="shared" si="44"/>
        <v>#VALUE!</v>
      </c>
      <c r="CI93" s="1163">
        <f t="shared" si="45"/>
        <v>1</v>
      </c>
      <c r="CJ93" s="1163">
        <f t="shared" si="45"/>
        <v>1</v>
      </c>
      <c r="CK93" s="1163"/>
      <c r="CL93" s="1163">
        <f t="shared" si="46"/>
        <v>1</v>
      </c>
      <c r="CM93" s="1163">
        <f t="shared" si="46"/>
        <v>1</v>
      </c>
      <c r="CN93" s="1163">
        <f t="shared" si="46"/>
        <v>1</v>
      </c>
      <c r="CO93" s="1163" t="e">
        <f t="shared" si="47"/>
        <v>#VALUE!</v>
      </c>
    </row>
    <row r="94" spans="1:93" ht="16.350000000000001" customHeight="1" x14ac:dyDescent="0.2">
      <c r="A94" s="4662" t="s">
        <v>3844</v>
      </c>
      <c r="B94" s="6124" t="s">
        <v>2769</v>
      </c>
      <c r="C94" s="6124"/>
      <c r="D94" s="6124"/>
      <c r="E94" s="349" t="s">
        <v>2777</v>
      </c>
      <c r="F94" s="141" t="s">
        <v>2778</v>
      </c>
      <c r="G94" s="180" t="s">
        <v>2779</v>
      </c>
      <c r="H94" s="141" t="s">
        <v>2780</v>
      </c>
      <c r="I94" s="142" t="s">
        <v>2781</v>
      </c>
      <c r="J94" s="142" t="s">
        <v>2782</v>
      </c>
      <c r="K94" s="142" t="s">
        <v>2783</v>
      </c>
      <c r="L94" s="142" t="s">
        <v>2784</v>
      </c>
      <c r="M94" s="142" t="s">
        <v>2785</v>
      </c>
      <c r="N94" s="180" t="s">
        <v>2786</v>
      </c>
      <c r="O94" s="498" t="s">
        <v>2787</v>
      </c>
      <c r="P94" s="164" t="s">
        <v>2788</v>
      </c>
      <c r="Q94" s="164" t="s">
        <v>2789</v>
      </c>
      <c r="R94" s="4951" t="s">
        <v>2790</v>
      </c>
      <c r="S94" s="164" t="s">
        <v>2791</v>
      </c>
      <c r="T94" s="198" t="s">
        <v>2792</v>
      </c>
      <c r="U94" s="198" t="s">
        <v>2793</v>
      </c>
      <c r="V94" s="198" t="s">
        <v>2794</v>
      </c>
      <c r="W94" s="1162" t="e">
        <f t="shared" si="37"/>
        <v>#VALUE!</v>
      </c>
      <c r="X94" s="1058"/>
      <c r="Y94" s="1058"/>
      <c r="Z94" s="1058"/>
      <c r="AA94" s="1058"/>
      <c r="AB94" s="1058"/>
      <c r="AC94" s="1058"/>
      <c r="AD94" s="1058"/>
      <c r="AE94" s="1058"/>
      <c r="AF94" s="1058"/>
      <c r="AG94" s="94"/>
      <c r="AH94" s="94"/>
      <c r="BW94" s="79"/>
      <c r="BX94" s="79"/>
      <c r="CB94" s="1031" t="str">
        <f t="shared" si="38"/>
        <v xml:space="preserve">* El número de Embarazadas NO DEBE ser mayor que el total. </v>
      </c>
      <c r="CC94" s="1031" t="str">
        <f t="shared" si="39"/>
        <v xml:space="preserve">* El número de Beneficiarios NO DEBE ser mayor que el total. </v>
      </c>
      <c r="CD94" s="1031"/>
      <c r="CE94" s="1031" t="str">
        <f t="shared" si="41"/>
        <v xml:space="preserve">* El número de Usuarios en situación de Discapacidad NO DEBE ser mayor que el total. </v>
      </c>
      <c r="CF94" s="1031" t="str">
        <f t="shared" si="42"/>
        <v xml:space="preserve">* El número de Niños, Niñas, Adolescentes y Jóvenes Población SENAME NO DEBE ser mayor que el total. </v>
      </c>
      <c r="CG94" s="1031" t="str">
        <f t="shared" si="43"/>
        <v xml:space="preserve">* El número de Migrantes NO DEBE ser mayor que el total. </v>
      </c>
      <c r="CH94" s="1031" t="e">
        <f t="shared" si="44"/>
        <v>#VALUE!</v>
      </c>
      <c r="CI94" s="1163">
        <f t="shared" si="45"/>
        <v>1</v>
      </c>
      <c r="CJ94" s="1163">
        <f t="shared" si="45"/>
        <v>1</v>
      </c>
      <c r="CK94" s="1163"/>
      <c r="CL94" s="1163">
        <f t="shared" si="46"/>
        <v>1</v>
      </c>
      <c r="CM94" s="1163">
        <f t="shared" si="46"/>
        <v>1</v>
      </c>
      <c r="CN94" s="1163">
        <f t="shared" si="46"/>
        <v>1</v>
      </c>
      <c r="CO94" s="1163" t="e">
        <f t="shared" si="47"/>
        <v>#VALUE!</v>
      </c>
    </row>
    <row r="95" spans="1:93" ht="16.350000000000001" customHeight="1" x14ac:dyDescent="0.2">
      <c r="A95" s="4662" t="s">
        <v>3845</v>
      </c>
      <c r="B95" s="6124" t="s">
        <v>1976</v>
      </c>
      <c r="C95" s="6124"/>
      <c r="D95" s="6124"/>
      <c r="E95" s="349" t="s">
        <v>2777</v>
      </c>
      <c r="F95" s="141" t="s">
        <v>2778</v>
      </c>
      <c r="G95" s="180" t="s">
        <v>2779</v>
      </c>
      <c r="H95" s="141" t="s">
        <v>2780</v>
      </c>
      <c r="I95" s="142" t="s">
        <v>2781</v>
      </c>
      <c r="J95" s="247" t="s">
        <v>2782</v>
      </c>
      <c r="K95" s="142" t="s">
        <v>2783</v>
      </c>
      <c r="L95" s="142" t="s">
        <v>2784</v>
      </c>
      <c r="M95" s="145" t="s">
        <v>2785</v>
      </c>
      <c r="N95" s="161" t="s">
        <v>2786</v>
      </c>
      <c r="O95" s="641" t="s">
        <v>2787</v>
      </c>
      <c r="P95" s="164" t="s">
        <v>2788</v>
      </c>
      <c r="Q95" s="164" t="s">
        <v>2789</v>
      </c>
      <c r="R95" s="939" t="s">
        <v>2790</v>
      </c>
      <c r="S95" s="164" t="s">
        <v>2791</v>
      </c>
      <c r="T95" s="198" t="s">
        <v>2792</v>
      </c>
      <c r="U95" s="198" t="s">
        <v>2793</v>
      </c>
      <c r="V95" s="198" t="s">
        <v>2794</v>
      </c>
      <c r="W95" s="1162" t="e">
        <f t="shared" si="37"/>
        <v>#VALUE!</v>
      </c>
      <c r="X95" s="1058"/>
      <c r="Y95" s="1058"/>
      <c r="Z95" s="1058"/>
      <c r="AA95" s="1058"/>
      <c r="AB95" s="1058"/>
      <c r="AC95" s="1058"/>
      <c r="AD95" s="1058"/>
      <c r="AE95" s="1058"/>
      <c r="AF95" s="1058"/>
      <c r="AG95" s="94"/>
      <c r="AH95" s="94"/>
      <c r="BW95" s="79"/>
      <c r="BX95" s="79"/>
      <c r="CB95" s="1031" t="str">
        <f t="shared" si="38"/>
        <v xml:space="preserve">* El número de Embarazadas NO DEBE ser mayor que el total. </v>
      </c>
      <c r="CC95" s="1031" t="str">
        <f t="shared" si="39"/>
        <v xml:space="preserve">* El número de Beneficiarios NO DEBE ser mayor que el total. </v>
      </c>
      <c r="CD95" s="1031"/>
      <c r="CE95" s="1031" t="str">
        <f t="shared" si="41"/>
        <v xml:space="preserve">* El número de Usuarios en situación de Discapacidad NO DEBE ser mayor que el total. </v>
      </c>
      <c r="CF95" s="1031" t="str">
        <f t="shared" si="42"/>
        <v xml:space="preserve">* El número de Niños, Niñas, Adolescentes y Jóvenes Población SENAME NO DEBE ser mayor que el total. </v>
      </c>
      <c r="CG95" s="1031" t="str">
        <f t="shared" si="43"/>
        <v xml:space="preserve">* El número de Migrantes NO DEBE ser mayor que el total. </v>
      </c>
      <c r="CH95" s="1031" t="e">
        <f t="shared" si="44"/>
        <v>#VALUE!</v>
      </c>
      <c r="CI95" s="1163">
        <f t="shared" si="45"/>
        <v>1</v>
      </c>
      <c r="CJ95" s="1163">
        <f t="shared" si="45"/>
        <v>1</v>
      </c>
      <c r="CK95" s="1163"/>
      <c r="CL95" s="1163">
        <f t="shared" si="46"/>
        <v>1</v>
      </c>
      <c r="CM95" s="1163">
        <f t="shared" si="46"/>
        <v>1</v>
      </c>
      <c r="CN95" s="1163">
        <f t="shared" si="46"/>
        <v>1</v>
      </c>
      <c r="CO95" s="1163" t="e">
        <f t="shared" si="47"/>
        <v>#VALUE!</v>
      </c>
    </row>
    <row r="96" spans="1:93" ht="16.350000000000001" customHeight="1" x14ac:dyDescent="0.2">
      <c r="A96" s="4662" t="s">
        <v>3846</v>
      </c>
      <c r="B96" s="6124" t="s">
        <v>1977</v>
      </c>
      <c r="C96" s="6124"/>
      <c r="D96" s="6124"/>
      <c r="E96" s="349" t="s">
        <v>2777</v>
      </c>
      <c r="F96" s="141" t="s">
        <v>2778</v>
      </c>
      <c r="G96" s="180" t="s">
        <v>2779</v>
      </c>
      <c r="H96" s="4814" t="s">
        <v>2780</v>
      </c>
      <c r="I96" s="142" t="s">
        <v>2781</v>
      </c>
      <c r="J96" s="247" t="s">
        <v>2782</v>
      </c>
      <c r="K96" s="142" t="s">
        <v>2783</v>
      </c>
      <c r="L96" s="4952" t="s">
        <v>2784</v>
      </c>
      <c r="M96" s="1596" t="s">
        <v>2785</v>
      </c>
      <c r="N96" s="1605" t="s">
        <v>2786</v>
      </c>
      <c r="O96" s="4950" t="s">
        <v>2787</v>
      </c>
      <c r="P96" s="164" t="s">
        <v>2788</v>
      </c>
      <c r="Q96" s="164" t="s">
        <v>2789</v>
      </c>
      <c r="R96" s="4951" t="s">
        <v>2790</v>
      </c>
      <c r="S96" s="164" t="s">
        <v>2791</v>
      </c>
      <c r="T96" s="198" t="s">
        <v>2792</v>
      </c>
      <c r="U96" s="198" t="s">
        <v>2793</v>
      </c>
      <c r="V96" s="198" t="s">
        <v>2794</v>
      </c>
      <c r="W96" s="1162" t="e">
        <f t="shared" si="37"/>
        <v>#VALUE!</v>
      </c>
      <c r="X96" s="1058"/>
      <c r="Y96" s="1058"/>
      <c r="Z96" s="1058"/>
      <c r="AA96" s="1058"/>
      <c r="AB96" s="1058"/>
      <c r="AC96" s="1058"/>
      <c r="AD96" s="1058"/>
      <c r="AE96" s="1058"/>
      <c r="AF96" s="1058"/>
      <c r="AG96" s="94"/>
      <c r="AH96" s="94"/>
      <c r="BW96" s="79"/>
      <c r="BX96" s="79"/>
      <c r="CB96" s="1031" t="str">
        <f t="shared" si="38"/>
        <v xml:space="preserve">* El número de Embarazadas NO DEBE ser mayor que el total. </v>
      </c>
      <c r="CC96" s="1031" t="str">
        <f t="shared" si="39"/>
        <v xml:space="preserve">* El número de Beneficiarios NO DEBE ser mayor que el total. </v>
      </c>
      <c r="CD96" s="1031"/>
      <c r="CE96" s="1031" t="str">
        <f t="shared" si="41"/>
        <v xml:space="preserve">* El número de Usuarios en situación de Discapacidad NO DEBE ser mayor que el total. </v>
      </c>
      <c r="CF96" s="1031" t="str">
        <f t="shared" si="42"/>
        <v xml:space="preserve">* El número de Niños, Niñas, Adolescentes y Jóvenes Población SENAME NO DEBE ser mayor que el total. </v>
      </c>
      <c r="CG96" s="1031" t="str">
        <f t="shared" si="43"/>
        <v xml:space="preserve">* El número de Migrantes NO DEBE ser mayor que el total. </v>
      </c>
      <c r="CH96" s="1031" t="e">
        <f t="shared" si="44"/>
        <v>#VALUE!</v>
      </c>
      <c r="CI96" s="1163">
        <f t="shared" ref="CI96:CK111" si="48">IF(AND($E96&lt;&gt;0,P96=""),1,IF($E96&lt;P96,1,0))</f>
        <v>1</v>
      </c>
      <c r="CJ96" s="1163">
        <f t="shared" si="48"/>
        <v>1</v>
      </c>
      <c r="CK96" s="1163"/>
      <c r="CL96" s="1163">
        <f t="shared" si="46"/>
        <v>1</v>
      </c>
      <c r="CM96" s="1163">
        <f t="shared" si="46"/>
        <v>1</v>
      </c>
      <c r="CN96" s="1163">
        <f t="shared" si="46"/>
        <v>1</v>
      </c>
      <c r="CO96" s="1163" t="e">
        <f t="shared" si="47"/>
        <v>#VALUE!</v>
      </c>
    </row>
    <row r="97" spans="1:93" ht="16.350000000000001" customHeight="1" x14ac:dyDescent="0.2">
      <c r="A97" s="3009" t="s">
        <v>3605</v>
      </c>
      <c r="B97" s="5983" t="s">
        <v>1092</v>
      </c>
      <c r="C97" s="5983"/>
      <c r="D97" s="5983"/>
      <c r="E97" s="760" t="s">
        <v>2777</v>
      </c>
      <c r="F97" s="141" t="s">
        <v>2778</v>
      </c>
      <c r="G97" s="180" t="s">
        <v>2779</v>
      </c>
      <c r="H97" s="173" t="s">
        <v>2780</v>
      </c>
      <c r="I97" s="142" t="s">
        <v>2781</v>
      </c>
      <c r="J97" s="142" t="s">
        <v>2782</v>
      </c>
      <c r="K97" s="142" t="s">
        <v>2783</v>
      </c>
      <c r="L97" s="142" t="s">
        <v>2784</v>
      </c>
      <c r="M97" s="142" t="s">
        <v>2785</v>
      </c>
      <c r="N97" s="180" t="s">
        <v>2786</v>
      </c>
      <c r="O97" s="498" t="s">
        <v>2787</v>
      </c>
      <c r="P97" s="198" t="s">
        <v>2788</v>
      </c>
      <c r="Q97" s="164" t="s">
        <v>2789</v>
      </c>
      <c r="R97" s="164" t="s">
        <v>2790</v>
      </c>
      <c r="S97" s="164" t="s">
        <v>2791</v>
      </c>
      <c r="T97" s="198" t="s">
        <v>2792</v>
      </c>
      <c r="U97" s="198" t="s">
        <v>2793</v>
      </c>
      <c r="V97" s="198" t="s">
        <v>2794</v>
      </c>
      <c r="W97" s="1162" t="e">
        <f t="shared" si="37"/>
        <v>#VALUE!</v>
      </c>
      <c r="X97" s="1058"/>
      <c r="Y97" s="1058"/>
      <c r="Z97" s="1058"/>
      <c r="AA97" s="1058"/>
      <c r="AB97" s="1058"/>
      <c r="AC97" s="1058"/>
      <c r="AD97" s="1058"/>
      <c r="AE97" s="1058"/>
      <c r="AF97" s="1058"/>
      <c r="AG97" s="94"/>
      <c r="AH97" s="94"/>
      <c r="BW97" s="79"/>
      <c r="BX97" s="79"/>
      <c r="CB97" s="1031" t="str">
        <f t="shared" si="38"/>
        <v xml:space="preserve">* El número de Embarazadas NO DEBE ser mayor que el total. </v>
      </c>
      <c r="CC97" s="1031" t="str">
        <f t="shared" si="39"/>
        <v xml:space="preserve">* El número de Beneficiarios NO DEBE ser mayor que el total. </v>
      </c>
      <c r="CD97" s="1031" t="str">
        <f>IF(AND($E97&lt;&gt;0,R97=""),"* No olvide digitar la columna 60 Años (Digite CEROS si no tiene).",IF($E97&lt;R97,"* El número de 60 Años NO DEBE ser mayor que el total. ",""))</f>
        <v xml:space="preserve">* El número de 60 Años NO DEBE ser mayor que el total. </v>
      </c>
      <c r="CE97" s="1031" t="str">
        <f t="shared" si="41"/>
        <v xml:space="preserve">* El número de Usuarios en situación de Discapacidad NO DEBE ser mayor que el total. </v>
      </c>
      <c r="CF97" s="1031" t="str">
        <f t="shared" si="42"/>
        <v xml:space="preserve">* El número de Niños, Niñas, Adolescentes y Jóvenes Población SENAME NO DEBE ser mayor que el total. </v>
      </c>
      <c r="CG97" s="1031" t="str">
        <f t="shared" si="43"/>
        <v xml:space="preserve">* El número de Migrantes NO DEBE ser mayor que el total. </v>
      </c>
      <c r="CH97" s="1031" t="e">
        <f t="shared" si="44"/>
        <v>#VALUE!</v>
      </c>
      <c r="CI97" s="1163">
        <f t="shared" si="48"/>
        <v>1</v>
      </c>
      <c r="CJ97" s="1163">
        <f t="shared" si="48"/>
        <v>1</v>
      </c>
      <c r="CK97" s="1163">
        <f>IF(AND($E97&lt;&gt;0,R97=""),1,IF($E97&lt;R97,1,0))</f>
        <v>1</v>
      </c>
      <c r="CL97" s="1163">
        <f t="shared" si="46"/>
        <v>1</v>
      </c>
      <c r="CM97" s="1163">
        <f t="shared" si="46"/>
        <v>1</v>
      </c>
      <c r="CN97" s="1163">
        <f t="shared" si="46"/>
        <v>1</v>
      </c>
      <c r="CO97" s="1163" t="e">
        <f t="shared" si="47"/>
        <v>#VALUE!</v>
      </c>
    </row>
    <row r="98" spans="1:93" ht="16.350000000000001" customHeight="1" x14ac:dyDescent="0.2">
      <c r="A98" s="3009" t="s">
        <v>3606</v>
      </c>
      <c r="B98" s="5983" t="s">
        <v>1093</v>
      </c>
      <c r="C98" s="5983"/>
      <c r="D98" s="5983"/>
      <c r="E98" s="760" t="s">
        <v>2777</v>
      </c>
      <c r="F98" s="141" t="s">
        <v>2778</v>
      </c>
      <c r="G98" s="180" t="s">
        <v>2779</v>
      </c>
      <c r="H98" s="173" t="s">
        <v>2780</v>
      </c>
      <c r="I98" s="142" t="s">
        <v>2781</v>
      </c>
      <c r="J98" s="142" t="s">
        <v>2782</v>
      </c>
      <c r="K98" s="142" t="s">
        <v>2783</v>
      </c>
      <c r="L98" s="142" t="s">
        <v>2784</v>
      </c>
      <c r="M98" s="142" t="s">
        <v>2785</v>
      </c>
      <c r="N98" s="180" t="s">
        <v>2786</v>
      </c>
      <c r="O98" s="498" t="s">
        <v>2787</v>
      </c>
      <c r="P98" s="198" t="s">
        <v>2788</v>
      </c>
      <c r="Q98" s="164" t="s">
        <v>2789</v>
      </c>
      <c r="R98" s="164" t="s">
        <v>2790</v>
      </c>
      <c r="S98" s="164" t="s">
        <v>2791</v>
      </c>
      <c r="T98" s="198" t="s">
        <v>2792</v>
      </c>
      <c r="U98" s="198" t="s">
        <v>2793</v>
      </c>
      <c r="V98" s="198" t="s">
        <v>2794</v>
      </c>
      <c r="W98" s="1162" t="e">
        <f t="shared" si="37"/>
        <v>#VALUE!</v>
      </c>
      <c r="X98" s="1058"/>
      <c r="Y98" s="1058"/>
      <c r="Z98" s="1058"/>
      <c r="AA98" s="1058"/>
      <c r="AB98" s="1058"/>
      <c r="AC98" s="1058"/>
      <c r="AD98" s="1058"/>
      <c r="AE98" s="1058"/>
      <c r="AF98" s="1058"/>
      <c r="AG98" s="94"/>
      <c r="AH98" s="94"/>
      <c r="BW98" s="79"/>
      <c r="BX98" s="79"/>
      <c r="CB98" s="1031" t="str">
        <f t="shared" si="38"/>
        <v xml:space="preserve">* El número de Embarazadas NO DEBE ser mayor que el total. </v>
      </c>
      <c r="CC98" s="1031" t="str">
        <f t="shared" si="39"/>
        <v xml:space="preserve">* El número de Beneficiarios NO DEBE ser mayor que el total. </v>
      </c>
      <c r="CD98" s="1031" t="str">
        <f>IF(AND($E98&lt;&gt;0,R98=""),"* No olvide digitar la columna 60 Años (Digite CEROS si no tiene).",IF($E98&lt;R98,"* El número de 60 Años NO DEBE ser mayor que el total. ",""))</f>
        <v xml:space="preserve">* El número de 60 Años NO DEBE ser mayor que el total. </v>
      </c>
      <c r="CE98" s="1031" t="str">
        <f t="shared" si="41"/>
        <v xml:space="preserve">* El número de Usuarios en situación de Discapacidad NO DEBE ser mayor que el total. </v>
      </c>
      <c r="CF98" s="1031" t="str">
        <f t="shared" si="42"/>
        <v xml:space="preserve">* El número de Niños, Niñas, Adolescentes y Jóvenes Población SENAME NO DEBE ser mayor que el total. </v>
      </c>
      <c r="CG98" s="1031" t="str">
        <f t="shared" si="43"/>
        <v xml:space="preserve">* El número de Migrantes NO DEBE ser mayor que el total. </v>
      </c>
      <c r="CH98" s="1031" t="e">
        <f t="shared" si="44"/>
        <v>#VALUE!</v>
      </c>
      <c r="CI98" s="1163">
        <f t="shared" si="48"/>
        <v>1</v>
      </c>
      <c r="CJ98" s="1163">
        <f t="shared" si="48"/>
        <v>1</v>
      </c>
      <c r="CK98" s="1163">
        <f>IF(AND($E98&lt;&gt;0,R98=""),1,IF($E98&lt;R98,1,0))</f>
        <v>1</v>
      </c>
      <c r="CL98" s="1163">
        <f t="shared" si="46"/>
        <v>1</v>
      </c>
      <c r="CM98" s="1163">
        <f t="shared" si="46"/>
        <v>1</v>
      </c>
      <c r="CN98" s="1163">
        <f t="shared" si="46"/>
        <v>1</v>
      </c>
      <c r="CO98" s="1163" t="e">
        <f t="shared" si="47"/>
        <v>#VALUE!</v>
      </c>
    </row>
    <row r="99" spans="1:93" ht="16.350000000000001" customHeight="1" x14ac:dyDescent="0.2">
      <c r="A99" s="3009" t="s">
        <v>3607</v>
      </c>
      <c r="B99" s="5983" t="s">
        <v>1094</v>
      </c>
      <c r="C99" s="5983"/>
      <c r="D99" s="5983"/>
      <c r="E99" s="760" t="s">
        <v>2777</v>
      </c>
      <c r="F99" s="141" t="s">
        <v>2778</v>
      </c>
      <c r="G99" s="180" t="s">
        <v>2779</v>
      </c>
      <c r="H99" s="173" t="s">
        <v>2780</v>
      </c>
      <c r="I99" s="142" t="s">
        <v>2781</v>
      </c>
      <c r="J99" s="142" t="s">
        <v>2782</v>
      </c>
      <c r="K99" s="142" t="s">
        <v>2783</v>
      </c>
      <c r="L99" s="142" t="s">
        <v>2784</v>
      </c>
      <c r="M99" s="142" t="s">
        <v>2785</v>
      </c>
      <c r="N99" s="180" t="s">
        <v>2786</v>
      </c>
      <c r="O99" s="498" t="s">
        <v>2787</v>
      </c>
      <c r="P99" s="198" t="s">
        <v>2788</v>
      </c>
      <c r="Q99" s="164" t="s">
        <v>2789</v>
      </c>
      <c r="R99" s="164" t="s">
        <v>2790</v>
      </c>
      <c r="S99" s="164" t="s">
        <v>2791</v>
      </c>
      <c r="T99" s="198" t="s">
        <v>2792</v>
      </c>
      <c r="U99" s="198" t="s">
        <v>2793</v>
      </c>
      <c r="V99" s="198" t="s">
        <v>2794</v>
      </c>
      <c r="W99" s="1162" t="e">
        <f t="shared" si="37"/>
        <v>#VALUE!</v>
      </c>
      <c r="X99" s="1058"/>
      <c r="Y99" s="1058"/>
      <c r="Z99" s="1058"/>
      <c r="AA99" s="1058"/>
      <c r="AB99" s="1058"/>
      <c r="AC99" s="1058"/>
      <c r="AD99" s="1058"/>
      <c r="AE99" s="1058"/>
      <c r="AF99" s="1058"/>
      <c r="AG99" s="94"/>
      <c r="AH99" s="94"/>
      <c r="BW99" s="79"/>
      <c r="BX99" s="79"/>
      <c r="CB99" s="1031" t="str">
        <f t="shared" si="38"/>
        <v xml:space="preserve">* El número de Embarazadas NO DEBE ser mayor que el total. </v>
      </c>
      <c r="CC99" s="1031" t="str">
        <f t="shared" si="39"/>
        <v xml:space="preserve">* El número de Beneficiarios NO DEBE ser mayor que el total. </v>
      </c>
      <c r="CD99" s="1031" t="str">
        <f>IF(AND($E99&lt;&gt;0,R99=""),"* No olvide digitar la columna 60 Años (Digite CEROS si no tiene).",IF($E99&lt;R99,"* El número de 60 Años NO DEBE ser mayor que el total. ",""))</f>
        <v xml:space="preserve">* El número de 60 Años NO DEBE ser mayor que el total. </v>
      </c>
      <c r="CE99" s="1031" t="str">
        <f t="shared" si="41"/>
        <v xml:space="preserve">* El número de Usuarios en situación de Discapacidad NO DEBE ser mayor que el total. </v>
      </c>
      <c r="CF99" s="1031" t="str">
        <f t="shared" si="42"/>
        <v xml:space="preserve">* El número de Niños, Niñas, Adolescentes y Jóvenes Población SENAME NO DEBE ser mayor que el total. </v>
      </c>
      <c r="CG99" s="1031" t="str">
        <f t="shared" si="43"/>
        <v xml:space="preserve">* El número de Migrantes NO DEBE ser mayor que el total. </v>
      </c>
      <c r="CH99" s="1031" t="e">
        <f t="shared" si="44"/>
        <v>#VALUE!</v>
      </c>
      <c r="CI99" s="1163">
        <f t="shared" si="48"/>
        <v>1</v>
      </c>
      <c r="CJ99" s="1163">
        <f t="shared" si="48"/>
        <v>1</v>
      </c>
      <c r="CK99" s="1163">
        <f>IF(AND($E99&lt;&gt;0,R99=""),1,IF($E99&lt;R99,1,0))</f>
        <v>1</v>
      </c>
      <c r="CL99" s="1163">
        <f t="shared" si="46"/>
        <v>1</v>
      </c>
      <c r="CM99" s="1163">
        <f t="shared" si="46"/>
        <v>1</v>
      </c>
      <c r="CN99" s="1163">
        <f t="shared" si="46"/>
        <v>1</v>
      </c>
      <c r="CO99" s="1163" t="e">
        <f t="shared" si="47"/>
        <v>#VALUE!</v>
      </c>
    </row>
    <row r="100" spans="1:93" ht="16.350000000000001" customHeight="1" x14ac:dyDescent="0.2">
      <c r="A100" s="4662" t="s">
        <v>3847</v>
      </c>
      <c r="B100" s="6110" t="s">
        <v>1978</v>
      </c>
      <c r="C100" s="6111"/>
      <c r="D100" s="6112"/>
      <c r="E100" s="760" t="s">
        <v>2777</v>
      </c>
      <c r="F100" s="141" t="s">
        <v>2778</v>
      </c>
      <c r="G100" s="180" t="s">
        <v>2779</v>
      </c>
      <c r="H100" s="936" t="s">
        <v>2780</v>
      </c>
      <c r="I100" s="1606" t="s">
        <v>2781</v>
      </c>
      <c r="J100" s="1606" t="s">
        <v>2782</v>
      </c>
      <c r="K100" s="142" t="s">
        <v>2783</v>
      </c>
      <c r="L100" s="142" t="s">
        <v>2784</v>
      </c>
      <c r="M100" s="142" t="s">
        <v>2785</v>
      </c>
      <c r="N100" s="1605" t="s">
        <v>2786</v>
      </c>
      <c r="O100" s="4950" t="s">
        <v>2787</v>
      </c>
      <c r="P100" s="1105" t="s">
        <v>2788</v>
      </c>
      <c r="Q100" s="164" t="s">
        <v>2789</v>
      </c>
      <c r="R100" s="4951" t="s">
        <v>2790</v>
      </c>
      <c r="S100" s="164" t="s">
        <v>2791</v>
      </c>
      <c r="T100" s="198" t="s">
        <v>2792</v>
      </c>
      <c r="U100" s="198" t="s">
        <v>2793</v>
      </c>
      <c r="V100" s="198" t="s">
        <v>2794</v>
      </c>
      <c r="W100" s="1162" t="e">
        <f t="shared" si="37"/>
        <v>#VALUE!</v>
      </c>
      <c r="X100" s="1058"/>
      <c r="Y100" s="1058"/>
      <c r="Z100" s="1058"/>
      <c r="AA100" s="1058"/>
      <c r="AB100" s="1058"/>
      <c r="AC100" s="1058"/>
      <c r="AD100" s="1058"/>
      <c r="AE100" s="1058"/>
      <c r="AF100" s="1058"/>
      <c r="AG100" s="94"/>
      <c r="AH100" s="94"/>
      <c r="BW100" s="79"/>
      <c r="BX100" s="79"/>
      <c r="CB100" s="1031"/>
      <c r="CC100" s="1031" t="str">
        <f t="shared" si="39"/>
        <v xml:space="preserve">* El número de Beneficiarios NO DEBE ser mayor que el total. </v>
      </c>
      <c r="CD100" s="1031"/>
      <c r="CE100" s="1031" t="str">
        <f t="shared" si="41"/>
        <v xml:space="preserve">* El número de Usuarios en situación de Discapacidad NO DEBE ser mayor que el total. </v>
      </c>
      <c r="CF100" s="1031" t="str">
        <f t="shared" si="42"/>
        <v xml:space="preserve">* El número de Niños, Niñas, Adolescentes y Jóvenes Población SENAME NO DEBE ser mayor que el total. </v>
      </c>
      <c r="CG100" s="1031" t="str">
        <f t="shared" si="43"/>
        <v xml:space="preserve">* El número de Migrantes NO DEBE ser mayor que el total. </v>
      </c>
      <c r="CH100" s="1031" t="e">
        <f t="shared" si="44"/>
        <v>#VALUE!</v>
      </c>
      <c r="CI100" s="1163"/>
      <c r="CJ100" s="1163">
        <f t="shared" si="48"/>
        <v>1</v>
      </c>
      <c r="CK100" s="1163"/>
      <c r="CL100" s="1163">
        <f t="shared" si="46"/>
        <v>1</v>
      </c>
      <c r="CM100" s="1163">
        <f t="shared" si="46"/>
        <v>1</v>
      </c>
      <c r="CN100" s="1163">
        <f t="shared" si="46"/>
        <v>1</v>
      </c>
      <c r="CO100" s="1163" t="e">
        <f t="shared" si="47"/>
        <v>#VALUE!</v>
      </c>
    </row>
    <row r="101" spans="1:93" ht="16.350000000000001" customHeight="1" x14ac:dyDescent="0.2">
      <c r="A101" s="4662" t="s">
        <v>3848</v>
      </c>
      <c r="B101" s="6110" t="s">
        <v>1979</v>
      </c>
      <c r="C101" s="6111"/>
      <c r="D101" s="6112"/>
      <c r="E101" s="760" t="s">
        <v>2777</v>
      </c>
      <c r="F101" s="141" t="s">
        <v>2778</v>
      </c>
      <c r="G101" s="180" t="s">
        <v>2779</v>
      </c>
      <c r="H101" s="936" t="s">
        <v>2780</v>
      </c>
      <c r="I101" s="1606" t="s">
        <v>2781</v>
      </c>
      <c r="J101" s="1606" t="s">
        <v>2782</v>
      </c>
      <c r="K101" s="142" t="s">
        <v>2783</v>
      </c>
      <c r="L101" s="142" t="s">
        <v>2784</v>
      </c>
      <c r="M101" s="142" t="s">
        <v>2785</v>
      </c>
      <c r="N101" s="180" t="s">
        <v>2786</v>
      </c>
      <c r="O101" s="498" t="s">
        <v>2787</v>
      </c>
      <c r="P101" s="198" t="s">
        <v>2788</v>
      </c>
      <c r="Q101" s="164" t="s">
        <v>2789</v>
      </c>
      <c r="R101" s="164" t="s">
        <v>2790</v>
      </c>
      <c r="S101" s="164" t="s">
        <v>2791</v>
      </c>
      <c r="T101" s="198" t="s">
        <v>2792</v>
      </c>
      <c r="U101" s="198" t="s">
        <v>2793</v>
      </c>
      <c r="V101" s="198" t="s">
        <v>2794</v>
      </c>
      <c r="W101" s="1162" t="e">
        <f t="shared" si="37"/>
        <v>#VALUE!</v>
      </c>
      <c r="X101" s="1058"/>
      <c r="Y101" s="1058"/>
      <c r="Z101" s="1058"/>
      <c r="AA101" s="1058"/>
      <c r="AB101" s="1058"/>
      <c r="AC101" s="1058"/>
      <c r="AD101" s="1058"/>
      <c r="AE101" s="1058"/>
      <c r="AF101" s="1058"/>
      <c r="AG101" s="94"/>
      <c r="AH101" s="94"/>
      <c r="BW101" s="79"/>
      <c r="BX101" s="79"/>
      <c r="CB101" s="1031" t="str">
        <f t="shared" ref="CB101:CB131" si="49">IF(AND($E101&lt;&gt;0,P101=""),"* No olvide digitar la columna Embarazadas (Digite CEROS si no tiene).",IF($E101&lt;P101,"* El número de Embarazadas NO DEBE ser mayor que el total. ",""))</f>
        <v xml:space="preserve">* El número de Embarazadas NO DEBE ser mayor que el total. </v>
      </c>
      <c r="CC101" s="1031" t="str">
        <f t="shared" si="39"/>
        <v xml:space="preserve">* El número de Beneficiarios NO DEBE ser mayor que el total. </v>
      </c>
      <c r="CD101" s="1031" t="str">
        <f t="shared" ref="CD101:CD131" si="50">IF(AND($E101&lt;&gt;0,R101=""),"* No olvide digitar la columna 60 Años (Digite CEROS si no tiene).",IF($E101&lt;R101,"* El número de 60 Años NO DEBE ser mayor que el total. ",""))</f>
        <v xml:space="preserve">* El número de 60 Años NO DEBE ser mayor que el total. </v>
      </c>
      <c r="CE101" s="1031" t="str">
        <f t="shared" si="41"/>
        <v xml:space="preserve">* El número de Usuarios en situación de Discapacidad NO DEBE ser mayor que el total. </v>
      </c>
      <c r="CF101" s="1031" t="str">
        <f t="shared" si="42"/>
        <v xml:space="preserve">* El número de Niños, Niñas, Adolescentes y Jóvenes Población SENAME NO DEBE ser mayor que el total. </v>
      </c>
      <c r="CG101" s="1031" t="str">
        <f t="shared" si="43"/>
        <v xml:space="preserve">* El número de Migrantes NO DEBE ser mayor que el total. </v>
      </c>
      <c r="CH101" s="1031" t="e">
        <f t="shared" si="44"/>
        <v>#VALUE!</v>
      </c>
      <c r="CI101" s="1163">
        <f t="shared" ref="CI101:CK131" si="51">IF(AND($E101&lt;&gt;0,P101=""),1,IF($E101&lt;P101,1,0))</f>
        <v>1</v>
      </c>
      <c r="CJ101" s="1163">
        <f t="shared" si="48"/>
        <v>1</v>
      </c>
      <c r="CK101" s="1163">
        <f t="shared" si="48"/>
        <v>1</v>
      </c>
      <c r="CL101" s="1163">
        <f t="shared" si="46"/>
        <v>1</v>
      </c>
      <c r="CM101" s="1163">
        <f t="shared" si="46"/>
        <v>1</v>
      </c>
      <c r="CN101" s="1163">
        <f t="shared" si="46"/>
        <v>1</v>
      </c>
      <c r="CO101" s="1163" t="e">
        <f t="shared" si="47"/>
        <v>#VALUE!</v>
      </c>
    </row>
    <row r="102" spans="1:93" ht="16.350000000000001" customHeight="1" x14ac:dyDescent="0.2">
      <c r="A102" s="4662" t="s">
        <v>3849</v>
      </c>
      <c r="B102" s="6110" t="s">
        <v>1980</v>
      </c>
      <c r="C102" s="6111"/>
      <c r="D102" s="6112"/>
      <c r="E102" s="760" t="s">
        <v>2777</v>
      </c>
      <c r="F102" s="141" t="s">
        <v>2778</v>
      </c>
      <c r="G102" s="180" t="s">
        <v>2779</v>
      </c>
      <c r="H102" s="936" t="s">
        <v>2780</v>
      </c>
      <c r="I102" s="1606" t="s">
        <v>2781</v>
      </c>
      <c r="J102" s="1606" t="s">
        <v>2782</v>
      </c>
      <c r="K102" s="142" t="s">
        <v>2783</v>
      </c>
      <c r="L102" s="142" t="s">
        <v>2784</v>
      </c>
      <c r="M102" s="142" t="s">
        <v>2785</v>
      </c>
      <c r="N102" s="180" t="s">
        <v>2786</v>
      </c>
      <c r="O102" s="498" t="s">
        <v>2787</v>
      </c>
      <c r="P102" s="198" t="s">
        <v>2788</v>
      </c>
      <c r="Q102" s="164" t="s">
        <v>2789</v>
      </c>
      <c r="R102" s="164" t="s">
        <v>2790</v>
      </c>
      <c r="S102" s="164" t="s">
        <v>2791</v>
      </c>
      <c r="T102" s="198" t="s">
        <v>2792</v>
      </c>
      <c r="U102" s="198" t="s">
        <v>2793</v>
      </c>
      <c r="V102" s="198" t="s">
        <v>2794</v>
      </c>
      <c r="W102" s="1162" t="e">
        <f t="shared" si="37"/>
        <v>#VALUE!</v>
      </c>
      <c r="X102" s="1058"/>
      <c r="Y102" s="1058"/>
      <c r="Z102" s="1058"/>
      <c r="AA102" s="1058"/>
      <c r="AB102" s="1058"/>
      <c r="AC102" s="1058"/>
      <c r="AD102" s="1058"/>
      <c r="AE102" s="1058"/>
      <c r="AF102" s="1058"/>
      <c r="AG102" s="94"/>
      <c r="AH102" s="94"/>
      <c r="BW102" s="79"/>
      <c r="BX102" s="79"/>
      <c r="CB102" s="1031" t="str">
        <f t="shared" si="49"/>
        <v xml:space="preserve">* El número de Embarazadas NO DEBE ser mayor que el total. </v>
      </c>
      <c r="CC102" s="1031" t="str">
        <f t="shared" si="39"/>
        <v xml:space="preserve">* El número de Beneficiarios NO DEBE ser mayor que el total. </v>
      </c>
      <c r="CD102" s="1031" t="str">
        <f t="shared" si="50"/>
        <v xml:space="preserve">* El número de 60 Años NO DEBE ser mayor que el total. </v>
      </c>
      <c r="CE102" s="1031" t="str">
        <f t="shared" si="41"/>
        <v xml:space="preserve">* El número de Usuarios en situación de Discapacidad NO DEBE ser mayor que el total. </v>
      </c>
      <c r="CF102" s="1031" t="str">
        <f t="shared" si="42"/>
        <v xml:space="preserve">* El número de Niños, Niñas, Adolescentes y Jóvenes Población SENAME NO DEBE ser mayor que el total. </v>
      </c>
      <c r="CG102" s="1031" t="str">
        <f t="shared" si="43"/>
        <v xml:space="preserve">* El número de Migrantes NO DEBE ser mayor que el total. </v>
      </c>
      <c r="CH102" s="1031" t="e">
        <f t="shared" si="44"/>
        <v>#VALUE!</v>
      </c>
      <c r="CI102" s="1163">
        <f t="shared" si="51"/>
        <v>1</v>
      </c>
      <c r="CJ102" s="1163">
        <f t="shared" si="48"/>
        <v>1</v>
      </c>
      <c r="CK102" s="1163">
        <f t="shared" si="48"/>
        <v>1</v>
      </c>
      <c r="CL102" s="1163">
        <f t="shared" si="46"/>
        <v>1</v>
      </c>
      <c r="CM102" s="1163">
        <f t="shared" si="46"/>
        <v>1</v>
      </c>
      <c r="CN102" s="1163">
        <f t="shared" si="46"/>
        <v>1</v>
      </c>
      <c r="CO102" s="1163" t="e">
        <f t="shared" si="47"/>
        <v>#VALUE!</v>
      </c>
    </row>
    <row r="103" spans="1:93" ht="16.350000000000001" customHeight="1" x14ac:dyDescent="0.2">
      <c r="A103" s="4662" t="s">
        <v>3850</v>
      </c>
      <c r="B103" s="6110" t="s">
        <v>1981</v>
      </c>
      <c r="C103" s="6111"/>
      <c r="D103" s="6112"/>
      <c r="E103" s="760" t="s">
        <v>2777</v>
      </c>
      <c r="F103" s="141" t="s">
        <v>2778</v>
      </c>
      <c r="G103" s="180" t="s">
        <v>2779</v>
      </c>
      <c r="H103" s="4814" t="s">
        <v>2780</v>
      </c>
      <c r="I103" s="1606" t="s">
        <v>2781</v>
      </c>
      <c r="J103" s="1606" t="s">
        <v>2782</v>
      </c>
      <c r="K103" s="142" t="s">
        <v>2783</v>
      </c>
      <c r="L103" s="142" t="s">
        <v>2784</v>
      </c>
      <c r="M103" s="142" t="s">
        <v>2785</v>
      </c>
      <c r="N103" s="180" t="s">
        <v>2786</v>
      </c>
      <c r="O103" s="498" t="s">
        <v>2787</v>
      </c>
      <c r="P103" s="198" t="s">
        <v>2788</v>
      </c>
      <c r="Q103" s="164" t="s">
        <v>2789</v>
      </c>
      <c r="R103" s="164" t="s">
        <v>2790</v>
      </c>
      <c r="S103" s="164" t="s">
        <v>2791</v>
      </c>
      <c r="T103" s="198" t="s">
        <v>2792</v>
      </c>
      <c r="U103" s="198" t="s">
        <v>2793</v>
      </c>
      <c r="V103" s="198" t="s">
        <v>2794</v>
      </c>
      <c r="W103" s="1162" t="e">
        <f t="shared" si="37"/>
        <v>#VALUE!</v>
      </c>
      <c r="X103" s="1058"/>
      <c r="Y103" s="1058"/>
      <c r="Z103" s="1058"/>
      <c r="AA103" s="1058"/>
      <c r="AB103" s="1058"/>
      <c r="AC103" s="1058"/>
      <c r="AD103" s="1058"/>
      <c r="AE103" s="1058"/>
      <c r="AF103" s="1058"/>
      <c r="AG103" s="94"/>
      <c r="AH103" s="94"/>
      <c r="BW103" s="79"/>
      <c r="BX103" s="79"/>
      <c r="CB103" s="1031" t="str">
        <f t="shared" si="49"/>
        <v xml:space="preserve">* El número de Embarazadas NO DEBE ser mayor que el total. </v>
      </c>
      <c r="CC103" s="1031" t="str">
        <f t="shared" si="39"/>
        <v xml:space="preserve">* El número de Beneficiarios NO DEBE ser mayor que el total. </v>
      </c>
      <c r="CD103" s="1031" t="str">
        <f t="shared" si="50"/>
        <v xml:space="preserve">* El número de 60 Años NO DEBE ser mayor que el total. </v>
      </c>
      <c r="CE103" s="1031" t="str">
        <f t="shared" si="41"/>
        <v xml:space="preserve">* El número de Usuarios en situación de Discapacidad NO DEBE ser mayor que el total. </v>
      </c>
      <c r="CF103" s="1031" t="str">
        <f t="shared" si="42"/>
        <v xml:space="preserve">* El número de Niños, Niñas, Adolescentes y Jóvenes Población SENAME NO DEBE ser mayor que el total. </v>
      </c>
      <c r="CG103" s="1031" t="str">
        <f t="shared" si="43"/>
        <v xml:space="preserve">* El número de Migrantes NO DEBE ser mayor que el total. </v>
      </c>
      <c r="CH103" s="1031" t="e">
        <f t="shared" si="44"/>
        <v>#VALUE!</v>
      </c>
      <c r="CI103" s="1163">
        <f t="shared" si="51"/>
        <v>1</v>
      </c>
      <c r="CJ103" s="1163">
        <f t="shared" si="48"/>
        <v>1</v>
      </c>
      <c r="CK103" s="1163">
        <f t="shared" si="48"/>
        <v>1</v>
      </c>
      <c r="CL103" s="1163">
        <f t="shared" si="46"/>
        <v>1</v>
      </c>
      <c r="CM103" s="1163">
        <f t="shared" si="46"/>
        <v>1</v>
      </c>
      <c r="CN103" s="1163">
        <f t="shared" si="46"/>
        <v>1</v>
      </c>
      <c r="CO103" s="1163" t="e">
        <f t="shared" si="47"/>
        <v>#VALUE!</v>
      </c>
    </row>
    <row r="104" spans="1:93" ht="16.350000000000001" customHeight="1" x14ac:dyDescent="0.2">
      <c r="A104" s="4662" t="s">
        <v>3851</v>
      </c>
      <c r="B104" s="6110" t="s">
        <v>1982</v>
      </c>
      <c r="C104" s="6111"/>
      <c r="D104" s="6112"/>
      <c r="E104" s="760" t="s">
        <v>2777</v>
      </c>
      <c r="F104" s="141" t="s">
        <v>2778</v>
      </c>
      <c r="G104" s="180" t="s">
        <v>2779</v>
      </c>
      <c r="H104" s="4814" t="s">
        <v>2780</v>
      </c>
      <c r="I104" s="1606" t="s">
        <v>2781</v>
      </c>
      <c r="J104" s="1606" t="s">
        <v>2782</v>
      </c>
      <c r="K104" s="142" t="s">
        <v>2783</v>
      </c>
      <c r="L104" s="142" t="s">
        <v>2784</v>
      </c>
      <c r="M104" s="142" t="s">
        <v>2785</v>
      </c>
      <c r="N104" s="180" t="s">
        <v>2786</v>
      </c>
      <c r="O104" s="498" t="s">
        <v>2787</v>
      </c>
      <c r="P104" s="198" t="s">
        <v>2788</v>
      </c>
      <c r="Q104" s="164" t="s">
        <v>2789</v>
      </c>
      <c r="R104" s="164" t="s">
        <v>2790</v>
      </c>
      <c r="S104" s="164" t="s">
        <v>2791</v>
      </c>
      <c r="T104" s="198" t="s">
        <v>2792</v>
      </c>
      <c r="U104" s="198" t="s">
        <v>2793</v>
      </c>
      <c r="V104" s="198" t="s">
        <v>2794</v>
      </c>
      <c r="W104" s="1162" t="e">
        <f t="shared" si="37"/>
        <v>#VALUE!</v>
      </c>
      <c r="X104" s="1058"/>
      <c r="Y104" s="1058"/>
      <c r="Z104" s="1058"/>
      <c r="AA104" s="1058"/>
      <c r="AB104" s="1058"/>
      <c r="AC104" s="1058"/>
      <c r="AD104" s="1058"/>
      <c r="AE104" s="1058"/>
      <c r="AF104" s="1058"/>
      <c r="AG104" s="94"/>
      <c r="AH104" s="94"/>
      <c r="BW104" s="79"/>
      <c r="BX104" s="79"/>
      <c r="CB104" s="1031" t="str">
        <f t="shared" si="49"/>
        <v xml:space="preserve">* El número de Embarazadas NO DEBE ser mayor que el total. </v>
      </c>
      <c r="CC104" s="1031" t="str">
        <f t="shared" si="39"/>
        <v xml:space="preserve">* El número de Beneficiarios NO DEBE ser mayor que el total. </v>
      </c>
      <c r="CD104" s="1031" t="str">
        <f t="shared" si="50"/>
        <v xml:space="preserve">* El número de 60 Años NO DEBE ser mayor que el total. </v>
      </c>
      <c r="CE104" s="1031" t="str">
        <f t="shared" si="41"/>
        <v xml:space="preserve">* El número de Usuarios en situación de Discapacidad NO DEBE ser mayor que el total. </v>
      </c>
      <c r="CF104" s="1031" t="str">
        <f t="shared" si="42"/>
        <v xml:space="preserve">* El número de Niños, Niñas, Adolescentes y Jóvenes Población SENAME NO DEBE ser mayor que el total. </v>
      </c>
      <c r="CG104" s="1031" t="str">
        <f t="shared" si="43"/>
        <v xml:space="preserve">* El número de Migrantes NO DEBE ser mayor que el total. </v>
      </c>
      <c r="CH104" s="1031" t="e">
        <f t="shared" si="44"/>
        <v>#VALUE!</v>
      </c>
      <c r="CI104" s="1163">
        <f t="shared" si="51"/>
        <v>1</v>
      </c>
      <c r="CJ104" s="1163">
        <f t="shared" si="48"/>
        <v>1</v>
      </c>
      <c r="CK104" s="1163">
        <f t="shared" si="48"/>
        <v>1</v>
      </c>
      <c r="CL104" s="1163">
        <f t="shared" si="46"/>
        <v>1</v>
      </c>
      <c r="CM104" s="1163">
        <f t="shared" si="46"/>
        <v>1</v>
      </c>
      <c r="CN104" s="1163">
        <f t="shared" si="46"/>
        <v>1</v>
      </c>
      <c r="CO104" s="1163" t="e">
        <f t="shared" si="47"/>
        <v>#VALUE!</v>
      </c>
    </row>
    <row r="105" spans="1:93" ht="16.350000000000001" customHeight="1" x14ac:dyDescent="0.2">
      <c r="A105" s="4662" t="s">
        <v>3852</v>
      </c>
      <c r="B105" s="6110" t="s">
        <v>1983</v>
      </c>
      <c r="C105" s="6111"/>
      <c r="D105" s="6112"/>
      <c r="E105" s="760" t="s">
        <v>2777</v>
      </c>
      <c r="F105" s="141" t="s">
        <v>2778</v>
      </c>
      <c r="G105" s="180" t="s">
        <v>2779</v>
      </c>
      <c r="H105" s="4814" t="s">
        <v>2780</v>
      </c>
      <c r="I105" s="1606" t="s">
        <v>2781</v>
      </c>
      <c r="J105" s="1606" t="s">
        <v>2782</v>
      </c>
      <c r="K105" s="142" t="s">
        <v>2783</v>
      </c>
      <c r="L105" s="142" t="s">
        <v>2784</v>
      </c>
      <c r="M105" s="142" t="s">
        <v>2785</v>
      </c>
      <c r="N105" s="180" t="s">
        <v>2786</v>
      </c>
      <c r="O105" s="498" t="s">
        <v>2787</v>
      </c>
      <c r="P105" s="198" t="s">
        <v>2788</v>
      </c>
      <c r="Q105" s="164" t="s">
        <v>2789</v>
      </c>
      <c r="R105" s="164" t="s">
        <v>2790</v>
      </c>
      <c r="S105" s="164" t="s">
        <v>2791</v>
      </c>
      <c r="T105" s="198" t="s">
        <v>2792</v>
      </c>
      <c r="U105" s="198" t="s">
        <v>2793</v>
      </c>
      <c r="V105" s="198" t="s">
        <v>2794</v>
      </c>
      <c r="W105" s="1162" t="e">
        <f t="shared" si="37"/>
        <v>#VALUE!</v>
      </c>
      <c r="X105" s="1058"/>
      <c r="Y105" s="1058"/>
      <c r="Z105" s="1058"/>
      <c r="AA105" s="1058"/>
      <c r="AB105" s="1058"/>
      <c r="AC105" s="1058"/>
      <c r="AD105" s="1058"/>
      <c r="AE105" s="1058"/>
      <c r="AF105" s="1058"/>
      <c r="AG105" s="94"/>
      <c r="AH105" s="94"/>
      <c r="BW105" s="79"/>
      <c r="BX105" s="79"/>
      <c r="CB105" s="1031" t="str">
        <f t="shared" si="49"/>
        <v xml:space="preserve">* El número de Embarazadas NO DEBE ser mayor que el total. </v>
      </c>
      <c r="CC105" s="1031" t="str">
        <f t="shared" si="39"/>
        <v xml:space="preserve">* El número de Beneficiarios NO DEBE ser mayor que el total. </v>
      </c>
      <c r="CD105" s="1031" t="str">
        <f t="shared" si="50"/>
        <v xml:space="preserve">* El número de 60 Años NO DEBE ser mayor que el total. </v>
      </c>
      <c r="CE105" s="1031" t="str">
        <f t="shared" si="41"/>
        <v xml:space="preserve">* El número de Usuarios en situación de Discapacidad NO DEBE ser mayor que el total. </v>
      </c>
      <c r="CF105" s="1031" t="str">
        <f t="shared" si="42"/>
        <v xml:space="preserve">* El número de Niños, Niñas, Adolescentes y Jóvenes Población SENAME NO DEBE ser mayor que el total. </v>
      </c>
      <c r="CG105" s="1031" t="str">
        <f t="shared" si="43"/>
        <v xml:space="preserve">* El número de Migrantes NO DEBE ser mayor que el total. </v>
      </c>
      <c r="CH105" s="1031" t="e">
        <f t="shared" si="44"/>
        <v>#VALUE!</v>
      </c>
      <c r="CI105" s="1163">
        <f t="shared" si="51"/>
        <v>1</v>
      </c>
      <c r="CJ105" s="1163">
        <f t="shared" si="48"/>
        <v>1</v>
      </c>
      <c r="CK105" s="1163">
        <f t="shared" si="48"/>
        <v>1</v>
      </c>
      <c r="CL105" s="1163">
        <f t="shared" si="46"/>
        <v>1</v>
      </c>
      <c r="CM105" s="1163">
        <f t="shared" si="46"/>
        <v>1</v>
      </c>
      <c r="CN105" s="1163">
        <f t="shared" si="46"/>
        <v>1</v>
      </c>
      <c r="CO105" s="1163" t="e">
        <f t="shared" si="47"/>
        <v>#VALUE!</v>
      </c>
    </row>
    <row r="106" spans="1:93" ht="16.350000000000001" customHeight="1" x14ac:dyDescent="0.2">
      <c r="A106" s="4662" t="s">
        <v>3853</v>
      </c>
      <c r="B106" s="6110" t="s">
        <v>1984</v>
      </c>
      <c r="C106" s="6111"/>
      <c r="D106" s="6112"/>
      <c r="E106" s="760" t="s">
        <v>2777</v>
      </c>
      <c r="F106" s="141" t="s">
        <v>2778</v>
      </c>
      <c r="G106" s="180" t="s">
        <v>2779</v>
      </c>
      <c r="H106" s="4814" t="s">
        <v>2780</v>
      </c>
      <c r="I106" s="1606" t="s">
        <v>2781</v>
      </c>
      <c r="J106" s="1606" t="s">
        <v>2782</v>
      </c>
      <c r="K106" s="142" t="s">
        <v>2783</v>
      </c>
      <c r="L106" s="142" t="s">
        <v>2784</v>
      </c>
      <c r="M106" s="142" t="s">
        <v>2785</v>
      </c>
      <c r="N106" s="180" t="s">
        <v>2786</v>
      </c>
      <c r="O106" s="498" t="s">
        <v>2787</v>
      </c>
      <c r="P106" s="198" t="s">
        <v>2788</v>
      </c>
      <c r="Q106" s="164" t="s">
        <v>2789</v>
      </c>
      <c r="R106" s="164" t="s">
        <v>2790</v>
      </c>
      <c r="S106" s="164" t="s">
        <v>2791</v>
      </c>
      <c r="T106" s="198" t="s">
        <v>2792</v>
      </c>
      <c r="U106" s="198" t="s">
        <v>2793</v>
      </c>
      <c r="V106" s="198" t="s">
        <v>2794</v>
      </c>
      <c r="W106" s="1162" t="e">
        <f t="shared" si="37"/>
        <v>#VALUE!</v>
      </c>
      <c r="X106" s="1058"/>
      <c r="Y106" s="1058"/>
      <c r="Z106" s="1058"/>
      <c r="AA106" s="1058"/>
      <c r="AB106" s="1058"/>
      <c r="AC106" s="1058"/>
      <c r="AD106" s="1058"/>
      <c r="AE106" s="1058"/>
      <c r="AF106" s="1058"/>
      <c r="AG106" s="94"/>
      <c r="AH106" s="94"/>
      <c r="BW106" s="79"/>
      <c r="BX106" s="79"/>
      <c r="CB106" s="1031" t="str">
        <f t="shared" si="49"/>
        <v xml:space="preserve">* El número de Embarazadas NO DEBE ser mayor que el total. </v>
      </c>
      <c r="CC106" s="1031" t="str">
        <f t="shared" si="39"/>
        <v xml:space="preserve">* El número de Beneficiarios NO DEBE ser mayor que el total. </v>
      </c>
      <c r="CD106" s="1031" t="str">
        <f t="shared" si="50"/>
        <v xml:space="preserve">* El número de 60 Años NO DEBE ser mayor que el total. </v>
      </c>
      <c r="CE106" s="1031" t="str">
        <f t="shared" si="41"/>
        <v xml:space="preserve">* El número de Usuarios en situación de Discapacidad NO DEBE ser mayor que el total. </v>
      </c>
      <c r="CF106" s="1031" t="str">
        <f t="shared" si="42"/>
        <v xml:space="preserve">* El número de Niños, Niñas, Adolescentes y Jóvenes Población SENAME NO DEBE ser mayor que el total. </v>
      </c>
      <c r="CG106" s="1031" t="str">
        <f t="shared" si="43"/>
        <v xml:space="preserve">* El número de Migrantes NO DEBE ser mayor que el total. </v>
      </c>
      <c r="CH106" s="1031" t="e">
        <f t="shared" si="44"/>
        <v>#VALUE!</v>
      </c>
      <c r="CI106" s="1163">
        <f t="shared" si="51"/>
        <v>1</v>
      </c>
      <c r="CJ106" s="1163">
        <f t="shared" si="48"/>
        <v>1</v>
      </c>
      <c r="CK106" s="1163">
        <f t="shared" si="48"/>
        <v>1</v>
      </c>
      <c r="CL106" s="1163">
        <f t="shared" si="46"/>
        <v>1</v>
      </c>
      <c r="CM106" s="1163">
        <f t="shared" si="46"/>
        <v>1</v>
      </c>
      <c r="CN106" s="1163">
        <f t="shared" si="46"/>
        <v>1</v>
      </c>
      <c r="CO106" s="1163" t="e">
        <f t="shared" si="47"/>
        <v>#VALUE!</v>
      </c>
    </row>
    <row r="107" spans="1:93" ht="16.350000000000001" customHeight="1" x14ac:dyDescent="0.2">
      <c r="A107" s="3009" t="s">
        <v>3608</v>
      </c>
      <c r="B107" s="6125" t="s">
        <v>1985</v>
      </c>
      <c r="C107" s="6125"/>
      <c r="D107" s="6125"/>
      <c r="E107" s="760" t="s">
        <v>2777</v>
      </c>
      <c r="F107" s="141" t="s">
        <v>2778</v>
      </c>
      <c r="G107" s="180" t="s">
        <v>2779</v>
      </c>
      <c r="H107" s="173" t="s">
        <v>2780</v>
      </c>
      <c r="I107" s="145" t="s">
        <v>2781</v>
      </c>
      <c r="J107" s="1606" t="s">
        <v>2782</v>
      </c>
      <c r="K107" s="142" t="s">
        <v>2783</v>
      </c>
      <c r="L107" s="142" t="s">
        <v>2784</v>
      </c>
      <c r="M107" s="142" t="s">
        <v>2785</v>
      </c>
      <c r="N107" s="180" t="s">
        <v>2786</v>
      </c>
      <c r="O107" s="498" t="s">
        <v>2787</v>
      </c>
      <c r="P107" s="198" t="s">
        <v>2788</v>
      </c>
      <c r="Q107" s="164" t="s">
        <v>2789</v>
      </c>
      <c r="R107" s="164" t="s">
        <v>2790</v>
      </c>
      <c r="S107" s="164" t="s">
        <v>2791</v>
      </c>
      <c r="T107" s="198" t="s">
        <v>2792</v>
      </c>
      <c r="U107" s="198" t="s">
        <v>2793</v>
      </c>
      <c r="V107" s="198" t="s">
        <v>2794</v>
      </c>
      <c r="W107" s="1162" t="e">
        <f t="shared" si="37"/>
        <v>#VALUE!</v>
      </c>
      <c r="X107" s="1058"/>
      <c r="Y107" s="1058"/>
      <c r="Z107" s="1058"/>
      <c r="AA107" s="1058"/>
      <c r="AB107" s="1058"/>
      <c r="AC107" s="1058"/>
      <c r="AD107" s="1058"/>
      <c r="AE107" s="1058"/>
      <c r="AF107" s="1058"/>
      <c r="AG107" s="94"/>
      <c r="AH107" s="94"/>
      <c r="BW107" s="79"/>
      <c r="BX107" s="79"/>
      <c r="CB107" s="1031" t="str">
        <f t="shared" si="49"/>
        <v xml:space="preserve">* El número de Embarazadas NO DEBE ser mayor que el total. </v>
      </c>
      <c r="CC107" s="1031" t="str">
        <f t="shared" si="39"/>
        <v xml:space="preserve">* El número de Beneficiarios NO DEBE ser mayor que el total. </v>
      </c>
      <c r="CD107" s="1031" t="str">
        <f t="shared" si="50"/>
        <v xml:space="preserve">* El número de 60 Años NO DEBE ser mayor que el total. </v>
      </c>
      <c r="CE107" s="1031" t="str">
        <f t="shared" si="41"/>
        <v xml:space="preserve">* El número de Usuarios en situación de Discapacidad NO DEBE ser mayor que el total. </v>
      </c>
      <c r="CF107" s="1031" t="str">
        <f t="shared" si="42"/>
        <v xml:space="preserve">* El número de Niños, Niñas, Adolescentes y Jóvenes Población SENAME NO DEBE ser mayor que el total. </v>
      </c>
      <c r="CG107" s="1031" t="str">
        <f t="shared" si="43"/>
        <v xml:space="preserve">* El número de Migrantes NO DEBE ser mayor que el total. </v>
      </c>
      <c r="CH107" s="1031" t="e">
        <f t="shared" si="44"/>
        <v>#VALUE!</v>
      </c>
      <c r="CI107" s="1163">
        <f t="shared" si="51"/>
        <v>1</v>
      </c>
      <c r="CJ107" s="1163">
        <f t="shared" si="48"/>
        <v>1</v>
      </c>
      <c r="CK107" s="1163">
        <f t="shared" si="48"/>
        <v>1</v>
      </c>
      <c r="CL107" s="1163">
        <f t="shared" si="46"/>
        <v>1</v>
      </c>
      <c r="CM107" s="1163">
        <f t="shared" si="46"/>
        <v>1</v>
      </c>
      <c r="CN107" s="1163">
        <f t="shared" si="46"/>
        <v>1</v>
      </c>
      <c r="CO107" s="1163" t="e">
        <f t="shared" si="47"/>
        <v>#VALUE!</v>
      </c>
    </row>
    <row r="108" spans="1:93" ht="16.350000000000001" customHeight="1" x14ac:dyDescent="0.2">
      <c r="A108" s="4662" t="s">
        <v>3854</v>
      </c>
      <c r="B108" s="6124" t="s">
        <v>1986</v>
      </c>
      <c r="C108" s="6124"/>
      <c r="D108" s="6124"/>
      <c r="E108" s="760" t="s">
        <v>2777</v>
      </c>
      <c r="F108" s="141" t="s">
        <v>2778</v>
      </c>
      <c r="G108" s="180" t="s">
        <v>2779</v>
      </c>
      <c r="H108" s="936" t="s">
        <v>2780</v>
      </c>
      <c r="I108" s="1090" t="s">
        <v>2781</v>
      </c>
      <c r="J108" s="1606" t="s">
        <v>2782</v>
      </c>
      <c r="K108" s="142" t="s">
        <v>2783</v>
      </c>
      <c r="L108" s="142" t="s">
        <v>2784</v>
      </c>
      <c r="M108" s="142" t="s">
        <v>2785</v>
      </c>
      <c r="N108" s="180" t="s">
        <v>2786</v>
      </c>
      <c r="O108" s="498" t="s">
        <v>2787</v>
      </c>
      <c r="P108" s="198" t="s">
        <v>2788</v>
      </c>
      <c r="Q108" s="164" t="s">
        <v>2789</v>
      </c>
      <c r="R108" s="164" t="s">
        <v>2790</v>
      </c>
      <c r="S108" s="164" t="s">
        <v>2791</v>
      </c>
      <c r="T108" s="198" t="s">
        <v>2792</v>
      </c>
      <c r="U108" s="198" t="s">
        <v>2793</v>
      </c>
      <c r="V108" s="198" t="s">
        <v>2794</v>
      </c>
      <c r="W108" s="1162" t="e">
        <f t="shared" si="37"/>
        <v>#VALUE!</v>
      </c>
      <c r="X108" s="1058"/>
      <c r="Y108" s="1058"/>
      <c r="Z108" s="1058"/>
      <c r="AA108" s="1058"/>
      <c r="AB108" s="1058"/>
      <c r="AC108" s="1058"/>
      <c r="AD108" s="1058"/>
      <c r="AE108" s="1058"/>
      <c r="AF108" s="1058"/>
      <c r="AG108" s="94"/>
      <c r="AH108" s="94"/>
      <c r="BW108" s="79"/>
      <c r="BX108" s="79"/>
      <c r="CB108" s="1031" t="str">
        <f t="shared" si="49"/>
        <v xml:space="preserve">* El número de Embarazadas NO DEBE ser mayor que el total. </v>
      </c>
      <c r="CC108" s="1031" t="str">
        <f t="shared" si="39"/>
        <v xml:space="preserve">* El número de Beneficiarios NO DEBE ser mayor que el total. </v>
      </c>
      <c r="CD108" s="1031" t="str">
        <f t="shared" si="50"/>
        <v xml:space="preserve">* El número de 60 Años NO DEBE ser mayor que el total. </v>
      </c>
      <c r="CE108" s="1031" t="str">
        <f t="shared" si="41"/>
        <v xml:space="preserve">* El número de Usuarios en situación de Discapacidad NO DEBE ser mayor que el total. </v>
      </c>
      <c r="CF108" s="1031" t="str">
        <f t="shared" si="42"/>
        <v xml:space="preserve">* El número de Niños, Niñas, Adolescentes y Jóvenes Población SENAME NO DEBE ser mayor que el total. </v>
      </c>
      <c r="CG108" s="1031" t="str">
        <f t="shared" si="43"/>
        <v xml:space="preserve">* El número de Migrantes NO DEBE ser mayor que el total. </v>
      </c>
      <c r="CH108" s="1031" t="e">
        <f t="shared" si="44"/>
        <v>#VALUE!</v>
      </c>
      <c r="CI108" s="1163">
        <f t="shared" si="51"/>
        <v>1</v>
      </c>
      <c r="CJ108" s="1163">
        <f t="shared" si="48"/>
        <v>1</v>
      </c>
      <c r="CK108" s="1163">
        <f t="shared" si="48"/>
        <v>1</v>
      </c>
      <c r="CL108" s="1163">
        <f t="shared" si="46"/>
        <v>1</v>
      </c>
      <c r="CM108" s="1163">
        <f t="shared" si="46"/>
        <v>1</v>
      </c>
      <c r="CN108" s="1163">
        <f t="shared" si="46"/>
        <v>1</v>
      </c>
      <c r="CO108" s="1163" t="e">
        <f t="shared" si="47"/>
        <v>#VALUE!</v>
      </c>
    </row>
    <row r="109" spans="1:93" ht="16.350000000000001" customHeight="1" x14ac:dyDescent="0.2">
      <c r="A109" s="4662" t="s">
        <v>3855</v>
      </c>
      <c r="B109" s="6110" t="s">
        <v>1987</v>
      </c>
      <c r="C109" s="6111"/>
      <c r="D109" s="6112"/>
      <c r="E109" s="760" t="s">
        <v>2777</v>
      </c>
      <c r="F109" s="141" t="s">
        <v>2778</v>
      </c>
      <c r="G109" s="180" t="s">
        <v>2779</v>
      </c>
      <c r="H109" s="936" t="s">
        <v>2780</v>
      </c>
      <c r="I109" s="1090" t="s">
        <v>2781</v>
      </c>
      <c r="J109" s="1090" t="s">
        <v>2782</v>
      </c>
      <c r="K109" s="142" t="s">
        <v>2783</v>
      </c>
      <c r="L109" s="142" t="s">
        <v>2784</v>
      </c>
      <c r="M109" s="142" t="s">
        <v>2785</v>
      </c>
      <c r="N109" s="180" t="s">
        <v>2786</v>
      </c>
      <c r="O109" s="498" t="s">
        <v>2787</v>
      </c>
      <c r="P109" s="198" t="s">
        <v>2788</v>
      </c>
      <c r="Q109" s="164" t="s">
        <v>2789</v>
      </c>
      <c r="R109" s="164" t="s">
        <v>2790</v>
      </c>
      <c r="S109" s="164" t="s">
        <v>2791</v>
      </c>
      <c r="T109" s="198" t="s">
        <v>2792</v>
      </c>
      <c r="U109" s="198" t="s">
        <v>2793</v>
      </c>
      <c r="V109" s="198" t="s">
        <v>2794</v>
      </c>
      <c r="W109" s="1162" t="e">
        <f t="shared" si="37"/>
        <v>#VALUE!</v>
      </c>
      <c r="X109" s="1058"/>
      <c r="Y109" s="1058"/>
      <c r="Z109" s="1058"/>
      <c r="AA109" s="1058"/>
      <c r="AB109" s="1058"/>
      <c r="AC109" s="1058"/>
      <c r="AD109" s="1058"/>
      <c r="AE109" s="1058"/>
      <c r="AF109" s="1058"/>
      <c r="AG109" s="94"/>
      <c r="AH109" s="94"/>
      <c r="BW109" s="79"/>
      <c r="BX109" s="79"/>
      <c r="CB109" s="1031" t="str">
        <f t="shared" si="49"/>
        <v xml:space="preserve">* El número de Embarazadas NO DEBE ser mayor que el total. </v>
      </c>
      <c r="CC109" s="1031" t="str">
        <f t="shared" si="39"/>
        <v xml:space="preserve">* El número de Beneficiarios NO DEBE ser mayor que el total. </v>
      </c>
      <c r="CD109" s="1031" t="str">
        <f t="shared" si="50"/>
        <v xml:space="preserve">* El número de 60 Años NO DEBE ser mayor que el total. </v>
      </c>
      <c r="CE109" s="1031" t="str">
        <f t="shared" si="41"/>
        <v xml:space="preserve">* El número de Usuarios en situación de Discapacidad NO DEBE ser mayor que el total. </v>
      </c>
      <c r="CF109" s="1031" t="str">
        <f t="shared" si="42"/>
        <v xml:space="preserve">* El número de Niños, Niñas, Adolescentes y Jóvenes Población SENAME NO DEBE ser mayor que el total. </v>
      </c>
      <c r="CG109" s="1031" t="str">
        <f t="shared" si="43"/>
        <v xml:space="preserve">* El número de Migrantes NO DEBE ser mayor que el total. </v>
      </c>
      <c r="CH109" s="1031" t="e">
        <f t="shared" si="44"/>
        <v>#VALUE!</v>
      </c>
      <c r="CI109" s="1163">
        <f t="shared" si="51"/>
        <v>1</v>
      </c>
      <c r="CJ109" s="1163">
        <f t="shared" si="48"/>
        <v>1</v>
      </c>
      <c r="CK109" s="1163">
        <f t="shared" si="48"/>
        <v>1</v>
      </c>
      <c r="CL109" s="1163">
        <f t="shared" si="46"/>
        <v>1</v>
      </c>
      <c r="CM109" s="1163">
        <f t="shared" si="46"/>
        <v>1</v>
      </c>
      <c r="CN109" s="1163">
        <f t="shared" si="46"/>
        <v>1</v>
      </c>
      <c r="CO109" s="1163" t="e">
        <f t="shared" si="47"/>
        <v>#VALUE!</v>
      </c>
    </row>
    <row r="110" spans="1:93" ht="16.350000000000001" customHeight="1" x14ac:dyDescent="0.2">
      <c r="A110" s="4662" t="s">
        <v>3856</v>
      </c>
      <c r="B110" s="6110" t="s">
        <v>1988</v>
      </c>
      <c r="C110" s="6111"/>
      <c r="D110" s="6112"/>
      <c r="E110" s="760" t="s">
        <v>2777</v>
      </c>
      <c r="F110" s="141" t="s">
        <v>2778</v>
      </c>
      <c r="G110" s="180" t="s">
        <v>2779</v>
      </c>
      <c r="H110" s="936" t="s">
        <v>2780</v>
      </c>
      <c r="I110" s="1090" t="s">
        <v>2781</v>
      </c>
      <c r="J110" s="1090" t="s">
        <v>2782</v>
      </c>
      <c r="K110" s="1090" t="s">
        <v>2783</v>
      </c>
      <c r="L110" s="1090" t="s">
        <v>2784</v>
      </c>
      <c r="M110" s="142" t="s">
        <v>2785</v>
      </c>
      <c r="N110" s="180" t="s">
        <v>2786</v>
      </c>
      <c r="O110" s="498" t="s">
        <v>2787</v>
      </c>
      <c r="P110" s="198" t="s">
        <v>2788</v>
      </c>
      <c r="Q110" s="164" t="s">
        <v>2789</v>
      </c>
      <c r="R110" s="164" t="s">
        <v>2790</v>
      </c>
      <c r="S110" s="164" t="s">
        <v>2791</v>
      </c>
      <c r="T110" s="198" t="s">
        <v>2792</v>
      </c>
      <c r="U110" s="198" t="s">
        <v>2793</v>
      </c>
      <c r="V110" s="198" t="s">
        <v>2794</v>
      </c>
      <c r="W110" s="1162" t="e">
        <f t="shared" si="37"/>
        <v>#VALUE!</v>
      </c>
      <c r="X110" s="1058"/>
      <c r="Y110" s="1058"/>
      <c r="Z110" s="1058"/>
      <c r="AA110" s="1058"/>
      <c r="AB110" s="1058"/>
      <c r="AC110" s="1058"/>
      <c r="AD110" s="1058"/>
      <c r="AE110" s="1058"/>
      <c r="AF110" s="1058"/>
      <c r="AG110" s="94"/>
      <c r="AH110" s="94"/>
      <c r="BW110" s="79"/>
      <c r="BX110" s="79"/>
      <c r="CB110" s="1031" t="str">
        <f t="shared" si="49"/>
        <v xml:space="preserve">* El número de Embarazadas NO DEBE ser mayor que el total. </v>
      </c>
      <c r="CC110" s="1031" t="str">
        <f t="shared" si="39"/>
        <v xml:space="preserve">* El número de Beneficiarios NO DEBE ser mayor que el total. </v>
      </c>
      <c r="CD110" s="1031" t="str">
        <f t="shared" si="50"/>
        <v xml:space="preserve">* El número de 60 Años NO DEBE ser mayor que el total. </v>
      </c>
      <c r="CE110" s="1031" t="str">
        <f t="shared" si="41"/>
        <v xml:space="preserve">* El número de Usuarios en situación de Discapacidad NO DEBE ser mayor que el total. </v>
      </c>
      <c r="CF110" s="1031" t="str">
        <f t="shared" si="42"/>
        <v xml:space="preserve">* El número de Niños, Niñas, Adolescentes y Jóvenes Población SENAME NO DEBE ser mayor que el total. </v>
      </c>
      <c r="CG110" s="1031" t="str">
        <f t="shared" si="43"/>
        <v xml:space="preserve">* El número de Migrantes NO DEBE ser mayor que el total. </v>
      </c>
      <c r="CH110" s="1031" t="e">
        <f t="shared" si="44"/>
        <v>#VALUE!</v>
      </c>
      <c r="CI110" s="1163">
        <f t="shared" si="51"/>
        <v>1</v>
      </c>
      <c r="CJ110" s="1163">
        <f t="shared" si="48"/>
        <v>1</v>
      </c>
      <c r="CK110" s="1163">
        <f t="shared" si="48"/>
        <v>1</v>
      </c>
      <c r="CL110" s="1163">
        <f t="shared" si="46"/>
        <v>1</v>
      </c>
      <c r="CM110" s="1163">
        <f t="shared" si="46"/>
        <v>1</v>
      </c>
      <c r="CN110" s="1163">
        <f t="shared" si="46"/>
        <v>1</v>
      </c>
      <c r="CO110" s="1163" t="e">
        <f t="shared" si="47"/>
        <v>#VALUE!</v>
      </c>
    </row>
    <row r="111" spans="1:93" ht="16.350000000000001" customHeight="1" x14ac:dyDescent="0.2">
      <c r="A111" s="4662" t="s">
        <v>3857</v>
      </c>
      <c r="B111" s="6126" t="s">
        <v>1989</v>
      </c>
      <c r="C111" s="6126"/>
      <c r="D111" s="6126"/>
      <c r="E111" s="760" t="s">
        <v>2777</v>
      </c>
      <c r="F111" s="141" t="s">
        <v>2778</v>
      </c>
      <c r="G111" s="143" t="s">
        <v>2779</v>
      </c>
      <c r="H111" s="141" t="s">
        <v>2780</v>
      </c>
      <c r="I111" s="142" t="s">
        <v>2781</v>
      </c>
      <c r="J111" s="142" t="s">
        <v>2782</v>
      </c>
      <c r="K111" s="142" t="s">
        <v>2783</v>
      </c>
      <c r="L111" s="142" t="s">
        <v>2784</v>
      </c>
      <c r="M111" s="142" t="s">
        <v>2785</v>
      </c>
      <c r="N111" s="180" t="s">
        <v>2786</v>
      </c>
      <c r="O111" s="498" t="s">
        <v>2787</v>
      </c>
      <c r="P111" s="198" t="s">
        <v>2788</v>
      </c>
      <c r="Q111" s="164" t="s">
        <v>2789</v>
      </c>
      <c r="R111" s="164" t="s">
        <v>2790</v>
      </c>
      <c r="S111" s="164" t="s">
        <v>2791</v>
      </c>
      <c r="T111" s="198" t="s">
        <v>2792</v>
      </c>
      <c r="U111" s="198" t="s">
        <v>2793</v>
      </c>
      <c r="V111" s="198" t="s">
        <v>2794</v>
      </c>
      <c r="W111" s="1162" t="e">
        <f t="shared" si="37"/>
        <v>#VALUE!</v>
      </c>
      <c r="X111" s="1058"/>
      <c r="Y111" s="1058"/>
      <c r="Z111" s="1058"/>
      <c r="AA111" s="1058"/>
      <c r="AB111" s="1058"/>
      <c r="AC111" s="1058"/>
      <c r="AD111" s="1058"/>
      <c r="AE111" s="1058"/>
      <c r="AF111" s="1058"/>
      <c r="AG111" s="94"/>
      <c r="AH111" s="94"/>
      <c r="BW111" s="79"/>
      <c r="BX111" s="79"/>
      <c r="CB111" s="1031" t="str">
        <f t="shared" si="49"/>
        <v xml:space="preserve">* El número de Embarazadas NO DEBE ser mayor que el total. </v>
      </c>
      <c r="CC111" s="1031" t="str">
        <f t="shared" si="39"/>
        <v xml:space="preserve">* El número de Beneficiarios NO DEBE ser mayor que el total. </v>
      </c>
      <c r="CD111" s="1031" t="str">
        <f t="shared" si="50"/>
        <v xml:space="preserve">* El número de 60 Años NO DEBE ser mayor que el total. </v>
      </c>
      <c r="CE111" s="1031" t="str">
        <f t="shared" si="41"/>
        <v xml:space="preserve">* El número de Usuarios en situación de Discapacidad NO DEBE ser mayor que el total. </v>
      </c>
      <c r="CF111" s="1031" t="str">
        <f t="shared" si="42"/>
        <v xml:space="preserve">* El número de Niños, Niñas, Adolescentes y Jóvenes Población SENAME NO DEBE ser mayor que el total. </v>
      </c>
      <c r="CG111" s="1031" t="str">
        <f t="shared" si="43"/>
        <v xml:space="preserve">* El número de Migrantes NO DEBE ser mayor que el total. </v>
      </c>
      <c r="CH111" s="1031" t="e">
        <f t="shared" si="44"/>
        <v>#VALUE!</v>
      </c>
      <c r="CI111" s="1163">
        <f t="shared" si="51"/>
        <v>1</v>
      </c>
      <c r="CJ111" s="1163">
        <f t="shared" si="48"/>
        <v>1</v>
      </c>
      <c r="CK111" s="1163">
        <f t="shared" si="48"/>
        <v>1</v>
      </c>
      <c r="CL111" s="1163">
        <f t="shared" si="46"/>
        <v>1</v>
      </c>
      <c r="CM111" s="1163">
        <f t="shared" si="46"/>
        <v>1</v>
      </c>
      <c r="CN111" s="1163">
        <f t="shared" si="46"/>
        <v>1</v>
      </c>
      <c r="CO111" s="1163" t="e">
        <f t="shared" si="47"/>
        <v>#VALUE!</v>
      </c>
    </row>
    <row r="112" spans="1:93" ht="16.350000000000001" customHeight="1" x14ac:dyDescent="0.2">
      <c r="A112" s="4651" t="s">
        <v>3790</v>
      </c>
      <c r="B112" s="5917" t="s">
        <v>1990</v>
      </c>
      <c r="C112" s="6123"/>
      <c r="D112" s="5918"/>
      <c r="E112" s="760" t="s">
        <v>2777</v>
      </c>
      <c r="F112" s="141" t="s">
        <v>2778</v>
      </c>
      <c r="G112" s="180" t="s">
        <v>2779</v>
      </c>
      <c r="H112" s="936" t="s">
        <v>2780</v>
      </c>
      <c r="I112" s="1090" t="s">
        <v>2781</v>
      </c>
      <c r="J112" s="1090" t="s">
        <v>2782</v>
      </c>
      <c r="K112" s="1090" t="s">
        <v>2783</v>
      </c>
      <c r="L112" s="1090" t="s">
        <v>2784</v>
      </c>
      <c r="M112" s="142" t="s">
        <v>2785</v>
      </c>
      <c r="N112" s="180" t="s">
        <v>2786</v>
      </c>
      <c r="O112" s="498" t="s">
        <v>2787</v>
      </c>
      <c r="P112" s="198" t="s">
        <v>2788</v>
      </c>
      <c r="Q112" s="164" t="s">
        <v>2789</v>
      </c>
      <c r="R112" s="1607" t="s">
        <v>2790</v>
      </c>
      <c r="S112" s="164" t="s">
        <v>2791</v>
      </c>
      <c r="T112" s="198" t="s">
        <v>2792</v>
      </c>
      <c r="U112" s="198" t="s">
        <v>2793</v>
      </c>
      <c r="V112" s="198" t="s">
        <v>2794</v>
      </c>
      <c r="W112" s="1162" t="e">
        <f t="shared" si="37"/>
        <v>#VALUE!</v>
      </c>
      <c r="X112" s="1058"/>
      <c r="Y112" s="1058"/>
      <c r="Z112" s="1058"/>
      <c r="AA112" s="1058"/>
      <c r="AB112" s="1058"/>
      <c r="AC112" s="1058"/>
      <c r="AD112" s="1058"/>
      <c r="AE112" s="1058"/>
      <c r="AF112" s="1058"/>
      <c r="AG112" s="94"/>
      <c r="AH112" s="94"/>
      <c r="BW112" s="79"/>
      <c r="BX112" s="79"/>
      <c r="CB112" s="1031" t="str">
        <f t="shared" si="49"/>
        <v xml:space="preserve">* El número de Embarazadas NO DEBE ser mayor que el total. </v>
      </c>
      <c r="CC112" s="1031" t="str">
        <f t="shared" si="39"/>
        <v xml:space="preserve">* El número de Beneficiarios NO DEBE ser mayor que el total. </v>
      </c>
      <c r="CD112" s="1031" t="str">
        <f t="shared" si="50"/>
        <v xml:space="preserve">* El número de 60 Años NO DEBE ser mayor que el total. </v>
      </c>
      <c r="CE112" s="1031" t="str">
        <f t="shared" si="41"/>
        <v xml:space="preserve">* El número de Usuarios en situación de Discapacidad NO DEBE ser mayor que el total. </v>
      </c>
      <c r="CF112" s="1031" t="str">
        <f t="shared" si="42"/>
        <v xml:space="preserve">* El número de Niños, Niñas, Adolescentes y Jóvenes Población SENAME NO DEBE ser mayor que el total. </v>
      </c>
      <c r="CG112" s="1031" t="str">
        <f t="shared" si="43"/>
        <v xml:space="preserve">* El número de Migrantes NO DEBE ser mayor que el total. </v>
      </c>
      <c r="CH112" s="1031" t="e">
        <f t="shared" si="44"/>
        <v>#VALUE!</v>
      </c>
      <c r="CI112" s="1163">
        <f t="shared" si="51"/>
        <v>1</v>
      </c>
      <c r="CJ112" s="1163">
        <f t="shared" si="51"/>
        <v>1</v>
      </c>
      <c r="CK112" s="1163">
        <f t="shared" si="51"/>
        <v>1</v>
      </c>
      <c r="CL112" s="1163">
        <f t="shared" ref="CL112:CN131" si="52">IF(AND($E112&lt;&gt;0,T112=""),1,IF($E112&lt;T112,1,0))</f>
        <v>1</v>
      </c>
      <c r="CM112" s="1163">
        <f t="shared" si="52"/>
        <v>1</v>
      </c>
      <c r="CN112" s="1163">
        <f t="shared" si="52"/>
        <v>1</v>
      </c>
      <c r="CO112" s="1163" t="e">
        <f t="shared" si="47"/>
        <v>#VALUE!</v>
      </c>
    </row>
    <row r="113" spans="1:93" ht="16.350000000000001" customHeight="1" x14ac:dyDescent="0.2">
      <c r="A113" s="4651" t="s">
        <v>3791</v>
      </c>
      <c r="B113" s="5917" t="s">
        <v>1991</v>
      </c>
      <c r="C113" s="6123"/>
      <c r="D113" s="5918"/>
      <c r="E113" s="760" t="s">
        <v>2777</v>
      </c>
      <c r="F113" s="141" t="s">
        <v>2778</v>
      </c>
      <c r="G113" s="180" t="s">
        <v>2779</v>
      </c>
      <c r="H113" s="936" t="s">
        <v>2780</v>
      </c>
      <c r="I113" s="1090" t="s">
        <v>2781</v>
      </c>
      <c r="J113" s="1090" t="s">
        <v>2782</v>
      </c>
      <c r="K113" s="1090" t="s">
        <v>2783</v>
      </c>
      <c r="L113" s="1090" t="s">
        <v>2784</v>
      </c>
      <c r="M113" s="142" t="s">
        <v>2785</v>
      </c>
      <c r="N113" s="180" t="s">
        <v>2786</v>
      </c>
      <c r="O113" s="498" t="s">
        <v>2787</v>
      </c>
      <c r="P113" s="198" t="s">
        <v>2788</v>
      </c>
      <c r="Q113" s="164" t="s">
        <v>2789</v>
      </c>
      <c r="R113" s="1607" t="s">
        <v>2790</v>
      </c>
      <c r="S113" s="164" t="s">
        <v>2791</v>
      </c>
      <c r="T113" s="198" t="s">
        <v>2792</v>
      </c>
      <c r="U113" s="198" t="s">
        <v>2793</v>
      </c>
      <c r="V113" s="198" t="s">
        <v>2794</v>
      </c>
      <c r="W113" s="1162" t="e">
        <f t="shared" si="37"/>
        <v>#VALUE!</v>
      </c>
      <c r="X113" s="1058"/>
      <c r="Y113" s="1058"/>
      <c r="Z113" s="1058"/>
      <c r="AA113" s="1058"/>
      <c r="AB113" s="1058"/>
      <c r="AC113" s="1058"/>
      <c r="AD113" s="1058"/>
      <c r="AE113" s="1058"/>
      <c r="AF113" s="1058"/>
      <c r="AG113" s="94"/>
      <c r="AH113" s="94"/>
      <c r="BW113" s="79"/>
      <c r="BX113" s="79"/>
      <c r="CB113" s="1031" t="str">
        <f t="shared" si="49"/>
        <v xml:space="preserve">* El número de Embarazadas NO DEBE ser mayor que el total. </v>
      </c>
      <c r="CC113" s="1031" t="str">
        <f t="shared" si="39"/>
        <v xml:space="preserve">* El número de Beneficiarios NO DEBE ser mayor que el total. </v>
      </c>
      <c r="CD113" s="1031" t="str">
        <f t="shared" si="50"/>
        <v xml:space="preserve">* El número de 60 Años NO DEBE ser mayor que el total. </v>
      </c>
      <c r="CE113" s="1031" t="str">
        <f t="shared" si="41"/>
        <v xml:space="preserve">* El número de Usuarios en situación de Discapacidad NO DEBE ser mayor que el total. </v>
      </c>
      <c r="CF113" s="1031" t="str">
        <f t="shared" si="42"/>
        <v xml:space="preserve">* El número de Niños, Niñas, Adolescentes y Jóvenes Población SENAME NO DEBE ser mayor que el total. </v>
      </c>
      <c r="CG113" s="1031" t="str">
        <f t="shared" si="43"/>
        <v xml:space="preserve">* El número de Migrantes NO DEBE ser mayor que el total. </v>
      </c>
      <c r="CH113" s="1031" t="e">
        <f t="shared" si="44"/>
        <v>#VALUE!</v>
      </c>
      <c r="CI113" s="1163">
        <f t="shared" si="51"/>
        <v>1</v>
      </c>
      <c r="CJ113" s="1163">
        <f t="shared" si="51"/>
        <v>1</v>
      </c>
      <c r="CK113" s="1163">
        <f t="shared" si="51"/>
        <v>1</v>
      </c>
      <c r="CL113" s="1163">
        <f t="shared" si="52"/>
        <v>1</v>
      </c>
      <c r="CM113" s="1163">
        <f t="shared" si="52"/>
        <v>1</v>
      </c>
      <c r="CN113" s="1163">
        <f t="shared" si="52"/>
        <v>1</v>
      </c>
      <c r="CO113" s="1163" t="e">
        <f t="shared" si="47"/>
        <v>#VALUE!</v>
      </c>
    </row>
    <row r="114" spans="1:93" ht="16.350000000000001" customHeight="1" x14ac:dyDescent="0.2">
      <c r="A114" s="4651" t="s">
        <v>3792</v>
      </c>
      <c r="B114" s="5127" t="s">
        <v>1992</v>
      </c>
      <c r="C114" s="5127"/>
      <c r="D114" s="5127"/>
      <c r="E114" s="760" t="s">
        <v>2777</v>
      </c>
      <c r="F114" s="141" t="s">
        <v>2778</v>
      </c>
      <c r="G114" s="180" t="s">
        <v>2779</v>
      </c>
      <c r="H114" s="936" t="s">
        <v>2780</v>
      </c>
      <c r="I114" s="1090" t="s">
        <v>2781</v>
      </c>
      <c r="J114" s="1090" t="s">
        <v>2782</v>
      </c>
      <c r="K114" s="1596" t="s">
        <v>2783</v>
      </c>
      <c r="L114" s="1596" t="s">
        <v>2784</v>
      </c>
      <c r="M114" s="142" t="s">
        <v>2785</v>
      </c>
      <c r="N114" s="180" t="s">
        <v>2786</v>
      </c>
      <c r="O114" s="498" t="s">
        <v>2787</v>
      </c>
      <c r="P114" s="198" t="s">
        <v>2788</v>
      </c>
      <c r="Q114" s="164" t="s">
        <v>2789</v>
      </c>
      <c r="R114" s="164" t="s">
        <v>2790</v>
      </c>
      <c r="S114" s="164" t="s">
        <v>2791</v>
      </c>
      <c r="T114" s="198" t="s">
        <v>2792</v>
      </c>
      <c r="U114" s="198" t="s">
        <v>2793</v>
      </c>
      <c r="V114" s="198" t="s">
        <v>2794</v>
      </c>
      <c r="W114" s="1162" t="e">
        <f t="shared" si="37"/>
        <v>#VALUE!</v>
      </c>
      <c r="X114" s="1058"/>
      <c r="Y114" s="1058"/>
      <c r="Z114" s="1058"/>
      <c r="AA114" s="1058"/>
      <c r="AB114" s="1058"/>
      <c r="AC114" s="1058"/>
      <c r="AD114" s="1058"/>
      <c r="AE114" s="1058"/>
      <c r="AF114" s="1058"/>
      <c r="AG114" s="94"/>
      <c r="AH114" s="94"/>
      <c r="BW114" s="79"/>
      <c r="BX114" s="79"/>
      <c r="CB114" s="1031" t="str">
        <f t="shared" si="49"/>
        <v xml:space="preserve">* El número de Embarazadas NO DEBE ser mayor que el total. </v>
      </c>
      <c r="CC114" s="1031" t="str">
        <f t="shared" si="39"/>
        <v xml:space="preserve">* El número de Beneficiarios NO DEBE ser mayor que el total. </v>
      </c>
      <c r="CD114" s="1031" t="str">
        <f t="shared" si="50"/>
        <v xml:space="preserve">* El número de 60 Años NO DEBE ser mayor que el total. </v>
      </c>
      <c r="CE114" s="1031" t="str">
        <f t="shared" si="41"/>
        <v xml:space="preserve">* El número de Usuarios en situación de Discapacidad NO DEBE ser mayor que el total. </v>
      </c>
      <c r="CF114" s="1031" t="str">
        <f t="shared" si="42"/>
        <v xml:space="preserve">* El número de Niños, Niñas, Adolescentes y Jóvenes Población SENAME NO DEBE ser mayor que el total. </v>
      </c>
      <c r="CG114" s="1031" t="str">
        <f t="shared" si="43"/>
        <v xml:space="preserve">* El número de Migrantes NO DEBE ser mayor que el total. </v>
      </c>
      <c r="CH114" s="1031" t="e">
        <f t="shared" si="44"/>
        <v>#VALUE!</v>
      </c>
      <c r="CI114" s="1163">
        <f t="shared" si="51"/>
        <v>1</v>
      </c>
      <c r="CJ114" s="1163">
        <f t="shared" si="51"/>
        <v>1</v>
      </c>
      <c r="CK114" s="1163">
        <f t="shared" si="51"/>
        <v>1</v>
      </c>
      <c r="CL114" s="1163">
        <f t="shared" si="52"/>
        <v>1</v>
      </c>
      <c r="CM114" s="1163">
        <f t="shared" si="52"/>
        <v>1</v>
      </c>
      <c r="CN114" s="1163">
        <f t="shared" si="52"/>
        <v>1</v>
      </c>
      <c r="CO114" s="1163" t="e">
        <f t="shared" si="47"/>
        <v>#VALUE!</v>
      </c>
    </row>
    <row r="115" spans="1:93" ht="16.350000000000001" customHeight="1" x14ac:dyDescent="0.2">
      <c r="A115" s="4662" t="s">
        <v>3858</v>
      </c>
      <c r="B115" s="6124" t="s">
        <v>1993</v>
      </c>
      <c r="C115" s="6124"/>
      <c r="D115" s="6124"/>
      <c r="E115" s="760" t="s">
        <v>2777</v>
      </c>
      <c r="F115" s="141" t="s">
        <v>2778</v>
      </c>
      <c r="G115" s="180" t="s">
        <v>2779</v>
      </c>
      <c r="H115" s="936" t="s">
        <v>2780</v>
      </c>
      <c r="I115" s="1090" t="s">
        <v>2781</v>
      </c>
      <c r="J115" s="1090" t="s">
        <v>2782</v>
      </c>
      <c r="K115" s="1596" t="s">
        <v>2783</v>
      </c>
      <c r="L115" s="1596" t="s">
        <v>2784</v>
      </c>
      <c r="M115" s="142" t="s">
        <v>2785</v>
      </c>
      <c r="N115" s="180" t="s">
        <v>2786</v>
      </c>
      <c r="O115" s="498" t="s">
        <v>2787</v>
      </c>
      <c r="P115" s="198" t="s">
        <v>2788</v>
      </c>
      <c r="Q115" s="164" t="s">
        <v>2789</v>
      </c>
      <c r="R115" s="164" t="s">
        <v>2790</v>
      </c>
      <c r="S115" s="164" t="s">
        <v>2791</v>
      </c>
      <c r="T115" s="198" t="s">
        <v>2792</v>
      </c>
      <c r="U115" s="198" t="s">
        <v>2793</v>
      </c>
      <c r="V115" s="198" t="s">
        <v>2794</v>
      </c>
      <c r="W115" s="1162" t="e">
        <f t="shared" si="37"/>
        <v>#VALUE!</v>
      </c>
      <c r="X115" s="1058"/>
      <c r="Y115" s="1058"/>
      <c r="Z115" s="1058"/>
      <c r="AA115" s="1058"/>
      <c r="AB115" s="1058"/>
      <c r="AC115" s="1058"/>
      <c r="AD115" s="1058"/>
      <c r="AE115" s="1058"/>
      <c r="AF115" s="1058"/>
      <c r="AG115" s="94"/>
      <c r="AH115" s="94"/>
      <c r="BW115" s="79"/>
      <c r="BX115" s="79"/>
      <c r="CB115" s="1031" t="str">
        <f t="shared" si="49"/>
        <v xml:space="preserve">* El número de Embarazadas NO DEBE ser mayor que el total. </v>
      </c>
      <c r="CC115" s="1031" t="str">
        <f t="shared" si="39"/>
        <v xml:space="preserve">* El número de Beneficiarios NO DEBE ser mayor que el total. </v>
      </c>
      <c r="CD115" s="1031" t="str">
        <f t="shared" si="50"/>
        <v xml:space="preserve">* El número de 60 Años NO DEBE ser mayor que el total. </v>
      </c>
      <c r="CE115" s="1031" t="str">
        <f t="shared" si="41"/>
        <v xml:space="preserve">* El número de Usuarios en situación de Discapacidad NO DEBE ser mayor que el total. </v>
      </c>
      <c r="CF115" s="1031" t="str">
        <f t="shared" si="42"/>
        <v xml:space="preserve">* El número de Niños, Niñas, Adolescentes y Jóvenes Población SENAME NO DEBE ser mayor que el total. </v>
      </c>
      <c r="CG115" s="1031" t="str">
        <f t="shared" si="43"/>
        <v xml:space="preserve">* El número de Migrantes NO DEBE ser mayor que el total. </v>
      </c>
      <c r="CH115" s="1031" t="e">
        <f t="shared" si="44"/>
        <v>#VALUE!</v>
      </c>
      <c r="CI115" s="1163">
        <f t="shared" si="51"/>
        <v>1</v>
      </c>
      <c r="CJ115" s="1163">
        <f t="shared" si="51"/>
        <v>1</v>
      </c>
      <c r="CK115" s="1163">
        <f t="shared" si="51"/>
        <v>1</v>
      </c>
      <c r="CL115" s="1163">
        <f t="shared" si="52"/>
        <v>1</v>
      </c>
      <c r="CM115" s="1163">
        <f t="shared" si="52"/>
        <v>1</v>
      </c>
      <c r="CN115" s="1163">
        <f t="shared" si="52"/>
        <v>1</v>
      </c>
      <c r="CO115" s="1163" t="e">
        <f t="shared" si="47"/>
        <v>#VALUE!</v>
      </c>
    </row>
    <row r="116" spans="1:93" ht="16.350000000000001" customHeight="1" x14ac:dyDescent="0.2">
      <c r="A116" s="4662" t="s">
        <v>3859</v>
      </c>
      <c r="B116" s="6124" t="s">
        <v>1994</v>
      </c>
      <c r="C116" s="6124"/>
      <c r="D116" s="6124"/>
      <c r="E116" s="760" t="s">
        <v>2777</v>
      </c>
      <c r="F116" s="141" t="s">
        <v>2778</v>
      </c>
      <c r="G116" s="180" t="s">
        <v>2779</v>
      </c>
      <c r="H116" s="936" t="s">
        <v>2780</v>
      </c>
      <c r="I116" s="1090" t="s">
        <v>2781</v>
      </c>
      <c r="J116" s="1090" t="s">
        <v>2782</v>
      </c>
      <c r="K116" s="1596" t="s">
        <v>2783</v>
      </c>
      <c r="L116" s="1596" t="s">
        <v>2784</v>
      </c>
      <c r="M116" s="142" t="s">
        <v>2785</v>
      </c>
      <c r="N116" s="180" t="s">
        <v>2786</v>
      </c>
      <c r="O116" s="498" t="s">
        <v>2787</v>
      </c>
      <c r="P116" s="198" t="s">
        <v>2788</v>
      </c>
      <c r="Q116" s="164" t="s">
        <v>2789</v>
      </c>
      <c r="R116" s="164" t="s">
        <v>2790</v>
      </c>
      <c r="S116" s="164" t="s">
        <v>2791</v>
      </c>
      <c r="T116" s="198" t="s">
        <v>2792</v>
      </c>
      <c r="U116" s="198" t="s">
        <v>2793</v>
      </c>
      <c r="V116" s="198" t="s">
        <v>2794</v>
      </c>
      <c r="W116" s="1162" t="e">
        <f t="shared" si="37"/>
        <v>#VALUE!</v>
      </c>
      <c r="X116" s="1058"/>
      <c r="Y116" s="1058"/>
      <c r="Z116" s="1058"/>
      <c r="AA116" s="1058"/>
      <c r="AB116" s="1058"/>
      <c r="AC116" s="1058"/>
      <c r="AD116" s="1058"/>
      <c r="AE116" s="1058"/>
      <c r="AF116" s="1058"/>
      <c r="AG116" s="94"/>
      <c r="AH116" s="94"/>
      <c r="BW116" s="79"/>
      <c r="BX116" s="79"/>
      <c r="CB116" s="1031" t="str">
        <f t="shared" si="49"/>
        <v xml:space="preserve">* El número de Embarazadas NO DEBE ser mayor que el total. </v>
      </c>
      <c r="CC116" s="1031" t="str">
        <f t="shared" si="39"/>
        <v xml:space="preserve">* El número de Beneficiarios NO DEBE ser mayor que el total. </v>
      </c>
      <c r="CD116" s="1031" t="str">
        <f t="shared" si="50"/>
        <v xml:space="preserve">* El número de 60 Años NO DEBE ser mayor que el total. </v>
      </c>
      <c r="CE116" s="1031" t="str">
        <f t="shared" si="41"/>
        <v xml:space="preserve">* El número de Usuarios en situación de Discapacidad NO DEBE ser mayor que el total. </v>
      </c>
      <c r="CF116" s="1031" t="str">
        <f t="shared" si="42"/>
        <v xml:space="preserve">* El número de Niños, Niñas, Adolescentes y Jóvenes Población SENAME NO DEBE ser mayor que el total. </v>
      </c>
      <c r="CG116" s="1031" t="str">
        <f t="shared" si="43"/>
        <v xml:space="preserve">* El número de Migrantes NO DEBE ser mayor que el total. </v>
      </c>
      <c r="CH116" s="1031" t="e">
        <f t="shared" si="44"/>
        <v>#VALUE!</v>
      </c>
      <c r="CI116" s="1163">
        <f t="shared" si="51"/>
        <v>1</v>
      </c>
      <c r="CJ116" s="1163">
        <f t="shared" si="51"/>
        <v>1</v>
      </c>
      <c r="CK116" s="1163">
        <f t="shared" si="51"/>
        <v>1</v>
      </c>
      <c r="CL116" s="1163">
        <f t="shared" si="52"/>
        <v>1</v>
      </c>
      <c r="CM116" s="1163">
        <f t="shared" si="52"/>
        <v>1</v>
      </c>
      <c r="CN116" s="1163">
        <f t="shared" si="52"/>
        <v>1</v>
      </c>
      <c r="CO116" s="1163" t="e">
        <f t="shared" si="47"/>
        <v>#VALUE!</v>
      </c>
    </row>
    <row r="117" spans="1:93" ht="16.350000000000001" customHeight="1" x14ac:dyDescent="0.2">
      <c r="A117" s="3009" t="s">
        <v>3609</v>
      </c>
      <c r="B117" s="5917" t="s">
        <v>1095</v>
      </c>
      <c r="C117" s="6123"/>
      <c r="D117" s="5918"/>
      <c r="E117" s="760" t="s">
        <v>2777</v>
      </c>
      <c r="F117" s="141" t="s">
        <v>2778</v>
      </c>
      <c r="G117" s="180" t="s">
        <v>2779</v>
      </c>
      <c r="H117" s="936" t="s">
        <v>2780</v>
      </c>
      <c r="I117" s="1090" t="s">
        <v>2781</v>
      </c>
      <c r="J117" s="1090" t="s">
        <v>2782</v>
      </c>
      <c r="K117" s="1090" t="s">
        <v>2783</v>
      </c>
      <c r="L117" s="1090" t="s">
        <v>2784</v>
      </c>
      <c r="M117" s="142" t="s">
        <v>2785</v>
      </c>
      <c r="N117" s="180" t="s">
        <v>2786</v>
      </c>
      <c r="O117" s="498" t="s">
        <v>2787</v>
      </c>
      <c r="P117" s="198" t="s">
        <v>2788</v>
      </c>
      <c r="Q117" s="164" t="s">
        <v>2789</v>
      </c>
      <c r="R117" s="1607" t="s">
        <v>2790</v>
      </c>
      <c r="S117" s="164" t="s">
        <v>2791</v>
      </c>
      <c r="T117" s="198" t="s">
        <v>2792</v>
      </c>
      <c r="U117" s="198" t="s">
        <v>2793</v>
      </c>
      <c r="V117" s="198" t="s">
        <v>2794</v>
      </c>
      <c r="W117" s="1162" t="e">
        <f t="shared" si="37"/>
        <v>#VALUE!</v>
      </c>
      <c r="X117" s="1058"/>
      <c r="Y117" s="1058"/>
      <c r="Z117" s="1058"/>
      <c r="AA117" s="1058"/>
      <c r="AB117" s="1058"/>
      <c r="AC117" s="1058"/>
      <c r="AD117" s="1058"/>
      <c r="AE117" s="1058"/>
      <c r="AF117" s="1058"/>
      <c r="AG117" s="94"/>
      <c r="AH117" s="94"/>
      <c r="BW117" s="79"/>
      <c r="BX117" s="79"/>
      <c r="CB117" s="1031" t="str">
        <f t="shared" si="49"/>
        <v xml:space="preserve">* El número de Embarazadas NO DEBE ser mayor que el total. </v>
      </c>
      <c r="CC117" s="1031" t="str">
        <f t="shared" si="39"/>
        <v xml:space="preserve">* El número de Beneficiarios NO DEBE ser mayor que el total. </v>
      </c>
      <c r="CD117" s="1031" t="str">
        <f t="shared" si="50"/>
        <v xml:space="preserve">* El número de 60 Años NO DEBE ser mayor que el total. </v>
      </c>
      <c r="CE117" s="1031" t="str">
        <f t="shared" si="41"/>
        <v xml:space="preserve">* El número de Usuarios en situación de Discapacidad NO DEBE ser mayor que el total. </v>
      </c>
      <c r="CF117" s="1031" t="str">
        <f t="shared" si="42"/>
        <v xml:space="preserve">* El número de Niños, Niñas, Adolescentes y Jóvenes Población SENAME NO DEBE ser mayor que el total. </v>
      </c>
      <c r="CG117" s="1031" t="str">
        <f t="shared" si="43"/>
        <v xml:space="preserve">* El número de Migrantes NO DEBE ser mayor que el total. </v>
      </c>
      <c r="CH117" s="1031" t="e">
        <f t="shared" si="44"/>
        <v>#VALUE!</v>
      </c>
      <c r="CI117" s="1163">
        <f t="shared" si="51"/>
        <v>1</v>
      </c>
      <c r="CJ117" s="1163">
        <f t="shared" si="51"/>
        <v>1</v>
      </c>
      <c r="CK117" s="1163">
        <f t="shared" si="51"/>
        <v>1</v>
      </c>
      <c r="CL117" s="1163">
        <f t="shared" si="52"/>
        <v>1</v>
      </c>
      <c r="CM117" s="1163">
        <f t="shared" si="52"/>
        <v>1</v>
      </c>
      <c r="CN117" s="1163">
        <f t="shared" si="52"/>
        <v>1</v>
      </c>
      <c r="CO117" s="1163" t="e">
        <f t="shared" si="47"/>
        <v>#VALUE!</v>
      </c>
    </row>
    <row r="118" spans="1:93" ht="16.350000000000001" customHeight="1" x14ac:dyDescent="0.2">
      <c r="A118" s="4662" t="s">
        <v>3860</v>
      </c>
      <c r="B118" s="6110" t="s">
        <v>1995</v>
      </c>
      <c r="C118" s="6111"/>
      <c r="D118" s="6112"/>
      <c r="E118" s="760" t="s">
        <v>2777</v>
      </c>
      <c r="F118" s="141" t="s">
        <v>2778</v>
      </c>
      <c r="G118" s="180" t="s">
        <v>2779</v>
      </c>
      <c r="H118" s="936" t="s">
        <v>2780</v>
      </c>
      <c r="I118" s="1090" t="s">
        <v>2781</v>
      </c>
      <c r="J118" s="1090" t="s">
        <v>2782</v>
      </c>
      <c r="K118" s="1090" t="s">
        <v>2783</v>
      </c>
      <c r="L118" s="1090" t="s">
        <v>2784</v>
      </c>
      <c r="M118" s="142" t="s">
        <v>2785</v>
      </c>
      <c r="N118" s="180" t="s">
        <v>2786</v>
      </c>
      <c r="O118" s="498" t="s">
        <v>2787</v>
      </c>
      <c r="P118" s="198" t="s">
        <v>2788</v>
      </c>
      <c r="Q118" s="164" t="s">
        <v>2789</v>
      </c>
      <c r="R118" s="1607" t="s">
        <v>2790</v>
      </c>
      <c r="S118" s="164" t="s">
        <v>2791</v>
      </c>
      <c r="T118" s="198" t="s">
        <v>2792</v>
      </c>
      <c r="U118" s="198" t="s">
        <v>2793</v>
      </c>
      <c r="V118" s="198" t="s">
        <v>2794</v>
      </c>
      <c r="W118" s="1162" t="e">
        <f t="shared" si="37"/>
        <v>#VALUE!</v>
      </c>
      <c r="X118" s="1058"/>
      <c r="Y118" s="1058"/>
      <c r="Z118" s="1058"/>
      <c r="AA118" s="1058"/>
      <c r="AB118" s="1058"/>
      <c r="AC118" s="1058"/>
      <c r="AD118" s="1058"/>
      <c r="AE118" s="1058"/>
      <c r="AF118" s="1058"/>
      <c r="AG118" s="94"/>
      <c r="AH118" s="94"/>
      <c r="BW118" s="79"/>
      <c r="BX118" s="79"/>
      <c r="CB118" s="1031" t="str">
        <f t="shared" si="49"/>
        <v xml:space="preserve">* El número de Embarazadas NO DEBE ser mayor que el total. </v>
      </c>
      <c r="CC118" s="1031" t="str">
        <f t="shared" si="39"/>
        <v xml:space="preserve">* El número de Beneficiarios NO DEBE ser mayor que el total. </v>
      </c>
      <c r="CD118" s="1031" t="str">
        <f t="shared" si="50"/>
        <v xml:space="preserve">* El número de 60 Años NO DEBE ser mayor que el total. </v>
      </c>
      <c r="CE118" s="1031" t="str">
        <f t="shared" si="41"/>
        <v xml:space="preserve">* El número de Usuarios en situación de Discapacidad NO DEBE ser mayor que el total. </v>
      </c>
      <c r="CF118" s="1031" t="str">
        <f t="shared" si="42"/>
        <v xml:space="preserve">* El número de Niños, Niñas, Adolescentes y Jóvenes Población SENAME NO DEBE ser mayor que el total. </v>
      </c>
      <c r="CG118" s="1031" t="str">
        <f t="shared" si="43"/>
        <v xml:space="preserve">* El número de Migrantes NO DEBE ser mayor que el total. </v>
      </c>
      <c r="CH118" s="1031" t="e">
        <f t="shared" si="44"/>
        <v>#VALUE!</v>
      </c>
      <c r="CI118" s="1163">
        <f t="shared" si="51"/>
        <v>1</v>
      </c>
      <c r="CJ118" s="1163">
        <f t="shared" si="51"/>
        <v>1</v>
      </c>
      <c r="CK118" s="1163">
        <f t="shared" si="51"/>
        <v>1</v>
      </c>
      <c r="CL118" s="1163">
        <f t="shared" si="52"/>
        <v>1</v>
      </c>
      <c r="CM118" s="1163">
        <f t="shared" si="52"/>
        <v>1</v>
      </c>
      <c r="CN118" s="1163">
        <f t="shared" si="52"/>
        <v>1</v>
      </c>
      <c r="CO118" s="1163" t="e">
        <f t="shared" si="47"/>
        <v>#VALUE!</v>
      </c>
    </row>
    <row r="119" spans="1:93" ht="16.350000000000001" customHeight="1" x14ac:dyDescent="0.2">
      <c r="A119" s="4662" t="s">
        <v>3861</v>
      </c>
      <c r="B119" s="6110" t="s">
        <v>1996</v>
      </c>
      <c r="C119" s="6111"/>
      <c r="D119" s="6112"/>
      <c r="E119" s="760" t="s">
        <v>2777</v>
      </c>
      <c r="F119" s="141" t="s">
        <v>2778</v>
      </c>
      <c r="G119" s="180" t="s">
        <v>2779</v>
      </c>
      <c r="H119" s="936" t="s">
        <v>2780</v>
      </c>
      <c r="I119" s="1090" t="s">
        <v>2781</v>
      </c>
      <c r="J119" s="1090" t="s">
        <v>2782</v>
      </c>
      <c r="K119" s="1090" t="s">
        <v>2783</v>
      </c>
      <c r="L119" s="1090" t="s">
        <v>2784</v>
      </c>
      <c r="M119" s="142" t="s">
        <v>2785</v>
      </c>
      <c r="N119" s="180" t="s">
        <v>2786</v>
      </c>
      <c r="O119" s="498" t="s">
        <v>2787</v>
      </c>
      <c r="P119" s="198" t="s">
        <v>2788</v>
      </c>
      <c r="Q119" s="164" t="s">
        <v>2789</v>
      </c>
      <c r="R119" s="1607" t="s">
        <v>2790</v>
      </c>
      <c r="S119" s="164" t="s">
        <v>2791</v>
      </c>
      <c r="T119" s="198" t="s">
        <v>2792</v>
      </c>
      <c r="U119" s="198" t="s">
        <v>2793</v>
      </c>
      <c r="V119" s="198" t="s">
        <v>2794</v>
      </c>
      <c r="W119" s="1162" t="e">
        <f t="shared" si="37"/>
        <v>#VALUE!</v>
      </c>
      <c r="X119" s="1058"/>
      <c r="Y119" s="1058"/>
      <c r="Z119" s="1058"/>
      <c r="AA119" s="1058"/>
      <c r="AB119" s="1058"/>
      <c r="AC119" s="1058"/>
      <c r="AD119" s="1058"/>
      <c r="AE119" s="1058"/>
      <c r="AF119" s="1058"/>
      <c r="AG119" s="94"/>
      <c r="AH119" s="94"/>
      <c r="BW119" s="79"/>
      <c r="BX119" s="79"/>
      <c r="CB119" s="1031" t="str">
        <f t="shared" si="49"/>
        <v xml:space="preserve">* El número de Embarazadas NO DEBE ser mayor que el total. </v>
      </c>
      <c r="CC119" s="1031" t="str">
        <f t="shared" si="39"/>
        <v xml:space="preserve">* El número de Beneficiarios NO DEBE ser mayor que el total. </v>
      </c>
      <c r="CD119" s="1031" t="str">
        <f t="shared" si="50"/>
        <v xml:space="preserve">* El número de 60 Años NO DEBE ser mayor que el total. </v>
      </c>
      <c r="CE119" s="1031" t="str">
        <f t="shared" si="41"/>
        <v xml:space="preserve">* El número de Usuarios en situación de Discapacidad NO DEBE ser mayor que el total. </v>
      </c>
      <c r="CF119" s="1031" t="str">
        <f t="shared" si="42"/>
        <v xml:space="preserve">* El número de Niños, Niñas, Adolescentes y Jóvenes Población SENAME NO DEBE ser mayor que el total. </v>
      </c>
      <c r="CG119" s="1031" t="str">
        <f t="shared" si="43"/>
        <v xml:space="preserve">* El número de Migrantes NO DEBE ser mayor que el total. </v>
      </c>
      <c r="CH119" s="1031" t="e">
        <f t="shared" si="44"/>
        <v>#VALUE!</v>
      </c>
      <c r="CI119" s="1163">
        <f t="shared" si="51"/>
        <v>1</v>
      </c>
      <c r="CJ119" s="1163">
        <f t="shared" si="51"/>
        <v>1</v>
      </c>
      <c r="CK119" s="1163">
        <f t="shared" si="51"/>
        <v>1</v>
      </c>
      <c r="CL119" s="1163">
        <f t="shared" si="52"/>
        <v>1</v>
      </c>
      <c r="CM119" s="1163">
        <f t="shared" si="52"/>
        <v>1</v>
      </c>
      <c r="CN119" s="1163">
        <f t="shared" si="52"/>
        <v>1</v>
      </c>
      <c r="CO119" s="1163" t="e">
        <f t="shared" si="47"/>
        <v>#VALUE!</v>
      </c>
    </row>
    <row r="120" spans="1:93" ht="16.350000000000001" customHeight="1" x14ac:dyDescent="0.2">
      <c r="A120" s="4662" t="s">
        <v>3862</v>
      </c>
      <c r="B120" s="6110" t="s">
        <v>810</v>
      </c>
      <c r="C120" s="6111"/>
      <c r="D120" s="6112"/>
      <c r="E120" s="760" t="s">
        <v>2777</v>
      </c>
      <c r="F120" s="141" t="s">
        <v>2778</v>
      </c>
      <c r="G120" s="180" t="s">
        <v>2779</v>
      </c>
      <c r="H120" s="4814" t="s">
        <v>2780</v>
      </c>
      <c r="I120" s="1606" t="s">
        <v>2781</v>
      </c>
      <c r="J120" s="1606" t="s">
        <v>2782</v>
      </c>
      <c r="K120" s="1606" t="s">
        <v>2783</v>
      </c>
      <c r="L120" s="1606" t="s">
        <v>2784</v>
      </c>
      <c r="M120" s="4952" t="s">
        <v>2785</v>
      </c>
      <c r="N120" s="4953" t="s">
        <v>2786</v>
      </c>
      <c r="O120" s="1608" t="s">
        <v>2787</v>
      </c>
      <c r="P120" s="4954" t="s">
        <v>2788</v>
      </c>
      <c r="Q120" s="4955" t="s">
        <v>2789</v>
      </c>
      <c r="R120" s="1607" t="s">
        <v>2790</v>
      </c>
      <c r="S120" s="164" t="s">
        <v>2791</v>
      </c>
      <c r="T120" s="198" t="s">
        <v>2792</v>
      </c>
      <c r="U120" s="198" t="s">
        <v>2793</v>
      </c>
      <c r="V120" s="198" t="s">
        <v>2794</v>
      </c>
      <c r="W120" s="1162" t="e">
        <f t="shared" si="37"/>
        <v>#VALUE!</v>
      </c>
      <c r="X120" s="1058"/>
      <c r="Y120" s="1058"/>
      <c r="Z120" s="1058"/>
      <c r="AA120" s="1058"/>
      <c r="AB120" s="1058"/>
      <c r="AC120" s="1058"/>
      <c r="AD120" s="1058"/>
      <c r="AE120" s="1058"/>
      <c r="AF120" s="1058"/>
      <c r="AG120" s="94"/>
      <c r="AH120" s="94"/>
      <c r="BW120" s="79"/>
      <c r="BX120" s="79"/>
      <c r="CB120" s="1031" t="str">
        <f t="shared" si="49"/>
        <v xml:space="preserve">* El número de Embarazadas NO DEBE ser mayor que el total. </v>
      </c>
      <c r="CC120" s="1031" t="str">
        <f t="shared" si="39"/>
        <v xml:space="preserve">* El número de Beneficiarios NO DEBE ser mayor que el total. </v>
      </c>
      <c r="CD120" s="1031" t="str">
        <f t="shared" si="50"/>
        <v xml:space="preserve">* El número de 60 Años NO DEBE ser mayor que el total. </v>
      </c>
      <c r="CE120" s="1031" t="str">
        <f t="shared" si="41"/>
        <v xml:space="preserve">* El número de Usuarios en situación de Discapacidad NO DEBE ser mayor que el total. </v>
      </c>
      <c r="CF120" s="1031" t="str">
        <f t="shared" si="42"/>
        <v xml:space="preserve">* El número de Niños, Niñas, Adolescentes y Jóvenes Población SENAME NO DEBE ser mayor que el total. </v>
      </c>
      <c r="CG120" s="1031" t="str">
        <f t="shared" si="43"/>
        <v xml:space="preserve">* El número de Migrantes NO DEBE ser mayor que el total. </v>
      </c>
      <c r="CH120" s="1031" t="e">
        <f t="shared" si="44"/>
        <v>#VALUE!</v>
      </c>
      <c r="CI120" s="1163">
        <f t="shared" si="51"/>
        <v>1</v>
      </c>
      <c r="CJ120" s="1163">
        <f t="shared" si="51"/>
        <v>1</v>
      </c>
      <c r="CK120" s="1163">
        <f t="shared" si="51"/>
        <v>1</v>
      </c>
      <c r="CL120" s="1163">
        <f t="shared" si="52"/>
        <v>1</v>
      </c>
      <c r="CM120" s="1163">
        <f t="shared" si="52"/>
        <v>1</v>
      </c>
      <c r="CN120" s="1163">
        <f t="shared" si="52"/>
        <v>1</v>
      </c>
      <c r="CO120" s="1163" t="e">
        <f t="shared" si="47"/>
        <v>#VALUE!</v>
      </c>
    </row>
    <row r="121" spans="1:93" ht="16.350000000000001" customHeight="1" x14ac:dyDescent="0.2">
      <c r="A121" s="4662" t="s">
        <v>3863</v>
      </c>
      <c r="B121" s="6110" t="s">
        <v>1997</v>
      </c>
      <c r="C121" s="6111"/>
      <c r="D121" s="6112"/>
      <c r="E121" s="760" t="s">
        <v>2777</v>
      </c>
      <c r="F121" s="141" t="s">
        <v>2778</v>
      </c>
      <c r="G121" s="180" t="s">
        <v>2779</v>
      </c>
      <c r="H121" s="4814" t="s">
        <v>2780</v>
      </c>
      <c r="I121" s="1606" t="s">
        <v>2781</v>
      </c>
      <c r="J121" s="1606" t="s">
        <v>2782</v>
      </c>
      <c r="K121" s="1606" t="s">
        <v>2783</v>
      </c>
      <c r="L121" s="1606" t="s">
        <v>2784</v>
      </c>
      <c r="M121" s="4952" t="s">
        <v>2785</v>
      </c>
      <c r="N121" s="4953" t="s">
        <v>2786</v>
      </c>
      <c r="O121" s="1608" t="s">
        <v>2787</v>
      </c>
      <c r="P121" s="4954" t="s">
        <v>2788</v>
      </c>
      <c r="Q121" s="4955" t="s">
        <v>2789</v>
      </c>
      <c r="R121" s="1607" t="s">
        <v>2790</v>
      </c>
      <c r="S121" s="164" t="s">
        <v>2791</v>
      </c>
      <c r="T121" s="198" t="s">
        <v>2792</v>
      </c>
      <c r="U121" s="198" t="s">
        <v>2793</v>
      </c>
      <c r="V121" s="198" t="s">
        <v>2794</v>
      </c>
      <c r="W121" s="1162" t="e">
        <f t="shared" si="37"/>
        <v>#VALUE!</v>
      </c>
      <c r="X121" s="1058"/>
      <c r="Y121" s="1058"/>
      <c r="Z121" s="1058"/>
      <c r="AA121" s="1058"/>
      <c r="AB121" s="1058"/>
      <c r="AC121" s="1058"/>
      <c r="AD121" s="1058"/>
      <c r="AE121" s="1058"/>
      <c r="AF121" s="1058"/>
      <c r="AG121" s="94"/>
      <c r="AH121" s="94"/>
      <c r="BW121" s="79"/>
      <c r="BX121" s="79"/>
      <c r="CB121" s="1031" t="str">
        <f t="shared" si="49"/>
        <v xml:space="preserve">* El número de Embarazadas NO DEBE ser mayor que el total. </v>
      </c>
      <c r="CC121" s="1031" t="str">
        <f t="shared" si="39"/>
        <v xml:space="preserve">* El número de Beneficiarios NO DEBE ser mayor que el total. </v>
      </c>
      <c r="CD121" s="1031" t="str">
        <f t="shared" si="50"/>
        <v xml:space="preserve">* El número de 60 Años NO DEBE ser mayor que el total. </v>
      </c>
      <c r="CE121" s="1031" t="str">
        <f t="shared" si="41"/>
        <v xml:space="preserve">* El número de Usuarios en situación de Discapacidad NO DEBE ser mayor que el total. </v>
      </c>
      <c r="CF121" s="1031" t="str">
        <f t="shared" si="42"/>
        <v xml:space="preserve">* El número de Niños, Niñas, Adolescentes y Jóvenes Población SENAME NO DEBE ser mayor que el total. </v>
      </c>
      <c r="CG121" s="1031" t="str">
        <f t="shared" si="43"/>
        <v xml:space="preserve">* El número de Migrantes NO DEBE ser mayor que el total. </v>
      </c>
      <c r="CH121" s="1031" t="e">
        <f t="shared" si="44"/>
        <v>#VALUE!</v>
      </c>
      <c r="CI121" s="1163">
        <f t="shared" si="51"/>
        <v>1</v>
      </c>
      <c r="CJ121" s="1163">
        <f t="shared" si="51"/>
        <v>1</v>
      </c>
      <c r="CK121" s="1163">
        <f t="shared" si="51"/>
        <v>1</v>
      </c>
      <c r="CL121" s="1163">
        <f t="shared" si="52"/>
        <v>1</v>
      </c>
      <c r="CM121" s="1163">
        <f t="shared" si="52"/>
        <v>1</v>
      </c>
      <c r="CN121" s="1163">
        <f t="shared" si="52"/>
        <v>1</v>
      </c>
      <c r="CO121" s="1163" t="e">
        <f t="shared" si="47"/>
        <v>#VALUE!</v>
      </c>
    </row>
    <row r="122" spans="1:93" ht="16.350000000000001" customHeight="1" x14ac:dyDescent="0.2">
      <c r="A122" s="4662" t="s">
        <v>3864</v>
      </c>
      <c r="B122" s="6110" t="s">
        <v>1998</v>
      </c>
      <c r="C122" s="6111"/>
      <c r="D122" s="6112"/>
      <c r="E122" s="760" t="s">
        <v>2777</v>
      </c>
      <c r="F122" s="141" t="s">
        <v>2778</v>
      </c>
      <c r="G122" s="180" t="s">
        <v>2779</v>
      </c>
      <c r="H122" s="4814" t="s">
        <v>2780</v>
      </c>
      <c r="I122" s="1606" t="s">
        <v>2781</v>
      </c>
      <c r="J122" s="1606" t="s">
        <v>2782</v>
      </c>
      <c r="K122" s="1606" t="s">
        <v>2783</v>
      </c>
      <c r="L122" s="1606" t="s">
        <v>2784</v>
      </c>
      <c r="M122" s="4952" t="s">
        <v>2785</v>
      </c>
      <c r="N122" s="4953" t="s">
        <v>2786</v>
      </c>
      <c r="O122" s="1608" t="s">
        <v>2787</v>
      </c>
      <c r="P122" s="4954" t="s">
        <v>2788</v>
      </c>
      <c r="Q122" s="4955" t="s">
        <v>2789</v>
      </c>
      <c r="R122" s="1607" t="s">
        <v>2790</v>
      </c>
      <c r="S122" s="164" t="s">
        <v>2791</v>
      </c>
      <c r="T122" s="198" t="s">
        <v>2792</v>
      </c>
      <c r="U122" s="198" t="s">
        <v>2793</v>
      </c>
      <c r="V122" s="198" t="s">
        <v>2794</v>
      </c>
      <c r="W122" s="1162" t="e">
        <f t="shared" si="37"/>
        <v>#VALUE!</v>
      </c>
      <c r="X122" s="1058"/>
      <c r="Y122" s="1058"/>
      <c r="Z122" s="1058"/>
      <c r="AA122" s="1058"/>
      <c r="AB122" s="1058"/>
      <c r="AC122" s="1058"/>
      <c r="AD122" s="1058"/>
      <c r="AE122" s="1058"/>
      <c r="AF122" s="1058"/>
      <c r="AG122" s="94"/>
      <c r="AH122" s="94"/>
      <c r="BW122" s="79"/>
      <c r="BX122" s="79"/>
      <c r="CB122" s="1031" t="str">
        <f t="shared" si="49"/>
        <v xml:space="preserve">* El número de Embarazadas NO DEBE ser mayor que el total. </v>
      </c>
      <c r="CC122" s="1031" t="str">
        <f t="shared" si="39"/>
        <v xml:space="preserve">* El número de Beneficiarios NO DEBE ser mayor que el total. </v>
      </c>
      <c r="CD122" s="1031" t="str">
        <f t="shared" si="50"/>
        <v xml:space="preserve">* El número de 60 Años NO DEBE ser mayor que el total. </v>
      </c>
      <c r="CE122" s="1031" t="str">
        <f t="shared" si="41"/>
        <v xml:space="preserve">* El número de Usuarios en situación de Discapacidad NO DEBE ser mayor que el total. </v>
      </c>
      <c r="CF122" s="1031" t="str">
        <f t="shared" si="42"/>
        <v xml:space="preserve">* El número de Niños, Niñas, Adolescentes y Jóvenes Población SENAME NO DEBE ser mayor que el total. </v>
      </c>
      <c r="CG122" s="1031" t="str">
        <f t="shared" si="43"/>
        <v xml:space="preserve">* El número de Migrantes NO DEBE ser mayor que el total. </v>
      </c>
      <c r="CH122" s="1031" t="e">
        <f t="shared" si="44"/>
        <v>#VALUE!</v>
      </c>
      <c r="CI122" s="1163">
        <f t="shared" si="51"/>
        <v>1</v>
      </c>
      <c r="CJ122" s="1163">
        <f t="shared" si="51"/>
        <v>1</v>
      </c>
      <c r="CK122" s="1163">
        <f t="shared" si="51"/>
        <v>1</v>
      </c>
      <c r="CL122" s="1163">
        <f t="shared" si="52"/>
        <v>1</v>
      </c>
      <c r="CM122" s="1163">
        <f t="shared" si="52"/>
        <v>1</v>
      </c>
      <c r="CN122" s="1163">
        <f t="shared" si="52"/>
        <v>1</v>
      </c>
      <c r="CO122" s="1163" t="e">
        <f t="shared" si="47"/>
        <v>#VALUE!</v>
      </c>
    </row>
    <row r="123" spans="1:93" ht="16.350000000000001" customHeight="1" x14ac:dyDescent="0.2">
      <c r="A123" s="4662" t="s">
        <v>3865</v>
      </c>
      <c r="B123" s="6110" t="s">
        <v>1999</v>
      </c>
      <c r="C123" s="6111"/>
      <c r="D123" s="6112"/>
      <c r="E123" s="760" t="s">
        <v>2777</v>
      </c>
      <c r="F123" s="141" t="s">
        <v>2778</v>
      </c>
      <c r="G123" s="180" t="s">
        <v>2779</v>
      </c>
      <c r="H123" s="4814" t="s">
        <v>2780</v>
      </c>
      <c r="I123" s="1606" t="s">
        <v>2781</v>
      </c>
      <c r="J123" s="1606" t="s">
        <v>2782</v>
      </c>
      <c r="K123" s="1606" t="s">
        <v>2783</v>
      </c>
      <c r="L123" s="1606" t="s">
        <v>2784</v>
      </c>
      <c r="M123" s="4952" t="s">
        <v>2785</v>
      </c>
      <c r="N123" s="4953" t="s">
        <v>2786</v>
      </c>
      <c r="O123" s="1608" t="s">
        <v>2787</v>
      </c>
      <c r="P123" s="4954" t="s">
        <v>2788</v>
      </c>
      <c r="Q123" s="4955" t="s">
        <v>2789</v>
      </c>
      <c r="R123" s="1607" t="s">
        <v>2790</v>
      </c>
      <c r="S123" s="164" t="s">
        <v>2791</v>
      </c>
      <c r="T123" s="198" t="s">
        <v>2792</v>
      </c>
      <c r="U123" s="198" t="s">
        <v>2793</v>
      </c>
      <c r="V123" s="198" t="s">
        <v>2794</v>
      </c>
      <c r="W123" s="1162" t="e">
        <f t="shared" si="37"/>
        <v>#VALUE!</v>
      </c>
      <c r="X123" s="1058"/>
      <c r="Y123" s="1058"/>
      <c r="Z123" s="1058"/>
      <c r="AA123" s="1058"/>
      <c r="AB123" s="1058"/>
      <c r="AC123" s="1058"/>
      <c r="AD123" s="1058"/>
      <c r="AE123" s="1058"/>
      <c r="AF123" s="1058"/>
      <c r="AG123" s="94"/>
      <c r="AH123" s="94"/>
      <c r="BW123" s="79"/>
      <c r="BX123" s="79"/>
      <c r="CB123" s="1031" t="str">
        <f t="shared" si="49"/>
        <v xml:space="preserve">* El número de Embarazadas NO DEBE ser mayor que el total. </v>
      </c>
      <c r="CC123" s="1031" t="str">
        <f t="shared" si="39"/>
        <v xml:space="preserve">* El número de Beneficiarios NO DEBE ser mayor que el total. </v>
      </c>
      <c r="CD123" s="1031" t="str">
        <f t="shared" si="50"/>
        <v xml:space="preserve">* El número de 60 Años NO DEBE ser mayor que el total. </v>
      </c>
      <c r="CE123" s="1031" t="str">
        <f t="shared" si="41"/>
        <v xml:space="preserve">* El número de Usuarios en situación de Discapacidad NO DEBE ser mayor que el total. </v>
      </c>
      <c r="CF123" s="1031" t="str">
        <f t="shared" si="42"/>
        <v xml:space="preserve">* El número de Niños, Niñas, Adolescentes y Jóvenes Población SENAME NO DEBE ser mayor que el total. </v>
      </c>
      <c r="CG123" s="1031" t="str">
        <f t="shared" si="43"/>
        <v xml:space="preserve">* El número de Migrantes NO DEBE ser mayor que el total. </v>
      </c>
      <c r="CH123" s="1031" t="e">
        <f t="shared" si="44"/>
        <v>#VALUE!</v>
      </c>
      <c r="CI123" s="1163">
        <f t="shared" si="51"/>
        <v>1</v>
      </c>
      <c r="CJ123" s="1163">
        <f t="shared" si="51"/>
        <v>1</v>
      </c>
      <c r="CK123" s="1163">
        <f t="shared" si="51"/>
        <v>1</v>
      </c>
      <c r="CL123" s="1163">
        <f t="shared" si="52"/>
        <v>1</v>
      </c>
      <c r="CM123" s="1163">
        <f t="shared" si="52"/>
        <v>1</v>
      </c>
      <c r="CN123" s="1163">
        <f t="shared" si="52"/>
        <v>1</v>
      </c>
      <c r="CO123" s="1163" t="e">
        <f t="shared" si="47"/>
        <v>#VALUE!</v>
      </c>
    </row>
    <row r="124" spans="1:93" ht="16.350000000000001" customHeight="1" x14ac:dyDescent="0.2">
      <c r="A124" s="4662" t="s">
        <v>3866</v>
      </c>
      <c r="B124" s="5127" t="s">
        <v>2000</v>
      </c>
      <c r="C124" s="5127"/>
      <c r="D124" s="5127"/>
      <c r="E124" s="760" t="s">
        <v>2777</v>
      </c>
      <c r="F124" s="141" t="s">
        <v>2778</v>
      </c>
      <c r="G124" s="180" t="s">
        <v>2779</v>
      </c>
      <c r="H124" s="141" t="s">
        <v>2780</v>
      </c>
      <c r="I124" s="142" t="s">
        <v>2781</v>
      </c>
      <c r="J124" s="142" t="s">
        <v>2782</v>
      </c>
      <c r="K124" s="142" t="s">
        <v>2783</v>
      </c>
      <c r="L124" s="142" t="s">
        <v>2784</v>
      </c>
      <c r="M124" s="142" t="s">
        <v>2785</v>
      </c>
      <c r="N124" s="180" t="s">
        <v>2786</v>
      </c>
      <c r="O124" s="498" t="s">
        <v>2787</v>
      </c>
      <c r="P124" s="355" t="s">
        <v>2788</v>
      </c>
      <c r="Q124" s="164" t="s">
        <v>2789</v>
      </c>
      <c r="R124" s="164" t="s">
        <v>2790</v>
      </c>
      <c r="S124" s="164" t="s">
        <v>2791</v>
      </c>
      <c r="T124" s="198" t="s">
        <v>2792</v>
      </c>
      <c r="U124" s="198" t="s">
        <v>2793</v>
      </c>
      <c r="V124" s="198" t="s">
        <v>2794</v>
      </c>
      <c r="W124" s="1162" t="e">
        <f t="shared" si="37"/>
        <v>#VALUE!</v>
      </c>
      <c r="X124" s="1058"/>
      <c r="Y124" s="1058"/>
      <c r="Z124" s="1058"/>
      <c r="AA124" s="1058"/>
      <c r="AB124" s="1058"/>
      <c r="AC124" s="1058"/>
      <c r="AD124" s="1058"/>
      <c r="AE124" s="1058"/>
      <c r="AF124" s="1058"/>
      <c r="AG124" s="94"/>
      <c r="AH124" s="94"/>
      <c r="BW124" s="79"/>
      <c r="BX124" s="79"/>
      <c r="CB124" s="1031" t="str">
        <f t="shared" si="49"/>
        <v xml:space="preserve">* El número de Embarazadas NO DEBE ser mayor que el total. </v>
      </c>
      <c r="CC124" s="1031" t="str">
        <f t="shared" si="39"/>
        <v xml:space="preserve">* El número de Beneficiarios NO DEBE ser mayor que el total. </v>
      </c>
      <c r="CD124" s="1031" t="str">
        <f t="shared" si="50"/>
        <v xml:space="preserve">* El número de 60 Años NO DEBE ser mayor que el total. </v>
      </c>
      <c r="CE124" s="1031" t="str">
        <f t="shared" si="41"/>
        <v xml:space="preserve">* El número de Usuarios en situación de Discapacidad NO DEBE ser mayor que el total. </v>
      </c>
      <c r="CF124" s="1031" t="str">
        <f t="shared" si="42"/>
        <v xml:space="preserve">* El número de Niños, Niñas, Adolescentes y Jóvenes Población SENAME NO DEBE ser mayor que el total. </v>
      </c>
      <c r="CG124" s="1031" t="str">
        <f t="shared" si="43"/>
        <v xml:space="preserve">* El número de Migrantes NO DEBE ser mayor que el total. </v>
      </c>
      <c r="CH124" s="1031" t="e">
        <f t="shared" si="44"/>
        <v>#VALUE!</v>
      </c>
      <c r="CI124" s="1163">
        <f t="shared" si="51"/>
        <v>1</v>
      </c>
      <c r="CJ124" s="1163">
        <f t="shared" si="51"/>
        <v>1</v>
      </c>
      <c r="CK124" s="1163">
        <f t="shared" si="51"/>
        <v>1</v>
      </c>
      <c r="CL124" s="1163">
        <f t="shared" si="52"/>
        <v>1</v>
      </c>
      <c r="CM124" s="1163">
        <f t="shared" si="52"/>
        <v>1</v>
      </c>
      <c r="CN124" s="1163">
        <f t="shared" si="52"/>
        <v>1</v>
      </c>
      <c r="CO124" s="1163" t="e">
        <f t="shared" si="47"/>
        <v>#VALUE!</v>
      </c>
    </row>
    <row r="125" spans="1:93" ht="16.350000000000001" customHeight="1" x14ac:dyDescent="0.2">
      <c r="A125" s="4662" t="s">
        <v>3867</v>
      </c>
      <c r="B125" s="6110" t="s">
        <v>2001</v>
      </c>
      <c r="C125" s="6111"/>
      <c r="D125" s="6112"/>
      <c r="E125" s="760" t="s">
        <v>2777</v>
      </c>
      <c r="F125" s="141" t="s">
        <v>2778</v>
      </c>
      <c r="G125" s="180" t="s">
        <v>2779</v>
      </c>
      <c r="H125" s="141" t="s">
        <v>2780</v>
      </c>
      <c r="I125" s="142" t="s">
        <v>2781</v>
      </c>
      <c r="J125" s="142" t="s">
        <v>2782</v>
      </c>
      <c r="K125" s="142" t="s">
        <v>2783</v>
      </c>
      <c r="L125" s="142" t="s">
        <v>2784</v>
      </c>
      <c r="M125" s="142" t="s">
        <v>2785</v>
      </c>
      <c r="N125" s="180" t="s">
        <v>2786</v>
      </c>
      <c r="O125" s="498" t="s">
        <v>2787</v>
      </c>
      <c r="P125" s="355" t="s">
        <v>2788</v>
      </c>
      <c r="Q125" s="164" t="s">
        <v>2789</v>
      </c>
      <c r="R125" s="164" t="s">
        <v>2790</v>
      </c>
      <c r="S125" s="164" t="s">
        <v>2791</v>
      </c>
      <c r="T125" s="198" t="s">
        <v>2792</v>
      </c>
      <c r="U125" s="198" t="s">
        <v>2793</v>
      </c>
      <c r="V125" s="198" t="s">
        <v>2794</v>
      </c>
      <c r="W125" s="1162" t="e">
        <f t="shared" si="37"/>
        <v>#VALUE!</v>
      </c>
      <c r="X125" s="1058"/>
      <c r="Y125" s="1058"/>
      <c r="Z125" s="1058"/>
      <c r="AA125" s="1058"/>
      <c r="AB125" s="1058"/>
      <c r="AC125" s="1058"/>
      <c r="AD125" s="1058"/>
      <c r="AE125" s="1058"/>
      <c r="AF125" s="1058"/>
      <c r="AG125" s="94"/>
      <c r="AH125" s="94"/>
      <c r="BW125" s="79"/>
      <c r="BX125" s="79"/>
      <c r="CB125" s="1031" t="str">
        <f t="shared" si="49"/>
        <v xml:space="preserve">* El número de Embarazadas NO DEBE ser mayor que el total. </v>
      </c>
      <c r="CC125" s="1031" t="str">
        <f t="shared" si="39"/>
        <v xml:space="preserve">* El número de Beneficiarios NO DEBE ser mayor que el total. </v>
      </c>
      <c r="CD125" s="1031" t="str">
        <f t="shared" si="50"/>
        <v xml:space="preserve">* El número de 60 Años NO DEBE ser mayor que el total. </v>
      </c>
      <c r="CE125" s="1031" t="str">
        <f t="shared" si="41"/>
        <v xml:space="preserve">* El número de Usuarios en situación de Discapacidad NO DEBE ser mayor que el total. </v>
      </c>
      <c r="CF125" s="1031" t="str">
        <f t="shared" si="42"/>
        <v xml:space="preserve">* El número de Niños, Niñas, Adolescentes y Jóvenes Población SENAME NO DEBE ser mayor que el total. </v>
      </c>
      <c r="CG125" s="1031" t="str">
        <f t="shared" si="43"/>
        <v xml:space="preserve">* El número de Migrantes NO DEBE ser mayor que el total. </v>
      </c>
      <c r="CH125" s="1031" t="e">
        <f t="shared" si="44"/>
        <v>#VALUE!</v>
      </c>
      <c r="CI125" s="1163">
        <f t="shared" si="51"/>
        <v>1</v>
      </c>
      <c r="CJ125" s="1163">
        <f t="shared" si="51"/>
        <v>1</v>
      </c>
      <c r="CK125" s="1163">
        <f t="shared" si="51"/>
        <v>1</v>
      </c>
      <c r="CL125" s="1163">
        <f t="shared" si="52"/>
        <v>1</v>
      </c>
      <c r="CM125" s="1163">
        <f t="shared" si="52"/>
        <v>1</v>
      </c>
      <c r="CN125" s="1163">
        <f t="shared" si="52"/>
        <v>1</v>
      </c>
      <c r="CO125" s="1163" t="e">
        <f t="shared" si="47"/>
        <v>#VALUE!</v>
      </c>
    </row>
    <row r="126" spans="1:93" ht="16.350000000000001" customHeight="1" x14ac:dyDescent="0.2">
      <c r="A126" s="4662" t="s">
        <v>3868</v>
      </c>
      <c r="B126" s="6110" t="s">
        <v>2002</v>
      </c>
      <c r="C126" s="6111"/>
      <c r="D126" s="6112"/>
      <c r="E126" s="760" t="s">
        <v>2777</v>
      </c>
      <c r="F126" s="141" t="s">
        <v>2778</v>
      </c>
      <c r="G126" s="180" t="s">
        <v>2779</v>
      </c>
      <c r="H126" s="2245" t="s">
        <v>2780</v>
      </c>
      <c r="I126" s="146" t="s">
        <v>2781</v>
      </c>
      <c r="J126" s="146" t="s">
        <v>2782</v>
      </c>
      <c r="K126" s="146" t="s">
        <v>2783</v>
      </c>
      <c r="L126" s="146" t="s">
        <v>2784</v>
      </c>
      <c r="M126" s="146" t="s">
        <v>2785</v>
      </c>
      <c r="N126" s="144" t="s">
        <v>2786</v>
      </c>
      <c r="O126" s="655" t="s">
        <v>2787</v>
      </c>
      <c r="P126" s="240" t="s">
        <v>2788</v>
      </c>
      <c r="Q126" s="164" t="s">
        <v>2789</v>
      </c>
      <c r="R126" s="164" t="s">
        <v>2790</v>
      </c>
      <c r="S126" s="2324" t="s">
        <v>2791</v>
      </c>
      <c r="T126" s="198" t="s">
        <v>2792</v>
      </c>
      <c r="U126" s="198" t="s">
        <v>2793</v>
      </c>
      <c r="V126" s="198" t="s">
        <v>2794</v>
      </c>
      <c r="W126" s="1162" t="e">
        <f t="shared" si="37"/>
        <v>#VALUE!</v>
      </c>
      <c r="X126" s="1058"/>
      <c r="Y126" s="1058"/>
      <c r="Z126" s="1058"/>
      <c r="AA126" s="1058"/>
      <c r="AB126" s="1058"/>
      <c r="AC126" s="1058"/>
      <c r="AD126" s="1058"/>
      <c r="AE126" s="1058"/>
      <c r="AF126" s="1058"/>
      <c r="AG126" s="94"/>
      <c r="AH126" s="94"/>
      <c r="BW126" s="79"/>
      <c r="BX126" s="79"/>
      <c r="CB126" s="1031" t="str">
        <f t="shared" si="49"/>
        <v xml:space="preserve">* El número de Embarazadas NO DEBE ser mayor que el total. </v>
      </c>
      <c r="CC126" s="1031" t="str">
        <f t="shared" si="39"/>
        <v xml:space="preserve">* El número de Beneficiarios NO DEBE ser mayor que el total. </v>
      </c>
      <c r="CD126" s="1031" t="str">
        <f t="shared" si="50"/>
        <v xml:space="preserve">* El número de 60 Años NO DEBE ser mayor que el total. </v>
      </c>
      <c r="CE126" s="1031" t="str">
        <f t="shared" si="41"/>
        <v xml:space="preserve">* El número de Usuarios en situación de Discapacidad NO DEBE ser mayor que el total. </v>
      </c>
      <c r="CF126" s="1031" t="str">
        <f t="shared" si="42"/>
        <v xml:space="preserve">* El número de Niños, Niñas, Adolescentes y Jóvenes Población SENAME NO DEBE ser mayor que el total. </v>
      </c>
      <c r="CG126" s="1031" t="str">
        <f t="shared" si="43"/>
        <v xml:space="preserve">* El número de Migrantes NO DEBE ser mayor que el total. </v>
      </c>
      <c r="CH126" s="1031" t="e">
        <f t="shared" si="44"/>
        <v>#VALUE!</v>
      </c>
      <c r="CI126" s="1163">
        <f t="shared" si="51"/>
        <v>1</v>
      </c>
      <c r="CJ126" s="1163">
        <f t="shared" si="51"/>
        <v>1</v>
      </c>
      <c r="CK126" s="1163">
        <f t="shared" si="51"/>
        <v>1</v>
      </c>
      <c r="CL126" s="1163">
        <f t="shared" si="52"/>
        <v>1</v>
      </c>
      <c r="CM126" s="1163">
        <f t="shared" si="52"/>
        <v>1</v>
      </c>
      <c r="CN126" s="1163">
        <f t="shared" si="52"/>
        <v>1</v>
      </c>
      <c r="CO126" s="1163" t="e">
        <f t="shared" si="47"/>
        <v>#VALUE!</v>
      </c>
    </row>
    <row r="127" spans="1:93" ht="16.350000000000001" customHeight="1" x14ac:dyDescent="0.2">
      <c r="A127" s="4662" t="s">
        <v>3869</v>
      </c>
      <c r="B127" s="6110" t="s">
        <v>2003</v>
      </c>
      <c r="C127" s="6111"/>
      <c r="D127" s="6112"/>
      <c r="E127" s="760" t="s">
        <v>2777</v>
      </c>
      <c r="F127" s="141" t="s">
        <v>2778</v>
      </c>
      <c r="G127" s="180" t="s">
        <v>2779</v>
      </c>
      <c r="H127" s="2245" t="s">
        <v>2780</v>
      </c>
      <c r="I127" s="146" t="s">
        <v>2781</v>
      </c>
      <c r="J127" s="146" t="s">
        <v>2782</v>
      </c>
      <c r="K127" s="146" t="s">
        <v>2783</v>
      </c>
      <c r="L127" s="146" t="s">
        <v>2784</v>
      </c>
      <c r="M127" s="146" t="s">
        <v>2785</v>
      </c>
      <c r="N127" s="144" t="s">
        <v>2786</v>
      </c>
      <c r="O127" s="655" t="s">
        <v>2787</v>
      </c>
      <c r="P127" s="240" t="s">
        <v>2788</v>
      </c>
      <c r="Q127" s="164" t="s">
        <v>2789</v>
      </c>
      <c r="R127" s="164" t="s">
        <v>2790</v>
      </c>
      <c r="S127" s="2324" t="s">
        <v>2791</v>
      </c>
      <c r="T127" s="198" t="s">
        <v>2792</v>
      </c>
      <c r="U127" s="198" t="s">
        <v>2793</v>
      </c>
      <c r="V127" s="198" t="s">
        <v>2794</v>
      </c>
      <c r="W127" s="1162" t="e">
        <f t="shared" si="37"/>
        <v>#VALUE!</v>
      </c>
      <c r="X127" s="1058"/>
      <c r="Y127" s="1058"/>
      <c r="Z127" s="1058"/>
      <c r="AA127" s="1058"/>
      <c r="AB127" s="1058"/>
      <c r="AC127" s="1058"/>
      <c r="AD127" s="1058"/>
      <c r="AE127" s="1058"/>
      <c r="AF127" s="1058"/>
      <c r="AG127" s="94"/>
      <c r="AH127" s="94"/>
      <c r="BW127" s="79"/>
      <c r="BX127" s="79"/>
      <c r="CB127" s="1031" t="str">
        <f t="shared" si="49"/>
        <v xml:space="preserve">* El número de Embarazadas NO DEBE ser mayor que el total. </v>
      </c>
      <c r="CC127" s="1031" t="str">
        <f t="shared" si="39"/>
        <v xml:space="preserve">* El número de Beneficiarios NO DEBE ser mayor que el total. </v>
      </c>
      <c r="CD127" s="1031" t="str">
        <f t="shared" si="50"/>
        <v xml:space="preserve">* El número de 60 Años NO DEBE ser mayor que el total. </v>
      </c>
      <c r="CE127" s="1031" t="str">
        <f t="shared" si="41"/>
        <v xml:space="preserve">* El número de Usuarios en situación de Discapacidad NO DEBE ser mayor que el total. </v>
      </c>
      <c r="CF127" s="1031" t="str">
        <f t="shared" si="42"/>
        <v xml:space="preserve">* El número de Niños, Niñas, Adolescentes y Jóvenes Población SENAME NO DEBE ser mayor que el total. </v>
      </c>
      <c r="CG127" s="1031" t="str">
        <f t="shared" si="43"/>
        <v xml:space="preserve">* El número de Migrantes NO DEBE ser mayor que el total. </v>
      </c>
      <c r="CH127" s="1031" t="e">
        <f t="shared" si="44"/>
        <v>#VALUE!</v>
      </c>
      <c r="CI127" s="1163">
        <f t="shared" si="51"/>
        <v>1</v>
      </c>
      <c r="CJ127" s="1163">
        <f t="shared" si="51"/>
        <v>1</v>
      </c>
      <c r="CK127" s="1163">
        <f t="shared" si="51"/>
        <v>1</v>
      </c>
      <c r="CL127" s="1163">
        <f t="shared" si="52"/>
        <v>1</v>
      </c>
      <c r="CM127" s="1163">
        <f t="shared" si="52"/>
        <v>1</v>
      </c>
      <c r="CN127" s="1163">
        <f t="shared" si="52"/>
        <v>1</v>
      </c>
      <c r="CO127" s="1163" t="e">
        <f t="shared" si="47"/>
        <v>#VALUE!</v>
      </c>
    </row>
    <row r="128" spans="1:93" ht="16.350000000000001" customHeight="1" x14ac:dyDescent="0.2">
      <c r="A128" s="4662" t="s">
        <v>3870</v>
      </c>
      <c r="B128" s="6110" t="s">
        <v>2004</v>
      </c>
      <c r="C128" s="6111"/>
      <c r="D128" s="6112"/>
      <c r="E128" s="760" t="s">
        <v>2777</v>
      </c>
      <c r="F128" s="141" t="s">
        <v>2778</v>
      </c>
      <c r="G128" s="180" t="s">
        <v>2779</v>
      </c>
      <c r="H128" s="2245" t="s">
        <v>2780</v>
      </c>
      <c r="I128" s="146" t="s">
        <v>2781</v>
      </c>
      <c r="J128" s="146" t="s">
        <v>2782</v>
      </c>
      <c r="K128" s="146" t="s">
        <v>2783</v>
      </c>
      <c r="L128" s="146" t="s">
        <v>2784</v>
      </c>
      <c r="M128" s="146" t="s">
        <v>2785</v>
      </c>
      <c r="N128" s="144" t="s">
        <v>2786</v>
      </c>
      <c r="O128" s="655" t="s">
        <v>2787</v>
      </c>
      <c r="P128" s="240" t="s">
        <v>2788</v>
      </c>
      <c r="Q128" s="164" t="s">
        <v>2789</v>
      </c>
      <c r="R128" s="164" t="s">
        <v>2790</v>
      </c>
      <c r="S128" s="2324" t="s">
        <v>2791</v>
      </c>
      <c r="T128" s="198" t="s">
        <v>2792</v>
      </c>
      <c r="U128" s="198" t="s">
        <v>2793</v>
      </c>
      <c r="V128" s="198" t="s">
        <v>2794</v>
      </c>
      <c r="W128" s="1162" t="e">
        <f t="shared" si="37"/>
        <v>#VALUE!</v>
      </c>
      <c r="X128" s="1058"/>
      <c r="Y128" s="1058"/>
      <c r="Z128" s="1058"/>
      <c r="AA128" s="1058"/>
      <c r="AB128" s="1058"/>
      <c r="AC128" s="1058"/>
      <c r="AD128" s="1058"/>
      <c r="AE128" s="1058"/>
      <c r="AF128" s="1058"/>
      <c r="AG128" s="94"/>
      <c r="AH128" s="94"/>
      <c r="BW128" s="79"/>
      <c r="BX128" s="79"/>
      <c r="CB128" s="1031" t="str">
        <f t="shared" si="49"/>
        <v xml:space="preserve">* El número de Embarazadas NO DEBE ser mayor que el total. </v>
      </c>
      <c r="CC128" s="1031" t="str">
        <f t="shared" si="39"/>
        <v xml:space="preserve">* El número de Beneficiarios NO DEBE ser mayor que el total. </v>
      </c>
      <c r="CD128" s="1031" t="str">
        <f t="shared" si="50"/>
        <v xml:space="preserve">* El número de 60 Años NO DEBE ser mayor que el total. </v>
      </c>
      <c r="CE128" s="1031" t="str">
        <f t="shared" si="41"/>
        <v xml:space="preserve">* El número de Usuarios en situación de Discapacidad NO DEBE ser mayor que el total. </v>
      </c>
      <c r="CF128" s="1031" t="str">
        <f t="shared" si="42"/>
        <v xml:space="preserve">* El número de Niños, Niñas, Adolescentes y Jóvenes Población SENAME NO DEBE ser mayor que el total. </v>
      </c>
      <c r="CG128" s="1031" t="str">
        <f t="shared" si="43"/>
        <v xml:space="preserve">* El número de Migrantes NO DEBE ser mayor que el total. </v>
      </c>
      <c r="CH128" s="1031" t="e">
        <f t="shared" si="44"/>
        <v>#VALUE!</v>
      </c>
      <c r="CI128" s="1163">
        <f t="shared" si="51"/>
        <v>1</v>
      </c>
      <c r="CJ128" s="1163">
        <f t="shared" si="51"/>
        <v>1</v>
      </c>
      <c r="CK128" s="1163">
        <f t="shared" si="51"/>
        <v>1</v>
      </c>
      <c r="CL128" s="1163">
        <f t="shared" si="52"/>
        <v>1</v>
      </c>
      <c r="CM128" s="1163">
        <f t="shared" si="52"/>
        <v>1</v>
      </c>
      <c r="CN128" s="1163">
        <f t="shared" si="52"/>
        <v>1</v>
      </c>
      <c r="CO128" s="1163" t="e">
        <f t="shared" si="47"/>
        <v>#VALUE!</v>
      </c>
    </row>
    <row r="129" spans="1:93" ht="16.350000000000001" customHeight="1" x14ac:dyDescent="0.2">
      <c r="A129" s="4662" t="s">
        <v>3871</v>
      </c>
      <c r="B129" s="6110" t="s">
        <v>2005</v>
      </c>
      <c r="C129" s="6111"/>
      <c r="D129" s="6112"/>
      <c r="E129" s="760" t="s">
        <v>2777</v>
      </c>
      <c r="F129" s="141" t="s">
        <v>2778</v>
      </c>
      <c r="G129" s="180" t="s">
        <v>2779</v>
      </c>
      <c r="H129" s="2245" t="s">
        <v>2780</v>
      </c>
      <c r="I129" s="146" t="s">
        <v>2781</v>
      </c>
      <c r="J129" s="146" t="s">
        <v>2782</v>
      </c>
      <c r="K129" s="146" t="s">
        <v>2783</v>
      </c>
      <c r="L129" s="146" t="s">
        <v>2784</v>
      </c>
      <c r="M129" s="146" t="s">
        <v>2785</v>
      </c>
      <c r="N129" s="144" t="s">
        <v>2786</v>
      </c>
      <c r="O129" s="655" t="s">
        <v>2787</v>
      </c>
      <c r="P129" s="240" t="s">
        <v>2788</v>
      </c>
      <c r="Q129" s="164" t="s">
        <v>2789</v>
      </c>
      <c r="R129" s="164" t="s">
        <v>2790</v>
      </c>
      <c r="S129" s="2324" t="s">
        <v>2791</v>
      </c>
      <c r="T129" s="198" t="s">
        <v>2792</v>
      </c>
      <c r="U129" s="198" t="s">
        <v>2793</v>
      </c>
      <c r="V129" s="198" t="s">
        <v>2794</v>
      </c>
      <c r="W129" s="1162" t="e">
        <f t="shared" si="37"/>
        <v>#VALUE!</v>
      </c>
      <c r="X129" s="1058"/>
      <c r="Y129" s="1058"/>
      <c r="Z129" s="1058"/>
      <c r="AA129" s="1058"/>
      <c r="AB129" s="1058"/>
      <c r="AC129" s="1058"/>
      <c r="AD129" s="1058"/>
      <c r="AE129" s="1058"/>
      <c r="AF129" s="1058"/>
      <c r="AG129" s="94"/>
      <c r="AH129" s="94"/>
      <c r="BW129" s="79"/>
      <c r="BX129" s="79"/>
      <c r="CB129" s="1031" t="str">
        <f t="shared" si="49"/>
        <v xml:space="preserve">* El número de Embarazadas NO DEBE ser mayor que el total. </v>
      </c>
      <c r="CC129" s="1031" t="str">
        <f t="shared" si="39"/>
        <v xml:space="preserve">* El número de Beneficiarios NO DEBE ser mayor que el total. </v>
      </c>
      <c r="CD129" s="1031" t="str">
        <f t="shared" si="50"/>
        <v xml:space="preserve">* El número de 60 Años NO DEBE ser mayor que el total. </v>
      </c>
      <c r="CE129" s="1031" t="str">
        <f t="shared" si="41"/>
        <v xml:space="preserve">* El número de Usuarios en situación de Discapacidad NO DEBE ser mayor que el total. </v>
      </c>
      <c r="CF129" s="1031" t="str">
        <f t="shared" si="42"/>
        <v xml:space="preserve">* El número de Niños, Niñas, Adolescentes y Jóvenes Población SENAME NO DEBE ser mayor que el total. </v>
      </c>
      <c r="CG129" s="1031" t="str">
        <f t="shared" si="43"/>
        <v xml:space="preserve">* El número de Migrantes NO DEBE ser mayor que el total. </v>
      </c>
      <c r="CH129" s="1031" t="e">
        <f t="shared" si="44"/>
        <v>#VALUE!</v>
      </c>
      <c r="CI129" s="1163">
        <f t="shared" si="51"/>
        <v>1</v>
      </c>
      <c r="CJ129" s="1163">
        <f t="shared" si="51"/>
        <v>1</v>
      </c>
      <c r="CK129" s="1163">
        <f t="shared" si="51"/>
        <v>1</v>
      </c>
      <c r="CL129" s="1163">
        <f t="shared" si="52"/>
        <v>1</v>
      </c>
      <c r="CM129" s="1163">
        <f t="shared" si="52"/>
        <v>1</v>
      </c>
      <c r="CN129" s="1163">
        <f t="shared" si="52"/>
        <v>1</v>
      </c>
      <c r="CO129" s="1163" t="e">
        <f t="shared" si="47"/>
        <v>#VALUE!</v>
      </c>
    </row>
    <row r="130" spans="1:93" ht="16.350000000000001" customHeight="1" x14ac:dyDescent="0.2">
      <c r="A130" s="4662" t="s">
        <v>3872</v>
      </c>
      <c r="B130" s="6107" t="s">
        <v>2006</v>
      </c>
      <c r="C130" s="6108"/>
      <c r="D130" s="6109"/>
      <c r="E130" s="760" t="s">
        <v>2777</v>
      </c>
      <c r="F130" s="141" t="s">
        <v>2778</v>
      </c>
      <c r="G130" s="180" t="s">
        <v>2779</v>
      </c>
      <c r="H130" s="2245" t="s">
        <v>2780</v>
      </c>
      <c r="I130" s="146" t="s">
        <v>2781</v>
      </c>
      <c r="J130" s="146" t="s">
        <v>2782</v>
      </c>
      <c r="K130" s="146" t="s">
        <v>2783</v>
      </c>
      <c r="L130" s="146" t="s">
        <v>2784</v>
      </c>
      <c r="M130" s="146" t="s">
        <v>2785</v>
      </c>
      <c r="N130" s="144" t="s">
        <v>2786</v>
      </c>
      <c r="O130" s="655" t="s">
        <v>2787</v>
      </c>
      <c r="P130" s="240" t="s">
        <v>2788</v>
      </c>
      <c r="Q130" s="164" t="s">
        <v>2789</v>
      </c>
      <c r="R130" s="164" t="s">
        <v>2790</v>
      </c>
      <c r="S130" s="2324" t="s">
        <v>2791</v>
      </c>
      <c r="T130" s="198" t="s">
        <v>2792</v>
      </c>
      <c r="U130" s="198" t="s">
        <v>2793</v>
      </c>
      <c r="V130" s="198" t="s">
        <v>2794</v>
      </c>
      <c r="W130" s="1162" t="e">
        <f t="shared" si="37"/>
        <v>#VALUE!</v>
      </c>
      <c r="X130" s="1058"/>
      <c r="Y130" s="1058"/>
      <c r="Z130" s="1058"/>
      <c r="AA130" s="1058"/>
      <c r="AB130" s="1058"/>
      <c r="AC130" s="1058"/>
      <c r="AD130" s="1058"/>
      <c r="AE130" s="1058"/>
      <c r="AF130" s="1058"/>
      <c r="AG130" s="94"/>
      <c r="AH130" s="94"/>
      <c r="BW130" s="79"/>
      <c r="BX130" s="79"/>
      <c r="CB130" s="1031" t="str">
        <f t="shared" si="49"/>
        <v xml:space="preserve">* El número de Embarazadas NO DEBE ser mayor que el total. </v>
      </c>
      <c r="CC130" s="1031" t="str">
        <f t="shared" si="39"/>
        <v xml:space="preserve">* El número de Beneficiarios NO DEBE ser mayor que el total. </v>
      </c>
      <c r="CD130" s="1031" t="str">
        <f t="shared" si="50"/>
        <v xml:space="preserve">* El número de 60 Años NO DEBE ser mayor que el total. </v>
      </c>
      <c r="CE130" s="1031" t="str">
        <f t="shared" si="41"/>
        <v xml:space="preserve">* El número de Usuarios en situación de Discapacidad NO DEBE ser mayor que el total. </v>
      </c>
      <c r="CF130" s="1031" t="str">
        <f t="shared" si="42"/>
        <v xml:space="preserve">* El número de Niños, Niñas, Adolescentes y Jóvenes Población SENAME NO DEBE ser mayor que el total. </v>
      </c>
      <c r="CG130" s="1031" t="str">
        <f t="shared" si="43"/>
        <v xml:space="preserve">* El número de Migrantes NO DEBE ser mayor que el total. </v>
      </c>
      <c r="CH130" s="1031" t="e">
        <f t="shared" si="44"/>
        <v>#VALUE!</v>
      </c>
      <c r="CI130" s="1163">
        <f t="shared" si="51"/>
        <v>1</v>
      </c>
      <c r="CJ130" s="1163">
        <f t="shared" si="51"/>
        <v>1</v>
      </c>
      <c r="CK130" s="1163">
        <f t="shared" si="51"/>
        <v>1</v>
      </c>
      <c r="CL130" s="1163">
        <f t="shared" si="52"/>
        <v>1</v>
      </c>
      <c r="CM130" s="1163">
        <f t="shared" si="52"/>
        <v>1</v>
      </c>
      <c r="CN130" s="1163">
        <f t="shared" si="52"/>
        <v>1</v>
      </c>
      <c r="CO130" s="1163" t="e">
        <f t="shared" si="47"/>
        <v>#VALUE!</v>
      </c>
    </row>
    <row r="131" spans="1:93" ht="16.350000000000001" customHeight="1" x14ac:dyDescent="0.2">
      <c r="A131" s="4631" t="s">
        <v>3873</v>
      </c>
      <c r="B131" s="6110" t="s">
        <v>2007</v>
      </c>
      <c r="C131" s="6111"/>
      <c r="D131" s="6112"/>
      <c r="E131" s="760" t="s">
        <v>2777</v>
      </c>
      <c r="F131" s="141" t="s">
        <v>2778</v>
      </c>
      <c r="G131" s="180" t="s">
        <v>2779</v>
      </c>
      <c r="H131" s="4814" t="s">
        <v>2780</v>
      </c>
      <c r="I131" s="1606" t="s">
        <v>2781</v>
      </c>
      <c r="J131" s="1606" t="s">
        <v>2782</v>
      </c>
      <c r="K131" s="1606" t="s">
        <v>2783</v>
      </c>
      <c r="L131" s="1606" t="s">
        <v>2784</v>
      </c>
      <c r="M131" s="142" t="s">
        <v>2785</v>
      </c>
      <c r="N131" s="180" t="s">
        <v>2786</v>
      </c>
      <c r="O131" s="498" t="s">
        <v>2787</v>
      </c>
      <c r="P131" s="198" t="s">
        <v>2788</v>
      </c>
      <c r="Q131" s="164" t="s">
        <v>2789</v>
      </c>
      <c r="R131" s="164" t="s">
        <v>2790</v>
      </c>
      <c r="S131" s="164" t="s">
        <v>2791</v>
      </c>
      <c r="T131" s="198" t="s">
        <v>2792</v>
      </c>
      <c r="U131" s="198" t="s">
        <v>2793</v>
      </c>
      <c r="V131" s="198" t="s">
        <v>2794</v>
      </c>
      <c r="W131" s="1162" t="e">
        <f t="shared" si="37"/>
        <v>#VALUE!</v>
      </c>
      <c r="X131" s="1058"/>
      <c r="Y131" s="1058"/>
      <c r="Z131" s="1058"/>
      <c r="AA131" s="1058"/>
      <c r="AB131" s="1058"/>
      <c r="AC131" s="1058"/>
      <c r="AD131" s="1058"/>
      <c r="AE131" s="1058"/>
      <c r="AF131" s="1058"/>
      <c r="AG131" s="94"/>
      <c r="AH131" s="94"/>
      <c r="BW131" s="79"/>
      <c r="BX131" s="79"/>
      <c r="CB131" s="1031" t="str">
        <f t="shared" si="49"/>
        <v xml:space="preserve">* El número de Embarazadas NO DEBE ser mayor que el total. </v>
      </c>
      <c r="CC131" s="1031" t="str">
        <f t="shared" si="39"/>
        <v xml:space="preserve">* El número de Beneficiarios NO DEBE ser mayor que el total. </v>
      </c>
      <c r="CD131" s="1031" t="str">
        <f t="shared" si="50"/>
        <v xml:space="preserve">* El número de 60 Años NO DEBE ser mayor que el total. </v>
      </c>
      <c r="CE131" s="1031" t="str">
        <f t="shared" si="41"/>
        <v xml:space="preserve">* El número de Usuarios en situación de Discapacidad NO DEBE ser mayor que el total. </v>
      </c>
      <c r="CF131" s="1031" t="str">
        <f t="shared" si="42"/>
        <v xml:space="preserve">* El número de Niños, Niñas, Adolescentes y Jóvenes Población SENAME NO DEBE ser mayor que el total. </v>
      </c>
      <c r="CG131" s="1031" t="str">
        <f t="shared" si="43"/>
        <v xml:space="preserve">* El número de Migrantes NO DEBE ser mayor que el total. </v>
      </c>
      <c r="CH131" s="1031" t="e">
        <f t="shared" si="44"/>
        <v>#VALUE!</v>
      </c>
      <c r="CI131" s="1163">
        <f t="shared" si="51"/>
        <v>1</v>
      </c>
      <c r="CJ131" s="1163">
        <f t="shared" si="51"/>
        <v>1</v>
      </c>
      <c r="CK131" s="1163">
        <f t="shared" si="51"/>
        <v>1</v>
      </c>
      <c r="CL131" s="1163">
        <f t="shared" si="52"/>
        <v>1</v>
      </c>
      <c r="CM131" s="1163">
        <f t="shared" si="52"/>
        <v>1</v>
      </c>
      <c r="CN131" s="1163">
        <f t="shared" si="52"/>
        <v>1</v>
      </c>
      <c r="CO131" s="1163" t="e">
        <f t="shared" si="47"/>
        <v>#VALUE!</v>
      </c>
    </row>
    <row r="132" spans="1:93" ht="16.350000000000001" customHeight="1" x14ac:dyDescent="0.2">
      <c r="B132" s="6113" t="s">
        <v>42</v>
      </c>
      <c r="C132" s="6114"/>
      <c r="D132" s="6115"/>
      <c r="E132" s="4088">
        <f t="shared" ref="E132:V132" si="53">SUM(E80:E131)</f>
        <v>0</v>
      </c>
      <c r="F132" s="4089">
        <f t="shared" si="53"/>
        <v>0</v>
      </c>
      <c r="G132" s="4090">
        <f t="shared" si="53"/>
        <v>0</v>
      </c>
      <c r="H132" s="4091">
        <f t="shared" si="53"/>
        <v>0</v>
      </c>
      <c r="I132" s="4092">
        <f t="shared" si="53"/>
        <v>0</v>
      </c>
      <c r="J132" s="4092">
        <f t="shared" si="53"/>
        <v>0</v>
      </c>
      <c r="K132" s="4092">
        <f t="shared" si="53"/>
        <v>0</v>
      </c>
      <c r="L132" s="4092">
        <f t="shared" si="53"/>
        <v>0</v>
      </c>
      <c r="M132" s="4092">
        <f t="shared" si="53"/>
        <v>0</v>
      </c>
      <c r="N132" s="4093">
        <f t="shared" si="53"/>
        <v>0</v>
      </c>
      <c r="O132" s="4094">
        <f t="shared" si="53"/>
        <v>0</v>
      </c>
      <c r="P132" s="4095">
        <f t="shared" si="53"/>
        <v>0</v>
      </c>
      <c r="Q132" s="4092">
        <f t="shared" si="53"/>
        <v>0</v>
      </c>
      <c r="R132" s="4090">
        <f t="shared" si="53"/>
        <v>0</v>
      </c>
      <c r="S132" s="4096">
        <f t="shared" si="53"/>
        <v>0</v>
      </c>
      <c r="T132" s="4097">
        <f t="shared" si="53"/>
        <v>0</v>
      </c>
      <c r="U132" s="4097">
        <f t="shared" si="53"/>
        <v>0</v>
      </c>
      <c r="V132" s="4097">
        <f t="shared" si="53"/>
        <v>0</v>
      </c>
      <c r="W132" s="1162" t="str">
        <f t="shared" si="37"/>
        <v/>
      </c>
      <c r="X132" s="94"/>
      <c r="Y132" s="94"/>
      <c r="Z132" s="94"/>
      <c r="AA132" s="94"/>
      <c r="AB132" s="94"/>
      <c r="AC132" s="94"/>
      <c r="AD132" s="94"/>
      <c r="AE132" s="94"/>
      <c r="AF132" s="94"/>
      <c r="AG132" s="94"/>
      <c r="AH132" s="94"/>
      <c r="BW132" s="79"/>
      <c r="BX132" s="79"/>
      <c r="CH132" s="1031"/>
      <c r="CI132" s="1020"/>
      <c r="CJ132" s="1020"/>
      <c r="CK132" s="1020"/>
      <c r="CL132" s="1020"/>
      <c r="CM132" s="1020"/>
      <c r="CN132" s="1020"/>
      <c r="CO132" s="1163"/>
    </row>
    <row r="133" spans="1:93" ht="16.350000000000001" customHeight="1" x14ac:dyDescent="0.2">
      <c r="B133" s="85" t="s">
        <v>2009</v>
      </c>
      <c r="C133" s="1176"/>
      <c r="D133" s="1176"/>
      <c r="E133" s="1176"/>
      <c r="F133" s="494"/>
      <c r="T133" s="94"/>
      <c r="U133" s="94"/>
      <c r="V133" s="94"/>
      <c r="W133" s="1162"/>
      <c r="X133" s="94"/>
      <c r="Y133" s="94"/>
      <c r="Z133" s="94"/>
      <c r="AA133" s="94"/>
      <c r="AB133" s="94"/>
      <c r="AC133" s="94"/>
      <c r="AD133" s="94"/>
      <c r="AE133" s="94"/>
      <c r="AF133" s="94"/>
      <c r="AG133" s="94"/>
      <c r="AH133" s="94"/>
      <c r="BW133" s="79"/>
      <c r="BX133" s="79"/>
      <c r="CH133" s="1031"/>
      <c r="CI133" s="1020"/>
      <c r="CJ133" s="1020"/>
      <c r="CK133" s="1020"/>
      <c r="CL133" s="1020"/>
      <c r="CM133" s="1020"/>
      <c r="CN133" s="1020"/>
      <c r="CO133" s="1163"/>
    </row>
    <row r="134" spans="1:93" ht="28.5" customHeight="1" x14ac:dyDescent="0.2">
      <c r="B134" s="6116" t="s">
        <v>1259</v>
      </c>
      <c r="C134" s="6117"/>
      <c r="D134" s="6118"/>
      <c r="E134" s="6121" t="s">
        <v>42</v>
      </c>
      <c r="F134" s="6121"/>
      <c r="G134" s="6121"/>
      <c r="H134" s="6113" t="s">
        <v>604</v>
      </c>
      <c r="I134" s="6114"/>
      <c r="J134" s="6114"/>
      <c r="K134" s="6114"/>
      <c r="L134" s="6114"/>
      <c r="M134" s="6114"/>
      <c r="N134" s="6114"/>
      <c r="O134" s="6122"/>
      <c r="P134" s="6020" t="s">
        <v>287</v>
      </c>
      <c r="Q134" s="6106" t="s">
        <v>1356</v>
      </c>
      <c r="R134" s="6106" t="s">
        <v>1269</v>
      </c>
      <c r="S134" s="6106" t="s">
        <v>817</v>
      </c>
      <c r="T134" s="6105" t="s">
        <v>2767</v>
      </c>
      <c r="U134" s="6105" t="s">
        <v>2008</v>
      </c>
      <c r="V134" s="6105" t="s">
        <v>23</v>
      </c>
      <c r="W134" s="1162"/>
      <c r="X134" s="94"/>
      <c r="Y134" s="94"/>
      <c r="Z134" s="94"/>
      <c r="AA134" s="94"/>
      <c r="AB134" s="94"/>
      <c r="AC134" s="94"/>
      <c r="AD134" s="94"/>
      <c r="AE134" s="94"/>
      <c r="AF134" s="94"/>
      <c r="AG134" s="94"/>
      <c r="AH134" s="94"/>
      <c r="BW134" s="79"/>
      <c r="BX134" s="79"/>
      <c r="CH134" s="1031"/>
      <c r="CI134" s="1020"/>
      <c r="CJ134" s="1020"/>
      <c r="CK134" s="1020"/>
      <c r="CL134" s="1020"/>
      <c r="CM134" s="1020"/>
      <c r="CN134" s="1020"/>
      <c r="CO134" s="1163"/>
    </row>
    <row r="135" spans="1:93" ht="42" customHeight="1" x14ac:dyDescent="0.2">
      <c r="B135" s="6043"/>
      <c r="C135" s="6119"/>
      <c r="D135" s="6120"/>
      <c r="E135" s="4626" t="s">
        <v>3716</v>
      </c>
      <c r="F135" s="4626" t="s">
        <v>24</v>
      </c>
      <c r="G135" s="4626" t="s">
        <v>25</v>
      </c>
      <c r="H135" s="4627" t="s">
        <v>630</v>
      </c>
      <c r="I135" s="4627" t="s">
        <v>631</v>
      </c>
      <c r="J135" s="4627" t="s">
        <v>632</v>
      </c>
      <c r="K135" s="4627" t="s">
        <v>610</v>
      </c>
      <c r="L135" s="4627" t="s">
        <v>611</v>
      </c>
      <c r="M135" s="4627" t="s">
        <v>612</v>
      </c>
      <c r="N135" s="4627" t="s">
        <v>613</v>
      </c>
      <c r="O135" s="4628" t="s">
        <v>614</v>
      </c>
      <c r="P135" s="5143"/>
      <c r="Q135" s="5103"/>
      <c r="R135" s="5103"/>
      <c r="S135" s="5103"/>
      <c r="T135" s="6105"/>
      <c r="U135" s="6105"/>
      <c r="V135" s="6105"/>
      <c r="W135" s="1162"/>
      <c r="X135" s="94"/>
      <c r="Y135" s="94"/>
      <c r="Z135" s="94"/>
      <c r="AA135" s="94"/>
      <c r="AB135" s="94"/>
      <c r="AC135" s="94"/>
      <c r="AD135" s="94"/>
      <c r="AE135" s="94"/>
      <c r="AF135" s="94"/>
      <c r="AG135" s="94"/>
      <c r="AH135" s="94"/>
      <c r="BW135" s="79"/>
      <c r="BX135" s="79"/>
      <c r="CH135" s="1031"/>
      <c r="CI135" s="1020"/>
      <c r="CJ135" s="1020"/>
      <c r="CK135" s="1020"/>
      <c r="CL135" s="1020"/>
      <c r="CM135" s="1020"/>
      <c r="CN135" s="1020"/>
      <c r="CO135" s="1163"/>
    </row>
    <row r="136" spans="1:93" ht="16.350000000000001" customHeight="1" x14ac:dyDescent="0.2">
      <c r="A136" s="4631" t="s">
        <v>3874</v>
      </c>
      <c r="B136" s="6094" t="s">
        <v>2010</v>
      </c>
      <c r="C136" s="6095"/>
      <c r="D136" s="6096"/>
      <c r="E136" s="4098" t="s">
        <v>2777</v>
      </c>
      <c r="F136" s="4099" t="s">
        <v>2778</v>
      </c>
      <c r="G136" s="3025" t="s">
        <v>2779</v>
      </c>
      <c r="H136" s="3962" t="s">
        <v>2780</v>
      </c>
      <c r="I136" s="3962" t="s">
        <v>2781</v>
      </c>
      <c r="J136" s="3962" t="s">
        <v>2782</v>
      </c>
      <c r="K136" s="3962" t="s">
        <v>2783</v>
      </c>
      <c r="L136" s="3962" t="s">
        <v>2784</v>
      </c>
      <c r="M136" s="3962" t="s">
        <v>2785</v>
      </c>
      <c r="N136" s="3962" t="s">
        <v>2786</v>
      </c>
      <c r="O136" s="4100" t="s">
        <v>2787</v>
      </c>
      <c r="P136" s="4101" t="s">
        <v>2788</v>
      </c>
      <c r="Q136" s="4101" t="s">
        <v>2789</v>
      </c>
      <c r="R136" s="4102" t="s">
        <v>2790</v>
      </c>
      <c r="S136" s="4102" t="s">
        <v>2791</v>
      </c>
      <c r="T136" s="4103" t="s">
        <v>2792</v>
      </c>
      <c r="U136" s="4103" t="s">
        <v>2793</v>
      </c>
      <c r="V136" s="4103" t="s">
        <v>2794</v>
      </c>
      <c r="W136" s="1162" t="e">
        <f t="shared" ref="W136:W143" si="54">CB136&amp;CC136&amp;CD136&amp;CE136&amp;CF136&amp;CG136&amp;CH136</f>
        <v>#VALUE!</v>
      </c>
      <c r="X136" s="1058"/>
      <c r="Y136" s="1058"/>
      <c r="Z136" s="1058"/>
      <c r="AA136" s="1058"/>
      <c r="AB136" s="1058"/>
      <c r="AC136" s="1058"/>
      <c r="AD136" s="1058"/>
      <c r="AE136" s="1058"/>
      <c r="AF136" s="94"/>
      <c r="AG136" s="94"/>
      <c r="BW136" s="79"/>
      <c r="BX136" s="79"/>
      <c r="CB136" s="1031" t="str">
        <f t="shared" ref="CB136:CB143" si="55">IF(AND($E136&lt;&gt;0,P136=""),"* No olvide digitar la columna Embarazadas (Digite CEROS si no tiene).",IF($E136&lt;P136,"* El número de Embarazadas NO DEBE ser mayor que el total. ",""))</f>
        <v xml:space="preserve">* El número de Embarazadas NO DEBE ser mayor que el total. </v>
      </c>
      <c r="CC136" s="1031" t="str">
        <f t="shared" ref="CC136:CC143" si="56">IF(AND($E136&lt;&gt;0,Q136=""),"* No olvide digitar la columna Beneficiarios (Digite CEROS si no tiene).",IF($E136&lt;Q136,"* El número de Beneficiarios NO DEBE ser mayor que el total. ",""))</f>
        <v xml:space="preserve">* El número de Beneficiarios NO DEBE ser mayor que el total. </v>
      </c>
      <c r="CD136" s="1031" t="str">
        <f t="shared" ref="CD136:CD143" si="57">IF(AND($E136&lt;&gt;0,R136=""),"* No olvide digitar la columna 60 Años (Digite CEROS si no tiene).",IF($E136&lt;R136,"* El número de 60 Años NO DEBE ser mayor que el total. ",""))</f>
        <v xml:space="preserve">* El número de 60 Años NO DEBE ser mayor que el total. </v>
      </c>
      <c r="CE136" s="1031" t="str">
        <f t="shared" ref="CE136:CE143" si="58">IF(AND($E136&lt;&gt;0,T136=""),"* No olvide digitar la columna Usuarios en situación de Discapacidad (Digite CEROS si no tiene).",IF($E136&lt;T136,"* El número de Usuarios en situación de Discapacidad NO DEBE ser mayor que el total. ",""))</f>
        <v xml:space="preserve">* El número de Usuarios en situación de Discapacidad NO DEBE ser mayor que el total. </v>
      </c>
      <c r="CF136" s="1031" t="str">
        <f t="shared" ref="CF136:CF143" si="59">IF(AND($E136&lt;&gt;0,U136=""),"* No olvide digitar la columna Niños, Niñas, Adolescentes y Jóvenes Población SENAME (Digite CEROS si no tiene).",IF($E136&lt;U136,"* El número de Niños, Niñas, Adolescentes y Jóvenes Población SENAME NO DEBE ser mayor que el total. ",""))</f>
        <v xml:space="preserve">* El número de Niños, Niñas, Adolescentes y Jóvenes Población SENAME NO DEBE ser mayor que el total. </v>
      </c>
      <c r="CG136" s="1031" t="str">
        <f t="shared" ref="CG136:CG143" si="60">IF(AND($E136&lt;&gt;0,V136=""),"* No olvide digitar la columna Migrantes (Digite CEROS si no tiene).",IF($E136&lt;V136,"* El número de Migrantes NO DEBE ser mayor que el total. ",""))</f>
        <v xml:space="preserve">* El número de Migrantes NO DEBE ser mayor que el total. </v>
      </c>
      <c r="CH136" s="1031" t="e">
        <f t="shared" ref="CH136:CH143" si="61">IF(CO136=1,"* La suma de los sexos NO DEBE ser diferente al Total. ","")</f>
        <v>#VALUE!</v>
      </c>
      <c r="CI136" s="1163">
        <f t="shared" ref="CI136:CK143" si="62">IF(AND($E136&lt;&gt;0,P136=""),1,IF($E136&lt;P136,1,0))</f>
        <v>1</v>
      </c>
      <c r="CJ136" s="1163">
        <f t="shared" si="62"/>
        <v>1</v>
      </c>
      <c r="CK136" s="1163">
        <f t="shared" si="62"/>
        <v>1</v>
      </c>
      <c r="CL136" s="1163">
        <f t="shared" ref="CL136:CN143" si="63">IF(AND($E136&lt;&gt;0,T136=""),1,IF($E136&lt;T136,1,0))</f>
        <v>1</v>
      </c>
      <c r="CM136" s="1163">
        <f t="shared" si="63"/>
        <v>1</v>
      </c>
      <c r="CN136" s="1163">
        <f t="shared" si="63"/>
        <v>1</v>
      </c>
      <c r="CO136" s="1163" t="e">
        <f t="shared" ref="CO136:CO143" si="64">IF((F136+G136)&lt;&gt;E136,1,0)</f>
        <v>#VALUE!</v>
      </c>
    </row>
    <row r="137" spans="1:93" ht="16.350000000000001" customHeight="1" x14ac:dyDescent="0.2">
      <c r="A137" s="3024" t="s">
        <v>3610</v>
      </c>
      <c r="B137" s="6102" t="s">
        <v>1097</v>
      </c>
      <c r="C137" s="6103"/>
      <c r="D137" s="6104"/>
      <c r="E137" s="3942" t="s">
        <v>2777</v>
      </c>
      <c r="F137" s="4104" t="s">
        <v>2778</v>
      </c>
      <c r="G137" s="4105" t="s">
        <v>2779</v>
      </c>
      <c r="H137" s="2577" t="s">
        <v>2780</v>
      </c>
      <c r="I137" s="2577" t="s">
        <v>2781</v>
      </c>
      <c r="J137" s="2577" t="s">
        <v>2782</v>
      </c>
      <c r="K137" s="2577" t="s">
        <v>2783</v>
      </c>
      <c r="L137" s="2577" t="s">
        <v>2784</v>
      </c>
      <c r="M137" s="2577" t="s">
        <v>2785</v>
      </c>
      <c r="N137" s="2577" t="s">
        <v>2786</v>
      </c>
      <c r="O137" s="2976" t="s">
        <v>2787</v>
      </c>
      <c r="P137" s="2975" t="s">
        <v>2788</v>
      </c>
      <c r="Q137" s="2975" t="s">
        <v>2789</v>
      </c>
      <c r="R137" s="2580" t="s">
        <v>2790</v>
      </c>
      <c r="S137" s="2580" t="s">
        <v>2791</v>
      </c>
      <c r="T137" s="4103" t="s">
        <v>2792</v>
      </c>
      <c r="U137" s="4103" t="s">
        <v>2793</v>
      </c>
      <c r="V137" s="4103" t="s">
        <v>2794</v>
      </c>
      <c r="W137" s="1162" t="e">
        <f t="shared" si="54"/>
        <v>#VALUE!</v>
      </c>
      <c r="X137" s="1058"/>
      <c r="Y137" s="1058"/>
      <c r="Z137" s="1058"/>
      <c r="AA137" s="1058"/>
      <c r="AB137" s="1058"/>
      <c r="AC137" s="1058"/>
      <c r="AD137" s="1058"/>
      <c r="AE137" s="1058"/>
      <c r="AF137" s="94"/>
      <c r="AG137" s="94"/>
      <c r="BW137" s="79"/>
      <c r="BX137" s="79"/>
      <c r="CB137" s="1031" t="str">
        <f t="shared" si="55"/>
        <v xml:space="preserve">* El número de Embarazadas NO DEBE ser mayor que el total. </v>
      </c>
      <c r="CC137" s="1031" t="str">
        <f t="shared" si="56"/>
        <v xml:space="preserve">* El número de Beneficiarios NO DEBE ser mayor que el total. </v>
      </c>
      <c r="CD137" s="1031" t="str">
        <f t="shared" si="57"/>
        <v xml:space="preserve">* El número de 60 Años NO DEBE ser mayor que el total. </v>
      </c>
      <c r="CE137" s="1031" t="str">
        <f t="shared" si="58"/>
        <v xml:space="preserve">* El número de Usuarios en situación de Discapacidad NO DEBE ser mayor que el total. </v>
      </c>
      <c r="CF137" s="1031" t="str">
        <f t="shared" si="59"/>
        <v xml:space="preserve">* El número de Niños, Niñas, Adolescentes y Jóvenes Población SENAME NO DEBE ser mayor que el total. </v>
      </c>
      <c r="CG137" s="1031" t="str">
        <f t="shared" si="60"/>
        <v xml:space="preserve">* El número de Migrantes NO DEBE ser mayor que el total. </v>
      </c>
      <c r="CH137" s="1031" t="e">
        <f t="shared" si="61"/>
        <v>#VALUE!</v>
      </c>
      <c r="CI137" s="1163">
        <f t="shared" si="62"/>
        <v>1</v>
      </c>
      <c r="CJ137" s="1163">
        <f t="shared" si="62"/>
        <v>1</v>
      </c>
      <c r="CK137" s="1163">
        <f t="shared" si="62"/>
        <v>1</v>
      </c>
      <c r="CL137" s="1163">
        <f t="shared" si="63"/>
        <v>1</v>
      </c>
      <c r="CM137" s="1163">
        <f t="shared" si="63"/>
        <v>1</v>
      </c>
      <c r="CN137" s="1163">
        <f t="shared" si="63"/>
        <v>1</v>
      </c>
      <c r="CO137" s="1163" t="e">
        <f t="shared" si="64"/>
        <v>#VALUE!</v>
      </c>
    </row>
    <row r="138" spans="1:93" ht="16.350000000000001" customHeight="1" x14ac:dyDescent="0.2">
      <c r="A138" s="3009" t="s">
        <v>3611</v>
      </c>
      <c r="B138" s="5313" t="s">
        <v>1098</v>
      </c>
      <c r="C138" s="5302"/>
      <c r="D138" s="5303"/>
      <c r="E138" s="3090" t="s">
        <v>2777</v>
      </c>
      <c r="F138" s="4104" t="s">
        <v>2778</v>
      </c>
      <c r="G138" s="4105" t="s">
        <v>2779</v>
      </c>
      <c r="H138" s="2577" t="s">
        <v>2780</v>
      </c>
      <c r="I138" s="2577" t="s">
        <v>2781</v>
      </c>
      <c r="J138" s="2577" t="s">
        <v>2782</v>
      </c>
      <c r="K138" s="2577" t="s">
        <v>2783</v>
      </c>
      <c r="L138" s="2577" t="s">
        <v>2784</v>
      </c>
      <c r="M138" s="2577" t="s">
        <v>2785</v>
      </c>
      <c r="N138" s="2577" t="s">
        <v>2786</v>
      </c>
      <c r="O138" s="2976" t="s">
        <v>2787</v>
      </c>
      <c r="P138" s="2975" t="s">
        <v>2788</v>
      </c>
      <c r="Q138" s="2975" t="s">
        <v>2789</v>
      </c>
      <c r="R138" s="2580" t="s">
        <v>2790</v>
      </c>
      <c r="S138" s="2580" t="s">
        <v>2791</v>
      </c>
      <c r="T138" s="4103" t="s">
        <v>2792</v>
      </c>
      <c r="U138" s="4103" t="s">
        <v>2793</v>
      </c>
      <c r="V138" s="4103" t="s">
        <v>2794</v>
      </c>
      <c r="W138" s="1162" t="e">
        <f t="shared" si="54"/>
        <v>#VALUE!</v>
      </c>
      <c r="X138" s="1058"/>
      <c r="Y138" s="1058"/>
      <c r="Z138" s="1058"/>
      <c r="AA138" s="1058"/>
      <c r="AB138" s="1058"/>
      <c r="AC138" s="1058"/>
      <c r="AD138" s="1058"/>
      <c r="AE138" s="1058"/>
      <c r="AF138" s="94"/>
      <c r="AG138" s="94"/>
      <c r="BW138" s="79"/>
      <c r="BX138" s="79"/>
      <c r="CB138" s="1031" t="str">
        <f t="shared" si="55"/>
        <v xml:space="preserve">* El número de Embarazadas NO DEBE ser mayor que el total. </v>
      </c>
      <c r="CC138" s="1031" t="str">
        <f t="shared" si="56"/>
        <v xml:space="preserve">* El número de Beneficiarios NO DEBE ser mayor que el total. </v>
      </c>
      <c r="CD138" s="1031" t="str">
        <f t="shared" si="57"/>
        <v xml:space="preserve">* El número de 60 Años NO DEBE ser mayor que el total. </v>
      </c>
      <c r="CE138" s="1031" t="str">
        <f t="shared" si="58"/>
        <v xml:space="preserve">* El número de Usuarios en situación de Discapacidad NO DEBE ser mayor que el total. </v>
      </c>
      <c r="CF138" s="1031" t="str">
        <f t="shared" si="59"/>
        <v xml:space="preserve">* El número de Niños, Niñas, Adolescentes y Jóvenes Población SENAME NO DEBE ser mayor que el total. </v>
      </c>
      <c r="CG138" s="1031" t="str">
        <f t="shared" si="60"/>
        <v xml:space="preserve">* El número de Migrantes NO DEBE ser mayor que el total. </v>
      </c>
      <c r="CH138" s="1031" t="e">
        <f t="shared" si="61"/>
        <v>#VALUE!</v>
      </c>
      <c r="CI138" s="1163">
        <f t="shared" si="62"/>
        <v>1</v>
      </c>
      <c r="CJ138" s="1163">
        <f t="shared" si="62"/>
        <v>1</v>
      </c>
      <c r="CK138" s="1163">
        <f t="shared" si="62"/>
        <v>1</v>
      </c>
      <c r="CL138" s="1163">
        <f t="shared" si="63"/>
        <v>1</v>
      </c>
      <c r="CM138" s="1163">
        <f t="shared" si="63"/>
        <v>1</v>
      </c>
      <c r="CN138" s="1163">
        <f t="shared" si="63"/>
        <v>1</v>
      </c>
      <c r="CO138" s="1163" t="e">
        <f t="shared" si="64"/>
        <v>#VALUE!</v>
      </c>
    </row>
    <row r="139" spans="1:93" ht="16.350000000000001" customHeight="1" x14ac:dyDescent="0.2">
      <c r="A139" s="3009" t="s">
        <v>3612</v>
      </c>
      <c r="B139" s="5998" t="s">
        <v>3974</v>
      </c>
      <c r="C139" s="6054"/>
      <c r="D139" s="5999"/>
      <c r="E139" s="3090" t="s">
        <v>2777</v>
      </c>
      <c r="F139" s="4104" t="s">
        <v>2778</v>
      </c>
      <c r="G139" s="4105" t="s">
        <v>2779</v>
      </c>
      <c r="H139" s="2577" t="s">
        <v>2780</v>
      </c>
      <c r="I139" s="2577" t="s">
        <v>2781</v>
      </c>
      <c r="J139" s="2577" t="s">
        <v>2782</v>
      </c>
      <c r="K139" s="2577" t="s">
        <v>2783</v>
      </c>
      <c r="L139" s="2577" t="s">
        <v>2784</v>
      </c>
      <c r="M139" s="2577" t="s">
        <v>2785</v>
      </c>
      <c r="N139" s="2577" t="s">
        <v>2786</v>
      </c>
      <c r="O139" s="2976" t="s">
        <v>2787</v>
      </c>
      <c r="P139" s="2975" t="s">
        <v>2788</v>
      </c>
      <c r="Q139" s="2975" t="s">
        <v>2789</v>
      </c>
      <c r="R139" s="2580" t="s">
        <v>2790</v>
      </c>
      <c r="S139" s="2580" t="s">
        <v>2791</v>
      </c>
      <c r="T139" s="4103" t="s">
        <v>2792</v>
      </c>
      <c r="U139" s="4103" t="s">
        <v>2793</v>
      </c>
      <c r="V139" s="4103" t="s">
        <v>2794</v>
      </c>
      <c r="W139" s="1162" t="e">
        <f t="shared" si="54"/>
        <v>#VALUE!</v>
      </c>
      <c r="X139" s="1058"/>
      <c r="Y139" s="1058"/>
      <c r="Z139" s="1058"/>
      <c r="AA139" s="1058"/>
      <c r="AB139" s="1058"/>
      <c r="AC139" s="1058"/>
      <c r="AD139" s="1058"/>
      <c r="AE139" s="1058"/>
      <c r="AF139" s="94"/>
      <c r="AG139" s="94"/>
      <c r="BW139" s="79"/>
      <c r="BX139" s="79"/>
      <c r="CB139" s="1031" t="str">
        <f t="shared" si="55"/>
        <v xml:space="preserve">* El número de Embarazadas NO DEBE ser mayor que el total. </v>
      </c>
      <c r="CC139" s="1031" t="str">
        <f t="shared" si="56"/>
        <v xml:space="preserve">* El número de Beneficiarios NO DEBE ser mayor que el total. </v>
      </c>
      <c r="CD139" s="1031" t="str">
        <f t="shared" si="57"/>
        <v xml:space="preserve">* El número de 60 Años NO DEBE ser mayor que el total. </v>
      </c>
      <c r="CE139" s="1031" t="str">
        <f t="shared" si="58"/>
        <v xml:space="preserve">* El número de Usuarios en situación de Discapacidad NO DEBE ser mayor que el total. </v>
      </c>
      <c r="CF139" s="1031" t="str">
        <f t="shared" si="59"/>
        <v xml:space="preserve">* El número de Niños, Niñas, Adolescentes y Jóvenes Población SENAME NO DEBE ser mayor que el total. </v>
      </c>
      <c r="CG139" s="1031" t="str">
        <f t="shared" si="60"/>
        <v xml:space="preserve">* El número de Migrantes NO DEBE ser mayor que el total. </v>
      </c>
      <c r="CH139" s="1031" t="e">
        <f t="shared" si="61"/>
        <v>#VALUE!</v>
      </c>
      <c r="CI139" s="1163">
        <f t="shared" si="62"/>
        <v>1</v>
      </c>
      <c r="CJ139" s="1163">
        <f t="shared" si="62"/>
        <v>1</v>
      </c>
      <c r="CK139" s="1163">
        <f t="shared" si="62"/>
        <v>1</v>
      </c>
      <c r="CL139" s="1163">
        <f t="shared" si="63"/>
        <v>1</v>
      </c>
      <c r="CM139" s="1163">
        <f t="shared" si="63"/>
        <v>1</v>
      </c>
      <c r="CN139" s="1163">
        <f t="shared" si="63"/>
        <v>1</v>
      </c>
      <c r="CO139" s="1163" t="e">
        <f t="shared" si="64"/>
        <v>#VALUE!</v>
      </c>
    </row>
    <row r="140" spans="1:93" ht="16.350000000000001" customHeight="1" x14ac:dyDescent="0.2">
      <c r="A140" s="3009" t="s">
        <v>3613</v>
      </c>
      <c r="B140" s="5998" t="s">
        <v>1099</v>
      </c>
      <c r="C140" s="6054"/>
      <c r="D140" s="5999"/>
      <c r="E140" s="3090" t="s">
        <v>2777</v>
      </c>
      <c r="F140" s="4104" t="s">
        <v>2778</v>
      </c>
      <c r="G140" s="4105" t="s">
        <v>2779</v>
      </c>
      <c r="H140" s="2577" t="s">
        <v>2780</v>
      </c>
      <c r="I140" s="2577" t="s">
        <v>2781</v>
      </c>
      <c r="J140" s="2577" t="s">
        <v>2782</v>
      </c>
      <c r="K140" s="2577" t="s">
        <v>2783</v>
      </c>
      <c r="L140" s="2577" t="s">
        <v>2784</v>
      </c>
      <c r="M140" s="2577" t="s">
        <v>2785</v>
      </c>
      <c r="N140" s="2577" t="s">
        <v>2786</v>
      </c>
      <c r="O140" s="2976" t="s">
        <v>2787</v>
      </c>
      <c r="P140" s="2975" t="s">
        <v>2788</v>
      </c>
      <c r="Q140" s="2975" t="s">
        <v>2789</v>
      </c>
      <c r="R140" s="2580" t="s">
        <v>2790</v>
      </c>
      <c r="S140" s="2580" t="s">
        <v>2791</v>
      </c>
      <c r="T140" s="4103" t="s">
        <v>2792</v>
      </c>
      <c r="U140" s="4103" t="s">
        <v>2793</v>
      </c>
      <c r="V140" s="4103" t="s">
        <v>2794</v>
      </c>
      <c r="W140" s="1162" t="e">
        <f t="shared" si="54"/>
        <v>#VALUE!</v>
      </c>
      <c r="X140" s="1058"/>
      <c r="Y140" s="1058"/>
      <c r="Z140" s="1058"/>
      <c r="AA140" s="1058"/>
      <c r="AB140" s="1058"/>
      <c r="AC140" s="1058"/>
      <c r="AD140" s="1058"/>
      <c r="AE140" s="1058"/>
      <c r="AF140" s="94"/>
      <c r="AG140" s="94"/>
      <c r="BW140" s="79"/>
      <c r="BX140" s="79"/>
      <c r="CB140" s="1031" t="str">
        <f t="shared" si="55"/>
        <v xml:space="preserve">* El número de Embarazadas NO DEBE ser mayor que el total. </v>
      </c>
      <c r="CC140" s="1031" t="str">
        <f t="shared" si="56"/>
        <v xml:space="preserve">* El número de Beneficiarios NO DEBE ser mayor que el total. </v>
      </c>
      <c r="CD140" s="1031" t="str">
        <f t="shared" si="57"/>
        <v xml:space="preserve">* El número de 60 Años NO DEBE ser mayor que el total. </v>
      </c>
      <c r="CE140" s="1031" t="str">
        <f t="shared" si="58"/>
        <v xml:space="preserve">* El número de Usuarios en situación de Discapacidad NO DEBE ser mayor que el total. </v>
      </c>
      <c r="CF140" s="1031" t="str">
        <f t="shared" si="59"/>
        <v xml:space="preserve">* El número de Niños, Niñas, Adolescentes y Jóvenes Población SENAME NO DEBE ser mayor que el total. </v>
      </c>
      <c r="CG140" s="1031" t="str">
        <f t="shared" si="60"/>
        <v xml:space="preserve">* El número de Migrantes NO DEBE ser mayor que el total. </v>
      </c>
      <c r="CH140" s="1031" t="e">
        <f t="shared" si="61"/>
        <v>#VALUE!</v>
      </c>
      <c r="CI140" s="1163">
        <f t="shared" si="62"/>
        <v>1</v>
      </c>
      <c r="CJ140" s="1163">
        <f t="shared" si="62"/>
        <v>1</v>
      </c>
      <c r="CK140" s="1163">
        <f t="shared" si="62"/>
        <v>1</v>
      </c>
      <c r="CL140" s="1163">
        <f t="shared" si="63"/>
        <v>1</v>
      </c>
      <c r="CM140" s="1163">
        <f t="shared" si="63"/>
        <v>1</v>
      </c>
      <c r="CN140" s="1163">
        <f t="shared" si="63"/>
        <v>1</v>
      </c>
      <c r="CO140" s="1163" t="e">
        <f t="shared" si="64"/>
        <v>#VALUE!</v>
      </c>
    </row>
    <row r="141" spans="1:93" ht="16.350000000000001" customHeight="1" x14ac:dyDescent="0.2">
      <c r="A141" s="3009" t="s">
        <v>3614</v>
      </c>
      <c r="B141" s="5998" t="s">
        <v>3973</v>
      </c>
      <c r="C141" s="6054"/>
      <c r="D141" s="5999"/>
      <c r="E141" s="3942" t="s">
        <v>2777</v>
      </c>
      <c r="F141" s="4104" t="s">
        <v>2778</v>
      </c>
      <c r="G141" s="4105" t="s">
        <v>2779</v>
      </c>
      <c r="H141" s="141" t="s">
        <v>2780</v>
      </c>
      <c r="I141" s="141" t="s">
        <v>2781</v>
      </c>
      <c r="J141" s="141" t="s">
        <v>2782</v>
      </c>
      <c r="K141" s="141" t="s">
        <v>2783</v>
      </c>
      <c r="L141" s="141" t="s">
        <v>2784</v>
      </c>
      <c r="M141" s="141" t="s">
        <v>2785</v>
      </c>
      <c r="N141" s="141" t="s">
        <v>2786</v>
      </c>
      <c r="O141" s="513" t="s">
        <v>2787</v>
      </c>
      <c r="P141" s="198" t="s">
        <v>2788</v>
      </c>
      <c r="Q141" s="198" t="s">
        <v>2789</v>
      </c>
      <c r="R141" s="164" t="s">
        <v>2790</v>
      </c>
      <c r="S141" s="2324" t="s">
        <v>2791</v>
      </c>
      <c r="T141" s="4103" t="s">
        <v>2792</v>
      </c>
      <c r="U141" s="4103" t="s">
        <v>2793</v>
      </c>
      <c r="V141" s="4103" t="s">
        <v>2794</v>
      </c>
      <c r="W141" s="1162" t="e">
        <f t="shared" si="54"/>
        <v>#VALUE!</v>
      </c>
      <c r="X141" s="1058"/>
      <c r="Y141" s="1058"/>
      <c r="Z141" s="1058"/>
      <c r="AA141" s="1058"/>
      <c r="AB141" s="1058"/>
      <c r="AC141" s="1058"/>
      <c r="AD141" s="1058"/>
      <c r="AE141" s="1058"/>
      <c r="AF141" s="94"/>
      <c r="AG141" s="94"/>
      <c r="BW141" s="79"/>
      <c r="BX141" s="79"/>
      <c r="CB141" s="1031" t="str">
        <f t="shared" si="55"/>
        <v xml:space="preserve">* El número de Embarazadas NO DEBE ser mayor que el total. </v>
      </c>
      <c r="CC141" s="1031" t="str">
        <f t="shared" si="56"/>
        <v xml:space="preserve">* El número de Beneficiarios NO DEBE ser mayor que el total. </v>
      </c>
      <c r="CD141" s="1031" t="str">
        <f t="shared" si="57"/>
        <v xml:space="preserve">* El número de 60 Años NO DEBE ser mayor que el total. </v>
      </c>
      <c r="CE141" s="1031" t="str">
        <f t="shared" si="58"/>
        <v xml:space="preserve">* El número de Usuarios en situación de Discapacidad NO DEBE ser mayor que el total. </v>
      </c>
      <c r="CF141" s="1031" t="str">
        <f t="shared" si="59"/>
        <v xml:space="preserve">* El número de Niños, Niñas, Adolescentes y Jóvenes Población SENAME NO DEBE ser mayor que el total. </v>
      </c>
      <c r="CG141" s="1031" t="str">
        <f t="shared" si="60"/>
        <v xml:space="preserve">* El número de Migrantes NO DEBE ser mayor que el total. </v>
      </c>
      <c r="CH141" s="1031" t="e">
        <f t="shared" si="61"/>
        <v>#VALUE!</v>
      </c>
      <c r="CI141" s="1163">
        <f t="shared" si="62"/>
        <v>1</v>
      </c>
      <c r="CJ141" s="1163">
        <f t="shared" si="62"/>
        <v>1</v>
      </c>
      <c r="CK141" s="1163">
        <f t="shared" si="62"/>
        <v>1</v>
      </c>
      <c r="CL141" s="1163">
        <f t="shared" si="63"/>
        <v>1</v>
      </c>
      <c r="CM141" s="1163">
        <f t="shared" si="63"/>
        <v>1</v>
      </c>
      <c r="CN141" s="1163">
        <f t="shared" si="63"/>
        <v>1</v>
      </c>
      <c r="CO141" s="1163" t="e">
        <f t="shared" si="64"/>
        <v>#VALUE!</v>
      </c>
    </row>
    <row r="142" spans="1:93" ht="16.350000000000001" customHeight="1" x14ac:dyDescent="0.2">
      <c r="A142" s="3009" t="s">
        <v>3615</v>
      </c>
      <c r="B142" s="5313" t="s">
        <v>3972</v>
      </c>
      <c r="C142" s="5302"/>
      <c r="D142" s="5303"/>
      <c r="E142" s="3942" t="s">
        <v>2777</v>
      </c>
      <c r="F142" s="4104" t="s">
        <v>2778</v>
      </c>
      <c r="G142" s="4105" t="s">
        <v>2779</v>
      </c>
      <c r="H142" s="141" t="s">
        <v>2780</v>
      </c>
      <c r="I142" s="141" t="s">
        <v>2781</v>
      </c>
      <c r="J142" s="141" t="s">
        <v>2782</v>
      </c>
      <c r="K142" s="141" t="s">
        <v>2783</v>
      </c>
      <c r="L142" s="141" t="s">
        <v>2784</v>
      </c>
      <c r="M142" s="141" t="s">
        <v>2785</v>
      </c>
      <c r="N142" s="141" t="s">
        <v>2786</v>
      </c>
      <c r="O142" s="513" t="s">
        <v>2787</v>
      </c>
      <c r="P142" s="198" t="s">
        <v>2788</v>
      </c>
      <c r="Q142" s="198" t="s">
        <v>2789</v>
      </c>
      <c r="R142" s="164" t="s">
        <v>2790</v>
      </c>
      <c r="S142" s="2324" t="s">
        <v>2791</v>
      </c>
      <c r="T142" s="4103" t="s">
        <v>2792</v>
      </c>
      <c r="U142" s="4103" t="s">
        <v>2793</v>
      </c>
      <c r="V142" s="4103" t="s">
        <v>2794</v>
      </c>
      <c r="W142" s="1162" t="e">
        <f t="shared" si="54"/>
        <v>#VALUE!</v>
      </c>
      <c r="X142" s="1058"/>
      <c r="Y142" s="1058"/>
      <c r="Z142" s="1058"/>
      <c r="AA142" s="1058"/>
      <c r="AB142" s="1058"/>
      <c r="AC142" s="1058"/>
      <c r="AD142" s="1058"/>
      <c r="AE142" s="1058"/>
      <c r="AF142" s="94"/>
      <c r="AG142" s="94"/>
      <c r="BW142" s="79"/>
      <c r="BX142" s="79"/>
      <c r="CB142" s="1031" t="str">
        <f t="shared" si="55"/>
        <v xml:space="preserve">* El número de Embarazadas NO DEBE ser mayor que el total. </v>
      </c>
      <c r="CC142" s="1031" t="str">
        <f t="shared" si="56"/>
        <v xml:space="preserve">* El número de Beneficiarios NO DEBE ser mayor que el total. </v>
      </c>
      <c r="CD142" s="1031" t="str">
        <f t="shared" si="57"/>
        <v xml:space="preserve">* El número de 60 Años NO DEBE ser mayor que el total. </v>
      </c>
      <c r="CE142" s="1031" t="str">
        <f t="shared" si="58"/>
        <v xml:space="preserve">* El número de Usuarios en situación de Discapacidad NO DEBE ser mayor que el total. </v>
      </c>
      <c r="CF142" s="1031" t="str">
        <f t="shared" si="59"/>
        <v xml:space="preserve">* El número de Niños, Niñas, Adolescentes y Jóvenes Población SENAME NO DEBE ser mayor que el total. </v>
      </c>
      <c r="CG142" s="1031" t="str">
        <f t="shared" si="60"/>
        <v xml:space="preserve">* El número de Migrantes NO DEBE ser mayor que el total. </v>
      </c>
      <c r="CH142" s="1031" t="e">
        <f t="shared" si="61"/>
        <v>#VALUE!</v>
      </c>
      <c r="CI142" s="1163">
        <f t="shared" si="62"/>
        <v>1</v>
      </c>
      <c r="CJ142" s="1163">
        <f t="shared" si="62"/>
        <v>1</v>
      </c>
      <c r="CK142" s="1163">
        <f t="shared" si="62"/>
        <v>1</v>
      </c>
      <c r="CL142" s="1163">
        <f t="shared" si="63"/>
        <v>1</v>
      </c>
      <c r="CM142" s="1163">
        <f t="shared" si="63"/>
        <v>1</v>
      </c>
      <c r="CN142" s="1163">
        <f t="shared" si="63"/>
        <v>1</v>
      </c>
      <c r="CO142" s="1163" t="e">
        <f t="shared" si="64"/>
        <v>#VALUE!</v>
      </c>
    </row>
    <row r="143" spans="1:93" ht="16.350000000000001" customHeight="1" x14ac:dyDescent="0.2">
      <c r="A143" s="4631" t="s">
        <v>3875</v>
      </c>
      <c r="B143" s="6094" t="s">
        <v>2011</v>
      </c>
      <c r="C143" s="6095"/>
      <c r="D143" s="6096"/>
      <c r="E143" s="3942" t="s">
        <v>2777</v>
      </c>
      <c r="F143" s="4104" t="s">
        <v>2778</v>
      </c>
      <c r="G143" s="4105" t="s">
        <v>2779</v>
      </c>
      <c r="H143" s="141" t="s">
        <v>2780</v>
      </c>
      <c r="I143" s="141" t="s">
        <v>2781</v>
      </c>
      <c r="J143" s="141" t="s">
        <v>2782</v>
      </c>
      <c r="K143" s="141" t="s">
        <v>2783</v>
      </c>
      <c r="L143" s="141" t="s">
        <v>2784</v>
      </c>
      <c r="M143" s="141" t="s">
        <v>2785</v>
      </c>
      <c r="N143" s="141" t="s">
        <v>2786</v>
      </c>
      <c r="O143" s="513" t="s">
        <v>2787</v>
      </c>
      <c r="P143" s="198" t="s">
        <v>2788</v>
      </c>
      <c r="Q143" s="198" t="s">
        <v>2789</v>
      </c>
      <c r="R143" s="164" t="s">
        <v>2790</v>
      </c>
      <c r="S143" s="2324" t="s">
        <v>2791</v>
      </c>
      <c r="T143" s="4103" t="s">
        <v>2792</v>
      </c>
      <c r="U143" s="4103" t="s">
        <v>2793</v>
      </c>
      <c r="V143" s="4103" t="s">
        <v>2794</v>
      </c>
      <c r="W143" s="1162" t="e">
        <f t="shared" si="54"/>
        <v>#VALUE!</v>
      </c>
      <c r="X143" s="1058"/>
      <c r="Y143" s="1058"/>
      <c r="Z143" s="1058"/>
      <c r="AA143" s="1058"/>
      <c r="AB143" s="1058"/>
      <c r="AC143" s="1058"/>
      <c r="AD143" s="1058"/>
      <c r="AE143" s="1058"/>
      <c r="AF143" s="94"/>
      <c r="AG143" s="94"/>
      <c r="BW143" s="79"/>
      <c r="BX143" s="79"/>
      <c r="CB143" s="1031" t="str">
        <f t="shared" si="55"/>
        <v xml:space="preserve">* El número de Embarazadas NO DEBE ser mayor que el total. </v>
      </c>
      <c r="CC143" s="1031" t="str">
        <f t="shared" si="56"/>
        <v xml:space="preserve">* El número de Beneficiarios NO DEBE ser mayor que el total. </v>
      </c>
      <c r="CD143" s="1031" t="str">
        <f t="shared" si="57"/>
        <v xml:space="preserve">* El número de 60 Años NO DEBE ser mayor que el total. </v>
      </c>
      <c r="CE143" s="1031" t="str">
        <f t="shared" si="58"/>
        <v xml:space="preserve">* El número de Usuarios en situación de Discapacidad NO DEBE ser mayor que el total. </v>
      </c>
      <c r="CF143" s="1031" t="str">
        <f t="shared" si="59"/>
        <v xml:space="preserve">* El número de Niños, Niñas, Adolescentes y Jóvenes Población SENAME NO DEBE ser mayor que el total. </v>
      </c>
      <c r="CG143" s="1031" t="str">
        <f t="shared" si="60"/>
        <v xml:space="preserve">* El número de Migrantes NO DEBE ser mayor que el total. </v>
      </c>
      <c r="CH143" s="1031" t="e">
        <f t="shared" si="61"/>
        <v>#VALUE!</v>
      </c>
      <c r="CI143" s="1163">
        <f t="shared" si="62"/>
        <v>1</v>
      </c>
      <c r="CJ143" s="1163">
        <f t="shared" si="62"/>
        <v>1</v>
      </c>
      <c r="CK143" s="1163">
        <f t="shared" si="62"/>
        <v>1</v>
      </c>
      <c r="CL143" s="1163">
        <f t="shared" si="63"/>
        <v>1</v>
      </c>
      <c r="CM143" s="1163">
        <f t="shared" si="63"/>
        <v>1</v>
      </c>
      <c r="CN143" s="1163">
        <f t="shared" si="63"/>
        <v>1</v>
      </c>
      <c r="CO143" s="1163" t="e">
        <f t="shared" si="64"/>
        <v>#VALUE!</v>
      </c>
    </row>
    <row r="144" spans="1:93" ht="16.350000000000001" customHeight="1" x14ac:dyDescent="0.2">
      <c r="A144" s="4661"/>
      <c r="B144" s="6048" t="s">
        <v>42</v>
      </c>
      <c r="C144" s="6049"/>
      <c r="D144" s="6050"/>
      <c r="E144" s="4106">
        <f t="shared" ref="E144:V144" si="65">SUM(E136:E143)</f>
        <v>0</v>
      </c>
      <c r="F144" s="4106">
        <f t="shared" si="65"/>
        <v>0</v>
      </c>
      <c r="G144" s="4107">
        <f t="shared" si="65"/>
        <v>0</v>
      </c>
      <c r="H144" s="4108">
        <f t="shared" si="65"/>
        <v>0</v>
      </c>
      <c r="I144" s="4108">
        <f t="shared" si="65"/>
        <v>0</v>
      </c>
      <c r="J144" s="4108">
        <f t="shared" si="65"/>
        <v>0</v>
      </c>
      <c r="K144" s="4108">
        <f t="shared" si="65"/>
        <v>0</v>
      </c>
      <c r="L144" s="4108">
        <f t="shared" si="65"/>
        <v>0</v>
      </c>
      <c r="M144" s="4108">
        <f t="shared" si="65"/>
        <v>0</v>
      </c>
      <c r="N144" s="4108">
        <f t="shared" si="65"/>
        <v>0</v>
      </c>
      <c r="O144" s="4109">
        <f t="shared" si="65"/>
        <v>0</v>
      </c>
      <c r="P144" s="4110">
        <f t="shared" si="65"/>
        <v>0</v>
      </c>
      <c r="Q144" s="4107">
        <f t="shared" si="65"/>
        <v>0</v>
      </c>
      <c r="R144" s="4111">
        <f t="shared" si="65"/>
        <v>0</v>
      </c>
      <c r="S144" s="4112">
        <f t="shared" si="65"/>
        <v>0</v>
      </c>
      <c r="T144" s="4112">
        <f t="shared" si="65"/>
        <v>0</v>
      </c>
      <c r="U144" s="4112">
        <f t="shared" si="65"/>
        <v>0</v>
      </c>
      <c r="V144" s="4112">
        <f t="shared" si="65"/>
        <v>0</v>
      </c>
      <c r="W144" s="94"/>
      <c r="X144" s="94"/>
      <c r="Y144" s="94"/>
      <c r="Z144" s="94"/>
      <c r="AA144" s="94"/>
      <c r="AB144" s="94"/>
      <c r="AC144" s="94"/>
      <c r="AD144" s="94"/>
      <c r="AE144" s="94"/>
      <c r="AF144" s="94"/>
      <c r="AG144" s="94"/>
      <c r="BW144" s="79"/>
      <c r="BX144" s="79"/>
      <c r="CI144" s="1020"/>
      <c r="CJ144" s="1020"/>
      <c r="CK144" s="1020"/>
      <c r="CL144" s="1020"/>
      <c r="CM144" s="1020"/>
      <c r="CN144" s="1020"/>
      <c r="CO144" s="1020"/>
    </row>
    <row r="145" spans="1:101" ht="16.350000000000001" customHeight="1" x14ac:dyDescent="0.2">
      <c r="B145" s="85" t="s">
        <v>1477</v>
      </c>
      <c r="C145" s="504"/>
      <c r="D145" s="504"/>
      <c r="E145" s="504"/>
      <c r="F145" s="378"/>
      <c r="G145" s="378"/>
      <c r="H145" s="378"/>
      <c r="I145" s="378"/>
      <c r="J145" s="378"/>
      <c r="K145" s="378"/>
      <c r="L145" s="378"/>
      <c r="M145" s="378"/>
      <c r="N145" s="378"/>
      <c r="O145" s="378"/>
      <c r="P145" s="378"/>
      <c r="Q145" s="378"/>
      <c r="R145" s="1058"/>
      <c r="S145" s="494"/>
      <c r="T145" s="94"/>
      <c r="U145" s="94"/>
      <c r="V145" s="94"/>
      <c r="W145" s="94"/>
      <c r="X145" s="94"/>
      <c r="Y145" s="1071"/>
      <c r="Z145" s="94"/>
      <c r="AA145" s="94"/>
      <c r="AB145" s="94"/>
      <c r="AC145" s="94"/>
      <c r="AD145" s="94"/>
      <c r="AE145" s="94"/>
      <c r="AF145" s="94"/>
      <c r="AG145" s="94"/>
      <c r="BW145" s="79"/>
      <c r="BX145" s="79"/>
      <c r="CI145" s="1020"/>
      <c r="CJ145" s="1020"/>
      <c r="CK145" s="1020"/>
      <c r="CL145" s="1020"/>
      <c r="CM145" s="1020"/>
      <c r="CN145" s="1020"/>
      <c r="CO145" s="1020"/>
    </row>
    <row r="146" spans="1:101" ht="16.350000000000001" customHeight="1" x14ac:dyDescent="0.2">
      <c r="B146" s="6097" t="s">
        <v>633</v>
      </c>
      <c r="C146" s="6098"/>
      <c r="D146" s="6099"/>
      <c r="E146" s="6100" t="s">
        <v>42</v>
      </c>
      <c r="F146" s="6101"/>
      <c r="G146" s="6091"/>
      <c r="H146" s="6048" t="s">
        <v>604</v>
      </c>
      <c r="I146" s="6049"/>
      <c r="J146" s="6049"/>
      <c r="K146" s="6049"/>
      <c r="L146" s="6049"/>
      <c r="M146" s="6049"/>
      <c r="N146" s="6049"/>
      <c r="O146" s="6075"/>
      <c r="P146" s="6091" t="s">
        <v>573</v>
      </c>
      <c r="Q146" s="6092" t="s">
        <v>2765</v>
      </c>
      <c r="R146" s="6093" t="s">
        <v>2008</v>
      </c>
      <c r="S146" s="6093" t="s">
        <v>23</v>
      </c>
      <c r="T146" s="5993" t="s">
        <v>1963</v>
      </c>
      <c r="U146" s="5993" t="s">
        <v>2770</v>
      </c>
      <c r="V146" s="94"/>
      <c r="W146" s="94"/>
      <c r="X146" s="94"/>
      <c r="Y146" s="94"/>
      <c r="Z146" s="94"/>
      <c r="AA146" s="94"/>
      <c r="AB146" s="94"/>
      <c r="AC146" s="94"/>
      <c r="AD146" s="94"/>
      <c r="AE146" s="94"/>
      <c r="AF146" s="94"/>
      <c r="AG146" s="94"/>
      <c r="BW146" s="79"/>
      <c r="BX146" s="79"/>
      <c r="CI146" s="1020"/>
      <c r="CJ146" s="1020"/>
      <c r="CK146" s="1020"/>
      <c r="CL146" s="1020"/>
      <c r="CM146" s="1020"/>
      <c r="CN146" s="1020"/>
      <c r="CO146" s="1020"/>
      <c r="CV146" s="889"/>
      <c r="CW146" s="889"/>
    </row>
    <row r="147" spans="1:101" ht="32.1" customHeight="1" x14ac:dyDescent="0.2">
      <c r="B147" s="5338"/>
      <c r="C147" s="5274"/>
      <c r="D147" s="5258"/>
      <c r="E147" s="5153"/>
      <c r="F147" s="5122"/>
      <c r="G147" s="5143"/>
      <c r="H147" s="6076" t="s">
        <v>1697</v>
      </c>
      <c r="I147" s="6077"/>
      <c r="J147" s="6076" t="s">
        <v>612</v>
      </c>
      <c r="K147" s="6077"/>
      <c r="L147" s="6076" t="s">
        <v>613</v>
      </c>
      <c r="M147" s="6077"/>
      <c r="N147" s="6076" t="s">
        <v>614</v>
      </c>
      <c r="O147" s="6078"/>
      <c r="P147" s="5143"/>
      <c r="Q147" s="6042"/>
      <c r="R147" s="6093"/>
      <c r="S147" s="6093"/>
      <c r="T147" s="5994"/>
      <c r="U147" s="5994"/>
      <c r="V147" s="94"/>
      <c r="W147" s="94"/>
      <c r="X147" s="94"/>
      <c r="Y147" s="94"/>
      <c r="Z147" s="94"/>
      <c r="AA147" s="94"/>
      <c r="AB147" s="94"/>
      <c r="AC147" s="94"/>
      <c r="BW147" s="79"/>
      <c r="BX147" s="79"/>
      <c r="CI147" s="1020"/>
      <c r="CJ147" s="1020"/>
      <c r="CK147" s="1020"/>
      <c r="CL147" s="1020"/>
      <c r="CM147" s="1020"/>
      <c r="CN147" s="1020"/>
      <c r="CO147" s="1020"/>
      <c r="CV147" s="889"/>
      <c r="CW147" s="889"/>
    </row>
    <row r="148" spans="1:101" ht="16.350000000000001" customHeight="1" x14ac:dyDescent="0.2">
      <c r="B148" s="5856"/>
      <c r="C148" s="5259"/>
      <c r="D148" s="5878"/>
      <c r="E148" s="4113" t="s">
        <v>184</v>
      </c>
      <c r="F148" s="4114" t="s">
        <v>24</v>
      </c>
      <c r="G148" s="4115" t="s">
        <v>25</v>
      </c>
      <c r="H148" s="4116" t="s">
        <v>24</v>
      </c>
      <c r="I148" s="4117" t="s">
        <v>25</v>
      </c>
      <c r="J148" s="4116" t="s">
        <v>24</v>
      </c>
      <c r="K148" s="4117" t="s">
        <v>25</v>
      </c>
      <c r="L148" s="4118" t="s">
        <v>24</v>
      </c>
      <c r="M148" s="4117" t="s">
        <v>25</v>
      </c>
      <c r="N148" s="4118" t="s">
        <v>24</v>
      </c>
      <c r="O148" s="4119" t="s">
        <v>25</v>
      </c>
      <c r="P148" s="5297"/>
      <c r="Q148" s="6045"/>
      <c r="R148" s="6093"/>
      <c r="S148" s="6093"/>
      <c r="T148" s="5995"/>
      <c r="U148" s="5995"/>
      <c r="V148" s="94"/>
      <c r="W148" s="94"/>
      <c r="X148" s="94"/>
      <c r="Y148" s="94"/>
      <c r="Z148" s="94"/>
      <c r="AA148" s="94"/>
      <c r="AB148" s="94"/>
      <c r="AC148" s="94"/>
      <c r="BW148" s="79"/>
      <c r="BX148" s="79"/>
      <c r="CI148" s="1020"/>
      <c r="CJ148" s="1020"/>
      <c r="CK148" s="1020"/>
      <c r="CL148" s="1020"/>
      <c r="CM148" s="1020"/>
      <c r="CN148" s="1020"/>
      <c r="CO148" s="1020"/>
      <c r="CV148" s="889"/>
      <c r="CW148" s="889"/>
    </row>
    <row r="149" spans="1:101" ht="16.350000000000001" customHeight="1" x14ac:dyDescent="0.2">
      <c r="A149" s="3009" t="s">
        <v>3616</v>
      </c>
      <c r="B149" s="5989" t="s">
        <v>1100</v>
      </c>
      <c r="C149" s="6087" t="s">
        <v>1101</v>
      </c>
      <c r="D149" s="6088"/>
      <c r="E149" s="4120" t="s">
        <v>2777</v>
      </c>
      <c r="F149" s="4121" t="s">
        <v>2778</v>
      </c>
      <c r="G149" s="4122" t="s">
        <v>2779</v>
      </c>
      <c r="H149" s="4123" t="s">
        <v>2780</v>
      </c>
      <c r="I149" s="4124" t="s">
        <v>2781</v>
      </c>
      <c r="J149" s="4123" t="s">
        <v>2782</v>
      </c>
      <c r="K149" s="4124" t="s">
        <v>2783</v>
      </c>
      <c r="L149" s="4125" t="s">
        <v>2784</v>
      </c>
      <c r="M149" s="4126" t="s">
        <v>2785</v>
      </c>
      <c r="N149" s="4125" t="s">
        <v>2786</v>
      </c>
      <c r="O149" s="4127" t="s">
        <v>2787</v>
      </c>
      <c r="P149" s="4126" t="s">
        <v>2788</v>
      </c>
      <c r="Q149" s="4128" t="s">
        <v>2789</v>
      </c>
      <c r="R149" s="4129" t="s">
        <v>2790</v>
      </c>
      <c r="S149" s="4103" t="s">
        <v>2791</v>
      </c>
      <c r="T149" s="4130" t="s">
        <v>2792</v>
      </c>
      <c r="U149" s="4130" t="s">
        <v>2793</v>
      </c>
      <c r="V149" s="1058"/>
      <c r="W149" s="1058"/>
      <c r="X149" s="1058"/>
      <c r="Y149" s="1058"/>
      <c r="Z149" s="1058"/>
      <c r="AA149" s="1058"/>
      <c r="AB149" s="94"/>
      <c r="AC149" s="94"/>
      <c r="BW149" s="79"/>
      <c r="BX149" s="79"/>
      <c r="CI149" s="1163">
        <f>IF(G151&lt;Q151,1,0)</f>
        <v>1</v>
      </c>
      <c r="CJ149" s="1020"/>
      <c r="CK149" s="1020"/>
      <c r="CL149" s="1020"/>
      <c r="CM149" s="1020"/>
      <c r="CN149" s="1020"/>
      <c r="CO149" s="1020"/>
      <c r="CV149" s="889"/>
      <c r="CW149" s="889"/>
    </row>
    <row r="150" spans="1:101" ht="16.350000000000001" customHeight="1" x14ac:dyDescent="0.2">
      <c r="A150" s="3009" t="s">
        <v>3617</v>
      </c>
      <c r="B150" s="5103"/>
      <c r="C150" s="5998" t="s">
        <v>1081</v>
      </c>
      <c r="D150" s="5999"/>
      <c r="E150" s="760" t="s">
        <v>2777</v>
      </c>
      <c r="F150" s="3059" t="s">
        <v>2778</v>
      </c>
      <c r="G150" s="608" t="s">
        <v>2779</v>
      </c>
      <c r="H150" s="2398" t="s">
        <v>2780</v>
      </c>
      <c r="I150" s="2399" t="s">
        <v>2781</v>
      </c>
      <c r="J150" s="2398" t="s">
        <v>2782</v>
      </c>
      <c r="K150" s="2399" t="s">
        <v>2783</v>
      </c>
      <c r="L150" s="3058" t="s">
        <v>2784</v>
      </c>
      <c r="M150" s="2975" t="s">
        <v>2785</v>
      </c>
      <c r="N150" s="3058" t="s">
        <v>2786</v>
      </c>
      <c r="O150" s="2986" t="s">
        <v>2787</v>
      </c>
      <c r="P150" s="2975" t="s">
        <v>2788</v>
      </c>
      <c r="Q150" s="2270" t="s">
        <v>2789</v>
      </c>
      <c r="R150" s="4126" t="s">
        <v>2790</v>
      </c>
      <c r="S150" s="164" t="s">
        <v>2791</v>
      </c>
      <c r="T150" s="1104" t="s">
        <v>2792</v>
      </c>
      <c r="U150" s="1104" t="s">
        <v>2793</v>
      </c>
      <c r="V150" s="1058"/>
      <c r="W150" s="1058"/>
      <c r="X150" s="1058"/>
      <c r="Y150" s="1058"/>
      <c r="Z150" s="1058"/>
      <c r="AA150" s="1058"/>
      <c r="AB150" s="94"/>
      <c r="AC150" s="94"/>
      <c r="BW150" s="79"/>
      <c r="BX150" s="79"/>
      <c r="CI150" s="1163">
        <f>IF(G152&lt;Q152,1,0)</f>
        <v>0</v>
      </c>
      <c r="CJ150" s="1020"/>
      <c r="CK150" s="1020"/>
      <c r="CL150" s="1020"/>
      <c r="CM150" s="1020"/>
      <c r="CN150" s="1020"/>
      <c r="CO150" s="1020"/>
      <c r="CV150" s="889"/>
      <c r="CW150" s="889"/>
    </row>
    <row r="151" spans="1:101" ht="16.350000000000001" customHeight="1" x14ac:dyDescent="0.2">
      <c r="A151" s="3009" t="s">
        <v>3618</v>
      </c>
      <c r="B151" s="5103"/>
      <c r="C151" s="5919" t="s">
        <v>1095</v>
      </c>
      <c r="D151" s="5920"/>
      <c r="E151" s="3060" t="s">
        <v>2777</v>
      </c>
      <c r="F151" s="3061" t="s">
        <v>2778</v>
      </c>
      <c r="G151" s="3062" t="s">
        <v>2779</v>
      </c>
      <c r="H151" s="101" t="s">
        <v>2780</v>
      </c>
      <c r="I151" s="104" t="s">
        <v>2781</v>
      </c>
      <c r="J151" s="101" t="s">
        <v>2782</v>
      </c>
      <c r="K151" s="104" t="s">
        <v>2783</v>
      </c>
      <c r="L151" s="4131" t="s">
        <v>2784</v>
      </c>
      <c r="M151" s="2600" t="s">
        <v>2785</v>
      </c>
      <c r="N151" s="4131" t="s">
        <v>2786</v>
      </c>
      <c r="O151" s="2400" t="s">
        <v>2787</v>
      </c>
      <c r="P151" s="2600" t="s">
        <v>2788</v>
      </c>
      <c r="Q151" s="2863" t="s">
        <v>2789</v>
      </c>
      <c r="R151" s="4126" t="s">
        <v>2790</v>
      </c>
      <c r="S151" s="105" t="s">
        <v>2791</v>
      </c>
      <c r="T151" s="1153" t="s">
        <v>2792</v>
      </c>
      <c r="U151" s="1153" t="s">
        <v>2793</v>
      </c>
      <c r="V151" s="1058"/>
      <c r="W151" s="1058"/>
      <c r="X151" s="1058"/>
      <c r="Y151" s="1058"/>
      <c r="Z151" s="1058"/>
      <c r="AA151" s="1058"/>
      <c r="AB151" s="94"/>
      <c r="AC151" s="94"/>
      <c r="BW151" s="79"/>
      <c r="BX151" s="79"/>
      <c r="CB151" s="1031" t="str">
        <f>IF(CI149=1,"* El número de actividades en usuarios en situacion de discapacidad NO DEBE ser mayor al total. ","")</f>
        <v xml:space="preserve">* El número de actividades en usuarios en situacion de discapacidad NO DEBE ser mayor al total. </v>
      </c>
      <c r="CI151" s="1163">
        <f>IF(G153&lt;Q153,1,0)</f>
        <v>1</v>
      </c>
      <c r="CJ151" s="1020"/>
      <c r="CK151" s="1020"/>
      <c r="CL151" s="1020"/>
      <c r="CM151" s="1020"/>
      <c r="CN151" s="1020"/>
      <c r="CO151" s="1020"/>
      <c r="CV151" s="889"/>
      <c r="CW151" s="889"/>
    </row>
    <row r="152" spans="1:101" ht="16.350000000000001" customHeight="1" x14ac:dyDescent="0.2">
      <c r="A152" s="4661"/>
      <c r="B152" s="5103"/>
      <c r="C152" s="5989" t="s">
        <v>1102</v>
      </c>
      <c r="D152" s="4132" t="s">
        <v>42</v>
      </c>
      <c r="E152" s="486">
        <f>SUM(F152+G152)</f>
        <v>0</v>
      </c>
      <c r="F152" s="1133"/>
      <c r="G152" s="487">
        <f>SUM(G153:G158)</f>
        <v>0</v>
      </c>
      <c r="H152" s="4133"/>
      <c r="I152" s="4134"/>
      <c r="J152" s="4133"/>
      <c r="K152" s="4134"/>
      <c r="L152" s="4135"/>
      <c r="M152" s="4136">
        <f>SUM(M153:M158)</f>
        <v>0</v>
      </c>
      <c r="N152" s="4135"/>
      <c r="O152" s="4137">
        <f t="shared" ref="O152:S152" si="66">SUM(O153:O158)</f>
        <v>0</v>
      </c>
      <c r="P152" s="4136">
        <f t="shared" si="66"/>
        <v>0</v>
      </c>
      <c r="Q152" s="4138">
        <f t="shared" si="66"/>
        <v>0</v>
      </c>
      <c r="R152" s="4136">
        <f t="shared" si="66"/>
        <v>0</v>
      </c>
      <c r="S152" s="4138">
        <f t="shared" si="66"/>
        <v>0</v>
      </c>
      <c r="T152" s="4138">
        <f>SUM(T153:T158)</f>
        <v>0</v>
      </c>
      <c r="U152" s="4138">
        <f>SUM(U153:U158)</f>
        <v>0</v>
      </c>
      <c r="V152" s="94"/>
      <c r="W152" s="94"/>
      <c r="X152" s="94"/>
      <c r="Y152" s="94"/>
      <c r="Z152" s="94"/>
      <c r="AA152" s="94"/>
      <c r="AB152" s="94"/>
      <c r="AC152" s="94"/>
      <c r="BW152" s="79"/>
      <c r="BX152" s="79"/>
      <c r="CB152" s="1031" t="str">
        <f>IF(CI150=1,"* El número de actividades en usuarios en situacion de discapacidad NO DEBE ser mayor al total. ","")</f>
        <v/>
      </c>
      <c r="CI152" s="1163"/>
      <c r="CJ152" s="1020"/>
      <c r="CK152" s="1020"/>
      <c r="CL152" s="1020"/>
      <c r="CM152" s="1020"/>
      <c r="CN152" s="1020"/>
      <c r="CO152" s="1020"/>
      <c r="CV152" s="889"/>
      <c r="CW152" s="889"/>
    </row>
    <row r="153" spans="1:101" ht="16.350000000000001" customHeight="1" x14ac:dyDescent="0.2">
      <c r="A153" s="3009" t="s">
        <v>3619</v>
      </c>
      <c r="B153" s="5103"/>
      <c r="C153" s="5103"/>
      <c r="D153" s="4139" t="s">
        <v>634</v>
      </c>
      <c r="E153" s="4140" t="s">
        <v>2777</v>
      </c>
      <c r="F153" s="4121" t="s">
        <v>2778</v>
      </c>
      <c r="G153" s="4122" t="s">
        <v>2779</v>
      </c>
      <c r="H153" s="2398" t="s">
        <v>2780</v>
      </c>
      <c r="I153" s="2399" t="s">
        <v>2781</v>
      </c>
      <c r="J153" s="2398" t="s">
        <v>2782</v>
      </c>
      <c r="K153" s="2399" t="s">
        <v>2783</v>
      </c>
      <c r="L153" s="3058" t="s">
        <v>2784</v>
      </c>
      <c r="M153" s="2975" t="s">
        <v>2785</v>
      </c>
      <c r="N153" s="3058" t="s">
        <v>2786</v>
      </c>
      <c r="O153" s="2986" t="s">
        <v>2787</v>
      </c>
      <c r="P153" s="2975" t="s">
        <v>2788</v>
      </c>
      <c r="Q153" s="2270" t="s">
        <v>2789</v>
      </c>
      <c r="R153" s="2975" t="s">
        <v>2790</v>
      </c>
      <c r="S153" s="2270" t="s">
        <v>2791</v>
      </c>
      <c r="T153" s="2270" t="s">
        <v>2792</v>
      </c>
      <c r="U153" s="2270" t="s">
        <v>2793</v>
      </c>
      <c r="V153" s="1058"/>
      <c r="W153" s="1058"/>
      <c r="X153" s="1058"/>
      <c r="Y153" s="1058"/>
      <c r="Z153" s="1058"/>
      <c r="AA153" s="1058"/>
      <c r="AB153" s="94"/>
      <c r="AC153" s="94"/>
      <c r="BW153" s="79"/>
      <c r="BX153" s="79"/>
      <c r="CB153" s="1031" t="str">
        <f>IF(CI151=1,"* El número de actividades en usuarios en situacion de discapacidad NO DEBE ser mayor al total. ","")</f>
        <v xml:space="preserve">* El número de actividades en usuarios en situacion de discapacidad NO DEBE ser mayor al total. </v>
      </c>
      <c r="CI153" s="1163">
        <f t="shared" ref="CI153:CI158" si="67">IF(G155&lt;Q155,1,0)</f>
        <v>1</v>
      </c>
      <c r="CJ153" s="1020"/>
      <c r="CK153" s="1020"/>
      <c r="CL153" s="1020"/>
      <c r="CM153" s="1020"/>
      <c r="CN153" s="1020"/>
      <c r="CO153" s="1020"/>
      <c r="CV153" s="889"/>
      <c r="CW153" s="889"/>
    </row>
    <row r="154" spans="1:101" ht="16.350000000000001" customHeight="1" x14ac:dyDescent="0.2">
      <c r="A154" s="3009" t="s">
        <v>3620</v>
      </c>
      <c r="B154" s="5103"/>
      <c r="C154" s="5103"/>
      <c r="D154" s="2431" t="s">
        <v>635</v>
      </c>
      <c r="E154" s="4140" t="s">
        <v>2777</v>
      </c>
      <c r="F154" s="3059" t="s">
        <v>2778</v>
      </c>
      <c r="G154" s="608" t="s">
        <v>2779</v>
      </c>
      <c r="H154" s="173" t="s">
        <v>2780</v>
      </c>
      <c r="I154" s="162" t="s">
        <v>2781</v>
      </c>
      <c r="J154" s="173" t="s">
        <v>2782</v>
      </c>
      <c r="K154" s="162" t="s">
        <v>2783</v>
      </c>
      <c r="L154" s="3058" t="s">
        <v>2784</v>
      </c>
      <c r="M154" s="2975" t="s">
        <v>2785</v>
      </c>
      <c r="N154" s="3058" t="s">
        <v>2786</v>
      </c>
      <c r="O154" s="2986" t="s">
        <v>2787</v>
      </c>
      <c r="P154" s="2975" t="s">
        <v>2788</v>
      </c>
      <c r="Q154" s="2270" t="s">
        <v>2789</v>
      </c>
      <c r="R154" s="2975" t="s">
        <v>2790</v>
      </c>
      <c r="S154" s="2270" t="s">
        <v>2791</v>
      </c>
      <c r="T154" s="2270" t="s">
        <v>2792</v>
      </c>
      <c r="U154" s="2270" t="s">
        <v>2793</v>
      </c>
      <c r="V154" s="1058"/>
      <c r="W154" s="1058"/>
      <c r="X154" s="1058"/>
      <c r="Y154" s="1058"/>
      <c r="Z154" s="1058"/>
      <c r="AA154" s="1058"/>
      <c r="AB154" s="94"/>
      <c r="AC154" s="94"/>
      <c r="BW154" s="79"/>
      <c r="BX154" s="79"/>
      <c r="CB154" s="1031"/>
      <c r="CI154" s="1163">
        <f t="shared" si="67"/>
        <v>1</v>
      </c>
      <c r="CJ154" s="1020"/>
      <c r="CK154" s="1020"/>
      <c r="CL154" s="1020"/>
      <c r="CM154" s="1020"/>
      <c r="CN154" s="1020"/>
      <c r="CO154" s="1020"/>
      <c r="CV154" s="889"/>
      <c r="CW154" s="889"/>
    </row>
    <row r="155" spans="1:101" ht="16.350000000000001" customHeight="1" x14ac:dyDescent="0.2">
      <c r="A155" s="3009" t="s">
        <v>3621</v>
      </c>
      <c r="B155" s="5103"/>
      <c r="C155" s="5103"/>
      <c r="D155" s="4141" t="s">
        <v>1552</v>
      </c>
      <c r="E155" s="4140" t="s">
        <v>2777</v>
      </c>
      <c r="F155" s="3059" t="s">
        <v>2778</v>
      </c>
      <c r="G155" s="608" t="s">
        <v>2779</v>
      </c>
      <c r="H155" s="2398" t="s">
        <v>2780</v>
      </c>
      <c r="I155" s="2399" t="s">
        <v>2781</v>
      </c>
      <c r="J155" s="2398" t="s">
        <v>2782</v>
      </c>
      <c r="K155" s="2399" t="s">
        <v>2783</v>
      </c>
      <c r="L155" s="3058" t="s">
        <v>2784</v>
      </c>
      <c r="M155" s="2975" t="s">
        <v>2785</v>
      </c>
      <c r="N155" s="3058" t="s">
        <v>2786</v>
      </c>
      <c r="O155" s="2986" t="s">
        <v>2787</v>
      </c>
      <c r="P155" s="2975" t="s">
        <v>2788</v>
      </c>
      <c r="Q155" s="2270" t="s">
        <v>2789</v>
      </c>
      <c r="R155" s="2975" t="s">
        <v>2790</v>
      </c>
      <c r="S155" s="2270" t="s">
        <v>2791</v>
      </c>
      <c r="T155" s="2270" t="s">
        <v>2792</v>
      </c>
      <c r="U155" s="2270" t="s">
        <v>2793</v>
      </c>
      <c r="V155" s="1058"/>
      <c r="W155" s="1058"/>
      <c r="X155" s="1058"/>
      <c r="Y155" s="1058"/>
      <c r="Z155" s="1058"/>
      <c r="AA155" s="1058"/>
      <c r="AB155" s="94"/>
      <c r="AC155" s="94"/>
      <c r="BW155" s="79"/>
      <c r="BX155" s="79"/>
      <c r="CB155" s="1031" t="str">
        <f t="shared" ref="CB155:CB165" si="68">IF(CI153=1,"* El número de actividades en usuarios en situacion de discapacidad NO DEBE ser mayor al total. ","")</f>
        <v xml:space="preserve">* El número de actividades en usuarios en situacion de discapacidad NO DEBE ser mayor al total. </v>
      </c>
      <c r="CI155" s="1163">
        <f t="shared" si="67"/>
        <v>1</v>
      </c>
      <c r="CJ155" s="1020"/>
      <c r="CK155" s="1020"/>
      <c r="CL155" s="1020"/>
      <c r="CM155" s="1020"/>
      <c r="CN155" s="1020"/>
      <c r="CO155" s="1020"/>
      <c r="CV155" s="889"/>
      <c r="CW155" s="889"/>
    </row>
    <row r="156" spans="1:101" ht="16.350000000000001" customHeight="1" x14ac:dyDescent="0.2">
      <c r="A156" s="3009" t="s">
        <v>3622</v>
      </c>
      <c r="B156" s="5103"/>
      <c r="C156" s="5103"/>
      <c r="D156" s="4139" t="s">
        <v>1103</v>
      </c>
      <c r="E156" s="4140" t="s">
        <v>2777</v>
      </c>
      <c r="F156" s="3059" t="s">
        <v>2778</v>
      </c>
      <c r="G156" s="608" t="s">
        <v>2779</v>
      </c>
      <c r="H156" s="2398" t="s">
        <v>2780</v>
      </c>
      <c r="I156" s="2399" t="s">
        <v>2781</v>
      </c>
      <c r="J156" s="2398" t="s">
        <v>2782</v>
      </c>
      <c r="K156" s="2399" t="s">
        <v>2783</v>
      </c>
      <c r="L156" s="3058" t="s">
        <v>2784</v>
      </c>
      <c r="M156" s="2975" t="s">
        <v>2785</v>
      </c>
      <c r="N156" s="3058" t="s">
        <v>2786</v>
      </c>
      <c r="O156" s="2986" t="s">
        <v>2787</v>
      </c>
      <c r="P156" s="2975" t="s">
        <v>2788</v>
      </c>
      <c r="Q156" s="2270" t="s">
        <v>2789</v>
      </c>
      <c r="R156" s="2975" t="s">
        <v>2790</v>
      </c>
      <c r="S156" s="2270" t="s">
        <v>2791</v>
      </c>
      <c r="T156" s="2270" t="s">
        <v>2792</v>
      </c>
      <c r="U156" s="2270" t="s">
        <v>2793</v>
      </c>
      <c r="V156" s="1058"/>
      <c r="W156" s="1058"/>
      <c r="X156" s="1058"/>
      <c r="Y156" s="1058"/>
      <c r="Z156" s="1058"/>
      <c r="AA156" s="1058"/>
      <c r="AB156" s="94"/>
      <c r="AC156" s="94"/>
      <c r="BW156" s="79"/>
      <c r="BX156" s="79"/>
      <c r="CB156" s="1031" t="str">
        <f t="shared" si="68"/>
        <v xml:space="preserve">* El número de actividades en usuarios en situacion de discapacidad NO DEBE ser mayor al total. </v>
      </c>
      <c r="CI156" s="1163">
        <f t="shared" si="67"/>
        <v>1</v>
      </c>
      <c r="CJ156" s="1020"/>
      <c r="CK156" s="1020"/>
      <c r="CL156" s="1020"/>
      <c r="CM156" s="1020"/>
      <c r="CN156" s="1020"/>
      <c r="CO156" s="1020"/>
      <c r="CV156" s="889"/>
      <c r="CW156" s="889"/>
    </row>
    <row r="157" spans="1:101" ht="16.350000000000001" customHeight="1" x14ac:dyDescent="0.2">
      <c r="A157" s="3009" t="s">
        <v>3623</v>
      </c>
      <c r="B157" s="5103"/>
      <c r="C157" s="5103"/>
      <c r="D157" s="2431" t="s">
        <v>636</v>
      </c>
      <c r="E157" s="4140" t="s">
        <v>2777</v>
      </c>
      <c r="F157" s="3059" t="s">
        <v>2778</v>
      </c>
      <c r="G157" s="608" t="s">
        <v>2779</v>
      </c>
      <c r="H157" s="173" t="s">
        <v>2780</v>
      </c>
      <c r="I157" s="162" t="s">
        <v>2781</v>
      </c>
      <c r="J157" s="173" t="s">
        <v>2782</v>
      </c>
      <c r="K157" s="162" t="s">
        <v>2783</v>
      </c>
      <c r="L157" s="3058" t="s">
        <v>2784</v>
      </c>
      <c r="M157" s="2975" t="s">
        <v>2785</v>
      </c>
      <c r="N157" s="3058" t="s">
        <v>2786</v>
      </c>
      <c r="O157" s="2986" t="s">
        <v>2787</v>
      </c>
      <c r="P157" s="355" t="s">
        <v>2788</v>
      </c>
      <c r="Q157" s="2270" t="s">
        <v>2789</v>
      </c>
      <c r="R157" s="355" t="s">
        <v>2790</v>
      </c>
      <c r="S157" s="2270" t="s">
        <v>2791</v>
      </c>
      <c r="T157" s="2270" t="s">
        <v>2792</v>
      </c>
      <c r="U157" s="2270" t="s">
        <v>2793</v>
      </c>
      <c r="V157" s="1058"/>
      <c r="W157" s="1058"/>
      <c r="X157" s="1058"/>
      <c r="Y157" s="1058"/>
      <c r="Z157" s="1058"/>
      <c r="AA157" s="1058"/>
      <c r="AB157" s="94"/>
      <c r="AC157" s="94"/>
      <c r="BW157" s="79"/>
      <c r="BX157" s="79"/>
      <c r="CB157" s="1031" t="str">
        <f t="shared" si="68"/>
        <v xml:space="preserve">* El número de actividades en usuarios en situacion de discapacidad NO DEBE ser mayor al total. </v>
      </c>
      <c r="CI157" s="1163">
        <f t="shared" si="67"/>
        <v>1</v>
      </c>
      <c r="CJ157" s="1020"/>
      <c r="CK157" s="1020"/>
      <c r="CL157" s="1020"/>
      <c r="CM157" s="1020"/>
      <c r="CN157" s="1020"/>
      <c r="CO157" s="1020"/>
      <c r="CV157" s="889"/>
      <c r="CW157" s="889"/>
    </row>
    <row r="158" spans="1:101" ht="16.350000000000001" customHeight="1" x14ac:dyDescent="0.2">
      <c r="A158" s="3009" t="s">
        <v>3624</v>
      </c>
      <c r="B158" s="5343"/>
      <c r="C158" s="5343"/>
      <c r="D158" s="4139" t="s">
        <v>1104</v>
      </c>
      <c r="E158" s="3060" t="s">
        <v>2777</v>
      </c>
      <c r="F158" s="4142" t="s">
        <v>2778</v>
      </c>
      <c r="G158" s="4143" t="s">
        <v>2779</v>
      </c>
      <c r="H158" s="2398" t="s">
        <v>2780</v>
      </c>
      <c r="I158" s="118" t="s">
        <v>2781</v>
      </c>
      <c r="J158" s="2398" t="s">
        <v>2782</v>
      </c>
      <c r="K158" s="118" t="s">
        <v>2783</v>
      </c>
      <c r="L158" s="4131" t="s">
        <v>2784</v>
      </c>
      <c r="M158" s="2347" t="s">
        <v>2785</v>
      </c>
      <c r="N158" s="4131" t="s">
        <v>2786</v>
      </c>
      <c r="O158" s="503" t="s">
        <v>2787</v>
      </c>
      <c r="P158" s="2347" t="s">
        <v>2788</v>
      </c>
      <c r="Q158" s="2348" t="s">
        <v>2789</v>
      </c>
      <c r="R158" s="2347" t="s">
        <v>2790</v>
      </c>
      <c r="S158" s="2348" t="s">
        <v>2791</v>
      </c>
      <c r="T158" s="2348" t="s">
        <v>2792</v>
      </c>
      <c r="U158" s="2270" t="s">
        <v>2793</v>
      </c>
      <c r="V158" s="1058"/>
      <c r="W158" s="1058"/>
      <c r="X158" s="1058"/>
      <c r="Y158" s="1058"/>
      <c r="Z158" s="1058"/>
      <c r="AA158" s="1058"/>
      <c r="AB158" s="94"/>
      <c r="AC158" s="94"/>
      <c r="BW158" s="79"/>
      <c r="BX158" s="79"/>
      <c r="CB158" s="1031" t="str">
        <f t="shared" si="68"/>
        <v xml:space="preserve">* El número de actividades en usuarios en situacion de discapacidad NO DEBE ser mayor al total. </v>
      </c>
      <c r="CI158" s="1163">
        <f t="shared" si="67"/>
        <v>1</v>
      </c>
      <c r="CJ158" s="1020"/>
      <c r="CK158" s="1020"/>
      <c r="CL158" s="1020"/>
      <c r="CM158" s="1020"/>
      <c r="CN158" s="1020"/>
      <c r="CO158" s="1020"/>
      <c r="CV158" s="889"/>
      <c r="CW158" s="889"/>
    </row>
    <row r="159" spans="1:101" ht="16.350000000000001" customHeight="1" x14ac:dyDescent="0.2">
      <c r="A159" s="3009" t="s">
        <v>3625</v>
      </c>
      <c r="B159" s="6089" t="s">
        <v>2771</v>
      </c>
      <c r="C159" s="5989" t="s">
        <v>1376</v>
      </c>
      <c r="D159" s="4144" t="s">
        <v>1081</v>
      </c>
      <c r="E159" s="4140" t="s">
        <v>2777</v>
      </c>
      <c r="F159" s="4120" t="s">
        <v>2778</v>
      </c>
      <c r="G159" s="4121" t="s">
        <v>2779</v>
      </c>
      <c r="H159" s="4123" t="s">
        <v>2780</v>
      </c>
      <c r="I159" s="4124" t="s">
        <v>2781</v>
      </c>
      <c r="J159" s="4123" t="s">
        <v>2782</v>
      </c>
      <c r="K159" s="4124" t="s">
        <v>2783</v>
      </c>
      <c r="L159" s="3962" t="s">
        <v>2784</v>
      </c>
      <c r="M159" s="4145" t="s">
        <v>2785</v>
      </c>
      <c r="N159" s="3962" t="s">
        <v>2786</v>
      </c>
      <c r="O159" s="4146" t="s">
        <v>2787</v>
      </c>
      <c r="P159" s="4126" t="s">
        <v>2788</v>
      </c>
      <c r="Q159" s="4126" t="s">
        <v>2789</v>
      </c>
      <c r="R159" s="4126" t="s">
        <v>2790</v>
      </c>
      <c r="S159" s="4126" t="s">
        <v>2791</v>
      </c>
      <c r="T159" s="4146" t="s">
        <v>2792</v>
      </c>
      <c r="U159" s="2270" t="s">
        <v>2793</v>
      </c>
      <c r="V159" s="1058"/>
      <c r="W159" s="1058"/>
      <c r="X159" s="1058"/>
      <c r="Y159" s="1058"/>
      <c r="Z159" s="1058"/>
      <c r="AA159" s="1058"/>
      <c r="AB159" s="94"/>
      <c r="AC159" s="94"/>
      <c r="BW159" s="79"/>
      <c r="BX159" s="79"/>
      <c r="CB159" s="1031" t="str">
        <f t="shared" si="68"/>
        <v xml:space="preserve">* El número de actividades en usuarios en situacion de discapacidad NO DEBE ser mayor al total. </v>
      </c>
      <c r="CI159" s="1163">
        <f>IF(F161&lt;Q161,1,0)</f>
        <v>1</v>
      </c>
      <c r="CJ159" s="1020"/>
      <c r="CK159" s="1020"/>
      <c r="CL159" s="1020"/>
      <c r="CM159" s="1020"/>
      <c r="CN159" s="1020"/>
      <c r="CO159" s="1020"/>
      <c r="CV159" s="889"/>
      <c r="CW159" s="889"/>
    </row>
    <row r="160" spans="1:101" ht="16.350000000000001" customHeight="1" x14ac:dyDescent="0.2">
      <c r="A160" s="3009" t="s">
        <v>3626</v>
      </c>
      <c r="B160" s="5872"/>
      <c r="C160" s="5103"/>
      <c r="D160" s="2431" t="s">
        <v>1377</v>
      </c>
      <c r="E160" s="4140" t="s">
        <v>2777</v>
      </c>
      <c r="F160" s="760" t="s">
        <v>2778</v>
      </c>
      <c r="G160" s="3059" t="s">
        <v>2779</v>
      </c>
      <c r="H160" s="173" t="s">
        <v>2780</v>
      </c>
      <c r="I160" s="162" t="s">
        <v>2781</v>
      </c>
      <c r="J160" s="173" t="s">
        <v>2782</v>
      </c>
      <c r="K160" s="162" t="s">
        <v>2783</v>
      </c>
      <c r="L160" s="2577" t="s">
        <v>2784</v>
      </c>
      <c r="M160" s="4147" t="s">
        <v>2785</v>
      </c>
      <c r="N160" s="2577" t="s">
        <v>2786</v>
      </c>
      <c r="O160" s="4148" t="s">
        <v>2787</v>
      </c>
      <c r="P160" s="198" t="s">
        <v>2788</v>
      </c>
      <c r="Q160" s="2975" t="s">
        <v>2789</v>
      </c>
      <c r="R160" s="198" t="s">
        <v>2790</v>
      </c>
      <c r="S160" s="2975" t="s">
        <v>2791</v>
      </c>
      <c r="T160" s="2975" t="s">
        <v>2792</v>
      </c>
      <c r="U160" s="2270" t="s">
        <v>2793</v>
      </c>
      <c r="V160" s="94"/>
      <c r="W160" s="94"/>
      <c r="X160" s="94"/>
      <c r="Y160" s="94"/>
      <c r="Z160" s="94"/>
      <c r="AA160" s="94"/>
      <c r="AB160" s="94"/>
      <c r="AC160" s="94"/>
      <c r="BW160" s="79"/>
      <c r="BX160" s="79"/>
      <c r="CB160" s="1031" t="str">
        <f t="shared" si="68"/>
        <v xml:space="preserve">* El número de actividades en usuarios en situacion de discapacidad NO DEBE ser mayor al total. </v>
      </c>
      <c r="CI160" s="1163">
        <f>IF(F162&lt;Q162,1,0)</f>
        <v>1</v>
      </c>
      <c r="CJ160" s="1020"/>
      <c r="CK160" s="1020"/>
      <c r="CL160" s="1020"/>
      <c r="CM160" s="1020"/>
      <c r="CN160" s="1020"/>
      <c r="CO160" s="1020"/>
      <c r="CV160" s="889"/>
      <c r="CW160" s="889"/>
    </row>
    <row r="161" spans="1:101" ht="16.350000000000001" customHeight="1" x14ac:dyDescent="0.2">
      <c r="A161" s="3009" t="s">
        <v>3627</v>
      </c>
      <c r="B161" s="5872"/>
      <c r="C161" s="5103"/>
      <c r="D161" s="4149" t="s">
        <v>1432</v>
      </c>
      <c r="E161" s="4140" t="s">
        <v>2777</v>
      </c>
      <c r="F161" s="4140" t="s">
        <v>2778</v>
      </c>
      <c r="G161" s="4150" t="s">
        <v>2779</v>
      </c>
      <c r="H161" s="173" t="s">
        <v>2780</v>
      </c>
      <c r="I161" s="162" t="s">
        <v>2781</v>
      </c>
      <c r="J161" s="173" t="s">
        <v>2782</v>
      </c>
      <c r="K161" s="162" t="s">
        <v>2783</v>
      </c>
      <c r="L161" s="2577" t="s">
        <v>2784</v>
      </c>
      <c r="M161" s="4147" t="s">
        <v>2785</v>
      </c>
      <c r="N161" s="2577" t="s">
        <v>2786</v>
      </c>
      <c r="O161" s="4148" t="s">
        <v>2787</v>
      </c>
      <c r="P161" s="198" t="s">
        <v>2788</v>
      </c>
      <c r="Q161" s="2975" t="s">
        <v>2789</v>
      </c>
      <c r="R161" s="198" t="s">
        <v>2790</v>
      </c>
      <c r="S161" s="2975" t="s">
        <v>2791</v>
      </c>
      <c r="T161" s="4148" t="s">
        <v>2792</v>
      </c>
      <c r="U161" s="2270" t="s">
        <v>2793</v>
      </c>
      <c r="V161" s="1058"/>
      <c r="W161" s="1058"/>
      <c r="X161" s="1058"/>
      <c r="Y161" s="1058"/>
      <c r="Z161" s="1058"/>
      <c r="AA161" s="1058"/>
      <c r="AB161" s="94"/>
      <c r="AC161" s="94"/>
      <c r="BW161" s="79"/>
      <c r="BX161" s="79"/>
      <c r="CB161" s="1031" t="str">
        <f t="shared" si="68"/>
        <v xml:space="preserve">* El número de actividades en usuarios en situacion de discapacidad NO DEBE ser mayor al total. </v>
      </c>
      <c r="CI161" s="1163">
        <f>IF(F163&lt;Q163,1,0)</f>
        <v>0</v>
      </c>
      <c r="CJ161" s="1020"/>
      <c r="CK161" s="1020"/>
      <c r="CL161" s="1020"/>
      <c r="CM161" s="1020"/>
      <c r="CN161" s="1020"/>
      <c r="CO161" s="1020"/>
      <c r="CV161" s="889"/>
      <c r="CW161" s="889"/>
    </row>
    <row r="162" spans="1:101" ht="16.350000000000001" customHeight="1" x14ac:dyDescent="0.2">
      <c r="A162" s="3009" t="s">
        <v>3628</v>
      </c>
      <c r="B162" s="6090"/>
      <c r="C162" s="5103"/>
      <c r="D162" s="4149" t="s">
        <v>1431</v>
      </c>
      <c r="E162" s="3060" t="s">
        <v>2777</v>
      </c>
      <c r="F162" s="3060" t="s">
        <v>2778</v>
      </c>
      <c r="G162" s="3065" t="s">
        <v>2779</v>
      </c>
      <c r="H162" s="101" t="s">
        <v>2780</v>
      </c>
      <c r="I162" s="104" t="s">
        <v>2781</v>
      </c>
      <c r="J162" s="101" t="s">
        <v>2782</v>
      </c>
      <c r="K162" s="104" t="s">
        <v>2783</v>
      </c>
      <c r="L162" s="2717" t="s">
        <v>2784</v>
      </c>
      <c r="M162" s="4151" t="s">
        <v>2785</v>
      </c>
      <c r="N162" s="2717" t="s">
        <v>2786</v>
      </c>
      <c r="O162" s="2402" t="s">
        <v>2787</v>
      </c>
      <c r="P162" s="168" t="s">
        <v>2788</v>
      </c>
      <c r="Q162" s="2600" t="s">
        <v>2789</v>
      </c>
      <c r="R162" s="168" t="s">
        <v>2790</v>
      </c>
      <c r="S162" s="2600" t="s">
        <v>2791</v>
      </c>
      <c r="T162" s="2402" t="s">
        <v>2792</v>
      </c>
      <c r="U162" s="2270" t="s">
        <v>2793</v>
      </c>
      <c r="V162" s="1058"/>
      <c r="W162" s="1058"/>
      <c r="X162" s="1058"/>
      <c r="Y162" s="1058"/>
      <c r="Z162" s="1058"/>
      <c r="AA162" s="1058"/>
      <c r="AB162" s="94"/>
      <c r="AC162" s="94"/>
      <c r="BW162" s="79"/>
      <c r="BX162" s="79"/>
      <c r="CB162" s="1031" t="str">
        <f t="shared" si="68"/>
        <v xml:space="preserve">* El número de actividades en usuarios en situacion de discapacidad NO DEBE ser mayor al total. </v>
      </c>
      <c r="CI162" s="1163">
        <f>IF(F164&lt;Q164,1,0)</f>
        <v>1</v>
      </c>
      <c r="CJ162" s="1020"/>
      <c r="CK162" s="1020"/>
      <c r="CL162" s="1020"/>
      <c r="CM162" s="1020"/>
      <c r="CN162" s="1020"/>
      <c r="CO162" s="1020"/>
      <c r="CV162" s="889"/>
      <c r="CW162" s="889"/>
    </row>
    <row r="163" spans="1:101" ht="16.350000000000001" customHeight="1" x14ac:dyDescent="0.2">
      <c r="A163" s="4661"/>
      <c r="B163" s="6081" t="s">
        <v>2772</v>
      </c>
      <c r="C163" s="5993" t="s">
        <v>1553</v>
      </c>
      <c r="D163" s="4152" t="s">
        <v>1554</v>
      </c>
      <c r="E163" s="3066">
        <f>SUM(F163:G163)</f>
        <v>0</v>
      </c>
      <c r="F163" s="3066">
        <f>+H163+J163+L163+N163</f>
        <v>0</v>
      </c>
      <c r="G163" s="3067">
        <f>+I163+K163+M163+O163</f>
        <v>0</v>
      </c>
      <c r="H163" s="3066">
        <f>SUM(H164:H165)</f>
        <v>0</v>
      </c>
      <c r="I163" s="3066">
        <f t="shared" ref="I163:U163" si="69">SUM(I164:I165)</f>
        <v>0</v>
      </c>
      <c r="J163" s="3066">
        <f t="shared" si="69"/>
        <v>0</v>
      </c>
      <c r="K163" s="3066">
        <f t="shared" si="69"/>
        <v>0</v>
      </c>
      <c r="L163" s="3066">
        <f t="shared" si="69"/>
        <v>0</v>
      </c>
      <c r="M163" s="3066">
        <f t="shared" si="69"/>
        <v>0</v>
      </c>
      <c r="N163" s="3066">
        <f t="shared" si="69"/>
        <v>0</v>
      </c>
      <c r="O163" s="3066">
        <f t="shared" si="69"/>
        <v>0</v>
      </c>
      <c r="P163" s="3066">
        <f t="shared" si="69"/>
        <v>0</v>
      </c>
      <c r="Q163" s="3066">
        <f t="shared" si="69"/>
        <v>0</v>
      </c>
      <c r="R163" s="3066">
        <f t="shared" si="69"/>
        <v>0</v>
      </c>
      <c r="S163" s="3066">
        <f t="shared" si="69"/>
        <v>0</v>
      </c>
      <c r="T163" s="3066">
        <f t="shared" si="69"/>
        <v>0</v>
      </c>
      <c r="U163" s="3066">
        <f t="shared" si="69"/>
        <v>0</v>
      </c>
      <c r="V163" s="1058"/>
      <c r="W163" s="1058"/>
      <c r="X163" s="1058"/>
      <c r="Y163" s="1058"/>
      <c r="Z163" s="1058"/>
      <c r="AA163" s="1058"/>
      <c r="AB163" s="94"/>
      <c r="AC163" s="94"/>
      <c r="BW163" s="79"/>
      <c r="BX163" s="79"/>
      <c r="CB163" s="1031" t="str">
        <f t="shared" si="68"/>
        <v/>
      </c>
      <c r="CI163" s="1163">
        <f>IF(E165&lt;Q165,1,0)</f>
        <v>1</v>
      </c>
      <c r="CJ163" s="1020"/>
      <c r="CK163" s="1020"/>
      <c r="CL163" s="1020"/>
      <c r="CM163" s="1020"/>
      <c r="CN163" s="1020"/>
      <c r="CO163" s="1020"/>
      <c r="CV163" s="889"/>
      <c r="CW163" s="889"/>
    </row>
    <row r="164" spans="1:101" ht="16.350000000000001" customHeight="1" x14ac:dyDescent="0.2">
      <c r="A164" s="4631" t="s">
        <v>3876</v>
      </c>
      <c r="B164" s="6082"/>
      <c r="C164" s="5994"/>
      <c r="D164" s="4152" t="s">
        <v>1957</v>
      </c>
      <c r="E164" s="4120" t="s">
        <v>2777</v>
      </c>
      <c r="F164" s="4120" t="s">
        <v>2778</v>
      </c>
      <c r="G164" s="4956" t="s">
        <v>2779</v>
      </c>
      <c r="H164" s="4833" t="s">
        <v>2780</v>
      </c>
      <c r="I164" s="4128" t="s">
        <v>2781</v>
      </c>
      <c r="J164" s="3962" t="s">
        <v>2782</v>
      </c>
      <c r="K164" s="4126" t="s">
        <v>2783</v>
      </c>
      <c r="L164" s="3962" t="s">
        <v>2784</v>
      </c>
      <c r="M164" s="4957" t="s">
        <v>2785</v>
      </c>
      <c r="N164" s="3962" t="s">
        <v>2786</v>
      </c>
      <c r="O164" s="4958" t="s">
        <v>2787</v>
      </c>
      <c r="P164" s="4959" t="s">
        <v>2788</v>
      </c>
      <c r="Q164" s="4126" t="s">
        <v>2789</v>
      </c>
      <c r="R164" s="4126" t="s">
        <v>2790</v>
      </c>
      <c r="S164" s="4126" t="s">
        <v>2791</v>
      </c>
      <c r="T164" s="4126" t="s">
        <v>2792</v>
      </c>
      <c r="U164" s="4128" t="s">
        <v>2793</v>
      </c>
      <c r="V164" s="1058"/>
      <c r="W164" s="1058"/>
      <c r="X164" s="1058"/>
      <c r="Y164" s="1058"/>
      <c r="Z164" s="1058"/>
      <c r="AA164" s="1058"/>
      <c r="AB164" s="94"/>
      <c r="AC164" s="94"/>
      <c r="BW164" s="79"/>
      <c r="BX164" s="79"/>
      <c r="CB164" s="1031" t="str">
        <f t="shared" si="68"/>
        <v xml:space="preserve">* El número de actividades en usuarios en situacion de discapacidad NO DEBE ser mayor al total. </v>
      </c>
      <c r="CI164" s="1163"/>
      <c r="CJ164" s="1020"/>
      <c r="CK164" s="1020"/>
      <c r="CL164" s="1020"/>
      <c r="CM164" s="1020"/>
      <c r="CN164" s="1020"/>
      <c r="CO164" s="1020"/>
      <c r="CV164" s="889"/>
      <c r="CW164" s="889"/>
    </row>
    <row r="165" spans="1:101" x14ac:dyDescent="0.2">
      <c r="A165" s="4631" t="s">
        <v>3877</v>
      </c>
      <c r="B165" s="6083"/>
      <c r="C165" s="5995"/>
      <c r="D165" s="4152" t="s">
        <v>1958</v>
      </c>
      <c r="E165" s="4960" t="s">
        <v>2777</v>
      </c>
      <c r="F165" s="4960" t="s">
        <v>2778</v>
      </c>
      <c r="G165" s="4961" t="s">
        <v>2779</v>
      </c>
      <c r="H165" s="102" t="s">
        <v>2780</v>
      </c>
      <c r="I165" s="125" t="s">
        <v>2781</v>
      </c>
      <c r="J165" s="166" t="s">
        <v>2782</v>
      </c>
      <c r="K165" s="168" t="s">
        <v>2783</v>
      </c>
      <c r="L165" s="166" t="s">
        <v>2784</v>
      </c>
      <c r="M165" s="265" t="s">
        <v>2785</v>
      </c>
      <c r="N165" s="166" t="s">
        <v>2786</v>
      </c>
      <c r="O165" s="319" t="s">
        <v>2787</v>
      </c>
      <c r="P165" s="168" t="s">
        <v>2788</v>
      </c>
      <c r="Q165" s="168" t="s">
        <v>2789</v>
      </c>
      <c r="R165" s="168" t="s">
        <v>2790</v>
      </c>
      <c r="S165" s="168" t="s">
        <v>2791</v>
      </c>
      <c r="T165" s="168" t="s">
        <v>2792</v>
      </c>
      <c r="U165" s="2863" t="s">
        <v>2793</v>
      </c>
      <c r="V165" s="1058"/>
      <c r="W165" s="1058"/>
      <c r="X165" s="1058"/>
      <c r="Y165" s="1058"/>
      <c r="Z165" s="1058"/>
      <c r="AA165" s="1058"/>
      <c r="AB165" s="94"/>
      <c r="AC165" s="94"/>
      <c r="BW165" s="79"/>
      <c r="BX165" s="79"/>
      <c r="CB165" s="1031" t="str">
        <f t="shared" si="68"/>
        <v xml:space="preserve">* El número de actividades en usuarios en situacion de discapacidad NO DEBE ser mayor al total. </v>
      </c>
      <c r="CI165" s="1163"/>
      <c r="CJ165" s="1020"/>
      <c r="CK165" s="1020"/>
      <c r="CL165" s="1020"/>
      <c r="CM165" s="1020"/>
      <c r="CN165" s="1020"/>
      <c r="CO165" s="1020"/>
      <c r="CV165" s="889"/>
      <c r="CW165" s="889"/>
    </row>
    <row r="166" spans="1:101" ht="16.350000000000001" customHeight="1" x14ac:dyDescent="0.2">
      <c r="A166" s="3009" t="s">
        <v>3629</v>
      </c>
      <c r="B166" s="6084" t="s">
        <v>1555</v>
      </c>
      <c r="C166" s="5989" t="s">
        <v>1105</v>
      </c>
      <c r="D166" s="4154" t="s">
        <v>1106</v>
      </c>
      <c r="E166" s="4140" t="s">
        <v>2777</v>
      </c>
      <c r="F166" s="4140" t="s">
        <v>2778</v>
      </c>
      <c r="G166" s="4155" t="s">
        <v>2779</v>
      </c>
      <c r="H166" s="2396" t="s">
        <v>2780</v>
      </c>
      <c r="I166" s="2270" t="s">
        <v>2781</v>
      </c>
      <c r="J166" s="2577" t="s">
        <v>2782</v>
      </c>
      <c r="K166" s="2975" t="s">
        <v>2783</v>
      </c>
      <c r="L166" s="2577" t="s">
        <v>2784</v>
      </c>
      <c r="M166" s="3011" t="s">
        <v>2785</v>
      </c>
      <c r="N166" s="2577" t="s">
        <v>2786</v>
      </c>
      <c r="O166" s="2294" t="s">
        <v>2787</v>
      </c>
      <c r="P166" s="2975" t="s">
        <v>2788</v>
      </c>
      <c r="Q166" s="2975" t="s">
        <v>2789</v>
      </c>
      <c r="R166" s="2975" t="s">
        <v>2790</v>
      </c>
      <c r="S166" s="2975" t="s">
        <v>2791</v>
      </c>
      <c r="T166" s="2975" t="s">
        <v>2792</v>
      </c>
      <c r="U166" s="2270" t="s">
        <v>2793</v>
      </c>
      <c r="V166" s="1058"/>
      <c r="W166" s="1058"/>
      <c r="X166" s="1058"/>
      <c r="Y166" s="1058"/>
      <c r="Z166" s="1058"/>
      <c r="AA166" s="1058"/>
      <c r="AB166" s="94"/>
      <c r="AC166" s="94"/>
      <c r="BW166" s="79"/>
      <c r="BX166" s="79"/>
      <c r="CB166" s="1031"/>
      <c r="CI166" s="1163">
        <f>IF(E168&lt;Q168,1,0)</f>
        <v>1</v>
      </c>
      <c r="CJ166" s="1020"/>
      <c r="CK166" s="1020"/>
      <c r="CL166" s="1020"/>
      <c r="CM166" s="1020"/>
      <c r="CN166" s="1020"/>
      <c r="CO166" s="1020"/>
      <c r="CV166" s="889"/>
      <c r="CW166" s="889"/>
    </row>
    <row r="167" spans="1:101" ht="16.350000000000001" customHeight="1" x14ac:dyDescent="0.2">
      <c r="A167" s="3009" t="s">
        <v>3630</v>
      </c>
      <c r="B167" s="6085"/>
      <c r="C167" s="5103"/>
      <c r="D167" s="2528" t="s">
        <v>1107</v>
      </c>
      <c r="E167" s="3066" t="s">
        <v>2777</v>
      </c>
      <c r="F167" s="3066" t="s">
        <v>2778</v>
      </c>
      <c r="G167" s="4156" t="s">
        <v>2779</v>
      </c>
      <c r="H167" s="146" t="s">
        <v>2780</v>
      </c>
      <c r="I167" s="183" t="s">
        <v>2781</v>
      </c>
      <c r="J167" s="2245" t="s">
        <v>2782</v>
      </c>
      <c r="K167" s="240" t="s">
        <v>2783</v>
      </c>
      <c r="L167" s="2245" t="s">
        <v>2784</v>
      </c>
      <c r="M167" s="148" t="s">
        <v>2785</v>
      </c>
      <c r="N167" s="2245" t="s">
        <v>2786</v>
      </c>
      <c r="O167" s="593" t="s">
        <v>2787</v>
      </c>
      <c r="P167" s="240" t="s">
        <v>2788</v>
      </c>
      <c r="Q167" s="240" t="s">
        <v>2789</v>
      </c>
      <c r="R167" s="240" t="s">
        <v>2790</v>
      </c>
      <c r="S167" s="240" t="s">
        <v>2791</v>
      </c>
      <c r="T167" s="240" t="s">
        <v>2792</v>
      </c>
      <c r="U167" s="2348" t="s">
        <v>2793</v>
      </c>
      <c r="V167" s="1058"/>
      <c r="W167" s="1058"/>
      <c r="X167" s="1058"/>
      <c r="Y167" s="1058"/>
      <c r="Z167" s="1058"/>
      <c r="AA167" s="1058"/>
      <c r="AB167" s="94"/>
      <c r="AC167" s="94"/>
      <c r="BW167" s="79"/>
      <c r="BX167" s="79"/>
      <c r="CB167" s="1031"/>
      <c r="CI167" s="1163">
        <f>IF(E169&lt;Q169,1,0)</f>
        <v>1</v>
      </c>
      <c r="CJ167" s="1020"/>
      <c r="CK167" s="1020"/>
      <c r="CL167" s="1020"/>
      <c r="CM167" s="1020"/>
      <c r="CN167" s="1020"/>
      <c r="CO167" s="1020"/>
      <c r="CV167" s="889"/>
      <c r="CW167" s="889"/>
    </row>
    <row r="168" spans="1:101" ht="16.350000000000001" customHeight="1" x14ac:dyDescent="0.2">
      <c r="A168" s="4631" t="s">
        <v>3878</v>
      </c>
      <c r="B168" s="6085"/>
      <c r="C168" s="5993" t="s">
        <v>1961</v>
      </c>
      <c r="D168" s="4152" t="s">
        <v>1106</v>
      </c>
      <c r="E168" s="4120" t="s">
        <v>2777</v>
      </c>
      <c r="F168" s="4120" t="s">
        <v>2778</v>
      </c>
      <c r="G168" s="4956" t="s">
        <v>2779</v>
      </c>
      <c r="H168" s="4833" t="s">
        <v>2780</v>
      </c>
      <c r="I168" s="4128" t="s">
        <v>2781</v>
      </c>
      <c r="J168" s="3962" t="s">
        <v>2782</v>
      </c>
      <c r="K168" s="4126" t="s">
        <v>2783</v>
      </c>
      <c r="L168" s="3962" t="s">
        <v>2784</v>
      </c>
      <c r="M168" s="4957" t="s">
        <v>2785</v>
      </c>
      <c r="N168" s="3962" t="s">
        <v>2786</v>
      </c>
      <c r="O168" s="4958" t="s">
        <v>2787</v>
      </c>
      <c r="P168" s="4126" t="s">
        <v>2788</v>
      </c>
      <c r="Q168" s="4126" t="s">
        <v>2789</v>
      </c>
      <c r="R168" s="4126" t="s">
        <v>2790</v>
      </c>
      <c r="S168" s="4126" t="s">
        <v>2791</v>
      </c>
      <c r="T168" s="4126" t="s">
        <v>2792</v>
      </c>
      <c r="U168" s="4128" t="s">
        <v>2793</v>
      </c>
      <c r="V168" s="1058"/>
      <c r="W168" s="1058"/>
      <c r="X168" s="1058"/>
      <c r="Y168" s="1058"/>
      <c r="Z168" s="1058"/>
      <c r="AA168" s="1058"/>
      <c r="AB168" s="94"/>
      <c r="AC168" s="94"/>
      <c r="BW168" s="79"/>
      <c r="BX168" s="79"/>
      <c r="CB168" s="1031" t="str">
        <f>IF(CI166=1,"* El número de actividades en usuarios en situacion de discapacidad NO DEBE ser mayor al total. ","")</f>
        <v xml:space="preserve">* El número de actividades en usuarios en situacion de discapacidad NO DEBE ser mayor al total. </v>
      </c>
      <c r="CI168" s="1163"/>
      <c r="CJ168" s="1020"/>
      <c r="CK168" s="1020"/>
      <c r="CL168" s="1020"/>
      <c r="CM168" s="1020"/>
      <c r="CN168" s="1020"/>
      <c r="CO168" s="1020"/>
      <c r="CV168" s="889"/>
      <c r="CW168" s="889"/>
    </row>
    <row r="169" spans="1:101" ht="16.350000000000001" customHeight="1" x14ac:dyDescent="0.2">
      <c r="A169" s="4631" t="s">
        <v>3879</v>
      </c>
      <c r="B169" s="6085"/>
      <c r="C169" s="5995"/>
      <c r="D169" s="4652" t="s">
        <v>1962</v>
      </c>
      <c r="E169" s="4960" t="s">
        <v>2777</v>
      </c>
      <c r="F169" s="4960" t="s">
        <v>2778</v>
      </c>
      <c r="G169" s="4961" t="s">
        <v>2779</v>
      </c>
      <c r="H169" s="102" t="s">
        <v>2780</v>
      </c>
      <c r="I169" s="125" t="s">
        <v>2781</v>
      </c>
      <c r="J169" s="166" t="s">
        <v>2782</v>
      </c>
      <c r="K169" s="168" t="s">
        <v>2783</v>
      </c>
      <c r="L169" s="166" t="s">
        <v>2784</v>
      </c>
      <c r="M169" s="265" t="s">
        <v>2785</v>
      </c>
      <c r="N169" s="166" t="s">
        <v>2786</v>
      </c>
      <c r="O169" s="319" t="s">
        <v>2787</v>
      </c>
      <c r="P169" s="168" t="s">
        <v>2788</v>
      </c>
      <c r="Q169" s="168" t="s">
        <v>2789</v>
      </c>
      <c r="R169" s="168" t="s">
        <v>2790</v>
      </c>
      <c r="S169" s="168" t="s">
        <v>2791</v>
      </c>
      <c r="T169" s="168" t="s">
        <v>2792</v>
      </c>
      <c r="U169" s="2863" t="s">
        <v>2793</v>
      </c>
      <c r="V169" s="1058"/>
      <c r="W169" s="1058"/>
      <c r="X169" s="1058"/>
      <c r="Y169" s="1058"/>
      <c r="Z169" s="1058"/>
      <c r="AA169" s="1058"/>
      <c r="AB169" s="94"/>
      <c r="AC169" s="94"/>
      <c r="BW169" s="79"/>
      <c r="BX169" s="79"/>
      <c r="CB169" s="1031" t="str">
        <f>IF(CI167=1,"* El número de actividades en usuarios en situacion de discapacidad NO DEBE ser mayor al total. ","")</f>
        <v xml:space="preserve">* El número de actividades en usuarios en situacion de discapacidad NO DEBE ser mayor al total. </v>
      </c>
      <c r="CI169" s="1163"/>
      <c r="CJ169" s="1020"/>
      <c r="CK169" s="1020"/>
      <c r="CL169" s="1020"/>
      <c r="CM169" s="1020"/>
      <c r="CN169" s="1020"/>
      <c r="CO169" s="1020"/>
      <c r="CV169" s="889"/>
      <c r="CW169" s="889"/>
    </row>
    <row r="170" spans="1:101" ht="16.350000000000001" customHeight="1" x14ac:dyDescent="0.2">
      <c r="A170" s="3009" t="s">
        <v>3631</v>
      </c>
      <c r="B170" s="6085"/>
      <c r="C170" s="5989" t="s">
        <v>1081</v>
      </c>
      <c r="D170" s="4154" t="s">
        <v>1106</v>
      </c>
      <c r="E170" s="4140" t="s">
        <v>2777</v>
      </c>
      <c r="F170" s="4140" t="s">
        <v>2778</v>
      </c>
      <c r="G170" s="4155" t="s">
        <v>2779</v>
      </c>
      <c r="H170" s="2396" t="s">
        <v>2780</v>
      </c>
      <c r="I170" s="2270" t="s">
        <v>2781</v>
      </c>
      <c r="J170" s="2577" t="s">
        <v>2782</v>
      </c>
      <c r="K170" s="2975" t="s">
        <v>2783</v>
      </c>
      <c r="L170" s="2577" t="s">
        <v>2784</v>
      </c>
      <c r="M170" s="3011" t="s">
        <v>2785</v>
      </c>
      <c r="N170" s="2577" t="s">
        <v>2786</v>
      </c>
      <c r="O170" s="2294" t="s">
        <v>2787</v>
      </c>
      <c r="P170" s="2975" t="s">
        <v>2788</v>
      </c>
      <c r="Q170" s="2975" t="s">
        <v>2789</v>
      </c>
      <c r="R170" s="2975" t="s">
        <v>2790</v>
      </c>
      <c r="S170" s="2975" t="s">
        <v>2791</v>
      </c>
      <c r="T170" s="2975" t="s">
        <v>2792</v>
      </c>
      <c r="U170" s="2270" t="s">
        <v>2793</v>
      </c>
      <c r="V170" s="1058"/>
      <c r="W170" s="1058"/>
      <c r="X170" s="1058"/>
      <c r="Y170" s="1058"/>
      <c r="Z170" s="1058"/>
      <c r="AA170" s="1058"/>
      <c r="AB170" s="94"/>
      <c r="AC170" s="94"/>
      <c r="BW170" s="79"/>
      <c r="BX170" s="79"/>
      <c r="CB170" s="1031"/>
      <c r="CI170" s="1163">
        <f t="shared" ref="CI170:CI181" si="70">IF(E172&lt;Q172,1,0)</f>
        <v>1</v>
      </c>
      <c r="CJ170" s="1020"/>
      <c r="CK170" s="1020"/>
      <c r="CL170" s="1020"/>
      <c r="CM170" s="1020"/>
      <c r="CN170" s="1020"/>
      <c r="CO170" s="1020"/>
      <c r="CV170" s="889"/>
      <c r="CW170" s="889"/>
    </row>
    <row r="171" spans="1:101" ht="16.350000000000001" customHeight="1" x14ac:dyDescent="0.2">
      <c r="A171" s="3009" t="s">
        <v>3632</v>
      </c>
      <c r="B171" s="6086"/>
      <c r="C171" s="5343"/>
      <c r="D171" s="201" t="s">
        <v>1108</v>
      </c>
      <c r="E171" s="3060" t="s">
        <v>2777</v>
      </c>
      <c r="F171" s="3060" t="s">
        <v>2778</v>
      </c>
      <c r="G171" s="3068" t="s">
        <v>2779</v>
      </c>
      <c r="H171" s="102" t="s">
        <v>2780</v>
      </c>
      <c r="I171" s="125" t="s">
        <v>2781</v>
      </c>
      <c r="J171" s="166" t="s">
        <v>2782</v>
      </c>
      <c r="K171" s="168" t="s">
        <v>2783</v>
      </c>
      <c r="L171" s="166" t="s">
        <v>2784</v>
      </c>
      <c r="M171" s="265" t="s">
        <v>2785</v>
      </c>
      <c r="N171" s="166" t="s">
        <v>2786</v>
      </c>
      <c r="O171" s="319" t="s">
        <v>2787</v>
      </c>
      <c r="P171" s="168" t="s">
        <v>2788</v>
      </c>
      <c r="Q171" s="168" t="s">
        <v>2789</v>
      </c>
      <c r="R171" s="168" t="s">
        <v>2790</v>
      </c>
      <c r="S171" s="168" t="s">
        <v>2791</v>
      </c>
      <c r="T171" s="168" t="s">
        <v>2792</v>
      </c>
      <c r="U171" s="125" t="s">
        <v>2793</v>
      </c>
      <c r="V171" s="1058"/>
      <c r="W171" s="1058"/>
      <c r="X171" s="1058"/>
      <c r="Y171" s="1058"/>
      <c r="Z171" s="1058"/>
      <c r="AA171" s="1058"/>
      <c r="AB171" s="94"/>
      <c r="AC171" s="94"/>
      <c r="BW171" s="79"/>
      <c r="BX171" s="79"/>
      <c r="CB171" s="1031"/>
      <c r="CI171" s="1163">
        <f t="shared" si="70"/>
        <v>1</v>
      </c>
      <c r="CJ171" s="1020"/>
      <c r="CK171" s="1020"/>
      <c r="CL171" s="1020"/>
      <c r="CM171" s="1020"/>
      <c r="CN171" s="1020"/>
      <c r="CO171" s="1020"/>
      <c r="CV171" s="889"/>
      <c r="CW171" s="889"/>
    </row>
    <row r="172" spans="1:101" ht="16.350000000000001" customHeight="1" x14ac:dyDescent="0.2">
      <c r="A172" s="3009" t="s">
        <v>3633</v>
      </c>
      <c r="B172" s="6079" t="s">
        <v>637</v>
      </c>
      <c r="C172" s="6076" t="s">
        <v>1102</v>
      </c>
      <c r="D172" s="6077"/>
      <c r="E172" s="4140" t="s">
        <v>2777</v>
      </c>
      <c r="F172" s="4140" t="s">
        <v>2778</v>
      </c>
      <c r="G172" s="4155" t="s">
        <v>2779</v>
      </c>
      <c r="H172" s="2396" t="s">
        <v>2780</v>
      </c>
      <c r="I172" s="2270" t="s">
        <v>2781</v>
      </c>
      <c r="J172" s="2577" t="s">
        <v>2782</v>
      </c>
      <c r="K172" s="2975" t="s">
        <v>2783</v>
      </c>
      <c r="L172" s="2577" t="s">
        <v>2784</v>
      </c>
      <c r="M172" s="3011" t="s">
        <v>2785</v>
      </c>
      <c r="N172" s="2577" t="s">
        <v>2786</v>
      </c>
      <c r="O172" s="2294" t="s">
        <v>2787</v>
      </c>
      <c r="P172" s="2975" t="s">
        <v>2788</v>
      </c>
      <c r="Q172" s="2975" t="s">
        <v>2789</v>
      </c>
      <c r="R172" s="2975" t="s">
        <v>2790</v>
      </c>
      <c r="S172" s="2975" t="s">
        <v>2791</v>
      </c>
      <c r="T172" s="2975" t="s">
        <v>2792</v>
      </c>
      <c r="U172" s="2270" t="s">
        <v>2793</v>
      </c>
      <c r="V172" s="1058"/>
      <c r="W172" s="1058"/>
      <c r="X172" s="1058"/>
      <c r="Y172" s="1058"/>
      <c r="Z172" s="1058"/>
      <c r="AA172" s="1058"/>
      <c r="AB172" s="94"/>
      <c r="AC172" s="94"/>
      <c r="BW172" s="79"/>
      <c r="BX172" s="79"/>
      <c r="CB172" s="1031" t="str">
        <f t="shared" ref="CB172:CB181" si="71">IF(CI170=1,"* El número de actividades en usuarios en situacion de discapacidad NO DEBE ser mayor al total. ","")</f>
        <v xml:space="preserve">* El número de actividades en usuarios en situacion de discapacidad NO DEBE ser mayor al total. </v>
      </c>
      <c r="CI172" s="1163">
        <f t="shared" si="70"/>
        <v>1</v>
      </c>
      <c r="CJ172" s="1020"/>
      <c r="CK172" s="1020"/>
      <c r="CL172" s="1020"/>
      <c r="CM172" s="1020"/>
      <c r="CN172" s="1020"/>
      <c r="CO172" s="1020"/>
      <c r="CV172" s="889"/>
      <c r="CW172" s="889"/>
    </row>
    <row r="173" spans="1:101" ht="16.350000000000001" customHeight="1" x14ac:dyDescent="0.2">
      <c r="A173" s="3009" t="s">
        <v>3634</v>
      </c>
      <c r="B173" s="5664"/>
      <c r="C173" s="5103" t="s">
        <v>1105</v>
      </c>
      <c r="D173" s="4139" t="s">
        <v>1106</v>
      </c>
      <c r="E173" s="4140" t="s">
        <v>2777</v>
      </c>
      <c r="F173" s="4140" t="s">
        <v>2778</v>
      </c>
      <c r="G173" s="4155" t="s">
        <v>2779</v>
      </c>
      <c r="H173" s="142" t="s">
        <v>2780</v>
      </c>
      <c r="I173" s="163" t="s">
        <v>2781</v>
      </c>
      <c r="J173" s="141" t="s">
        <v>2782</v>
      </c>
      <c r="K173" s="198" t="s">
        <v>2783</v>
      </c>
      <c r="L173" s="141" t="s">
        <v>2784</v>
      </c>
      <c r="M173" s="143" t="s">
        <v>2785</v>
      </c>
      <c r="N173" s="141" t="s">
        <v>2786</v>
      </c>
      <c r="O173" s="318" t="s">
        <v>2787</v>
      </c>
      <c r="P173" s="198" t="s">
        <v>2788</v>
      </c>
      <c r="Q173" s="198" t="s">
        <v>2789</v>
      </c>
      <c r="R173" s="198" t="s">
        <v>2790</v>
      </c>
      <c r="S173" s="198" t="s">
        <v>2791</v>
      </c>
      <c r="T173" s="198" t="s">
        <v>2792</v>
      </c>
      <c r="U173" s="2270" t="s">
        <v>2793</v>
      </c>
      <c r="V173" s="1058"/>
      <c r="W173" s="1058"/>
      <c r="X173" s="1058"/>
      <c r="Y173" s="1058"/>
      <c r="Z173" s="1058"/>
      <c r="AA173" s="1058"/>
      <c r="AB173" s="94"/>
      <c r="AC173" s="94"/>
      <c r="BW173" s="79"/>
      <c r="BX173" s="79"/>
      <c r="CB173" s="1031" t="str">
        <f t="shared" si="71"/>
        <v xml:space="preserve">* El número de actividades en usuarios en situacion de discapacidad NO DEBE ser mayor al total. </v>
      </c>
      <c r="CI173" s="1163">
        <f t="shared" si="70"/>
        <v>1</v>
      </c>
      <c r="CJ173" s="1020"/>
      <c r="CK173" s="1020"/>
      <c r="CL173" s="1020"/>
      <c r="CM173" s="1020"/>
      <c r="CN173" s="1020"/>
      <c r="CO173" s="1020"/>
      <c r="CV173" s="889"/>
      <c r="CW173" s="889"/>
    </row>
    <row r="174" spans="1:101" ht="16.350000000000001" customHeight="1" x14ac:dyDescent="0.2">
      <c r="A174" s="3009" t="s">
        <v>3635</v>
      </c>
      <c r="B174" s="5664"/>
      <c r="C174" s="5103"/>
      <c r="D174" s="2528" t="s">
        <v>1107</v>
      </c>
      <c r="E174" s="4140" t="s">
        <v>2777</v>
      </c>
      <c r="F174" s="4140" t="s">
        <v>2778</v>
      </c>
      <c r="G174" s="4155" t="s">
        <v>2779</v>
      </c>
      <c r="H174" s="142" t="s">
        <v>2780</v>
      </c>
      <c r="I174" s="163" t="s">
        <v>2781</v>
      </c>
      <c r="J174" s="141" t="s">
        <v>2782</v>
      </c>
      <c r="K174" s="198" t="s">
        <v>2783</v>
      </c>
      <c r="L174" s="141" t="s">
        <v>2784</v>
      </c>
      <c r="M174" s="143" t="s">
        <v>2785</v>
      </c>
      <c r="N174" s="141" t="s">
        <v>2786</v>
      </c>
      <c r="O174" s="318" t="s">
        <v>2787</v>
      </c>
      <c r="P174" s="198" t="s">
        <v>2788</v>
      </c>
      <c r="Q174" s="198" t="s">
        <v>2789</v>
      </c>
      <c r="R174" s="198" t="s">
        <v>2790</v>
      </c>
      <c r="S174" s="198" t="s">
        <v>2791</v>
      </c>
      <c r="T174" s="198" t="s">
        <v>2792</v>
      </c>
      <c r="U174" s="2270" t="s">
        <v>2793</v>
      </c>
      <c r="V174" s="1058"/>
      <c r="W174" s="1058"/>
      <c r="X174" s="1058"/>
      <c r="Y174" s="1058"/>
      <c r="Z174" s="1058"/>
      <c r="AA174" s="1058"/>
      <c r="AB174" s="94"/>
      <c r="AC174" s="94"/>
      <c r="BW174" s="79"/>
      <c r="BX174" s="79"/>
      <c r="CB174" s="1031" t="str">
        <f t="shared" si="71"/>
        <v xml:space="preserve">* El número de actividades en usuarios en situacion de discapacidad NO DEBE ser mayor al total. </v>
      </c>
      <c r="CI174" s="1163">
        <f t="shared" si="70"/>
        <v>1</v>
      </c>
      <c r="CJ174" s="1020"/>
      <c r="CK174" s="1020"/>
      <c r="CL174" s="1020"/>
      <c r="CM174" s="1020"/>
      <c r="CN174" s="1020"/>
      <c r="CO174" s="1020"/>
      <c r="CV174" s="889"/>
      <c r="CW174" s="889"/>
    </row>
    <row r="175" spans="1:101" ht="16.350000000000001" customHeight="1" x14ac:dyDescent="0.2">
      <c r="A175" s="3009" t="s">
        <v>3636</v>
      </c>
      <c r="B175" s="5664"/>
      <c r="C175" s="5989" t="s">
        <v>1081</v>
      </c>
      <c r="D175" s="4154" t="s">
        <v>1106</v>
      </c>
      <c r="E175" s="4140" t="s">
        <v>2777</v>
      </c>
      <c r="F175" s="4140" t="s">
        <v>2778</v>
      </c>
      <c r="G175" s="4155" t="s">
        <v>2779</v>
      </c>
      <c r="H175" s="142" t="s">
        <v>2780</v>
      </c>
      <c r="I175" s="163" t="s">
        <v>2781</v>
      </c>
      <c r="J175" s="141" t="s">
        <v>2782</v>
      </c>
      <c r="K175" s="198" t="s">
        <v>2783</v>
      </c>
      <c r="L175" s="141" t="s">
        <v>2784</v>
      </c>
      <c r="M175" s="143" t="s">
        <v>2785</v>
      </c>
      <c r="N175" s="141" t="s">
        <v>2786</v>
      </c>
      <c r="O175" s="318" t="s">
        <v>2787</v>
      </c>
      <c r="P175" s="198" t="s">
        <v>2788</v>
      </c>
      <c r="Q175" s="198" t="s">
        <v>2789</v>
      </c>
      <c r="R175" s="198" t="s">
        <v>2790</v>
      </c>
      <c r="S175" s="198" t="s">
        <v>2791</v>
      </c>
      <c r="T175" s="198" t="s">
        <v>2792</v>
      </c>
      <c r="U175" s="2270" t="s">
        <v>2793</v>
      </c>
      <c r="V175" s="1058"/>
      <c r="W175" s="1058"/>
      <c r="X175" s="1058"/>
      <c r="Y175" s="1058"/>
      <c r="Z175" s="1058"/>
      <c r="AA175" s="1058"/>
      <c r="AB175" s="94"/>
      <c r="AC175" s="94"/>
      <c r="BW175" s="79"/>
      <c r="BX175" s="79"/>
      <c r="CB175" s="1031" t="str">
        <f t="shared" si="71"/>
        <v xml:space="preserve">* El número de actividades en usuarios en situacion de discapacidad NO DEBE ser mayor al total. </v>
      </c>
      <c r="CI175" s="1163">
        <f t="shared" si="70"/>
        <v>1</v>
      </c>
      <c r="CJ175" s="1020"/>
      <c r="CK175" s="1020"/>
      <c r="CL175" s="1020"/>
      <c r="CM175" s="1020"/>
      <c r="CN175" s="1020"/>
      <c r="CO175" s="1020"/>
      <c r="CV175" s="889"/>
      <c r="CW175" s="889"/>
    </row>
    <row r="176" spans="1:101" ht="16.350000000000001" customHeight="1" x14ac:dyDescent="0.2">
      <c r="A176" s="3009" t="s">
        <v>3637</v>
      </c>
      <c r="B176" s="5665"/>
      <c r="C176" s="5343"/>
      <c r="D176" s="201" t="s">
        <v>1108</v>
      </c>
      <c r="E176" s="3060" t="s">
        <v>2777</v>
      </c>
      <c r="F176" s="3060" t="s">
        <v>2778</v>
      </c>
      <c r="G176" s="3068" t="s">
        <v>2779</v>
      </c>
      <c r="H176" s="102" t="s">
        <v>2780</v>
      </c>
      <c r="I176" s="125" t="s">
        <v>2781</v>
      </c>
      <c r="J176" s="166" t="s">
        <v>2782</v>
      </c>
      <c r="K176" s="168" t="s">
        <v>2783</v>
      </c>
      <c r="L176" s="166" t="s">
        <v>2784</v>
      </c>
      <c r="M176" s="265" t="s">
        <v>2785</v>
      </c>
      <c r="N176" s="166" t="s">
        <v>2786</v>
      </c>
      <c r="O176" s="319" t="s">
        <v>2787</v>
      </c>
      <c r="P176" s="168" t="s">
        <v>2788</v>
      </c>
      <c r="Q176" s="168" t="s">
        <v>2789</v>
      </c>
      <c r="R176" s="168" t="s">
        <v>2790</v>
      </c>
      <c r="S176" s="168" t="s">
        <v>2791</v>
      </c>
      <c r="T176" s="168" t="s">
        <v>2792</v>
      </c>
      <c r="U176" s="125" t="s">
        <v>2793</v>
      </c>
      <c r="V176" s="1058"/>
      <c r="W176" s="1058"/>
      <c r="X176" s="1058"/>
      <c r="Y176" s="1058"/>
      <c r="Z176" s="1058"/>
      <c r="AA176" s="1058"/>
      <c r="AB176" s="94"/>
      <c r="AC176" s="94"/>
      <c r="BW176" s="79"/>
      <c r="BX176" s="79"/>
      <c r="CB176" s="1031" t="str">
        <f t="shared" si="71"/>
        <v xml:space="preserve">* El número de actividades en usuarios en situacion de discapacidad NO DEBE ser mayor al total. </v>
      </c>
      <c r="CI176" s="1163">
        <f t="shared" si="70"/>
        <v>1</v>
      </c>
      <c r="CJ176" s="1020"/>
      <c r="CK176" s="1020"/>
      <c r="CL176" s="1020"/>
      <c r="CM176" s="1020"/>
      <c r="CN176" s="1020"/>
      <c r="CO176" s="1020"/>
      <c r="CV176" s="889"/>
      <c r="CW176" s="889"/>
    </row>
    <row r="177" spans="1:101" ht="16.350000000000001" customHeight="1" x14ac:dyDescent="0.2">
      <c r="A177" s="3063" t="s">
        <v>3638</v>
      </c>
      <c r="B177" s="6080" t="s">
        <v>2773</v>
      </c>
      <c r="C177" s="5989" t="s">
        <v>1109</v>
      </c>
      <c r="D177" s="4157" t="s">
        <v>1110</v>
      </c>
      <c r="E177" s="4140" t="s">
        <v>2777</v>
      </c>
      <c r="F177" s="4140" t="s">
        <v>2778</v>
      </c>
      <c r="G177" s="4155" t="s">
        <v>2779</v>
      </c>
      <c r="H177" s="2396" t="s">
        <v>2780</v>
      </c>
      <c r="I177" s="2270" t="s">
        <v>2781</v>
      </c>
      <c r="J177" s="2577" t="s">
        <v>2782</v>
      </c>
      <c r="K177" s="2975" t="s">
        <v>2783</v>
      </c>
      <c r="L177" s="2577" t="s">
        <v>2784</v>
      </c>
      <c r="M177" s="3011" t="s">
        <v>2785</v>
      </c>
      <c r="N177" s="2577" t="s">
        <v>2786</v>
      </c>
      <c r="O177" s="2294" t="s">
        <v>2787</v>
      </c>
      <c r="P177" s="2975" t="s">
        <v>2788</v>
      </c>
      <c r="Q177" s="2975" t="s">
        <v>2789</v>
      </c>
      <c r="R177" s="2975" t="s">
        <v>2790</v>
      </c>
      <c r="S177" s="2975" t="s">
        <v>2791</v>
      </c>
      <c r="T177" s="2975" t="s">
        <v>2792</v>
      </c>
      <c r="U177" s="2270" t="s">
        <v>2793</v>
      </c>
      <c r="V177" s="1058"/>
      <c r="W177" s="1058"/>
      <c r="X177" s="1058"/>
      <c r="Y177" s="1058"/>
      <c r="Z177" s="1058"/>
      <c r="AA177" s="1058"/>
      <c r="AB177" s="94"/>
      <c r="AC177" s="94"/>
      <c r="BW177" s="79"/>
      <c r="BX177" s="79"/>
      <c r="CB177" s="1031" t="str">
        <f t="shared" si="71"/>
        <v xml:space="preserve">* El número de actividades en usuarios en situacion de discapacidad NO DEBE ser mayor al total. </v>
      </c>
      <c r="CI177" s="1163">
        <f t="shared" si="70"/>
        <v>1</v>
      </c>
      <c r="CJ177" s="1020"/>
      <c r="CK177" s="1020"/>
      <c r="CL177" s="1020"/>
      <c r="CM177" s="1020"/>
      <c r="CN177" s="1020"/>
      <c r="CO177" s="1020"/>
      <c r="CV177" s="889"/>
      <c r="CW177" s="889"/>
    </row>
    <row r="178" spans="1:101" ht="26.25" customHeight="1" x14ac:dyDescent="0.2">
      <c r="A178" s="3063" t="s">
        <v>3639</v>
      </c>
      <c r="B178" s="6073"/>
      <c r="C178" s="5103"/>
      <c r="D178" s="3005" t="s">
        <v>1111</v>
      </c>
      <c r="E178" s="4140" t="s">
        <v>2777</v>
      </c>
      <c r="F178" s="4140" t="s">
        <v>2778</v>
      </c>
      <c r="G178" s="4155" t="s">
        <v>2779</v>
      </c>
      <c r="H178" s="142" t="s">
        <v>2780</v>
      </c>
      <c r="I178" s="163" t="s">
        <v>2781</v>
      </c>
      <c r="J178" s="141" t="s">
        <v>2782</v>
      </c>
      <c r="K178" s="198" t="s">
        <v>2783</v>
      </c>
      <c r="L178" s="141" t="s">
        <v>2784</v>
      </c>
      <c r="M178" s="143" t="s">
        <v>2785</v>
      </c>
      <c r="N178" s="141" t="s">
        <v>2786</v>
      </c>
      <c r="O178" s="318" t="s">
        <v>2787</v>
      </c>
      <c r="P178" s="198" t="s">
        <v>2788</v>
      </c>
      <c r="Q178" s="198" t="s">
        <v>2789</v>
      </c>
      <c r="R178" s="198" t="s">
        <v>2790</v>
      </c>
      <c r="S178" s="198" t="s">
        <v>2791</v>
      </c>
      <c r="T178" s="198" t="s">
        <v>2792</v>
      </c>
      <c r="U178" s="2270" t="s">
        <v>2793</v>
      </c>
      <c r="V178" s="1058"/>
      <c r="W178" s="1058"/>
      <c r="X178" s="1058"/>
      <c r="Y178" s="1058"/>
      <c r="Z178" s="1058"/>
      <c r="AA178" s="1058"/>
      <c r="AB178" s="94"/>
      <c r="AC178" s="94"/>
      <c r="BW178" s="79"/>
      <c r="BX178" s="79"/>
      <c r="CB178" s="1031" t="str">
        <f t="shared" si="71"/>
        <v xml:space="preserve">* El número de actividades en usuarios en situacion de discapacidad NO DEBE ser mayor al total. </v>
      </c>
      <c r="CI178" s="1163">
        <f t="shared" si="70"/>
        <v>1</v>
      </c>
      <c r="CJ178" s="1020"/>
      <c r="CK178" s="1020"/>
      <c r="CL178" s="1020"/>
      <c r="CM178" s="1020"/>
      <c r="CN178" s="1020"/>
      <c r="CO178" s="1020"/>
      <c r="CV178" s="889"/>
      <c r="CW178" s="889"/>
    </row>
    <row r="179" spans="1:101" ht="31.5" customHeight="1" x14ac:dyDescent="0.2">
      <c r="A179" s="3063" t="s">
        <v>3640</v>
      </c>
      <c r="B179" s="6074"/>
      <c r="C179" s="5343"/>
      <c r="D179" s="282" t="s">
        <v>1112</v>
      </c>
      <c r="E179" s="3060" t="s">
        <v>2777</v>
      </c>
      <c r="F179" s="3060" t="s">
        <v>2778</v>
      </c>
      <c r="G179" s="3068" t="s">
        <v>2779</v>
      </c>
      <c r="H179" s="102" t="s">
        <v>2780</v>
      </c>
      <c r="I179" s="125" t="s">
        <v>2781</v>
      </c>
      <c r="J179" s="166" t="s">
        <v>2782</v>
      </c>
      <c r="K179" s="168" t="s">
        <v>2783</v>
      </c>
      <c r="L179" s="166" t="s">
        <v>2784</v>
      </c>
      <c r="M179" s="265" t="s">
        <v>2785</v>
      </c>
      <c r="N179" s="166" t="s">
        <v>2786</v>
      </c>
      <c r="O179" s="319" t="s">
        <v>2787</v>
      </c>
      <c r="P179" s="168" t="s">
        <v>2788</v>
      </c>
      <c r="Q179" s="168" t="s">
        <v>2789</v>
      </c>
      <c r="R179" s="168" t="s">
        <v>2790</v>
      </c>
      <c r="S179" s="168" t="s">
        <v>2791</v>
      </c>
      <c r="T179" s="168" t="s">
        <v>2792</v>
      </c>
      <c r="U179" s="125" t="s">
        <v>2793</v>
      </c>
      <c r="V179" s="1058"/>
      <c r="W179" s="1058"/>
      <c r="X179" s="1058"/>
      <c r="Y179" s="1058"/>
      <c r="Z179" s="1058"/>
      <c r="AA179" s="1058"/>
      <c r="AB179" s="94"/>
      <c r="AC179" s="94"/>
      <c r="BW179" s="79"/>
      <c r="BX179" s="79"/>
      <c r="CB179" s="1031" t="str">
        <f t="shared" si="71"/>
        <v xml:space="preserve">* El número de actividades en usuarios en situacion de discapacidad NO DEBE ser mayor al total. </v>
      </c>
      <c r="CI179" s="1163">
        <f t="shared" si="70"/>
        <v>1</v>
      </c>
      <c r="CJ179" s="1020"/>
      <c r="CK179" s="1020"/>
      <c r="CL179" s="1020"/>
      <c r="CM179" s="1020"/>
      <c r="CN179" s="1020"/>
      <c r="CO179" s="1020"/>
      <c r="CV179" s="889"/>
      <c r="CW179" s="889"/>
    </row>
    <row r="180" spans="1:101" ht="32.25" customHeight="1" x14ac:dyDescent="0.2">
      <c r="A180" s="3063" t="s">
        <v>3641</v>
      </c>
      <c r="B180" s="6073" t="s">
        <v>2774</v>
      </c>
      <c r="C180" s="5989" t="s">
        <v>1113</v>
      </c>
      <c r="D180" s="4158" t="s">
        <v>1114</v>
      </c>
      <c r="E180" s="4140" t="s">
        <v>2777</v>
      </c>
      <c r="F180" s="4140" t="s">
        <v>2778</v>
      </c>
      <c r="G180" s="4155" t="s">
        <v>2779</v>
      </c>
      <c r="H180" s="2396" t="s">
        <v>2780</v>
      </c>
      <c r="I180" s="2270" t="s">
        <v>2781</v>
      </c>
      <c r="J180" s="2577" t="s">
        <v>2782</v>
      </c>
      <c r="K180" s="2975" t="s">
        <v>2783</v>
      </c>
      <c r="L180" s="2577" t="s">
        <v>2784</v>
      </c>
      <c r="M180" s="3011" t="s">
        <v>2785</v>
      </c>
      <c r="N180" s="2577" t="s">
        <v>2786</v>
      </c>
      <c r="O180" s="2294" t="s">
        <v>2787</v>
      </c>
      <c r="P180" s="2975" t="s">
        <v>2788</v>
      </c>
      <c r="Q180" s="2975" t="s">
        <v>2789</v>
      </c>
      <c r="R180" s="2975" t="s">
        <v>2790</v>
      </c>
      <c r="S180" s="2975" t="s">
        <v>2791</v>
      </c>
      <c r="T180" s="2975" t="s">
        <v>2792</v>
      </c>
      <c r="U180" s="2270" t="s">
        <v>2793</v>
      </c>
      <c r="V180" s="1058"/>
      <c r="W180" s="1058"/>
      <c r="X180" s="1058"/>
      <c r="Y180" s="1058"/>
      <c r="Z180" s="1058"/>
      <c r="AA180" s="1058"/>
      <c r="AB180" s="94"/>
      <c r="AC180" s="94"/>
      <c r="BW180" s="79"/>
      <c r="BX180" s="79"/>
      <c r="CB180" s="1031" t="str">
        <f t="shared" si="71"/>
        <v xml:space="preserve">* El número de actividades en usuarios en situacion de discapacidad NO DEBE ser mayor al total. </v>
      </c>
      <c r="CI180" s="1163">
        <f t="shared" si="70"/>
        <v>0</v>
      </c>
      <c r="CJ180" s="1020"/>
      <c r="CK180" s="1020"/>
      <c r="CL180" s="1020"/>
      <c r="CM180" s="1020"/>
      <c r="CN180" s="1020"/>
      <c r="CO180" s="1020"/>
      <c r="CV180" s="889"/>
      <c r="CW180" s="889"/>
    </row>
    <row r="181" spans="1:101" ht="29.25" customHeight="1" x14ac:dyDescent="0.2">
      <c r="A181" s="3063" t="s">
        <v>3642</v>
      </c>
      <c r="B181" s="6074"/>
      <c r="C181" s="5343"/>
      <c r="D181" s="1250" t="s">
        <v>1115</v>
      </c>
      <c r="E181" s="3060" t="s">
        <v>2777</v>
      </c>
      <c r="F181" s="3060" t="s">
        <v>2778</v>
      </c>
      <c r="G181" s="3068" t="s">
        <v>2779</v>
      </c>
      <c r="H181" s="102" t="s">
        <v>2780</v>
      </c>
      <c r="I181" s="125" t="s">
        <v>2781</v>
      </c>
      <c r="J181" s="166" t="s">
        <v>2782</v>
      </c>
      <c r="K181" s="168" t="s">
        <v>2783</v>
      </c>
      <c r="L181" s="166" t="s">
        <v>2784</v>
      </c>
      <c r="M181" s="265" t="s">
        <v>2785</v>
      </c>
      <c r="N181" s="166" t="s">
        <v>2786</v>
      </c>
      <c r="O181" s="319" t="s">
        <v>2787</v>
      </c>
      <c r="P181" s="168" t="s">
        <v>2788</v>
      </c>
      <c r="Q181" s="168" t="s">
        <v>2789</v>
      </c>
      <c r="R181" s="168" t="s">
        <v>2790</v>
      </c>
      <c r="S181" s="168" t="s">
        <v>2791</v>
      </c>
      <c r="T181" s="168" t="s">
        <v>2792</v>
      </c>
      <c r="U181" s="125" t="s">
        <v>2793</v>
      </c>
      <c r="V181" s="1058"/>
      <c r="W181" s="1058"/>
      <c r="X181" s="1058"/>
      <c r="Y181" s="1058"/>
      <c r="Z181" s="1058"/>
      <c r="AA181" s="1058"/>
      <c r="AB181" s="94"/>
      <c r="AC181" s="94"/>
      <c r="AD181" s="94"/>
      <c r="AE181" s="94"/>
      <c r="AF181" s="94"/>
      <c r="AG181" s="94"/>
      <c r="AH181" s="94"/>
      <c r="AI181" s="94"/>
      <c r="AJ181" s="94"/>
      <c r="AK181" s="94"/>
      <c r="AL181" s="94"/>
      <c r="BW181" s="79"/>
      <c r="BX181" s="79"/>
      <c r="CB181" s="1031" t="str">
        <f t="shared" si="71"/>
        <v xml:space="preserve">* El número de actividades en usuarios en situacion de discapacidad NO DEBE ser mayor al total. </v>
      </c>
      <c r="CI181" s="1163">
        <f t="shared" si="70"/>
        <v>0</v>
      </c>
      <c r="CJ181" s="1020"/>
      <c r="CK181" s="1020"/>
      <c r="CL181" s="1020"/>
      <c r="CM181" s="1020"/>
      <c r="CN181" s="1020"/>
      <c r="CO181" s="1020"/>
      <c r="CV181" s="889"/>
      <c r="CW181" s="889"/>
    </row>
    <row r="182" spans="1:101" ht="37.5" customHeight="1" x14ac:dyDescent="0.2">
      <c r="B182" s="177" t="s">
        <v>859</v>
      </c>
      <c r="C182" s="504"/>
      <c r="D182" s="504"/>
      <c r="E182" s="504"/>
      <c r="F182" s="378"/>
      <c r="G182" s="378"/>
      <c r="H182" s="378"/>
      <c r="I182" s="378"/>
      <c r="J182" s="378"/>
      <c r="K182" s="378"/>
      <c r="L182" s="378"/>
      <c r="M182" s="378"/>
      <c r="N182" s="378"/>
      <c r="O182" s="378"/>
      <c r="P182" s="1071"/>
      <c r="Q182" s="1071"/>
      <c r="R182" s="1071"/>
      <c r="S182" s="1071"/>
      <c r="T182" s="1071"/>
      <c r="U182" s="1071"/>
      <c r="V182" s="1071"/>
      <c r="W182" s="1071"/>
      <c r="X182" s="1071"/>
      <c r="Y182" s="1071"/>
      <c r="Z182" s="94"/>
      <c r="AA182" s="94"/>
      <c r="AB182" s="94"/>
      <c r="AC182" s="94"/>
      <c r="AD182" s="94"/>
      <c r="AE182" s="94"/>
      <c r="AF182" s="94"/>
      <c r="AG182" s="94"/>
      <c r="AH182" s="94"/>
      <c r="AI182" s="94"/>
      <c r="AJ182" s="94"/>
      <c r="AK182" s="94"/>
      <c r="AL182" s="94"/>
      <c r="BW182" s="79"/>
      <c r="BX182" s="79"/>
      <c r="CI182" s="1020"/>
      <c r="CJ182" s="1020"/>
      <c r="CK182" s="1020"/>
      <c r="CL182" s="1020"/>
      <c r="CM182" s="1020"/>
      <c r="CN182" s="1020"/>
      <c r="CO182" s="1020"/>
    </row>
    <row r="183" spans="1:101" ht="30" customHeight="1" x14ac:dyDescent="0.2">
      <c r="B183" s="6064" t="s">
        <v>177</v>
      </c>
      <c r="C183" s="6065"/>
      <c r="D183" s="6066"/>
      <c r="E183" s="6046" t="s">
        <v>42</v>
      </c>
      <c r="F183" s="6047"/>
      <c r="G183" s="6020"/>
      <c r="H183" s="6048" t="s">
        <v>1136</v>
      </c>
      <c r="I183" s="6049"/>
      <c r="J183" s="6049"/>
      <c r="K183" s="6049"/>
      <c r="L183" s="6049"/>
      <c r="M183" s="6049"/>
      <c r="N183" s="6049"/>
      <c r="O183" s="6049"/>
      <c r="P183" s="6049"/>
      <c r="Q183" s="6049"/>
      <c r="R183" s="6049"/>
      <c r="S183" s="6049"/>
      <c r="T183" s="6049"/>
      <c r="U183" s="6049"/>
      <c r="V183" s="6049"/>
      <c r="W183" s="6049"/>
      <c r="X183" s="6049"/>
      <c r="Y183" s="6049"/>
      <c r="Z183" s="6049"/>
      <c r="AA183" s="6049"/>
      <c r="AB183" s="6049"/>
      <c r="AC183" s="6075"/>
      <c r="AD183" s="6039" t="s">
        <v>2765</v>
      </c>
      <c r="AE183" s="4159"/>
      <c r="AF183" s="6039" t="s">
        <v>1656</v>
      </c>
      <c r="AG183" s="6067" t="s">
        <v>1643</v>
      </c>
      <c r="AH183" s="6067" t="s">
        <v>1644</v>
      </c>
      <c r="AI183" s="94"/>
      <c r="AJ183" s="94"/>
      <c r="AK183" s="94"/>
      <c r="AL183" s="94"/>
      <c r="AM183" s="94"/>
      <c r="AN183" s="94"/>
      <c r="AO183" s="94"/>
      <c r="AP183" s="94"/>
      <c r="BW183" s="79"/>
      <c r="BX183" s="79"/>
      <c r="CI183" s="1020"/>
      <c r="CJ183" s="1020"/>
      <c r="CK183" s="1020"/>
      <c r="CL183" s="1020"/>
      <c r="CM183" s="1020"/>
      <c r="CN183" s="1020"/>
      <c r="CO183" s="1020"/>
    </row>
    <row r="184" spans="1:101" ht="32.1" customHeight="1" x14ac:dyDescent="0.2">
      <c r="B184" s="5338"/>
      <c r="C184" s="5274"/>
      <c r="D184" s="5258"/>
      <c r="E184" s="5153"/>
      <c r="F184" s="5122"/>
      <c r="G184" s="5143"/>
      <c r="H184" s="6069" t="s">
        <v>840</v>
      </c>
      <c r="I184" s="6070"/>
      <c r="J184" s="6069" t="s">
        <v>841</v>
      </c>
      <c r="K184" s="6070"/>
      <c r="L184" s="6048" t="s">
        <v>605</v>
      </c>
      <c r="M184" s="6050"/>
      <c r="N184" s="6048" t="s">
        <v>606</v>
      </c>
      <c r="O184" s="6050"/>
      <c r="P184" s="6048" t="s">
        <v>607</v>
      </c>
      <c r="Q184" s="6050"/>
      <c r="R184" s="6048" t="s">
        <v>608</v>
      </c>
      <c r="S184" s="6050"/>
      <c r="T184" s="6071" t="s">
        <v>609</v>
      </c>
      <c r="U184" s="6072"/>
      <c r="V184" s="6048" t="s">
        <v>649</v>
      </c>
      <c r="W184" s="6050"/>
      <c r="X184" s="6076" t="s">
        <v>612</v>
      </c>
      <c r="Y184" s="6077"/>
      <c r="Z184" s="6076" t="s">
        <v>613</v>
      </c>
      <c r="AA184" s="6077"/>
      <c r="AB184" s="6076" t="s">
        <v>614</v>
      </c>
      <c r="AC184" s="6078"/>
      <c r="AD184" s="6042"/>
      <c r="AE184" s="2407" t="s">
        <v>210</v>
      </c>
      <c r="AF184" s="6042"/>
      <c r="AG184" s="6068"/>
      <c r="AH184" s="6068"/>
      <c r="AI184" s="94"/>
      <c r="AJ184" s="94"/>
      <c r="AK184" s="94"/>
      <c r="AL184" s="94"/>
      <c r="AM184" s="94"/>
      <c r="AN184" s="94"/>
      <c r="AO184" s="94"/>
      <c r="AP184" s="94"/>
      <c r="BW184" s="79"/>
      <c r="BX184" s="79"/>
      <c r="CI184" s="1020"/>
      <c r="CJ184" s="1020"/>
      <c r="CK184" s="1020"/>
      <c r="CL184" s="1020"/>
      <c r="CM184" s="1020"/>
      <c r="CN184" s="1020"/>
      <c r="CO184" s="1020"/>
    </row>
    <row r="185" spans="1:101" ht="16.350000000000001" customHeight="1" x14ac:dyDescent="0.2">
      <c r="B185" s="5856"/>
      <c r="C185" s="5259"/>
      <c r="D185" s="5878"/>
      <c r="E185" s="4160" t="s">
        <v>184</v>
      </c>
      <c r="F185" s="4161" t="s">
        <v>24</v>
      </c>
      <c r="G185" s="4117" t="s">
        <v>25</v>
      </c>
      <c r="H185" s="4118" t="s">
        <v>24</v>
      </c>
      <c r="I185" s="4117" t="s">
        <v>25</v>
      </c>
      <c r="J185" s="4162" t="s">
        <v>24</v>
      </c>
      <c r="K185" s="4162" t="s">
        <v>25</v>
      </c>
      <c r="L185" s="4118" t="s">
        <v>24</v>
      </c>
      <c r="M185" s="4117" t="s">
        <v>25</v>
      </c>
      <c r="N185" s="4118" t="s">
        <v>24</v>
      </c>
      <c r="O185" s="4117" t="s">
        <v>25</v>
      </c>
      <c r="P185" s="4118" t="s">
        <v>24</v>
      </c>
      <c r="Q185" s="4117" t="s">
        <v>25</v>
      </c>
      <c r="R185" s="4118" t="s">
        <v>24</v>
      </c>
      <c r="S185" s="4117" t="s">
        <v>25</v>
      </c>
      <c r="T185" s="4118" t="s">
        <v>24</v>
      </c>
      <c r="U185" s="4117" t="s">
        <v>25</v>
      </c>
      <c r="V185" s="4118" t="s">
        <v>24</v>
      </c>
      <c r="W185" s="4117" t="s">
        <v>25</v>
      </c>
      <c r="X185" s="4118" t="s">
        <v>24</v>
      </c>
      <c r="Y185" s="4117" t="s">
        <v>25</v>
      </c>
      <c r="Z185" s="4118" t="s">
        <v>24</v>
      </c>
      <c r="AA185" s="4117" t="s">
        <v>25</v>
      </c>
      <c r="AB185" s="4118" t="s">
        <v>24</v>
      </c>
      <c r="AC185" s="4119" t="s">
        <v>25</v>
      </c>
      <c r="AD185" s="6045"/>
      <c r="AE185" s="4163"/>
      <c r="AF185" s="6045"/>
      <c r="AG185" s="5860"/>
      <c r="AH185" s="5860"/>
      <c r="AI185" s="94"/>
      <c r="AJ185" s="94"/>
      <c r="AK185" s="94"/>
      <c r="AL185" s="94"/>
      <c r="AM185" s="94"/>
      <c r="AN185" s="94"/>
      <c r="AO185" s="94"/>
      <c r="AP185" s="94"/>
      <c r="AQ185" s="94"/>
      <c r="AR185" s="94"/>
      <c r="AS185" s="94"/>
      <c r="AT185" s="94"/>
      <c r="AU185" s="94"/>
      <c r="BY185" s="80"/>
      <c r="BZ185" s="80"/>
      <c r="CI185" s="1020"/>
      <c r="CJ185" s="1020"/>
      <c r="CK185" s="1020"/>
      <c r="CL185" s="1020"/>
      <c r="CM185" s="1020"/>
      <c r="CN185" s="1020"/>
      <c r="CO185" s="1020"/>
    </row>
    <row r="186" spans="1:101" ht="16.350000000000001" customHeight="1" x14ac:dyDescent="0.2">
      <c r="A186" s="3009" t="s">
        <v>3643</v>
      </c>
      <c r="B186" s="6051" t="s">
        <v>1116</v>
      </c>
      <c r="C186" s="6052"/>
      <c r="D186" s="6053"/>
      <c r="E186" s="4164" t="s">
        <v>2777</v>
      </c>
      <c r="F186" s="4165" t="s">
        <v>2778</v>
      </c>
      <c r="G186" s="4166" t="s">
        <v>2779</v>
      </c>
      <c r="H186" s="4123" t="s">
        <v>2780</v>
      </c>
      <c r="I186" s="4167" t="s">
        <v>2781</v>
      </c>
      <c r="J186" s="4123" t="s">
        <v>2782</v>
      </c>
      <c r="K186" s="4167" t="s">
        <v>2783</v>
      </c>
      <c r="L186" s="3962" t="s">
        <v>2784</v>
      </c>
      <c r="M186" s="4126" t="s">
        <v>2785</v>
      </c>
      <c r="N186" s="3962" t="s">
        <v>2786</v>
      </c>
      <c r="O186" s="4126" t="s">
        <v>2787</v>
      </c>
      <c r="P186" s="3962" t="s">
        <v>2788</v>
      </c>
      <c r="Q186" s="4126" t="s">
        <v>2789</v>
      </c>
      <c r="R186" s="3962" t="s">
        <v>2790</v>
      </c>
      <c r="S186" s="4126" t="s">
        <v>2791</v>
      </c>
      <c r="T186" s="4153" t="s">
        <v>2792</v>
      </c>
      <c r="U186" s="4129" t="s">
        <v>2793</v>
      </c>
      <c r="V186" s="4123" t="s">
        <v>2794</v>
      </c>
      <c r="W186" s="4167" t="s">
        <v>2795</v>
      </c>
      <c r="X186" s="4123" t="s">
        <v>2796</v>
      </c>
      <c r="Y186" s="4167" t="s">
        <v>2797</v>
      </c>
      <c r="Z186" s="4123" t="s">
        <v>2798</v>
      </c>
      <c r="AA186" s="4167" t="s">
        <v>2799</v>
      </c>
      <c r="AB186" s="4123" t="s">
        <v>2800</v>
      </c>
      <c r="AC186" s="4168" t="s">
        <v>2801</v>
      </c>
      <c r="AD186" s="4126" t="s">
        <v>2817</v>
      </c>
      <c r="AE186" s="4169" t="s">
        <v>2818</v>
      </c>
      <c r="AF186" s="4126" t="s">
        <v>2819</v>
      </c>
      <c r="AG186" s="4126" t="s">
        <v>2821</v>
      </c>
      <c r="AH186" s="4126" t="s">
        <v>2822</v>
      </c>
      <c r="AI186" s="1079" t="str">
        <f>CB186&amp;CC186&amp;CD186&amp;CE186</f>
        <v xml:space="preserve">* El número de actividades en usuarios en situacion de discapacidad NO DEBE ser mayor al total. * El número de actividades en usuarios JUNJI NO DEBE ser mayor al total. * El número de actividades en usuarios INTEGRA NO DEBE ser mayor al total. * El número de actividades en usuarios MINEDUC NO DEBE ser mayor al total. </v>
      </c>
      <c r="AJ186" s="1058"/>
      <c r="AK186" s="1058"/>
      <c r="AL186" s="1058"/>
      <c r="AM186" s="94"/>
      <c r="AN186" s="94"/>
      <c r="AO186" s="94"/>
      <c r="AP186" s="94"/>
      <c r="AQ186" s="94"/>
      <c r="AR186" s="94"/>
      <c r="AS186" s="94"/>
      <c r="AT186" s="94"/>
      <c r="AU186" s="94"/>
      <c r="BY186" s="80"/>
      <c r="BZ186" s="80"/>
      <c r="CB186" s="1031" t="str">
        <f>IF(CI186=1,"* El número de actividades en usuarios en situacion de discapacidad NO DEBE ser mayor al total. ","")</f>
        <v xml:space="preserve">* El número de actividades en usuarios en situacion de discapacidad NO DEBE ser mayor al total. </v>
      </c>
      <c r="CC186" s="1031" t="str">
        <f>IF(CJ186=1,"* El número de actividades en usuarios JUNJI NO DEBE ser mayor al total. ","")</f>
        <v xml:space="preserve">* El número de actividades en usuarios JUNJI NO DEBE ser mayor al total. </v>
      </c>
      <c r="CD186" s="1031" t="str">
        <f>IF(CK186=1,"* El número de actividades en usuarios INTEGRA NO DEBE ser mayor al total. ","")</f>
        <v xml:space="preserve">* El número de actividades en usuarios INTEGRA NO DEBE ser mayor al total. </v>
      </c>
      <c r="CE186" s="1031" t="str">
        <f>IF(CL186=1,"* El número de actividades en usuarios MINEDUC NO DEBE ser mayor al total. ","")</f>
        <v xml:space="preserve">* El número de actividades en usuarios MINEDUC NO DEBE ser mayor al total. </v>
      </c>
      <c r="CF186" s="1031" t="str">
        <f>IF(CM186=1,"* El total de actividades de JUNJI, Integra y MINEDUC no puede superar el Total.","")</f>
        <v>* El total de actividades de JUNJI, Integra y MINEDUC no puede superar el Total.</v>
      </c>
      <c r="CI186" s="1163">
        <f>IF(E186&lt;AD186,1,0)</f>
        <v>1</v>
      </c>
      <c r="CJ186" s="1163">
        <f>IF(E186&lt;AF186,1,0)</f>
        <v>1</v>
      </c>
      <c r="CK186" s="1163">
        <f>IF(E186&lt;AG186,1,0)</f>
        <v>1</v>
      </c>
      <c r="CL186" s="1163">
        <f>IF(E186&lt;AH186,1,0)</f>
        <v>1</v>
      </c>
      <c r="CM186" s="1163">
        <f>IF(D186&lt;AE186,1,0)</f>
        <v>1</v>
      </c>
      <c r="CN186" s="1020"/>
      <c r="CO186" s="1020"/>
    </row>
    <row r="187" spans="1:101" ht="16.350000000000001" customHeight="1" x14ac:dyDescent="0.2">
      <c r="A187" s="3009" t="s">
        <v>3644</v>
      </c>
      <c r="B187" s="5998" t="s">
        <v>1117</v>
      </c>
      <c r="C187" s="6054"/>
      <c r="D187" s="5999"/>
      <c r="E187" s="4170" t="s">
        <v>2777</v>
      </c>
      <c r="F187" s="3069" t="s">
        <v>2778</v>
      </c>
      <c r="G187" s="3949" t="s">
        <v>2779</v>
      </c>
      <c r="H187" s="2578" t="s">
        <v>2780</v>
      </c>
      <c r="I187" s="3006" t="s">
        <v>2781</v>
      </c>
      <c r="J187" s="2578" t="s">
        <v>2782</v>
      </c>
      <c r="K187" s="3006" t="s">
        <v>2783</v>
      </c>
      <c r="L187" s="2577" t="s">
        <v>2784</v>
      </c>
      <c r="M187" s="2975" t="s">
        <v>2785</v>
      </c>
      <c r="N187" s="2577" t="s">
        <v>2786</v>
      </c>
      <c r="O187" s="2975" t="s">
        <v>2787</v>
      </c>
      <c r="P187" s="2577" t="s">
        <v>2788</v>
      </c>
      <c r="Q187" s="2975" t="s">
        <v>2789</v>
      </c>
      <c r="R187" s="2577" t="s">
        <v>2790</v>
      </c>
      <c r="S187" s="2975" t="s">
        <v>2791</v>
      </c>
      <c r="T187" s="4171" t="s">
        <v>2792</v>
      </c>
      <c r="U187" s="3064" t="s">
        <v>2793</v>
      </c>
      <c r="V187" s="173" t="s">
        <v>2794</v>
      </c>
      <c r="W187" s="174" t="s">
        <v>2795</v>
      </c>
      <c r="X187" s="2578" t="s">
        <v>2796</v>
      </c>
      <c r="Y187" s="3006" t="s">
        <v>2797</v>
      </c>
      <c r="Z187" s="173" t="s">
        <v>2798</v>
      </c>
      <c r="AA187" s="174" t="s">
        <v>2799</v>
      </c>
      <c r="AB187" s="173" t="s">
        <v>2800</v>
      </c>
      <c r="AC187" s="507" t="s">
        <v>2801</v>
      </c>
      <c r="AD187" s="2975" t="s">
        <v>2817</v>
      </c>
      <c r="AE187" s="3074" t="s">
        <v>2818</v>
      </c>
      <c r="AF187" s="2975" t="s">
        <v>2819</v>
      </c>
      <c r="AG187" s="2975" t="s">
        <v>2821</v>
      </c>
      <c r="AH187" s="2975" t="s">
        <v>2822</v>
      </c>
      <c r="AI187" s="1079" t="str">
        <f>CB187&amp;CC187&amp;CD187&amp;CE187</f>
        <v xml:space="preserve">* El número de actividades en usuarios en situacion de discapacidad NO DEBE ser mayor al total. * El número de actividades en usuarios JUNJI NO DEBE ser mayor al total. * El número de actividades en usuarios INTEGRA NO DEBE ser mayor al total. * El número de actividades en usuarios MINEDUC NO DEBE ser mayor al total. </v>
      </c>
      <c r="AJ187" s="1058"/>
      <c r="AK187" s="1058"/>
      <c r="AL187" s="1058"/>
      <c r="AM187" s="94"/>
      <c r="AN187" s="94"/>
      <c r="AO187" s="94"/>
      <c r="AP187" s="94"/>
      <c r="AQ187" s="94"/>
      <c r="AR187" s="94"/>
      <c r="AS187" s="94"/>
      <c r="AT187" s="94"/>
      <c r="AU187" s="94"/>
      <c r="BY187" s="80"/>
      <c r="BZ187" s="80"/>
      <c r="CB187" s="1031" t="str">
        <f>IF(CI187=1,"* El número de actividades en usuarios en situacion de discapacidad NO DEBE ser mayor al total. ","")</f>
        <v xml:space="preserve">* El número de actividades en usuarios en situacion de discapacidad NO DEBE ser mayor al total. </v>
      </c>
      <c r="CC187" s="1031" t="str">
        <f>IF(CJ187=1,"* El número de actividades en usuarios JUNJI NO DEBE ser mayor al total. ","")</f>
        <v xml:space="preserve">* El número de actividades en usuarios JUNJI NO DEBE ser mayor al total. </v>
      </c>
      <c r="CD187" s="1031" t="str">
        <f>IF(CK187=1,"* El número de actividades en usuarios INTEGRA NO DEBE ser mayor al total. ","")</f>
        <v xml:space="preserve">* El número de actividades en usuarios INTEGRA NO DEBE ser mayor al total. </v>
      </c>
      <c r="CE187" s="1031" t="str">
        <f>IF(CL187=1,"* El número de actividades en usuarios MINEDUC NO DEBE ser mayor al total. ","")</f>
        <v xml:space="preserve">* El número de actividades en usuarios MINEDUC NO DEBE ser mayor al total. </v>
      </c>
      <c r="CF187" s="1031" t="str">
        <f>IF(CM187=1,"* El total de actividades de JUNJI, Integra y MINEDUC no puede superar el Total.","")</f>
        <v>* El total de actividades de JUNJI, Integra y MINEDUC no puede superar el Total.</v>
      </c>
      <c r="CI187" s="1163">
        <f>IF(E187&lt;AD187,1,0)</f>
        <v>1</v>
      </c>
      <c r="CJ187" s="1163">
        <f>IF(E187&lt;AF187,1,0)</f>
        <v>1</v>
      </c>
      <c r="CK187" s="1163">
        <f>IF(E187&lt;AG187,1,0)</f>
        <v>1</v>
      </c>
      <c r="CL187" s="1163">
        <f>IF(E187&lt;AH187,1,0)</f>
        <v>1</v>
      </c>
      <c r="CM187" s="1163">
        <f>IF(D187&lt;AE187,1,0)</f>
        <v>1</v>
      </c>
      <c r="CN187" s="1020"/>
      <c r="CO187" s="1020"/>
    </row>
    <row r="188" spans="1:101" ht="16.350000000000001" customHeight="1" x14ac:dyDescent="0.2">
      <c r="A188" s="3009" t="s">
        <v>3645</v>
      </c>
      <c r="B188" s="6055" t="s">
        <v>1556</v>
      </c>
      <c r="C188" s="6056"/>
      <c r="D188" s="6057"/>
      <c r="E188" s="3070" t="s">
        <v>2777</v>
      </c>
      <c r="F188" s="3069" t="s">
        <v>2778</v>
      </c>
      <c r="G188" s="3949" t="s">
        <v>2779</v>
      </c>
      <c r="H188" s="2578" t="s">
        <v>2780</v>
      </c>
      <c r="I188" s="3006" t="s">
        <v>2781</v>
      </c>
      <c r="J188" s="2578" t="s">
        <v>2782</v>
      </c>
      <c r="K188" s="3006" t="s">
        <v>2783</v>
      </c>
      <c r="L188" s="2577" t="s">
        <v>2784</v>
      </c>
      <c r="M188" s="2975" t="s">
        <v>2785</v>
      </c>
      <c r="N188" s="2577" t="s">
        <v>2786</v>
      </c>
      <c r="O188" s="2975" t="s">
        <v>2787</v>
      </c>
      <c r="P188" s="2577" t="s">
        <v>2788</v>
      </c>
      <c r="Q188" s="2975" t="s">
        <v>2789</v>
      </c>
      <c r="R188" s="2577" t="s">
        <v>2790</v>
      </c>
      <c r="S188" s="2975" t="s">
        <v>2791</v>
      </c>
      <c r="T188" s="4171" t="s">
        <v>2792</v>
      </c>
      <c r="U188" s="3064" t="s">
        <v>2793</v>
      </c>
      <c r="V188" s="173" t="s">
        <v>2794</v>
      </c>
      <c r="W188" s="174" t="s">
        <v>2795</v>
      </c>
      <c r="X188" s="2578" t="s">
        <v>2796</v>
      </c>
      <c r="Y188" s="3006" t="s">
        <v>2797</v>
      </c>
      <c r="Z188" s="173" t="s">
        <v>2798</v>
      </c>
      <c r="AA188" s="174" t="s">
        <v>2799</v>
      </c>
      <c r="AB188" s="173" t="s">
        <v>2800</v>
      </c>
      <c r="AC188" s="507" t="s">
        <v>2801</v>
      </c>
      <c r="AD188" s="2975" t="s">
        <v>2817</v>
      </c>
      <c r="AE188" s="3074" t="s">
        <v>2818</v>
      </c>
      <c r="AF188" s="2975" t="s">
        <v>2819</v>
      </c>
      <c r="AG188" s="2975" t="s">
        <v>2821</v>
      </c>
      <c r="AH188" s="2975" t="s">
        <v>2822</v>
      </c>
      <c r="AI188" s="1079" t="str">
        <f>CB188&amp;CC188&amp;CD188&amp;CE188</f>
        <v xml:space="preserve">* El número de actividades en usuarios en situacion de discapacidad NO DEBE ser mayor al total. * El número de actividades en usuarios JUNJI NO DEBE ser mayor al total. * El número de actividades en usuarios INTEGRA NO DEBE ser mayor al total. * El número de actividades en usuarios MINEDUC NO DEBE ser mayor al total. </v>
      </c>
      <c r="AJ188" s="1058"/>
      <c r="AK188" s="1058"/>
      <c r="AL188" s="1058"/>
      <c r="AM188" s="1058"/>
      <c r="AN188" s="1058"/>
      <c r="AO188" s="1058"/>
      <c r="AP188" s="1058"/>
      <c r="AQ188" s="1058"/>
      <c r="AR188" s="1058"/>
      <c r="AS188" s="1058"/>
      <c r="AT188" s="94"/>
      <c r="AU188" s="94"/>
      <c r="BY188" s="80"/>
      <c r="BZ188" s="80"/>
      <c r="CB188" s="1031" t="str">
        <f>IF(CI188=1,"* El número de actividades en usuarios en situacion de discapacidad NO DEBE ser mayor al total. ","")</f>
        <v xml:space="preserve">* El número de actividades en usuarios en situacion de discapacidad NO DEBE ser mayor al total. </v>
      </c>
      <c r="CC188" s="1031" t="str">
        <f>IF(CJ188=1,"* El número de actividades en usuarios JUNJI NO DEBE ser mayor al total. ","")</f>
        <v xml:space="preserve">* El número de actividades en usuarios JUNJI NO DEBE ser mayor al total. </v>
      </c>
      <c r="CD188" s="1031" t="str">
        <f>IF(CK188=1,"* El número de actividades en usuarios INTEGRA NO DEBE ser mayor al total. ","")</f>
        <v xml:space="preserve">* El número de actividades en usuarios INTEGRA NO DEBE ser mayor al total. </v>
      </c>
      <c r="CE188" s="1031" t="str">
        <f>IF(CL188=1,"* El número de actividades en usuarios MINEDUC NO DEBE ser mayor al total. ","")</f>
        <v xml:space="preserve">* El número de actividades en usuarios MINEDUC NO DEBE ser mayor al total. </v>
      </c>
      <c r="CF188" s="1031" t="str">
        <f>IF(CM188=1,"* El total de actividades de JUNJI, Integra y MINEDUC no puede superar el Total.","")</f>
        <v>* El total de actividades de JUNJI, Integra y MINEDUC no puede superar el Total.</v>
      </c>
      <c r="CI188" s="1163">
        <f>IF(E188&lt;AD188,1,0)</f>
        <v>1</v>
      </c>
      <c r="CJ188" s="1163">
        <f>IF(E188&lt;AF188,1,0)</f>
        <v>1</v>
      </c>
      <c r="CK188" s="1163">
        <f>IF(E188&lt;AG188,1,0)</f>
        <v>1</v>
      </c>
      <c r="CL188" s="1163">
        <f>IF(E188&lt;AH188,1,0)</f>
        <v>1</v>
      </c>
      <c r="CM188" s="1163">
        <f>IF(D188&lt;AE188,1,0)</f>
        <v>1</v>
      </c>
      <c r="CN188" s="1020"/>
      <c r="CO188" s="1020"/>
    </row>
    <row r="189" spans="1:101" ht="16.350000000000001" customHeight="1" x14ac:dyDescent="0.2">
      <c r="A189" s="3009" t="s">
        <v>3646</v>
      </c>
      <c r="B189" s="6058" t="s">
        <v>1118</v>
      </c>
      <c r="C189" s="6059"/>
      <c r="D189" s="6060"/>
      <c r="E189" s="3070" t="s">
        <v>2777</v>
      </c>
      <c r="F189" s="3953" t="s">
        <v>2778</v>
      </c>
      <c r="G189" s="3937" t="s">
        <v>2779</v>
      </c>
      <c r="H189" s="173" t="s">
        <v>2780</v>
      </c>
      <c r="I189" s="174" t="s">
        <v>2781</v>
      </c>
      <c r="J189" s="173" t="s">
        <v>2782</v>
      </c>
      <c r="K189" s="174" t="s">
        <v>2783</v>
      </c>
      <c r="L189" s="141" t="s">
        <v>2784</v>
      </c>
      <c r="M189" s="198" t="s">
        <v>2785</v>
      </c>
      <c r="N189" s="141" t="s">
        <v>2786</v>
      </c>
      <c r="O189" s="198" t="s">
        <v>2787</v>
      </c>
      <c r="P189" s="141" t="s">
        <v>2788</v>
      </c>
      <c r="Q189" s="198" t="s">
        <v>2789</v>
      </c>
      <c r="R189" s="141" t="s">
        <v>2790</v>
      </c>
      <c r="S189" s="198" t="s">
        <v>2791</v>
      </c>
      <c r="T189" s="1095" t="s">
        <v>2792</v>
      </c>
      <c r="U189" s="1097" t="s">
        <v>2793</v>
      </c>
      <c r="V189" s="173" t="s">
        <v>2794</v>
      </c>
      <c r="W189" s="174" t="s">
        <v>2795</v>
      </c>
      <c r="X189" s="173" t="s">
        <v>2796</v>
      </c>
      <c r="Y189" s="174" t="s">
        <v>2797</v>
      </c>
      <c r="Z189" s="173" t="s">
        <v>2798</v>
      </c>
      <c r="AA189" s="174" t="s">
        <v>2799</v>
      </c>
      <c r="AB189" s="173" t="s">
        <v>2800</v>
      </c>
      <c r="AC189" s="507" t="s">
        <v>2801</v>
      </c>
      <c r="AD189" s="198" t="s">
        <v>2817</v>
      </c>
      <c r="AE189" s="3074" t="s">
        <v>2818</v>
      </c>
      <c r="AF189" s="198" t="s">
        <v>2819</v>
      </c>
      <c r="AG189" s="198" t="s">
        <v>2821</v>
      </c>
      <c r="AH189" s="198" t="s">
        <v>2822</v>
      </c>
      <c r="AI189" s="1079" t="str">
        <f>CB189&amp;CC189&amp;CD189&amp;CE189</f>
        <v xml:space="preserve">* El número de actividades en usuarios en situacion de discapacidad NO DEBE ser mayor al total. * El número de actividades en usuarios JUNJI NO DEBE ser mayor al total. * El número de actividades en usuarios INTEGRA NO DEBE ser mayor al total. * El número de actividades en usuarios MINEDUC NO DEBE ser mayor al total. </v>
      </c>
      <c r="AJ189" s="1058"/>
      <c r="AK189" s="1058"/>
      <c r="AL189" s="1058"/>
      <c r="AM189" s="1058"/>
      <c r="AN189" s="1058"/>
      <c r="AO189" s="1058"/>
      <c r="AP189" s="1058"/>
      <c r="AQ189" s="1058"/>
      <c r="AR189" s="1058"/>
      <c r="AS189" s="1058"/>
      <c r="AT189" s="94"/>
      <c r="AU189" s="94"/>
      <c r="BY189" s="80"/>
      <c r="BZ189" s="80"/>
      <c r="CB189" s="1031" t="str">
        <f>IF(CI189=1,"* El número de actividades en usuarios en situacion de discapacidad NO DEBE ser mayor al total. ","")</f>
        <v xml:space="preserve">* El número de actividades en usuarios en situacion de discapacidad NO DEBE ser mayor al total. </v>
      </c>
      <c r="CC189" s="1031" t="str">
        <f>IF(CJ189=1,"* El número de actividades en usuarios JUNJI NO DEBE ser mayor al total. ","")</f>
        <v xml:space="preserve">* El número de actividades en usuarios JUNJI NO DEBE ser mayor al total. </v>
      </c>
      <c r="CD189" s="1031" t="str">
        <f>IF(CK189=1,"* El número de actividades en usuarios INTEGRA NO DEBE ser mayor al total. ","")</f>
        <v xml:space="preserve">* El número de actividades en usuarios INTEGRA NO DEBE ser mayor al total. </v>
      </c>
      <c r="CE189" s="1031" t="str">
        <f>IF(CL189=1,"* El número de actividades en usuarios MINEDUC NO DEBE ser mayor al total. ","")</f>
        <v xml:space="preserve">* El número de actividades en usuarios MINEDUC NO DEBE ser mayor al total. </v>
      </c>
      <c r="CF189" s="1031" t="str">
        <f>IF(CM189=1,"* El total de actividades de JUNJI, Integra y MINEDUC no puede superar el Total.","")</f>
        <v>* El total de actividades de JUNJI, Integra y MINEDUC no puede superar el Total.</v>
      </c>
      <c r="CI189" s="1163">
        <f>IF(E189&lt;AD189,1,0)</f>
        <v>1</v>
      </c>
      <c r="CJ189" s="1163">
        <f>IF(E189&lt;AF189,1,0)</f>
        <v>1</v>
      </c>
      <c r="CK189" s="1163">
        <f>IF(E189&lt;AG189,1,0)</f>
        <v>1</v>
      </c>
      <c r="CL189" s="1163">
        <f>IF(E189&lt;AH189,1,0)</f>
        <v>1</v>
      </c>
      <c r="CM189" s="1163">
        <f>IF(D189&lt;AE189,1,0)</f>
        <v>1</v>
      </c>
      <c r="CN189" s="1020"/>
      <c r="CO189" s="1020"/>
    </row>
    <row r="190" spans="1:101" ht="16.350000000000001" customHeight="1" x14ac:dyDescent="0.2">
      <c r="A190" s="3009" t="s">
        <v>3647</v>
      </c>
      <c r="B190" s="6061" t="s">
        <v>1645</v>
      </c>
      <c r="C190" s="6062"/>
      <c r="D190" s="6063"/>
      <c r="E190" s="3071" t="s">
        <v>2777</v>
      </c>
      <c r="F190" s="3072" t="s">
        <v>2778</v>
      </c>
      <c r="G190" s="3073" t="s">
        <v>2779</v>
      </c>
      <c r="H190" s="101" t="s">
        <v>2780</v>
      </c>
      <c r="I190" s="169" t="s">
        <v>2781</v>
      </c>
      <c r="J190" s="101" t="s">
        <v>2782</v>
      </c>
      <c r="K190" s="169" t="s">
        <v>2783</v>
      </c>
      <c r="L190" s="101" t="s">
        <v>2784</v>
      </c>
      <c r="M190" s="169" t="s">
        <v>2785</v>
      </c>
      <c r="N190" s="101" t="s">
        <v>2786</v>
      </c>
      <c r="O190" s="169" t="s">
        <v>2787</v>
      </c>
      <c r="P190" s="101" t="s">
        <v>2788</v>
      </c>
      <c r="Q190" s="169" t="s">
        <v>2789</v>
      </c>
      <c r="R190" s="101" t="s">
        <v>2790</v>
      </c>
      <c r="S190" s="169" t="s">
        <v>2791</v>
      </c>
      <c r="T190" s="3076" t="s">
        <v>2792</v>
      </c>
      <c r="U190" s="3077" t="s">
        <v>2793</v>
      </c>
      <c r="V190" s="101" t="s">
        <v>2794</v>
      </c>
      <c r="W190" s="169" t="s">
        <v>2795</v>
      </c>
      <c r="X190" s="101" t="s">
        <v>2796</v>
      </c>
      <c r="Y190" s="169" t="s">
        <v>2797</v>
      </c>
      <c r="Z190" s="101" t="s">
        <v>2798</v>
      </c>
      <c r="AA190" s="169" t="s">
        <v>2799</v>
      </c>
      <c r="AB190" s="101" t="s">
        <v>2800</v>
      </c>
      <c r="AC190" s="429" t="s">
        <v>2801</v>
      </c>
      <c r="AD190" s="1151" t="s">
        <v>2817</v>
      </c>
      <c r="AE190" s="3075" t="s">
        <v>2818</v>
      </c>
      <c r="AF190" s="168" t="s">
        <v>2819</v>
      </c>
      <c r="AG190" s="168" t="s">
        <v>2821</v>
      </c>
      <c r="AH190" s="168" t="s">
        <v>2822</v>
      </c>
      <c r="AI190" s="1079" t="str">
        <f>CB190&amp;CC190&amp;CD190&amp;CE190</f>
        <v/>
      </c>
      <c r="AJ190" s="1058"/>
      <c r="AK190" s="1058"/>
      <c r="AL190" s="1058"/>
      <c r="AM190" s="1058"/>
      <c r="AN190" s="1058"/>
      <c r="AO190" s="1058"/>
      <c r="AP190" s="1058"/>
      <c r="AQ190" s="1058"/>
      <c r="AR190" s="1058"/>
      <c r="AS190" s="1058"/>
      <c r="AT190" s="94"/>
      <c r="AU190" s="94"/>
      <c r="BY190" s="80"/>
      <c r="BZ190" s="80"/>
      <c r="CB190" s="1031"/>
      <c r="CC190" s="1031"/>
      <c r="CD190" s="1031"/>
      <c r="CE190" s="1031"/>
      <c r="CF190" s="1031"/>
      <c r="CI190" s="1163"/>
      <c r="CJ190" s="1163"/>
      <c r="CK190" s="1163"/>
      <c r="CL190" s="1163"/>
      <c r="CM190" s="1163"/>
      <c r="CN190" s="1020"/>
      <c r="CO190" s="1020"/>
    </row>
    <row r="191" spans="1:101" ht="16.350000000000001" customHeight="1" x14ac:dyDescent="0.2">
      <c r="B191" s="3944" t="s">
        <v>638</v>
      </c>
      <c r="C191" s="2408"/>
      <c r="D191" s="504"/>
      <c r="E191" s="378"/>
      <c r="F191" s="378"/>
      <c r="G191" s="505"/>
      <c r="H191" s="505"/>
      <c r="I191" s="505"/>
      <c r="J191" s="494"/>
      <c r="K191" s="4172"/>
      <c r="L191" s="2409"/>
      <c r="M191" s="494"/>
      <c r="N191" s="1098"/>
      <c r="O191" s="1098"/>
      <c r="AC191" s="94"/>
      <c r="AD191" s="94"/>
      <c r="AE191" s="94"/>
      <c r="AF191" s="94"/>
      <c r="AG191" s="94"/>
      <c r="AH191" s="94"/>
      <c r="AI191" s="94"/>
      <c r="AJ191" s="94"/>
      <c r="AK191" s="94"/>
      <c r="AL191" s="94"/>
      <c r="AM191" s="1058"/>
      <c r="AN191" s="1058"/>
      <c r="AO191" s="1058"/>
      <c r="AP191" s="1058"/>
      <c r="AQ191" s="1058"/>
      <c r="AR191" s="1058"/>
      <c r="AS191" s="1058"/>
      <c r="AT191" s="94"/>
      <c r="AU191" s="94"/>
      <c r="BY191" s="80"/>
      <c r="BZ191" s="80"/>
      <c r="CI191" s="1163"/>
      <c r="CJ191" s="1163"/>
      <c r="CK191" s="1163"/>
      <c r="CL191" s="1163"/>
      <c r="CM191" s="1020"/>
      <c r="CN191" s="1020"/>
      <c r="CO191" s="1020"/>
    </row>
    <row r="192" spans="1:101" ht="16.350000000000001" customHeight="1" x14ac:dyDescent="0.2">
      <c r="B192" s="6064" t="s">
        <v>177</v>
      </c>
      <c r="C192" s="6065"/>
      <c r="D192" s="6066"/>
      <c r="E192" s="6047" t="s">
        <v>42</v>
      </c>
      <c r="F192" s="6047"/>
      <c r="G192" s="6020"/>
      <c r="H192" s="6048" t="s">
        <v>1136</v>
      </c>
      <c r="I192" s="6049"/>
      <c r="J192" s="6049"/>
      <c r="K192" s="6050"/>
      <c r="AC192" s="94"/>
      <c r="AD192" s="94"/>
      <c r="AE192" s="94"/>
      <c r="AF192" s="94"/>
      <c r="AG192" s="94"/>
      <c r="AH192" s="94"/>
      <c r="AI192" s="94"/>
      <c r="AJ192" s="94"/>
      <c r="AK192" s="94"/>
      <c r="AL192" s="94"/>
      <c r="AM192" s="1058"/>
      <c r="AN192" s="1058"/>
      <c r="AO192" s="1058"/>
      <c r="AP192" s="1058"/>
      <c r="AQ192" s="1058"/>
      <c r="AR192" s="1058"/>
      <c r="AS192" s="1058"/>
      <c r="AT192" s="94"/>
      <c r="AU192" s="94"/>
      <c r="BY192" s="80"/>
      <c r="BZ192" s="80"/>
      <c r="CI192" s="1020"/>
      <c r="CJ192" s="1020"/>
      <c r="CK192" s="1020"/>
      <c r="CL192" s="1020"/>
      <c r="CM192" s="1020"/>
      <c r="CN192" s="1020"/>
      <c r="CO192" s="1020"/>
    </row>
    <row r="193" spans="1:99" ht="32.1" customHeight="1" x14ac:dyDescent="0.2">
      <c r="B193" s="5338"/>
      <c r="C193" s="5274"/>
      <c r="D193" s="5258"/>
      <c r="E193" s="5317"/>
      <c r="F193" s="5317"/>
      <c r="G193" s="5297"/>
      <c r="H193" s="5989" t="s">
        <v>639</v>
      </c>
      <c r="I193" s="5989" t="s">
        <v>640</v>
      </c>
      <c r="J193" s="5989" t="s">
        <v>233</v>
      </c>
      <c r="K193" s="5989" t="s">
        <v>641</v>
      </c>
      <c r="L193" s="94"/>
      <c r="M193" s="94"/>
      <c r="N193" s="94"/>
      <c r="O193" s="94"/>
      <c r="P193" s="94"/>
      <c r="Q193" s="94"/>
      <c r="R193" s="94"/>
      <c r="S193" s="94"/>
      <c r="T193" s="94"/>
      <c r="U193" s="94"/>
      <c r="V193" s="94"/>
      <c r="W193" s="94"/>
      <c r="X193" s="94"/>
      <c r="AC193" s="94"/>
      <c r="AD193" s="94"/>
      <c r="AE193" s="94"/>
      <c r="AF193" s="94"/>
      <c r="AG193" s="94"/>
      <c r="AH193" s="94"/>
      <c r="AI193" s="94"/>
      <c r="AJ193" s="94"/>
      <c r="AK193" s="94"/>
      <c r="AL193" s="94"/>
      <c r="AM193" s="94"/>
      <c r="AN193" s="94"/>
      <c r="AO193" s="94"/>
      <c r="AP193" s="94"/>
      <c r="BW193" s="79"/>
      <c r="BX193" s="79"/>
      <c r="CI193" s="1020"/>
      <c r="CJ193" s="1020"/>
      <c r="CK193" s="1020"/>
      <c r="CL193" s="1020"/>
      <c r="CM193" s="1020"/>
      <c r="CN193" s="1020"/>
      <c r="CO193" s="1020"/>
    </row>
    <row r="194" spans="1:99" ht="16.350000000000001" customHeight="1" x14ac:dyDescent="0.2">
      <c r="B194" s="5856"/>
      <c r="C194" s="5259"/>
      <c r="D194" s="5878"/>
      <c r="E194" s="4173" t="s">
        <v>184</v>
      </c>
      <c r="F194" s="4113" t="s">
        <v>24</v>
      </c>
      <c r="G194" s="3930" t="s">
        <v>25</v>
      </c>
      <c r="H194" s="5343"/>
      <c r="I194" s="5343"/>
      <c r="J194" s="5343"/>
      <c r="K194" s="5343"/>
      <c r="L194" s="94"/>
      <c r="M194" s="94"/>
      <c r="N194" s="94"/>
      <c r="O194" s="94"/>
      <c r="P194" s="94"/>
      <c r="Q194" s="94"/>
      <c r="R194" s="94"/>
      <c r="S194" s="94"/>
      <c r="T194" s="94"/>
      <c r="U194" s="94"/>
      <c r="V194" s="94"/>
      <c r="W194" s="94"/>
      <c r="X194" s="94"/>
      <c r="AM194" s="94"/>
      <c r="AN194" s="94"/>
      <c r="AO194" s="94"/>
      <c r="AP194" s="94"/>
      <c r="BW194" s="79"/>
      <c r="BX194" s="79"/>
      <c r="CI194" s="1020"/>
      <c r="CJ194" s="1020"/>
      <c r="CK194" s="1020"/>
      <c r="CL194" s="1020"/>
      <c r="CM194" s="1020"/>
      <c r="CN194" s="1020"/>
      <c r="CO194" s="1020"/>
    </row>
    <row r="195" spans="1:99" ht="16.350000000000001" customHeight="1" x14ac:dyDescent="0.2">
      <c r="A195" s="3009" t="s">
        <v>3648</v>
      </c>
      <c r="B195" s="6027" t="s">
        <v>1642</v>
      </c>
      <c r="C195" s="6028"/>
      <c r="D195" s="6029"/>
      <c r="E195" s="4174" t="s">
        <v>2777</v>
      </c>
      <c r="F195" s="4102" t="s">
        <v>2778</v>
      </c>
      <c r="G195" s="4102" t="s">
        <v>2779</v>
      </c>
      <c r="H195" s="3962" t="s">
        <v>2780</v>
      </c>
      <c r="I195" s="3962" t="s">
        <v>2781</v>
      </c>
      <c r="J195" s="3962" t="s">
        <v>2782</v>
      </c>
      <c r="K195" s="4102" t="s">
        <v>2783</v>
      </c>
      <c r="L195" s="1079" t="e">
        <f>CB195</f>
        <v>#VALUE!</v>
      </c>
      <c r="M195" s="1058"/>
      <c r="N195" s="1058"/>
      <c r="O195" s="1058"/>
      <c r="P195" s="1058"/>
      <c r="Q195" s="1058"/>
      <c r="R195" s="1058"/>
      <c r="S195" s="1058"/>
      <c r="T195" s="1058"/>
      <c r="U195" s="1058"/>
      <c r="V195" s="1058"/>
      <c r="W195" s="1058"/>
      <c r="X195" s="94"/>
      <c r="AM195" s="94"/>
      <c r="AN195" s="94"/>
      <c r="AO195" s="94"/>
      <c r="AP195" s="94"/>
      <c r="BW195" s="79"/>
      <c r="BX195" s="79"/>
      <c r="CB195" s="1031" t="e">
        <f>IF(CI195=1,"* La suma de los sexos NO DEBE ser diferente al Total. ","")</f>
        <v>#VALUE!</v>
      </c>
      <c r="CI195" s="1163" t="e">
        <f>IF((F195+G195)&lt;&gt;E195,1,0)</f>
        <v>#VALUE!</v>
      </c>
      <c r="CJ195" s="1020"/>
      <c r="CK195" s="1020"/>
      <c r="CL195" s="1020"/>
      <c r="CM195" s="1020"/>
      <c r="CN195" s="1020"/>
      <c r="CO195" s="1020"/>
    </row>
    <row r="196" spans="1:99" ht="16.350000000000001" customHeight="1" x14ac:dyDescent="0.2">
      <c r="A196" s="3009" t="s">
        <v>3649</v>
      </c>
      <c r="B196" s="5696" t="s">
        <v>1641</v>
      </c>
      <c r="C196" s="6030"/>
      <c r="D196" s="5697"/>
      <c r="E196" s="3078" t="s">
        <v>2777</v>
      </c>
      <c r="F196" s="2349" t="s">
        <v>2778</v>
      </c>
      <c r="G196" s="2580" t="s">
        <v>2779</v>
      </c>
      <c r="H196" s="2249" t="s">
        <v>2780</v>
      </c>
      <c r="I196" s="2249" t="s">
        <v>2781</v>
      </c>
      <c r="J196" s="2249" t="s">
        <v>2782</v>
      </c>
      <c r="K196" s="2397" t="s">
        <v>2783</v>
      </c>
      <c r="L196" s="1079" t="e">
        <f>CB196</f>
        <v>#VALUE!</v>
      </c>
      <c r="M196" s="1058"/>
      <c r="N196" s="1058"/>
      <c r="O196" s="1058"/>
      <c r="P196" s="1058"/>
      <c r="Q196" s="1058"/>
      <c r="R196" s="1058"/>
      <c r="S196" s="1058"/>
      <c r="T196" s="1058"/>
      <c r="U196" s="1058"/>
      <c r="V196" s="1058"/>
      <c r="W196" s="1058"/>
      <c r="X196" s="94"/>
      <c r="BW196" s="79"/>
      <c r="BX196" s="79"/>
      <c r="CB196" s="1031" t="e">
        <f>IF(CI196=1,"* La suma de los sexos NO DEBE ser diferente al Total. ","")</f>
        <v>#VALUE!</v>
      </c>
      <c r="CI196" s="1163" t="e">
        <f>IF((F196+E196)&lt;&gt;D196,1,0)</f>
        <v>#VALUE!</v>
      </c>
      <c r="CJ196" s="1020"/>
      <c r="CK196" s="1020"/>
      <c r="CL196" s="1020"/>
      <c r="CM196" s="1020"/>
      <c r="CN196" s="1020"/>
      <c r="CO196" s="1020"/>
    </row>
    <row r="197" spans="1:99" ht="16.350000000000001" customHeight="1" x14ac:dyDescent="0.2">
      <c r="A197" s="3009" t="s">
        <v>3650</v>
      </c>
      <c r="B197" s="6031" t="s">
        <v>1119</v>
      </c>
      <c r="C197" s="6032"/>
      <c r="D197" s="6033"/>
      <c r="E197" s="3943" t="s">
        <v>2777</v>
      </c>
      <c r="F197" s="2324" t="s">
        <v>2778</v>
      </c>
      <c r="G197" s="2580" t="s">
        <v>2779</v>
      </c>
      <c r="H197" s="2245" t="s">
        <v>2780</v>
      </c>
      <c r="I197" s="2245" t="s">
        <v>2781</v>
      </c>
      <c r="J197" s="2245" t="s">
        <v>2782</v>
      </c>
      <c r="K197" s="2324" t="s">
        <v>2783</v>
      </c>
      <c r="L197" s="1079" t="e">
        <f>CB197</f>
        <v>#VALUE!</v>
      </c>
      <c r="M197" s="1058"/>
      <c r="N197" s="1058"/>
      <c r="O197" s="1058"/>
      <c r="P197" s="1058"/>
      <c r="Q197" s="1058"/>
      <c r="R197" s="1058"/>
      <c r="S197" s="1058"/>
      <c r="T197" s="1058"/>
      <c r="U197" s="1058"/>
      <c r="V197" s="1058"/>
      <c r="W197" s="1058"/>
      <c r="X197" s="94"/>
      <c r="BW197" s="79"/>
      <c r="BX197" s="79"/>
      <c r="CB197" s="1031" t="e">
        <f>IF(CI197=1,"* La suma de los sexos NO DEBE ser diferente al Total. ","")</f>
        <v>#VALUE!</v>
      </c>
      <c r="CI197" s="1163" t="e">
        <f>IF((F197+E197)&lt;&gt;D197,1,0)</f>
        <v>#VALUE!</v>
      </c>
      <c r="CJ197" s="1020"/>
      <c r="CK197" s="1020"/>
      <c r="CL197" s="1020"/>
      <c r="CM197" s="1020"/>
      <c r="CN197" s="1020"/>
      <c r="CO197" s="1020"/>
    </row>
    <row r="198" spans="1:99" ht="16.350000000000001" customHeight="1" x14ac:dyDescent="0.2">
      <c r="A198" s="3007" t="s">
        <v>3651</v>
      </c>
      <c r="B198" s="6034" t="s">
        <v>1120</v>
      </c>
      <c r="C198" s="6035"/>
      <c r="D198" s="6036"/>
      <c r="E198" s="3079" t="s">
        <v>2777</v>
      </c>
      <c r="F198" s="105" t="s">
        <v>2778</v>
      </c>
      <c r="G198" s="105" t="s">
        <v>2779</v>
      </c>
      <c r="H198" s="166" t="s">
        <v>2780</v>
      </c>
      <c r="I198" s="166" t="s">
        <v>2781</v>
      </c>
      <c r="J198" s="166" t="s">
        <v>2782</v>
      </c>
      <c r="K198" s="105" t="s">
        <v>2783</v>
      </c>
      <c r="L198" s="1079" t="e">
        <f>CB198</f>
        <v>#VALUE!</v>
      </c>
      <c r="M198" s="1058"/>
      <c r="N198" s="1058"/>
      <c r="O198" s="1058"/>
      <c r="P198" s="1058"/>
      <c r="Q198" s="1058"/>
      <c r="R198" s="1058"/>
      <c r="S198" s="1058"/>
      <c r="T198" s="1058"/>
      <c r="U198" s="1058"/>
      <c r="V198" s="1058"/>
      <c r="W198" s="1058"/>
      <c r="X198" s="1076"/>
      <c r="Y198" s="524"/>
      <c r="Z198" s="524"/>
      <c r="AA198" s="524"/>
      <c r="AB198" s="524"/>
      <c r="AC198" s="524"/>
      <c r="AD198" s="524"/>
      <c r="AE198" s="524"/>
      <c r="AF198" s="524"/>
      <c r="AG198" s="524"/>
      <c r="AI198" s="524"/>
      <c r="AJ198" s="524"/>
      <c r="AK198" s="524"/>
      <c r="AL198" s="524"/>
      <c r="BW198" s="79"/>
      <c r="BX198" s="79"/>
      <c r="CB198" s="1031" t="e">
        <f>IF(CI198=1,"* La suma de los sexos NO DEBE ser diferente al Total. ","")</f>
        <v>#VALUE!</v>
      </c>
      <c r="CI198" s="1163" t="e">
        <f>IF((F198+E198)&lt;&gt;D198,1,0)</f>
        <v>#VALUE!</v>
      </c>
      <c r="CJ198" s="1020"/>
      <c r="CK198" s="1020"/>
      <c r="CL198" s="1020"/>
      <c r="CM198" s="1020"/>
      <c r="CN198" s="1020"/>
      <c r="CO198" s="1020"/>
    </row>
    <row r="199" spans="1:99" ht="16.350000000000001" customHeight="1" x14ac:dyDescent="0.2">
      <c r="B199" s="928" t="s">
        <v>3717</v>
      </c>
      <c r="C199" s="4653"/>
      <c r="D199" s="4653"/>
      <c r="E199" s="4654"/>
      <c r="F199" s="4654"/>
      <c r="G199" s="4654"/>
      <c r="H199" s="4655"/>
      <c r="I199" s="4655"/>
      <c r="J199" s="4655"/>
      <c r="K199" s="2333"/>
      <c r="L199" s="1077"/>
      <c r="M199" s="2339"/>
      <c r="N199" s="1077"/>
      <c r="O199" s="1078"/>
      <c r="P199" s="94"/>
      <c r="Q199" s="94"/>
      <c r="R199" s="94"/>
      <c r="S199" s="94"/>
      <c r="T199" s="94"/>
      <c r="U199" s="94"/>
      <c r="V199" s="94"/>
      <c r="W199" s="94"/>
      <c r="X199" s="94"/>
      <c r="BW199" s="79"/>
      <c r="BX199" s="79"/>
      <c r="CI199" s="1020"/>
      <c r="CJ199" s="1020"/>
      <c r="CK199" s="1020"/>
      <c r="CL199" s="1020"/>
      <c r="CM199" s="1020"/>
      <c r="CN199" s="1020"/>
      <c r="CO199" s="1020"/>
    </row>
    <row r="200" spans="1:99" s="154" customFormat="1" ht="16.350000000000001" customHeight="1" x14ac:dyDescent="0.2">
      <c r="A200" s="4660"/>
      <c r="B200" s="6037" t="s">
        <v>642</v>
      </c>
      <c r="C200" s="6038"/>
      <c r="D200" s="6039"/>
      <c r="E200" s="6046" t="s">
        <v>624</v>
      </c>
      <c r="F200" s="6047"/>
      <c r="G200" s="6020"/>
      <c r="H200" s="6007" t="s">
        <v>1136</v>
      </c>
      <c r="I200" s="6009"/>
      <c r="J200" s="6009"/>
      <c r="K200" s="6009"/>
      <c r="L200" s="6009"/>
      <c r="M200" s="6009"/>
      <c r="N200" s="6009"/>
      <c r="O200" s="6009"/>
      <c r="P200" s="6009"/>
      <c r="Q200" s="6009"/>
      <c r="R200" s="6009"/>
      <c r="S200" s="6009"/>
      <c r="T200" s="6009"/>
      <c r="U200" s="6009"/>
      <c r="V200" s="6009"/>
      <c r="W200" s="6012"/>
      <c r="X200" s="6013" t="s">
        <v>287</v>
      </c>
      <c r="Y200" s="6016" t="s">
        <v>1269</v>
      </c>
      <c r="Z200" s="6018" t="s">
        <v>2018</v>
      </c>
      <c r="AA200" s="6019"/>
      <c r="AB200" s="6020" t="s">
        <v>976</v>
      </c>
      <c r="AC200" s="6021" t="s">
        <v>817</v>
      </c>
      <c r="AD200" s="6006" t="s">
        <v>2765</v>
      </c>
      <c r="AE200" s="6006" t="s">
        <v>1551</v>
      </c>
      <c r="AF200" s="6006" t="s">
        <v>23</v>
      </c>
      <c r="AG200" s="80"/>
      <c r="AH200" s="80"/>
      <c r="AI200" s="80"/>
      <c r="AJ200" s="80"/>
      <c r="AK200" s="80"/>
      <c r="AL200" s="80"/>
      <c r="AM200" s="524"/>
      <c r="AN200" s="524"/>
      <c r="AO200" s="524"/>
      <c r="AP200" s="523"/>
      <c r="AQ200" s="523"/>
      <c r="AS200" s="523"/>
      <c r="AT200" s="523"/>
      <c r="AU200" s="523"/>
      <c r="AW200" s="523"/>
      <c r="AY200" s="524"/>
      <c r="AZ200" s="523"/>
      <c r="BB200" s="524"/>
      <c r="BC200" s="524"/>
      <c r="BD200" s="524"/>
      <c r="BE200" s="523"/>
      <c r="BG200" s="523"/>
      <c r="BI200" s="524"/>
      <c r="BJ200" s="524"/>
      <c r="BK200" s="524"/>
      <c r="BL200" s="524"/>
      <c r="BM200" s="524"/>
      <c r="BN200" s="524"/>
      <c r="BO200" s="524"/>
      <c r="BP200" s="523"/>
      <c r="BR200" s="524"/>
      <c r="BS200" s="524"/>
      <c r="BT200" s="524"/>
      <c r="BU200" s="524"/>
      <c r="BV200" s="523"/>
      <c r="BW200" s="306"/>
      <c r="BX200" s="525"/>
      <c r="BY200" s="891"/>
      <c r="BZ200" s="951"/>
      <c r="CA200" s="891"/>
      <c r="CB200" s="889"/>
      <c r="CC200" s="889"/>
      <c r="CD200" s="889"/>
      <c r="CE200" s="889"/>
      <c r="CF200" s="889"/>
      <c r="CG200" s="889"/>
      <c r="CH200" s="889"/>
      <c r="CI200" s="1020"/>
      <c r="CJ200" s="1020"/>
      <c r="CK200" s="1020"/>
      <c r="CL200" s="1020"/>
      <c r="CM200" s="1020"/>
      <c r="CN200" s="1020"/>
      <c r="CO200" s="1020"/>
      <c r="CP200" s="889"/>
      <c r="CQ200" s="889"/>
      <c r="CR200" s="889"/>
      <c r="CS200" s="889"/>
      <c r="CT200" s="889"/>
      <c r="CU200" s="889"/>
    </row>
    <row r="201" spans="1:99" ht="32.1" customHeight="1" x14ac:dyDescent="0.2">
      <c r="B201" s="6040"/>
      <c r="C201" s="6041"/>
      <c r="D201" s="6042"/>
      <c r="E201" s="5844"/>
      <c r="F201" s="5317"/>
      <c r="G201" s="5297"/>
      <c r="H201" s="6007" t="s">
        <v>639</v>
      </c>
      <c r="I201" s="6008"/>
      <c r="J201" s="6007" t="s">
        <v>609</v>
      </c>
      <c r="K201" s="6008"/>
      <c r="L201" s="6009" t="s">
        <v>643</v>
      </c>
      <c r="M201" s="6008"/>
      <c r="N201" s="6007" t="s">
        <v>618</v>
      </c>
      <c r="O201" s="6008"/>
      <c r="P201" s="6009" t="s">
        <v>644</v>
      </c>
      <c r="Q201" s="6008"/>
      <c r="R201" s="6009" t="s">
        <v>233</v>
      </c>
      <c r="S201" s="6008"/>
      <c r="T201" s="6010" t="s">
        <v>613</v>
      </c>
      <c r="U201" s="6011"/>
      <c r="V201" s="6010" t="s">
        <v>614</v>
      </c>
      <c r="W201" s="6024"/>
      <c r="X201" s="6014"/>
      <c r="Y201" s="6017"/>
      <c r="Z201" s="6016" t="s">
        <v>2019</v>
      </c>
      <c r="AA201" s="6025" t="s">
        <v>2020</v>
      </c>
      <c r="AB201" s="5143"/>
      <c r="AC201" s="6022"/>
      <c r="AD201" s="6006"/>
      <c r="AE201" s="6006"/>
      <c r="AF201" s="6006"/>
      <c r="AG201" s="94"/>
      <c r="AH201" s="94"/>
      <c r="AI201" s="94"/>
      <c r="AJ201" s="94"/>
      <c r="AK201" s="94"/>
      <c r="AL201" s="94"/>
      <c r="BW201" s="79"/>
      <c r="BX201" s="79"/>
      <c r="CI201" s="1020"/>
      <c r="CJ201" s="1020"/>
      <c r="CK201" s="1020"/>
      <c r="CL201" s="1020"/>
      <c r="CM201" s="1020"/>
      <c r="CN201" s="1020"/>
      <c r="CO201" s="1020"/>
    </row>
    <row r="202" spans="1:99" ht="25.35" customHeight="1" x14ac:dyDescent="0.2">
      <c r="B202" s="6043"/>
      <c r="C202" s="6044"/>
      <c r="D202" s="6045"/>
      <c r="E202" s="4175" t="s">
        <v>184</v>
      </c>
      <c r="F202" s="4176" t="s">
        <v>24</v>
      </c>
      <c r="G202" s="3934" t="s">
        <v>25</v>
      </c>
      <c r="H202" s="4177" t="s">
        <v>24</v>
      </c>
      <c r="I202" s="4178" t="s">
        <v>25</v>
      </c>
      <c r="J202" s="4179" t="s">
        <v>24</v>
      </c>
      <c r="K202" s="4178" t="s">
        <v>25</v>
      </c>
      <c r="L202" s="4179" t="s">
        <v>24</v>
      </c>
      <c r="M202" s="4178" t="s">
        <v>25</v>
      </c>
      <c r="N202" s="4179" t="s">
        <v>24</v>
      </c>
      <c r="O202" s="4178" t="s">
        <v>25</v>
      </c>
      <c r="P202" s="4179" t="s">
        <v>24</v>
      </c>
      <c r="Q202" s="4178" t="s">
        <v>25</v>
      </c>
      <c r="R202" s="4179" t="s">
        <v>24</v>
      </c>
      <c r="S202" s="4178" t="s">
        <v>25</v>
      </c>
      <c r="T202" s="4180" t="s">
        <v>24</v>
      </c>
      <c r="U202" s="4181" t="s">
        <v>25</v>
      </c>
      <c r="V202" s="4180" t="s">
        <v>24</v>
      </c>
      <c r="W202" s="4182" t="s">
        <v>25</v>
      </c>
      <c r="X202" s="6015"/>
      <c r="Y202" s="5849"/>
      <c r="Z202" s="5849"/>
      <c r="AA202" s="6026"/>
      <c r="AB202" s="5297"/>
      <c r="AC202" s="6023"/>
      <c r="AD202" s="6006"/>
      <c r="AE202" s="6006"/>
      <c r="AF202" s="6006"/>
      <c r="AG202" s="94"/>
      <c r="AH202" s="94"/>
      <c r="AI202" s="94"/>
      <c r="AJ202" s="94"/>
      <c r="AK202" s="94"/>
      <c r="AL202" s="94"/>
      <c r="BW202" s="79"/>
      <c r="BX202" s="79"/>
      <c r="CI202" s="1020"/>
      <c r="CJ202" s="1020"/>
      <c r="CK202" s="1020"/>
      <c r="CL202" s="1020"/>
      <c r="CM202" s="1020"/>
      <c r="CN202" s="1020"/>
      <c r="CO202" s="1020"/>
    </row>
    <row r="203" spans="1:99" ht="16.350000000000001" customHeight="1" x14ac:dyDescent="0.2">
      <c r="A203" s="3080" t="s">
        <v>3652</v>
      </c>
      <c r="B203" s="6000" t="s">
        <v>646</v>
      </c>
      <c r="C203" s="6002" t="s">
        <v>1344</v>
      </c>
      <c r="D203" s="6003"/>
      <c r="E203" s="4183" t="s">
        <v>2777</v>
      </c>
      <c r="F203" s="4184" t="s">
        <v>2778</v>
      </c>
      <c r="G203" s="4185" t="s">
        <v>2779</v>
      </c>
      <c r="H203" s="4186" t="s">
        <v>2780</v>
      </c>
      <c r="I203" s="4187" t="s">
        <v>2781</v>
      </c>
      <c r="J203" s="4188" t="s">
        <v>2782</v>
      </c>
      <c r="K203" s="4187" t="s">
        <v>2783</v>
      </c>
      <c r="L203" s="4188" t="s">
        <v>2784</v>
      </c>
      <c r="M203" s="4187" t="s">
        <v>2785</v>
      </c>
      <c r="N203" s="4188" t="s">
        <v>2786</v>
      </c>
      <c r="O203" s="4187" t="s">
        <v>2787</v>
      </c>
      <c r="P203" s="4188" t="s">
        <v>2788</v>
      </c>
      <c r="Q203" s="4187" t="s">
        <v>2789</v>
      </c>
      <c r="R203" s="4188" t="s">
        <v>2790</v>
      </c>
      <c r="S203" s="4187" t="s">
        <v>2791</v>
      </c>
      <c r="T203" s="4188" t="s">
        <v>2792</v>
      </c>
      <c r="U203" s="4187" t="s">
        <v>2793</v>
      </c>
      <c r="V203" s="4188" t="s">
        <v>2794</v>
      </c>
      <c r="W203" s="4189" t="s">
        <v>2795</v>
      </c>
      <c r="X203" s="4190" t="s">
        <v>2796</v>
      </c>
      <c r="Y203" s="4191" t="s">
        <v>2797</v>
      </c>
      <c r="Z203" s="4191" t="s">
        <v>2798</v>
      </c>
      <c r="AA203" s="4192" t="s">
        <v>2799</v>
      </c>
      <c r="AB203" s="4192" t="s">
        <v>2800</v>
      </c>
      <c r="AC203" s="4192" t="s">
        <v>2801</v>
      </c>
      <c r="AD203" s="4192" t="s">
        <v>2817</v>
      </c>
      <c r="AE203" s="4192" t="s">
        <v>2818</v>
      </c>
      <c r="AF203" s="4192" t="s">
        <v>2819</v>
      </c>
      <c r="AG203" s="1079" t="e">
        <f t="shared" ref="AG203:AG266" si="72">CB203&amp;CC203&amp;CD203&amp;CE203&amp;CF203&amp;CG203&amp;CH203</f>
        <v>#VALUE!</v>
      </c>
      <c r="AH203" s="1058"/>
      <c r="AI203" s="1058"/>
      <c r="AJ203" s="1058"/>
      <c r="AK203" s="1058"/>
      <c r="AL203" s="1058"/>
      <c r="AM203" s="94"/>
      <c r="AN203" s="94"/>
      <c r="BW203" s="79"/>
      <c r="BX203" s="79"/>
      <c r="CB203" s="1031" t="e">
        <f t="shared" ref="CB203:CB219" si="73">IF(CI203=1,"* El número de pacientes de 60 años NO DEBE Ser mayor a lo registrado en el grupo Etario 20-64 años. ","")</f>
        <v>#VALUE!</v>
      </c>
      <c r="CC203" s="1031" t="str">
        <f t="shared" ref="CC203:CC266" si="74">IF(CJ203=1,"* La consulta pertinente según Protocolo de Referencia NO DEBE ser mayor al Total registrado. ","")</f>
        <v xml:space="preserve">* La consulta pertinente según Protocolo de Referencia NO DEBE ser mayor al Total registrado. </v>
      </c>
      <c r="CD203" s="1031" t="str">
        <f t="shared" ref="CD203:CD266" si="75">IF(CK203=1,"* La consulta pertinente según condición clínica NO DEBE ser mayor al Total registrado. ","")</f>
        <v xml:space="preserve">* La consulta pertinente según condición clínica NO DEBE ser mayor al Total registrado. </v>
      </c>
      <c r="CE203" s="1031" t="str">
        <f t="shared" ref="CE203:CE229" si="76">IF(AND(E203&lt;&gt;0,X203=""),"* Recuerde que las Embarazadas deben ser incluídas en el ingreso por rango Etario (Digite CEROS si no tiene). ",IF(G203&lt;X203,"* Las Embarazadas NO DEBEN ser mayor al total de Mujeres. ",""))</f>
        <v xml:space="preserve">* Las Embarazadas NO DEBEN ser mayor al total de Mujeres. </v>
      </c>
      <c r="CF203" s="1031" t="str">
        <f t="shared" ref="CF203:CF266" si="77">IF(AND($E203&lt;&gt;0,AD203=""),"* No olvide digitar la columna Usuarios en Situación de Discapacidad (Digite CEROS si no tiene). ",IF($E203&lt;AD203,"* Los Usuarios en Situación de Discapacidad NO DEBEN ser mayor al total. ",""))</f>
        <v xml:space="preserve">* Los Usuarios en Situación de Discapacidad NO DEBEN ser mayor al total. </v>
      </c>
      <c r="CG203" s="1031" t="str">
        <f t="shared" ref="CG203:CG266" si="78">IF(AND($E203&lt;&gt;0,AE203=""),"* No olvide digitar la columna Niños, Niñas, Adolescentes y Jóvenes Población SENAME (Digite CEROS si no tiene). ",IF($E203&lt;AE203,"* Los Niños, Niñas, Adolescentes y Jóvenes Población SENAME NO DEBEN ser mayor al total. ",""))</f>
        <v xml:space="preserve">* Los Niños, Niñas, Adolescentes y Jóvenes Población SENAME NO DEBEN ser mayor al total. </v>
      </c>
      <c r="CH203" s="1031" t="str">
        <f t="shared" ref="CH203:CH266" si="79">IF(AND($E203&lt;&gt;0,AF203=""),"* No olvide digitar la columna Migrantes (Digite CEROS si no tiene). ",IF($E203&lt;AF203,"* Los Migrantes NO DEBEN ser mayor al total. ",""))</f>
        <v xml:space="preserve">* Los Migrantes NO DEBEN ser mayor al total. </v>
      </c>
      <c r="CI203" s="1163" t="e">
        <f t="shared" ref="CI203:CI219" si="80">IF((T203+U203)&lt;Y203,1,0)</f>
        <v>#VALUE!</v>
      </c>
      <c r="CJ203" s="1163">
        <f t="shared" ref="CJ203:CJ266" si="81">IF(E203&lt;Z203,1,0)</f>
        <v>1</v>
      </c>
      <c r="CK203" s="1163">
        <f t="shared" ref="CK203:CK266" si="82">IF(E205&lt;AA205,1,0)</f>
        <v>1</v>
      </c>
      <c r="CL203" s="1163">
        <f t="shared" ref="CL203:CL229" si="83">IF(AND(E203&lt;&gt;0,X203=""),1,IF(G203&lt;X203,1,0))</f>
        <v>1</v>
      </c>
      <c r="CM203" s="1163">
        <f t="shared" ref="CM203:CO234" si="84">IF(AND($E203&lt;&gt;0,AD203=""),1,IF($E203&lt;AD203,1,0))</f>
        <v>1</v>
      </c>
      <c r="CN203" s="1163">
        <f t="shared" si="84"/>
        <v>1</v>
      </c>
      <c r="CO203" s="1163">
        <f t="shared" si="84"/>
        <v>1</v>
      </c>
    </row>
    <row r="204" spans="1:99" ht="16.350000000000001" customHeight="1" x14ac:dyDescent="0.2">
      <c r="A204" s="3080" t="s">
        <v>3653</v>
      </c>
      <c r="B204" s="6001"/>
      <c r="C204" s="6004" t="s">
        <v>1345</v>
      </c>
      <c r="D204" s="6005"/>
      <c r="E204" s="3081" t="s">
        <v>2777</v>
      </c>
      <c r="F204" s="3082" t="s">
        <v>2778</v>
      </c>
      <c r="G204" s="4746" t="s">
        <v>2779</v>
      </c>
      <c r="H204" s="530" t="s">
        <v>2780</v>
      </c>
      <c r="I204" s="588" t="s">
        <v>2781</v>
      </c>
      <c r="J204" s="682" t="s">
        <v>2782</v>
      </c>
      <c r="K204" s="588" t="s">
        <v>2783</v>
      </c>
      <c r="L204" s="682" t="s">
        <v>2784</v>
      </c>
      <c r="M204" s="588" t="s">
        <v>2785</v>
      </c>
      <c r="N204" s="682" t="s">
        <v>2786</v>
      </c>
      <c r="O204" s="588" t="s">
        <v>2787</v>
      </c>
      <c r="P204" s="682" t="s">
        <v>2788</v>
      </c>
      <c r="Q204" s="588" t="s">
        <v>2789</v>
      </c>
      <c r="R204" s="682" t="s">
        <v>2790</v>
      </c>
      <c r="S204" s="588" t="s">
        <v>2791</v>
      </c>
      <c r="T204" s="682" t="s">
        <v>2792</v>
      </c>
      <c r="U204" s="588" t="s">
        <v>2793</v>
      </c>
      <c r="V204" s="682" t="s">
        <v>2794</v>
      </c>
      <c r="W204" s="675" t="s">
        <v>2795</v>
      </c>
      <c r="X204" s="690" t="s">
        <v>2796</v>
      </c>
      <c r="Y204" s="678" t="s">
        <v>2797</v>
      </c>
      <c r="Z204" s="678" t="s">
        <v>2798</v>
      </c>
      <c r="AA204" s="287" t="s">
        <v>2799</v>
      </c>
      <c r="AB204" s="4192" t="s">
        <v>2800</v>
      </c>
      <c r="AC204" s="4192" t="s">
        <v>2801</v>
      </c>
      <c r="AD204" s="4192" t="s">
        <v>2817</v>
      </c>
      <c r="AE204" s="4192" t="s">
        <v>2818</v>
      </c>
      <c r="AF204" s="4192" t="s">
        <v>2819</v>
      </c>
      <c r="AG204" s="1079" t="e">
        <f t="shared" si="72"/>
        <v>#VALUE!</v>
      </c>
      <c r="AH204" s="1058"/>
      <c r="AI204" s="1058"/>
      <c r="AJ204" s="1058"/>
      <c r="AK204" s="1058"/>
      <c r="AL204" s="1058"/>
      <c r="AM204" s="94"/>
      <c r="AN204" s="94"/>
      <c r="BW204" s="79"/>
      <c r="BX204" s="79"/>
      <c r="CB204" s="1031" t="e">
        <f t="shared" si="73"/>
        <v>#VALUE!</v>
      </c>
      <c r="CC204" s="1031" t="str">
        <f t="shared" si="74"/>
        <v xml:space="preserve">* La consulta pertinente según Protocolo de Referencia NO DEBE ser mayor al Total registrado. </v>
      </c>
      <c r="CD204" s="1031" t="str">
        <f t="shared" si="75"/>
        <v xml:space="preserve">* La consulta pertinente según condición clínica NO DEBE ser mayor al Total registrado. </v>
      </c>
      <c r="CE204" s="1031" t="str">
        <f t="shared" si="76"/>
        <v xml:space="preserve">* Las Embarazadas NO DEBEN ser mayor al total de Mujeres. </v>
      </c>
      <c r="CF204" s="1031" t="str">
        <f t="shared" si="77"/>
        <v xml:space="preserve">* Los Usuarios en Situación de Discapacidad NO DEBEN ser mayor al total. </v>
      </c>
      <c r="CG204" s="1031" t="str">
        <f t="shared" si="78"/>
        <v xml:space="preserve">* Los Niños, Niñas, Adolescentes y Jóvenes Población SENAME NO DEBEN ser mayor al total. </v>
      </c>
      <c r="CH204" s="1031" t="str">
        <f t="shared" si="79"/>
        <v xml:space="preserve">* Los Migrantes NO DEBEN ser mayor al total. </v>
      </c>
      <c r="CI204" s="1163" t="e">
        <f t="shared" si="80"/>
        <v>#VALUE!</v>
      </c>
      <c r="CJ204" s="1163">
        <f t="shared" si="81"/>
        <v>1</v>
      </c>
      <c r="CK204" s="1163">
        <f t="shared" si="82"/>
        <v>1</v>
      </c>
      <c r="CL204" s="1163">
        <f t="shared" si="83"/>
        <v>1</v>
      </c>
      <c r="CM204" s="1163">
        <f t="shared" si="84"/>
        <v>1</v>
      </c>
      <c r="CN204" s="1163">
        <f t="shared" si="84"/>
        <v>1</v>
      </c>
      <c r="CO204" s="1163">
        <f t="shared" si="84"/>
        <v>1</v>
      </c>
    </row>
    <row r="205" spans="1:99" ht="16.350000000000001" customHeight="1" x14ac:dyDescent="0.2">
      <c r="A205" s="4631" t="s">
        <v>3880</v>
      </c>
      <c r="B205" s="5103" t="s">
        <v>1121</v>
      </c>
      <c r="C205" s="5980" t="s">
        <v>2012</v>
      </c>
      <c r="D205" s="5981"/>
      <c r="E205" s="4170" t="s">
        <v>2777</v>
      </c>
      <c r="F205" s="3754" t="s">
        <v>2778</v>
      </c>
      <c r="G205" s="4962" t="s">
        <v>2779</v>
      </c>
      <c r="H205" s="4963" t="s">
        <v>2780</v>
      </c>
      <c r="I205" s="4964" t="s">
        <v>2781</v>
      </c>
      <c r="J205" s="4965" t="s">
        <v>2782</v>
      </c>
      <c r="K205" s="4964" t="s">
        <v>2783</v>
      </c>
      <c r="L205" s="4965" t="s">
        <v>2784</v>
      </c>
      <c r="M205" s="4964" t="s">
        <v>2785</v>
      </c>
      <c r="N205" s="4965" t="s">
        <v>2786</v>
      </c>
      <c r="O205" s="4964" t="s">
        <v>2787</v>
      </c>
      <c r="P205" s="4965" t="s">
        <v>2788</v>
      </c>
      <c r="Q205" s="4964" t="s">
        <v>2789</v>
      </c>
      <c r="R205" s="4965" t="s">
        <v>2790</v>
      </c>
      <c r="S205" s="4964" t="s">
        <v>2791</v>
      </c>
      <c r="T205" s="4965" t="s">
        <v>2792</v>
      </c>
      <c r="U205" s="4964" t="s">
        <v>2793</v>
      </c>
      <c r="V205" s="4965" t="s">
        <v>2794</v>
      </c>
      <c r="W205" s="4966" t="s">
        <v>2795</v>
      </c>
      <c r="X205" s="4967" t="s">
        <v>2796</v>
      </c>
      <c r="Y205" s="2410" t="s">
        <v>2797</v>
      </c>
      <c r="Z205" s="2410" t="s">
        <v>2798</v>
      </c>
      <c r="AA205" s="2410" t="s">
        <v>2799</v>
      </c>
      <c r="AB205" s="2410" t="s">
        <v>2800</v>
      </c>
      <c r="AC205" s="2410" t="s">
        <v>2801</v>
      </c>
      <c r="AD205" s="2410" t="s">
        <v>2817</v>
      </c>
      <c r="AE205" s="2410" t="s">
        <v>2818</v>
      </c>
      <c r="AF205" s="2410" t="s">
        <v>2819</v>
      </c>
      <c r="AG205" s="1079" t="e">
        <f t="shared" si="72"/>
        <v>#VALUE!</v>
      </c>
      <c r="AH205" s="1058"/>
      <c r="AI205" s="1058"/>
      <c r="AJ205" s="1058"/>
      <c r="AK205" s="1058"/>
      <c r="AL205" s="1058"/>
      <c r="AM205" s="1058"/>
      <c r="AN205" s="94"/>
      <c r="BW205" s="79"/>
      <c r="BX205" s="79"/>
      <c r="CB205" s="1031" t="e">
        <f t="shared" si="73"/>
        <v>#VALUE!</v>
      </c>
      <c r="CC205" s="1031" t="str">
        <f t="shared" si="74"/>
        <v xml:space="preserve">* La consulta pertinente según Protocolo de Referencia NO DEBE ser mayor al Total registrado. </v>
      </c>
      <c r="CD205" s="1031" t="str">
        <f t="shared" si="75"/>
        <v xml:space="preserve">* La consulta pertinente según condición clínica NO DEBE ser mayor al Total registrado. </v>
      </c>
      <c r="CE205" s="1031" t="str">
        <f t="shared" si="76"/>
        <v xml:space="preserve">* Las Embarazadas NO DEBEN ser mayor al total de Mujeres. </v>
      </c>
      <c r="CF205" s="1031" t="str">
        <f t="shared" si="77"/>
        <v xml:space="preserve">* Los Usuarios en Situación de Discapacidad NO DEBEN ser mayor al total. </v>
      </c>
      <c r="CG205" s="1031" t="str">
        <f t="shared" si="78"/>
        <v xml:space="preserve">* Los Niños, Niñas, Adolescentes y Jóvenes Población SENAME NO DEBEN ser mayor al total. </v>
      </c>
      <c r="CH205" s="1031" t="str">
        <f t="shared" si="79"/>
        <v xml:space="preserve">* Los Migrantes NO DEBEN ser mayor al total. </v>
      </c>
      <c r="CI205" s="1163" t="e">
        <f t="shared" si="80"/>
        <v>#VALUE!</v>
      </c>
      <c r="CJ205" s="1163">
        <f t="shared" si="81"/>
        <v>1</v>
      </c>
      <c r="CK205" s="1163">
        <f t="shared" si="82"/>
        <v>1</v>
      </c>
      <c r="CL205" s="1163">
        <f t="shared" si="83"/>
        <v>1</v>
      </c>
      <c r="CM205" s="1163">
        <f t="shared" si="84"/>
        <v>1</v>
      </c>
      <c r="CN205" s="1163">
        <f t="shared" si="84"/>
        <v>1</v>
      </c>
      <c r="CO205" s="1163">
        <f t="shared" si="84"/>
        <v>1</v>
      </c>
    </row>
    <row r="206" spans="1:99" ht="16.350000000000001" customHeight="1" x14ac:dyDescent="0.2">
      <c r="A206" s="4631" t="s">
        <v>3881</v>
      </c>
      <c r="B206" s="5103"/>
      <c r="C206" s="5982" t="s">
        <v>2013</v>
      </c>
      <c r="D206" s="5982"/>
      <c r="E206" s="3070" t="s">
        <v>2777</v>
      </c>
      <c r="F206" s="2886" t="s">
        <v>2778</v>
      </c>
      <c r="G206" s="3083" t="s">
        <v>2779</v>
      </c>
      <c r="H206" s="425" t="s">
        <v>2780</v>
      </c>
      <c r="I206" s="426" t="s">
        <v>2781</v>
      </c>
      <c r="J206" s="428" t="s">
        <v>2782</v>
      </c>
      <c r="K206" s="426" t="s">
        <v>2783</v>
      </c>
      <c r="L206" s="428" t="s">
        <v>2784</v>
      </c>
      <c r="M206" s="426" t="s">
        <v>2785</v>
      </c>
      <c r="N206" s="428" t="s">
        <v>2786</v>
      </c>
      <c r="O206" s="426" t="s">
        <v>2787</v>
      </c>
      <c r="P206" s="428" t="s">
        <v>2788</v>
      </c>
      <c r="Q206" s="426" t="s">
        <v>2789</v>
      </c>
      <c r="R206" s="428" t="s">
        <v>2790</v>
      </c>
      <c r="S206" s="426" t="s">
        <v>2791</v>
      </c>
      <c r="T206" s="428" t="s">
        <v>2792</v>
      </c>
      <c r="U206" s="426" t="s">
        <v>2793</v>
      </c>
      <c r="V206" s="428" t="s">
        <v>2794</v>
      </c>
      <c r="W206" s="674" t="s">
        <v>2795</v>
      </c>
      <c r="X206" s="689" t="s">
        <v>2796</v>
      </c>
      <c r="Y206" s="677" t="s">
        <v>2797</v>
      </c>
      <c r="Z206" s="1647" t="s">
        <v>2798</v>
      </c>
      <c r="AA206" s="1647" t="s">
        <v>2799</v>
      </c>
      <c r="AB206" s="677" t="s">
        <v>2800</v>
      </c>
      <c r="AC206" s="677" t="s">
        <v>2801</v>
      </c>
      <c r="AD206" s="677" t="s">
        <v>2817</v>
      </c>
      <c r="AE206" s="677" t="s">
        <v>2818</v>
      </c>
      <c r="AF206" s="677" t="s">
        <v>2819</v>
      </c>
      <c r="AG206" s="1079" t="e">
        <f t="shared" si="72"/>
        <v>#VALUE!</v>
      </c>
      <c r="AH206" s="1058"/>
      <c r="AI206" s="1058"/>
      <c r="AJ206" s="1058"/>
      <c r="AK206" s="1058"/>
      <c r="AL206" s="1058"/>
      <c r="AM206" s="1058"/>
      <c r="AN206" s="94"/>
      <c r="BW206" s="79"/>
      <c r="BX206" s="79"/>
      <c r="CB206" s="1031" t="e">
        <f t="shared" si="73"/>
        <v>#VALUE!</v>
      </c>
      <c r="CC206" s="1031" t="str">
        <f t="shared" si="74"/>
        <v xml:space="preserve">* La consulta pertinente según Protocolo de Referencia NO DEBE ser mayor al Total registrado. </v>
      </c>
      <c r="CD206" s="1031" t="str">
        <f t="shared" si="75"/>
        <v xml:space="preserve">* La consulta pertinente según condición clínica NO DEBE ser mayor al Total registrado. </v>
      </c>
      <c r="CE206" s="1031" t="str">
        <f t="shared" si="76"/>
        <v xml:space="preserve">* Las Embarazadas NO DEBEN ser mayor al total de Mujeres. </v>
      </c>
      <c r="CF206" s="1031" t="str">
        <f t="shared" si="77"/>
        <v xml:space="preserve">* Los Usuarios en Situación de Discapacidad NO DEBEN ser mayor al total. </v>
      </c>
      <c r="CG206" s="1031" t="str">
        <f t="shared" si="78"/>
        <v xml:space="preserve">* Los Niños, Niñas, Adolescentes y Jóvenes Población SENAME NO DEBEN ser mayor al total. </v>
      </c>
      <c r="CH206" s="1031" t="str">
        <f t="shared" si="79"/>
        <v xml:space="preserve">* Los Migrantes NO DEBEN ser mayor al total. </v>
      </c>
      <c r="CI206" s="1163" t="e">
        <f t="shared" si="80"/>
        <v>#VALUE!</v>
      </c>
      <c r="CJ206" s="1163">
        <f t="shared" si="81"/>
        <v>1</v>
      </c>
      <c r="CK206" s="1163">
        <f t="shared" si="82"/>
        <v>1</v>
      </c>
      <c r="CL206" s="1163">
        <f t="shared" si="83"/>
        <v>1</v>
      </c>
      <c r="CM206" s="1163">
        <f t="shared" si="84"/>
        <v>1</v>
      </c>
      <c r="CN206" s="1163">
        <f t="shared" si="84"/>
        <v>1</v>
      </c>
      <c r="CO206" s="1163">
        <f t="shared" si="84"/>
        <v>1</v>
      </c>
    </row>
    <row r="207" spans="1:99" ht="16.350000000000001" customHeight="1" x14ac:dyDescent="0.2">
      <c r="A207" s="3009" t="s">
        <v>3654</v>
      </c>
      <c r="B207" s="5103"/>
      <c r="C207" s="5983" t="s">
        <v>1122</v>
      </c>
      <c r="D207" s="5983"/>
      <c r="E207" s="3070" t="s">
        <v>2777</v>
      </c>
      <c r="F207" s="2886" t="s">
        <v>2778</v>
      </c>
      <c r="G207" s="3083" t="s">
        <v>2779</v>
      </c>
      <c r="H207" s="425" t="s">
        <v>2780</v>
      </c>
      <c r="I207" s="426" t="s">
        <v>2781</v>
      </c>
      <c r="J207" s="428" t="s">
        <v>2782</v>
      </c>
      <c r="K207" s="426" t="s">
        <v>2783</v>
      </c>
      <c r="L207" s="428" t="s">
        <v>2784</v>
      </c>
      <c r="M207" s="426" t="s">
        <v>2785</v>
      </c>
      <c r="N207" s="428" t="s">
        <v>2786</v>
      </c>
      <c r="O207" s="426" t="s">
        <v>2787</v>
      </c>
      <c r="P207" s="428" t="s">
        <v>2788</v>
      </c>
      <c r="Q207" s="426" t="s">
        <v>2789</v>
      </c>
      <c r="R207" s="428" t="s">
        <v>2790</v>
      </c>
      <c r="S207" s="426" t="s">
        <v>2791</v>
      </c>
      <c r="T207" s="428" t="s">
        <v>2792</v>
      </c>
      <c r="U207" s="426" t="s">
        <v>2793</v>
      </c>
      <c r="V207" s="428" t="s">
        <v>2794</v>
      </c>
      <c r="W207" s="674" t="s">
        <v>2795</v>
      </c>
      <c r="X207" s="689" t="s">
        <v>2796</v>
      </c>
      <c r="Y207" s="677" t="s">
        <v>2797</v>
      </c>
      <c r="Z207" s="1647" t="s">
        <v>2798</v>
      </c>
      <c r="AA207" s="1647" t="s">
        <v>2799</v>
      </c>
      <c r="AB207" s="677" t="s">
        <v>2800</v>
      </c>
      <c r="AC207" s="677" t="s">
        <v>2801</v>
      </c>
      <c r="AD207" s="677" t="s">
        <v>2817</v>
      </c>
      <c r="AE207" s="677" t="s">
        <v>2818</v>
      </c>
      <c r="AF207" s="677" t="s">
        <v>2819</v>
      </c>
      <c r="AG207" s="1079" t="e">
        <f t="shared" si="72"/>
        <v>#VALUE!</v>
      </c>
      <c r="AH207" s="1058"/>
      <c r="AI207" s="1058"/>
      <c r="AJ207" s="1058"/>
      <c r="AK207" s="1058"/>
      <c r="AL207" s="1058"/>
      <c r="AM207" s="1058"/>
      <c r="AN207" s="94"/>
      <c r="BW207" s="79"/>
      <c r="BX207" s="79"/>
      <c r="CB207" s="1031" t="e">
        <f t="shared" si="73"/>
        <v>#VALUE!</v>
      </c>
      <c r="CC207" s="1031" t="str">
        <f t="shared" si="74"/>
        <v xml:space="preserve">* La consulta pertinente según Protocolo de Referencia NO DEBE ser mayor al Total registrado. </v>
      </c>
      <c r="CD207" s="1031" t="str">
        <f t="shared" si="75"/>
        <v xml:space="preserve">* La consulta pertinente según condición clínica NO DEBE ser mayor al Total registrado. </v>
      </c>
      <c r="CE207" s="1031" t="str">
        <f t="shared" si="76"/>
        <v xml:space="preserve">* Las Embarazadas NO DEBEN ser mayor al total de Mujeres. </v>
      </c>
      <c r="CF207" s="1031" t="str">
        <f t="shared" si="77"/>
        <v xml:space="preserve">* Los Usuarios en Situación de Discapacidad NO DEBEN ser mayor al total. </v>
      </c>
      <c r="CG207" s="1031" t="str">
        <f t="shared" si="78"/>
        <v xml:space="preserve">* Los Niños, Niñas, Adolescentes y Jóvenes Población SENAME NO DEBEN ser mayor al total. </v>
      </c>
      <c r="CH207" s="1031" t="str">
        <f t="shared" si="79"/>
        <v xml:space="preserve">* Los Migrantes NO DEBEN ser mayor al total. </v>
      </c>
      <c r="CI207" s="1163" t="e">
        <f t="shared" si="80"/>
        <v>#VALUE!</v>
      </c>
      <c r="CJ207" s="1163">
        <f t="shared" si="81"/>
        <v>1</v>
      </c>
      <c r="CK207" s="1163">
        <f t="shared" si="82"/>
        <v>1</v>
      </c>
      <c r="CL207" s="1163">
        <f t="shared" si="83"/>
        <v>1</v>
      </c>
      <c r="CM207" s="1163">
        <f t="shared" si="84"/>
        <v>1</v>
      </c>
      <c r="CN207" s="1163">
        <f t="shared" si="84"/>
        <v>1</v>
      </c>
      <c r="CO207" s="1163">
        <f t="shared" si="84"/>
        <v>1</v>
      </c>
    </row>
    <row r="208" spans="1:99" ht="16.350000000000001" customHeight="1" x14ac:dyDescent="0.2">
      <c r="A208" s="3009" t="s">
        <v>3655</v>
      </c>
      <c r="B208" s="5103"/>
      <c r="C208" s="5998" t="s">
        <v>1123</v>
      </c>
      <c r="D208" s="5999"/>
      <c r="E208" s="3070" t="s">
        <v>2777</v>
      </c>
      <c r="F208" s="2886" t="s">
        <v>2778</v>
      </c>
      <c r="G208" s="3083" t="s">
        <v>2779</v>
      </c>
      <c r="H208" s="2411" t="s">
        <v>2780</v>
      </c>
      <c r="I208" s="687" t="s">
        <v>2781</v>
      </c>
      <c r="J208" s="684" t="s">
        <v>2782</v>
      </c>
      <c r="K208" s="687" t="s">
        <v>2783</v>
      </c>
      <c r="L208" s="684" t="s">
        <v>2784</v>
      </c>
      <c r="M208" s="687" t="s">
        <v>2785</v>
      </c>
      <c r="N208" s="684" t="s">
        <v>2786</v>
      </c>
      <c r="O208" s="687" t="s">
        <v>2787</v>
      </c>
      <c r="P208" s="684" t="s">
        <v>2788</v>
      </c>
      <c r="Q208" s="687" t="s">
        <v>2789</v>
      </c>
      <c r="R208" s="684" t="s">
        <v>2790</v>
      </c>
      <c r="S208" s="687" t="s">
        <v>2791</v>
      </c>
      <c r="T208" s="684" t="s">
        <v>2792</v>
      </c>
      <c r="U208" s="687" t="s">
        <v>2793</v>
      </c>
      <c r="V208" s="684" t="s">
        <v>2794</v>
      </c>
      <c r="W208" s="676" t="s">
        <v>2795</v>
      </c>
      <c r="X208" s="693" t="s">
        <v>2796</v>
      </c>
      <c r="Y208" s="681" t="s">
        <v>2797</v>
      </c>
      <c r="Z208" s="1662" t="s">
        <v>2798</v>
      </c>
      <c r="AA208" s="1662" t="s">
        <v>2799</v>
      </c>
      <c r="AB208" s="681" t="s">
        <v>2800</v>
      </c>
      <c r="AC208" s="681" t="s">
        <v>2801</v>
      </c>
      <c r="AD208" s="681" t="s">
        <v>2817</v>
      </c>
      <c r="AE208" s="681" t="s">
        <v>2818</v>
      </c>
      <c r="AF208" s="681" t="s">
        <v>2819</v>
      </c>
      <c r="AG208" s="1079" t="e">
        <f t="shared" si="72"/>
        <v>#VALUE!</v>
      </c>
      <c r="AH208" s="1058"/>
      <c r="AI208" s="1058"/>
      <c r="AJ208" s="1058"/>
      <c r="AK208" s="1058"/>
      <c r="AL208" s="1058"/>
      <c r="AM208" s="1058"/>
      <c r="AN208" s="94"/>
      <c r="BW208" s="79"/>
      <c r="BX208" s="79"/>
      <c r="CB208" s="1031" t="e">
        <f t="shared" si="73"/>
        <v>#VALUE!</v>
      </c>
      <c r="CC208" s="1031" t="str">
        <f t="shared" si="74"/>
        <v xml:space="preserve">* La consulta pertinente según Protocolo de Referencia NO DEBE ser mayor al Total registrado. </v>
      </c>
      <c r="CD208" s="1031" t="str">
        <f t="shared" si="75"/>
        <v xml:space="preserve">* La consulta pertinente según condición clínica NO DEBE ser mayor al Total registrado. </v>
      </c>
      <c r="CE208" s="1031" t="str">
        <f t="shared" si="76"/>
        <v xml:space="preserve">* Las Embarazadas NO DEBEN ser mayor al total de Mujeres. </v>
      </c>
      <c r="CF208" s="1031" t="str">
        <f t="shared" si="77"/>
        <v xml:space="preserve">* Los Usuarios en Situación de Discapacidad NO DEBEN ser mayor al total. </v>
      </c>
      <c r="CG208" s="1031" t="str">
        <f t="shared" si="78"/>
        <v xml:space="preserve">* Los Niños, Niñas, Adolescentes y Jóvenes Población SENAME NO DEBEN ser mayor al total. </v>
      </c>
      <c r="CH208" s="1031" t="str">
        <f t="shared" si="79"/>
        <v xml:space="preserve">* Los Migrantes NO DEBEN ser mayor al total. </v>
      </c>
      <c r="CI208" s="1163" t="e">
        <f t="shared" si="80"/>
        <v>#VALUE!</v>
      </c>
      <c r="CJ208" s="1163">
        <f t="shared" si="81"/>
        <v>1</v>
      </c>
      <c r="CK208" s="1163">
        <f t="shared" si="82"/>
        <v>1</v>
      </c>
      <c r="CL208" s="1163">
        <f t="shared" si="83"/>
        <v>1</v>
      </c>
      <c r="CM208" s="1163">
        <f t="shared" si="84"/>
        <v>1</v>
      </c>
      <c r="CN208" s="1163">
        <f t="shared" si="84"/>
        <v>1</v>
      </c>
      <c r="CO208" s="1163">
        <f t="shared" si="84"/>
        <v>1</v>
      </c>
    </row>
    <row r="209" spans="1:93" ht="16.350000000000001" customHeight="1" x14ac:dyDescent="0.2">
      <c r="A209" s="4631" t="s">
        <v>3882</v>
      </c>
      <c r="B209" s="5343"/>
      <c r="C209" s="5986" t="s">
        <v>2014</v>
      </c>
      <c r="D209" s="5986"/>
      <c r="E209" s="3084" t="s">
        <v>2777</v>
      </c>
      <c r="F209" s="2888" t="s">
        <v>2778</v>
      </c>
      <c r="G209" s="3085" t="s">
        <v>2779</v>
      </c>
      <c r="H209" s="530" t="s">
        <v>2780</v>
      </c>
      <c r="I209" s="588" t="s">
        <v>2781</v>
      </c>
      <c r="J209" s="682" t="s">
        <v>2782</v>
      </c>
      <c r="K209" s="588" t="s">
        <v>2783</v>
      </c>
      <c r="L209" s="682" t="s">
        <v>2784</v>
      </c>
      <c r="M209" s="588" t="s">
        <v>2785</v>
      </c>
      <c r="N209" s="682" t="s">
        <v>2786</v>
      </c>
      <c r="O209" s="588" t="s">
        <v>2787</v>
      </c>
      <c r="P209" s="682" t="s">
        <v>2788</v>
      </c>
      <c r="Q209" s="588" t="s">
        <v>2789</v>
      </c>
      <c r="R209" s="682" t="s">
        <v>2790</v>
      </c>
      <c r="S209" s="588" t="s">
        <v>2791</v>
      </c>
      <c r="T209" s="682" t="s">
        <v>2792</v>
      </c>
      <c r="U209" s="588" t="s">
        <v>2793</v>
      </c>
      <c r="V209" s="682" t="s">
        <v>2794</v>
      </c>
      <c r="W209" s="675" t="s">
        <v>2795</v>
      </c>
      <c r="X209" s="690" t="s">
        <v>2796</v>
      </c>
      <c r="Y209" s="678" t="s">
        <v>2797</v>
      </c>
      <c r="Z209" s="1650" t="s">
        <v>2798</v>
      </c>
      <c r="AA209" s="1650" t="s">
        <v>2799</v>
      </c>
      <c r="AB209" s="678" t="s">
        <v>2800</v>
      </c>
      <c r="AC209" s="678" t="s">
        <v>2801</v>
      </c>
      <c r="AD209" s="678" t="s">
        <v>2817</v>
      </c>
      <c r="AE209" s="678" t="s">
        <v>2818</v>
      </c>
      <c r="AF209" s="678" t="s">
        <v>2819</v>
      </c>
      <c r="AG209" s="1079" t="e">
        <f t="shared" si="72"/>
        <v>#VALUE!</v>
      </c>
      <c r="AH209" s="1058"/>
      <c r="AI209" s="1058"/>
      <c r="AJ209" s="1058"/>
      <c r="AK209" s="1058"/>
      <c r="AL209" s="1058"/>
      <c r="AM209" s="1058"/>
      <c r="AN209" s="94"/>
      <c r="BW209" s="79"/>
      <c r="BX209" s="79"/>
      <c r="CB209" s="1031" t="e">
        <f t="shared" si="73"/>
        <v>#VALUE!</v>
      </c>
      <c r="CC209" s="1031" t="str">
        <f t="shared" si="74"/>
        <v xml:space="preserve">* La consulta pertinente según Protocolo de Referencia NO DEBE ser mayor al Total registrado. </v>
      </c>
      <c r="CD209" s="1031" t="str">
        <f t="shared" si="75"/>
        <v xml:space="preserve">* La consulta pertinente según condición clínica NO DEBE ser mayor al Total registrado. </v>
      </c>
      <c r="CE209" s="1031" t="str">
        <f t="shared" si="76"/>
        <v xml:space="preserve">* Las Embarazadas NO DEBEN ser mayor al total de Mujeres. </v>
      </c>
      <c r="CF209" s="1031" t="str">
        <f t="shared" si="77"/>
        <v xml:space="preserve">* Los Usuarios en Situación de Discapacidad NO DEBEN ser mayor al total. </v>
      </c>
      <c r="CG209" s="1031" t="str">
        <f t="shared" si="78"/>
        <v xml:space="preserve">* Los Niños, Niñas, Adolescentes y Jóvenes Población SENAME NO DEBEN ser mayor al total. </v>
      </c>
      <c r="CH209" s="1031" t="str">
        <f t="shared" si="79"/>
        <v xml:space="preserve">* Los Migrantes NO DEBEN ser mayor al total. </v>
      </c>
      <c r="CI209" s="1163" t="e">
        <f t="shared" si="80"/>
        <v>#VALUE!</v>
      </c>
      <c r="CJ209" s="1163">
        <f t="shared" si="81"/>
        <v>1</v>
      </c>
      <c r="CK209" s="1163">
        <f t="shared" si="82"/>
        <v>1</v>
      </c>
      <c r="CL209" s="1163">
        <f t="shared" si="83"/>
        <v>1</v>
      </c>
      <c r="CM209" s="1163">
        <f t="shared" si="84"/>
        <v>1</v>
      </c>
      <c r="CN209" s="1163">
        <f t="shared" si="84"/>
        <v>1</v>
      </c>
      <c r="CO209" s="1163">
        <f t="shared" si="84"/>
        <v>1</v>
      </c>
    </row>
    <row r="210" spans="1:93" ht="16.350000000000001" customHeight="1" x14ac:dyDescent="0.2">
      <c r="A210" s="4631" t="s">
        <v>3883</v>
      </c>
      <c r="B210" s="5989" t="s">
        <v>1135</v>
      </c>
      <c r="C210" s="5980" t="s">
        <v>2012</v>
      </c>
      <c r="D210" s="5981"/>
      <c r="E210" s="4164" t="s">
        <v>2777</v>
      </c>
      <c r="F210" s="4968" t="s">
        <v>2778</v>
      </c>
      <c r="G210" s="4969" t="s">
        <v>2779</v>
      </c>
      <c r="H210" s="4186" t="s">
        <v>2780</v>
      </c>
      <c r="I210" s="4187" t="s">
        <v>2781</v>
      </c>
      <c r="J210" s="4188" t="s">
        <v>2782</v>
      </c>
      <c r="K210" s="4187" t="s">
        <v>2783</v>
      </c>
      <c r="L210" s="4188" t="s">
        <v>2784</v>
      </c>
      <c r="M210" s="4187" t="s">
        <v>2785</v>
      </c>
      <c r="N210" s="4188" t="s">
        <v>2786</v>
      </c>
      <c r="O210" s="4187" t="s">
        <v>2787</v>
      </c>
      <c r="P210" s="4188" t="s">
        <v>2788</v>
      </c>
      <c r="Q210" s="4187" t="s">
        <v>2789</v>
      </c>
      <c r="R210" s="4188" t="s">
        <v>2790</v>
      </c>
      <c r="S210" s="4187" t="s">
        <v>2791</v>
      </c>
      <c r="T210" s="4188" t="s">
        <v>2792</v>
      </c>
      <c r="U210" s="4187" t="s">
        <v>2793</v>
      </c>
      <c r="V210" s="4188" t="s">
        <v>2794</v>
      </c>
      <c r="W210" s="4189" t="s">
        <v>2795</v>
      </c>
      <c r="X210" s="4190" t="s">
        <v>2796</v>
      </c>
      <c r="Y210" s="4191" t="s">
        <v>2797</v>
      </c>
      <c r="Z210" s="4191" t="s">
        <v>2798</v>
      </c>
      <c r="AA210" s="2410" t="s">
        <v>2799</v>
      </c>
      <c r="AB210" s="2410" t="s">
        <v>2800</v>
      </c>
      <c r="AC210" s="2410" t="s">
        <v>2801</v>
      </c>
      <c r="AD210" s="2410" t="s">
        <v>2817</v>
      </c>
      <c r="AE210" s="2410" t="s">
        <v>2818</v>
      </c>
      <c r="AF210" s="2410" t="s">
        <v>2819</v>
      </c>
      <c r="AG210" s="1079" t="e">
        <f t="shared" si="72"/>
        <v>#VALUE!</v>
      </c>
      <c r="AH210" s="1058"/>
      <c r="AI210" s="1058"/>
      <c r="AJ210" s="1058"/>
      <c r="AK210" s="1058"/>
      <c r="AL210" s="1058"/>
      <c r="AM210" s="1058"/>
      <c r="AN210" s="94"/>
      <c r="BW210" s="79"/>
      <c r="BX210" s="79"/>
      <c r="CB210" s="1031" t="e">
        <f t="shared" si="73"/>
        <v>#VALUE!</v>
      </c>
      <c r="CC210" s="1031" t="str">
        <f t="shared" si="74"/>
        <v xml:space="preserve">* La consulta pertinente según Protocolo de Referencia NO DEBE ser mayor al Total registrado. </v>
      </c>
      <c r="CD210" s="1031" t="str">
        <f t="shared" si="75"/>
        <v xml:space="preserve">* La consulta pertinente según condición clínica NO DEBE ser mayor al Total registrado. </v>
      </c>
      <c r="CE210" s="1031" t="str">
        <f t="shared" si="76"/>
        <v xml:space="preserve">* Las Embarazadas NO DEBEN ser mayor al total de Mujeres. </v>
      </c>
      <c r="CF210" s="1031" t="str">
        <f t="shared" si="77"/>
        <v xml:space="preserve">* Los Usuarios en Situación de Discapacidad NO DEBEN ser mayor al total. </v>
      </c>
      <c r="CG210" s="1031" t="str">
        <f t="shared" si="78"/>
        <v xml:space="preserve">* Los Niños, Niñas, Adolescentes y Jóvenes Población SENAME NO DEBEN ser mayor al total. </v>
      </c>
      <c r="CH210" s="1031" t="str">
        <f t="shared" si="79"/>
        <v xml:space="preserve">* Los Migrantes NO DEBEN ser mayor al total. </v>
      </c>
      <c r="CI210" s="1163" t="e">
        <f t="shared" si="80"/>
        <v>#VALUE!</v>
      </c>
      <c r="CJ210" s="1163">
        <f t="shared" si="81"/>
        <v>1</v>
      </c>
      <c r="CK210" s="1163">
        <f t="shared" si="82"/>
        <v>1</v>
      </c>
      <c r="CL210" s="1163">
        <f t="shared" si="83"/>
        <v>1</v>
      </c>
      <c r="CM210" s="1163">
        <f t="shared" si="84"/>
        <v>1</v>
      </c>
      <c r="CN210" s="1163">
        <f t="shared" si="84"/>
        <v>1</v>
      </c>
      <c r="CO210" s="1163">
        <f t="shared" si="84"/>
        <v>1</v>
      </c>
    </row>
    <row r="211" spans="1:93" ht="16.350000000000001" customHeight="1" x14ac:dyDescent="0.2">
      <c r="A211" s="4631" t="s">
        <v>3884</v>
      </c>
      <c r="B211" s="5103"/>
      <c r="C211" s="5982" t="s">
        <v>2013</v>
      </c>
      <c r="D211" s="5982"/>
      <c r="E211" s="3070" t="s">
        <v>2777</v>
      </c>
      <c r="F211" s="2886" t="s">
        <v>2778</v>
      </c>
      <c r="G211" s="3083" t="s">
        <v>2779</v>
      </c>
      <c r="H211" s="425" t="s">
        <v>2780</v>
      </c>
      <c r="I211" s="426" t="s">
        <v>2781</v>
      </c>
      <c r="J211" s="428" t="s">
        <v>2782</v>
      </c>
      <c r="K211" s="426" t="s">
        <v>2783</v>
      </c>
      <c r="L211" s="428" t="s">
        <v>2784</v>
      </c>
      <c r="M211" s="426" t="s">
        <v>2785</v>
      </c>
      <c r="N211" s="428" t="s">
        <v>2786</v>
      </c>
      <c r="O211" s="426" t="s">
        <v>2787</v>
      </c>
      <c r="P211" s="428" t="s">
        <v>2788</v>
      </c>
      <c r="Q211" s="426" t="s">
        <v>2789</v>
      </c>
      <c r="R211" s="428" t="s">
        <v>2790</v>
      </c>
      <c r="S211" s="426" t="s">
        <v>2791</v>
      </c>
      <c r="T211" s="428" t="s">
        <v>2792</v>
      </c>
      <c r="U211" s="426" t="s">
        <v>2793</v>
      </c>
      <c r="V211" s="428" t="s">
        <v>2794</v>
      </c>
      <c r="W211" s="674" t="s">
        <v>2795</v>
      </c>
      <c r="X211" s="689" t="s">
        <v>2796</v>
      </c>
      <c r="Y211" s="677" t="s">
        <v>2797</v>
      </c>
      <c r="Z211" s="1647" t="s">
        <v>2798</v>
      </c>
      <c r="AA211" s="1647" t="s">
        <v>2799</v>
      </c>
      <c r="AB211" s="677" t="s">
        <v>2800</v>
      </c>
      <c r="AC211" s="677" t="s">
        <v>2801</v>
      </c>
      <c r="AD211" s="677" t="s">
        <v>2817</v>
      </c>
      <c r="AE211" s="677" t="s">
        <v>2818</v>
      </c>
      <c r="AF211" s="677" t="s">
        <v>2819</v>
      </c>
      <c r="AG211" s="1079" t="e">
        <f t="shared" si="72"/>
        <v>#VALUE!</v>
      </c>
      <c r="AH211" s="1058"/>
      <c r="AI211" s="1058"/>
      <c r="AJ211" s="1058"/>
      <c r="AK211" s="1058"/>
      <c r="AL211" s="1058"/>
      <c r="AM211" s="1058"/>
      <c r="AN211" s="94"/>
      <c r="BW211" s="79"/>
      <c r="BX211" s="79"/>
      <c r="CB211" s="1031" t="e">
        <f t="shared" si="73"/>
        <v>#VALUE!</v>
      </c>
      <c r="CC211" s="1031" t="str">
        <f t="shared" si="74"/>
        <v xml:space="preserve">* La consulta pertinente según Protocolo de Referencia NO DEBE ser mayor al Total registrado. </v>
      </c>
      <c r="CD211" s="1031" t="str">
        <f t="shared" si="75"/>
        <v xml:space="preserve">* La consulta pertinente según condición clínica NO DEBE ser mayor al Total registrado. </v>
      </c>
      <c r="CE211" s="1031" t="str">
        <f t="shared" si="76"/>
        <v xml:space="preserve">* Las Embarazadas NO DEBEN ser mayor al total de Mujeres. </v>
      </c>
      <c r="CF211" s="1031" t="str">
        <f t="shared" si="77"/>
        <v xml:space="preserve">* Los Usuarios en Situación de Discapacidad NO DEBEN ser mayor al total. </v>
      </c>
      <c r="CG211" s="1031" t="str">
        <f t="shared" si="78"/>
        <v xml:space="preserve">* Los Niños, Niñas, Adolescentes y Jóvenes Población SENAME NO DEBEN ser mayor al total. </v>
      </c>
      <c r="CH211" s="1031" t="str">
        <f t="shared" si="79"/>
        <v xml:space="preserve">* Los Migrantes NO DEBEN ser mayor al total. </v>
      </c>
      <c r="CI211" s="1163" t="e">
        <f t="shared" si="80"/>
        <v>#VALUE!</v>
      </c>
      <c r="CJ211" s="1163">
        <f t="shared" si="81"/>
        <v>1</v>
      </c>
      <c r="CK211" s="1163">
        <f t="shared" si="82"/>
        <v>1</v>
      </c>
      <c r="CL211" s="1163">
        <f t="shared" si="83"/>
        <v>1</v>
      </c>
      <c r="CM211" s="1163">
        <f t="shared" si="84"/>
        <v>1</v>
      </c>
      <c r="CN211" s="1163">
        <f t="shared" si="84"/>
        <v>1</v>
      </c>
      <c r="CO211" s="1163">
        <f t="shared" si="84"/>
        <v>1</v>
      </c>
    </row>
    <row r="212" spans="1:93" ht="16.350000000000001" customHeight="1" x14ac:dyDescent="0.2">
      <c r="A212" s="3009" t="s">
        <v>3656</v>
      </c>
      <c r="B212" s="5103"/>
      <c r="C212" s="5983" t="s">
        <v>1122</v>
      </c>
      <c r="D212" s="5983"/>
      <c r="E212" s="3070" t="s">
        <v>2777</v>
      </c>
      <c r="F212" s="2886" t="s">
        <v>2778</v>
      </c>
      <c r="G212" s="3083" t="s">
        <v>2779</v>
      </c>
      <c r="H212" s="425" t="s">
        <v>2780</v>
      </c>
      <c r="I212" s="426" t="s">
        <v>2781</v>
      </c>
      <c r="J212" s="428" t="s">
        <v>2782</v>
      </c>
      <c r="K212" s="426" t="s">
        <v>2783</v>
      </c>
      <c r="L212" s="428" t="s">
        <v>2784</v>
      </c>
      <c r="M212" s="426" t="s">
        <v>2785</v>
      </c>
      <c r="N212" s="428" t="s">
        <v>2786</v>
      </c>
      <c r="O212" s="426" t="s">
        <v>2787</v>
      </c>
      <c r="P212" s="428" t="s">
        <v>2788</v>
      </c>
      <c r="Q212" s="426" t="s">
        <v>2789</v>
      </c>
      <c r="R212" s="428" t="s">
        <v>2790</v>
      </c>
      <c r="S212" s="426" t="s">
        <v>2791</v>
      </c>
      <c r="T212" s="428" t="s">
        <v>2792</v>
      </c>
      <c r="U212" s="426" t="s">
        <v>2793</v>
      </c>
      <c r="V212" s="428" t="s">
        <v>2794</v>
      </c>
      <c r="W212" s="674" t="s">
        <v>2795</v>
      </c>
      <c r="X212" s="689" t="s">
        <v>2796</v>
      </c>
      <c r="Y212" s="677" t="s">
        <v>2797</v>
      </c>
      <c r="Z212" s="1647" t="s">
        <v>2798</v>
      </c>
      <c r="AA212" s="1647" t="s">
        <v>2799</v>
      </c>
      <c r="AB212" s="677" t="s">
        <v>2800</v>
      </c>
      <c r="AC212" s="677" t="s">
        <v>2801</v>
      </c>
      <c r="AD212" s="677" t="s">
        <v>2817</v>
      </c>
      <c r="AE212" s="677" t="s">
        <v>2818</v>
      </c>
      <c r="AF212" s="677" t="s">
        <v>2819</v>
      </c>
      <c r="AG212" s="1079" t="e">
        <f t="shared" si="72"/>
        <v>#VALUE!</v>
      </c>
      <c r="AH212" s="1058"/>
      <c r="AI212" s="1058"/>
      <c r="AJ212" s="1058"/>
      <c r="AK212" s="1058"/>
      <c r="AL212" s="1058"/>
      <c r="AM212" s="1058"/>
      <c r="AN212" s="94"/>
      <c r="BW212" s="79"/>
      <c r="BX212" s="79"/>
      <c r="CB212" s="1031" t="e">
        <f t="shared" si="73"/>
        <v>#VALUE!</v>
      </c>
      <c r="CC212" s="1031" t="str">
        <f t="shared" si="74"/>
        <v xml:space="preserve">* La consulta pertinente según Protocolo de Referencia NO DEBE ser mayor al Total registrado. </v>
      </c>
      <c r="CD212" s="1031" t="str">
        <f t="shared" si="75"/>
        <v xml:space="preserve">* La consulta pertinente según condición clínica NO DEBE ser mayor al Total registrado. </v>
      </c>
      <c r="CE212" s="1031" t="str">
        <f t="shared" si="76"/>
        <v xml:space="preserve">* Las Embarazadas NO DEBEN ser mayor al total de Mujeres. </v>
      </c>
      <c r="CF212" s="1031" t="str">
        <f t="shared" si="77"/>
        <v xml:space="preserve">* Los Usuarios en Situación de Discapacidad NO DEBEN ser mayor al total. </v>
      </c>
      <c r="CG212" s="1031" t="str">
        <f t="shared" si="78"/>
        <v xml:space="preserve">* Los Niños, Niñas, Adolescentes y Jóvenes Población SENAME NO DEBEN ser mayor al total. </v>
      </c>
      <c r="CH212" s="1031" t="str">
        <f t="shared" si="79"/>
        <v xml:space="preserve">* Los Migrantes NO DEBEN ser mayor al total. </v>
      </c>
      <c r="CI212" s="1163" t="e">
        <f t="shared" si="80"/>
        <v>#VALUE!</v>
      </c>
      <c r="CJ212" s="1163">
        <f t="shared" si="81"/>
        <v>1</v>
      </c>
      <c r="CK212" s="1163">
        <f t="shared" si="82"/>
        <v>1</v>
      </c>
      <c r="CL212" s="1163">
        <f t="shared" si="83"/>
        <v>1</v>
      </c>
      <c r="CM212" s="1163">
        <f t="shared" si="84"/>
        <v>1</v>
      </c>
      <c r="CN212" s="1163">
        <f t="shared" si="84"/>
        <v>1</v>
      </c>
      <c r="CO212" s="1163">
        <f t="shared" si="84"/>
        <v>1</v>
      </c>
    </row>
    <row r="213" spans="1:93" ht="16.350000000000001" customHeight="1" x14ac:dyDescent="0.2">
      <c r="A213" s="3009" t="s">
        <v>3657</v>
      </c>
      <c r="B213" s="5103"/>
      <c r="C213" s="5998" t="s">
        <v>1123</v>
      </c>
      <c r="D213" s="5999"/>
      <c r="E213" s="3070" t="s">
        <v>2777</v>
      </c>
      <c r="F213" s="2886" t="s">
        <v>2778</v>
      </c>
      <c r="G213" s="3083" t="s">
        <v>2779</v>
      </c>
      <c r="H213" s="2411" t="s">
        <v>2780</v>
      </c>
      <c r="I213" s="687" t="s">
        <v>2781</v>
      </c>
      <c r="J213" s="684" t="s">
        <v>2782</v>
      </c>
      <c r="K213" s="687" t="s">
        <v>2783</v>
      </c>
      <c r="L213" s="684" t="s">
        <v>2784</v>
      </c>
      <c r="M213" s="687" t="s">
        <v>2785</v>
      </c>
      <c r="N213" s="684" t="s">
        <v>2786</v>
      </c>
      <c r="O213" s="687" t="s">
        <v>2787</v>
      </c>
      <c r="P213" s="684" t="s">
        <v>2788</v>
      </c>
      <c r="Q213" s="687" t="s">
        <v>2789</v>
      </c>
      <c r="R213" s="684" t="s">
        <v>2790</v>
      </c>
      <c r="S213" s="687" t="s">
        <v>2791</v>
      </c>
      <c r="T213" s="684" t="s">
        <v>2792</v>
      </c>
      <c r="U213" s="687" t="s">
        <v>2793</v>
      </c>
      <c r="V213" s="684" t="s">
        <v>2794</v>
      </c>
      <c r="W213" s="676" t="s">
        <v>2795</v>
      </c>
      <c r="X213" s="690" t="s">
        <v>2796</v>
      </c>
      <c r="Y213" s="678" t="s">
        <v>2797</v>
      </c>
      <c r="Z213" s="1650" t="s">
        <v>2798</v>
      </c>
      <c r="AA213" s="1650" t="s">
        <v>2799</v>
      </c>
      <c r="AB213" s="678" t="s">
        <v>2800</v>
      </c>
      <c r="AC213" s="678" t="s">
        <v>2801</v>
      </c>
      <c r="AD213" s="678" t="s">
        <v>2817</v>
      </c>
      <c r="AE213" s="678" t="s">
        <v>2818</v>
      </c>
      <c r="AF213" s="678" t="s">
        <v>2819</v>
      </c>
      <c r="AG213" s="1079" t="e">
        <f t="shared" si="72"/>
        <v>#VALUE!</v>
      </c>
      <c r="AH213" s="1058"/>
      <c r="AI213" s="1058"/>
      <c r="AJ213" s="1058"/>
      <c r="AK213" s="1058"/>
      <c r="AL213" s="1058"/>
      <c r="AM213" s="1058"/>
      <c r="AN213" s="94"/>
      <c r="BW213" s="79"/>
      <c r="BX213" s="79"/>
      <c r="CB213" s="1031" t="e">
        <f t="shared" si="73"/>
        <v>#VALUE!</v>
      </c>
      <c r="CC213" s="1031" t="str">
        <f t="shared" si="74"/>
        <v xml:space="preserve">* La consulta pertinente según Protocolo de Referencia NO DEBE ser mayor al Total registrado. </v>
      </c>
      <c r="CD213" s="1031" t="str">
        <f t="shared" si="75"/>
        <v xml:space="preserve">* La consulta pertinente según condición clínica NO DEBE ser mayor al Total registrado. </v>
      </c>
      <c r="CE213" s="1031" t="str">
        <f t="shared" si="76"/>
        <v xml:space="preserve">* Las Embarazadas NO DEBEN ser mayor al total de Mujeres. </v>
      </c>
      <c r="CF213" s="1031" t="str">
        <f t="shared" si="77"/>
        <v xml:space="preserve">* Los Usuarios en Situación de Discapacidad NO DEBEN ser mayor al total. </v>
      </c>
      <c r="CG213" s="1031" t="str">
        <f t="shared" si="78"/>
        <v xml:space="preserve">* Los Niños, Niñas, Adolescentes y Jóvenes Población SENAME NO DEBEN ser mayor al total. </v>
      </c>
      <c r="CH213" s="1031" t="str">
        <f t="shared" si="79"/>
        <v xml:space="preserve">* Los Migrantes NO DEBEN ser mayor al total. </v>
      </c>
      <c r="CI213" s="1163" t="e">
        <f t="shared" si="80"/>
        <v>#VALUE!</v>
      </c>
      <c r="CJ213" s="1163">
        <f t="shared" si="81"/>
        <v>1</v>
      </c>
      <c r="CK213" s="1163">
        <f t="shared" si="82"/>
        <v>1</v>
      </c>
      <c r="CL213" s="1163">
        <f t="shared" si="83"/>
        <v>1</v>
      </c>
      <c r="CM213" s="1163">
        <f t="shared" si="84"/>
        <v>1</v>
      </c>
      <c r="CN213" s="1163">
        <f t="shared" si="84"/>
        <v>1</v>
      </c>
      <c r="CO213" s="1163">
        <f t="shared" si="84"/>
        <v>1</v>
      </c>
    </row>
    <row r="214" spans="1:93" ht="16.350000000000001" customHeight="1" x14ac:dyDescent="0.2">
      <c r="A214" s="4631" t="s">
        <v>3885</v>
      </c>
      <c r="B214" s="5343"/>
      <c r="C214" s="5986" t="s">
        <v>2014</v>
      </c>
      <c r="D214" s="5986"/>
      <c r="E214" s="3084" t="s">
        <v>2777</v>
      </c>
      <c r="F214" s="2888" t="s">
        <v>2778</v>
      </c>
      <c r="G214" s="3085" t="s">
        <v>2779</v>
      </c>
      <c r="H214" s="530" t="s">
        <v>2780</v>
      </c>
      <c r="I214" s="588" t="s">
        <v>2781</v>
      </c>
      <c r="J214" s="682" t="s">
        <v>2782</v>
      </c>
      <c r="K214" s="588" t="s">
        <v>2783</v>
      </c>
      <c r="L214" s="682" t="s">
        <v>2784</v>
      </c>
      <c r="M214" s="588" t="s">
        <v>2785</v>
      </c>
      <c r="N214" s="682" t="s">
        <v>2786</v>
      </c>
      <c r="O214" s="588" t="s">
        <v>2787</v>
      </c>
      <c r="P214" s="682" t="s">
        <v>2788</v>
      </c>
      <c r="Q214" s="588" t="s">
        <v>2789</v>
      </c>
      <c r="R214" s="682" t="s">
        <v>2790</v>
      </c>
      <c r="S214" s="588" t="s">
        <v>2791</v>
      </c>
      <c r="T214" s="682" t="s">
        <v>2792</v>
      </c>
      <c r="U214" s="588" t="s">
        <v>2793</v>
      </c>
      <c r="V214" s="682" t="s">
        <v>2794</v>
      </c>
      <c r="W214" s="675" t="s">
        <v>2795</v>
      </c>
      <c r="X214" s="690" t="s">
        <v>2796</v>
      </c>
      <c r="Y214" s="678" t="s">
        <v>2797</v>
      </c>
      <c r="Z214" s="1650" t="s">
        <v>2798</v>
      </c>
      <c r="AA214" s="1650" t="s">
        <v>2799</v>
      </c>
      <c r="AB214" s="678" t="s">
        <v>2800</v>
      </c>
      <c r="AC214" s="678" t="s">
        <v>2801</v>
      </c>
      <c r="AD214" s="678" t="s">
        <v>2817</v>
      </c>
      <c r="AE214" s="678" t="s">
        <v>2818</v>
      </c>
      <c r="AF214" s="678" t="s">
        <v>2819</v>
      </c>
      <c r="AG214" s="1079" t="e">
        <f t="shared" si="72"/>
        <v>#VALUE!</v>
      </c>
      <c r="AH214" s="1058"/>
      <c r="AI214" s="1058"/>
      <c r="AJ214" s="1058"/>
      <c r="AK214" s="1058"/>
      <c r="AL214" s="1058"/>
      <c r="AM214" s="1058"/>
      <c r="AN214" s="94"/>
      <c r="BW214" s="79"/>
      <c r="BX214" s="79"/>
      <c r="CB214" s="1031" t="e">
        <f t="shared" si="73"/>
        <v>#VALUE!</v>
      </c>
      <c r="CC214" s="1031" t="str">
        <f t="shared" si="74"/>
        <v xml:space="preserve">* La consulta pertinente según Protocolo de Referencia NO DEBE ser mayor al Total registrado. </v>
      </c>
      <c r="CD214" s="1031" t="str">
        <f t="shared" si="75"/>
        <v xml:space="preserve">* La consulta pertinente según condición clínica NO DEBE ser mayor al Total registrado. </v>
      </c>
      <c r="CE214" s="1031" t="str">
        <f t="shared" si="76"/>
        <v xml:space="preserve">* Las Embarazadas NO DEBEN ser mayor al total de Mujeres. </v>
      </c>
      <c r="CF214" s="1031" t="str">
        <f t="shared" si="77"/>
        <v xml:space="preserve">* Los Usuarios en Situación de Discapacidad NO DEBEN ser mayor al total. </v>
      </c>
      <c r="CG214" s="1031" t="str">
        <f t="shared" si="78"/>
        <v xml:space="preserve">* Los Niños, Niñas, Adolescentes y Jóvenes Población SENAME NO DEBEN ser mayor al total. </v>
      </c>
      <c r="CH214" s="1031" t="str">
        <f t="shared" si="79"/>
        <v xml:space="preserve">* Los Migrantes NO DEBEN ser mayor al total. </v>
      </c>
      <c r="CI214" s="1163" t="e">
        <f t="shared" si="80"/>
        <v>#VALUE!</v>
      </c>
      <c r="CJ214" s="1163">
        <f t="shared" si="81"/>
        <v>1</v>
      </c>
      <c r="CK214" s="1163">
        <f t="shared" si="82"/>
        <v>1</v>
      </c>
      <c r="CL214" s="1163">
        <f t="shared" si="83"/>
        <v>1</v>
      </c>
      <c r="CM214" s="1163">
        <f t="shared" si="84"/>
        <v>1</v>
      </c>
      <c r="CN214" s="1163">
        <f t="shared" si="84"/>
        <v>1</v>
      </c>
      <c r="CO214" s="1163">
        <f t="shared" si="84"/>
        <v>1</v>
      </c>
    </row>
    <row r="215" spans="1:93" ht="16.350000000000001" customHeight="1" x14ac:dyDescent="0.2">
      <c r="A215" s="4631" t="s">
        <v>3886</v>
      </c>
      <c r="B215" s="5989" t="s">
        <v>1079</v>
      </c>
      <c r="C215" s="5980" t="s">
        <v>2012</v>
      </c>
      <c r="D215" s="5981"/>
      <c r="E215" s="4164" t="s">
        <v>2777</v>
      </c>
      <c r="F215" s="4968" t="s">
        <v>2778</v>
      </c>
      <c r="G215" s="4969" t="s">
        <v>2779</v>
      </c>
      <c r="H215" s="4186" t="s">
        <v>2780</v>
      </c>
      <c r="I215" s="4187" t="s">
        <v>2781</v>
      </c>
      <c r="J215" s="4188" t="s">
        <v>2782</v>
      </c>
      <c r="K215" s="4187" t="s">
        <v>2783</v>
      </c>
      <c r="L215" s="4188" t="s">
        <v>2784</v>
      </c>
      <c r="M215" s="4187" t="s">
        <v>2785</v>
      </c>
      <c r="N215" s="4188" t="s">
        <v>2786</v>
      </c>
      <c r="O215" s="4187" t="s">
        <v>2787</v>
      </c>
      <c r="P215" s="4188" t="s">
        <v>2788</v>
      </c>
      <c r="Q215" s="4187" t="s">
        <v>2789</v>
      </c>
      <c r="R215" s="4188" t="s">
        <v>2790</v>
      </c>
      <c r="S215" s="4187" t="s">
        <v>2791</v>
      </c>
      <c r="T215" s="4188" t="s">
        <v>2792</v>
      </c>
      <c r="U215" s="4187" t="s">
        <v>2793</v>
      </c>
      <c r="V215" s="4188" t="s">
        <v>2794</v>
      </c>
      <c r="W215" s="4189" t="s">
        <v>2795</v>
      </c>
      <c r="X215" s="4190" t="s">
        <v>2796</v>
      </c>
      <c r="Y215" s="4191" t="s">
        <v>2797</v>
      </c>
      <c r="Z215" s="4191" t="s">
        <v>2798</v>
      </c>
      <c r="AA215" s="2410" t="s">
        <v>2799</v>
      </c>
      <c r="AB215" s="2410" t="s">
        <v>2800</v>
      </c>
      <c r="AC215" s="2410" t="s">
        <v>2801</v>
      </c>
      <c r="AD215" s="2410" t="s">
        <v>2817</v>
      </c>
      <c r="AE215" s="2410" t="s">
        <v>2818</v>
      </c>
      <c r="AF215" s="2410" t="s">
        <v>2819</v>
      </c>
      <c r="AG215" s="1079" t="e">
        <f t="shared" si="72"/>
        <v>#VALUE!</v>
      </c>
      <c r="AH215" s="1058"/>
      <c r="AI215" s="1058"/>
      <c r="AJ215" s="1058"/>
      <c r="AK215" s="1058"/>
      <c r="AL215" s="1058"/>
      <c r="AM215" s="1058"/>
      <c r="AN215" s="94"/>
      <c r="BW215" s="79"/>
      <c r="BX215" s="79"/>
      <c r="CB215" s="1031" t="e">
        <f t="shared" si="73"/>
        <v>#VALUE!</v>
      </c>
      <c r="CC215" s="1031" t="str">
        <f t="shared" si="74"/>
        <v xml:space="preserve">* La consulta pertinente según Protocolo de Referencia NO DEBE ser mayor al Total registrado. </v>
      </c>
      <c r="CD215" s="1031" t="str">
        <f t="shared" si="75"/>
        <v xml:space="preserve">* La consulta pertinente según condición clínica NO DEBE ser mayor al Total registrado. </v>
      </c>
      <c r="CE215" s="1031" t="str">
        <f t="shared" si="76"/>
        <v xml:space="preserve">* Las Embarazadas NO DEBEN ser mayor al total de Mujeres. </v>
      </c>
      <c r="CF215" s="1031" t="str">
        <f t="shared" si="77"/>
        <v xml:space="preserve">* Los Usuarios en Situación de Discapacidad NO DEBEN ser mayor al total. </v>
      </c>
      <c r="CG215" s="1031" t="str">
        <f t="shared" si="78"/>
        <v xml:space="preserve">* Los Niños, Niñas, Adolescentes y Jóvenes Población SENAME NO DEBEN ser mayor al total. </v>
      </c>
      <c r="CH215" s="1031" t="str">
        <f t="shared" si="79"/>
        <v xml:space="preserve">* Los Migrantes NO DEBEN ser mayor al total. </v>
      </c>
      <c r="CI215" s="1163" t="e">
        <f t="shared" si="80"/>
        <v>#VALUE!</v>
      </c>
      <c r="CJ215" s="1163">
        <f t="shared" si="81"/>
        <v>1</v>
      </c>
      <c r="CK215" s="1163">
        <f t="shared" si="82"/>
        <v>1</v>
      </c>
      <c r="CL215" s="1163">
        <f t="shared" si="83"/>
        <v>1</v>
      </c>
      <c r="CM215" s="1163">
        <f t="shared" si="84"/>
        <v>1</v>
      </c>
      <c r="CN215" s="1163">
        <f t="shared" si="84"/>
        <v>1</v>
      </c>
      <c r="CO215" s="1163">
        <f t="shared" si="84"/>
        <v>1</v>
      </c>
    </row>
    <row r="216" spans="1:93" ht="16.350000000000001" customHeight="1" x14ac:dyDescent="0.2">
      <c r="A216" s="4631" t="s">
        <v>3887</v>
      </c>
      <c r="B216" s="5103"/>
      <c r="C216" s="5982" t="s">
        <v>2013</v>
      </c>
      <c r="D216" s="5982"/>
      <c r="E216" s="3070" t="s">
        <v>2777</v>
      </c>
      <c r="F216" s="2886" t="s">
        <v>2778</v>
      </c>
      <c r="G216" s="3083" t="s">
        <v>2779</v>
      </c>
      <c r="H216" s="425" t="s">
        <v>2780</v>
      </c>
      <c r="I216" s="426" t="s">
        <v>2781</v>
      </c>
      <c r="J216" s="428" t="s">
        <v>2782</v>
      </c>
      <c r="K216" s="426" t="s">
        <v>2783</v>
      </c>
      <c r="L216" s="428" t="s">
        <v>2784</v>
      </c>
      <c r="M216" s="426" t="s">
        <v>2785</v>
      </c>
      <c r="N216" s="428" t="s">
        <v>2786</v>
      </c>
      <c r="O216" s="426" t="s">
        <v>2787</v>
      </c>
      <c r="P216" s="428" t="s">
        <v>2788</v>
      </c>
      <c r="Q216" s="426" t="s">
        <v>2789</v>
      </c>
      <c r="R216" s="428" t="s">
        <v>2790</v>
      </c>
      <c r="S216" s="426" t="s">
        <v>2791</v>
      </c>
      <c r="T216" s="428" t="s">
        <v>2792</v>
      </c>
      <c r="U216" s="426" t="s">
        <v>2793</v>
      </c>
      <c r="V216" s="428" t="s">
        <v>2794</v>
      </c>
      <c r="W216" s="674" t="s">
        <v>2795</v>
      </c>
      <c r="X216" s="689" t="s">
        <v>2796</v>
      </c>
      <c r="Y216" s="677" t="s">
        <v>2797</v>
      </c>
      <c r="Z216" s="1647" t="s">
        <v>2798</v>
      </c>
      <c r="AA216" s="1647" t="s">
        <v>2799</v>
      </c>
      <c r="AB216" s="677" t="s">
        <v>2800</v>
      </c>
      <c r="AC216" s="677" t="s">
        <v>2801</v>
      </c>
      <c r="AD216" s="677" t="s">
        <v>2817</v>
      </c>
      <c r="AE216" s="677" t="s">
        <v>2818</v>
      </c>
      <c r="AF216" s="677" t="s">
        <v>2819</v>
      </c>
      <c r="AG216" s="1079" t="e">
        <f t="shared" si="72"/>
        <v>#VALUE!</v>
      </c>
      <c r="AH216" s="1058"/>
      <c r="AI216" s="1058"/>
      <c r="AJ216" s="1058"/>
      <c r="AK216" s="1058"/>
      <c r="AL216" s="1058"/>
      <c r="AM216" s="1058"/>
      <c r="AN216" s="94"/>
      <c r="BW216" s="79"/>
      <c r="BX216" s="79"/>
      <c r="CB216" s="1031" t="e">
        <f t="shared" si="73"/>
        <v>#VALUE!</v>
      </c>
      <c r="CC216" s="1031" t="str">
        <f t="shared" si="74"/>
        <v xml:space="preserve">* La consulta pertinente según Protocolo de Referencia NO DEBE ser mayor al Total registrado. </v>
      </c>
      <c r="CD216" s="1031" t="str">
        <f t="shared" si="75"/>
        <v xml:space="preserve">* La consulta pertinente según condición clínica NO DEBE ser mayor al Total registrado. </v>
      </c>
      <c r="CE216" s="1031" t="str">
        <f t="shared" si="76"/>
        <v xml:space="preserve">* Las Embarazadas NO DEBEN ser mayor al total de Mujeres. </v>
      </c>
      <c r="CF216" s="1031" t="str">
        <f t="shared" si="77"/>
        <v xml:space="preserve">* Los Usuarios en Situación de Discapacidad NO DEBEN ser mayor al total. </v>
      </c>
      <c r="CG216" s="1031" t="str">
        <f t="shared" si="78"/>
        <v xml:space="preserve">* Los Niños, Niñas, Adolescentes y Jóvenes Población SENAME NO DEBEN ser mayor al total. </v>
      </c>
      <c r="CH216" s="1031" t="str">
        <f t="shared" si="79"/>
        <v xml:space="preserve">* Los Migrantes NO DEBEN ser mayor al total. </v>
      </c>
      <c r="CI216" s="1163" t="e">
        <f t="shared" si="80"/>
        <v>#VALUE!</v>
      </c>
      <c r="CJ216" s="1163">
        <f t="shared" si="81"/>
        <v>1</v>
      </c>
      <c r="CK216" s="1163">
        <f t="shared" si="82"/>
        <v>1</v>
      </c>
      <c r="CL216" s="1163">
        <f t="shared" si="83"/>
        <v>1</v>
      </c>
      <c r="CM216" s="1163">
        <f t="shared" si="84"/>
        <v>1</v>
      </c>
      <c r="CN216" s="1163">
        <f t="shared" si="84"/>
        <v>1</v>
      </c>
      <c r="CO216" s="1163">
        <f t="shared" si="84"/>
        <v>1</v>
      </c>
    </row>
    <row r="217" spans="1:93" ht="16.350000000000001" customHeight="1" x14ac:dyDescent="0.2">
      <c r="A217" s="3009" t="s">
        <v>3658</v>
      </c>
      <c r="B217" s="5103"/>
      <c r="C217" s="5998" t="s">
        <v>1122</v>
      </c>
      <c r="D217" s="5999"/>
      <c r="E217" s="3070" t="s">
        <v>2777</v>
      </c>
      <c r="F217" s="2886" t="s">
        <v>2778</v>
      </c>
      <c r="G217" s="3083" t="s">
        <v>2779</v>
      </c>
      <c r="H217" s="425" t="s">
        <v>2780</v>
      </c>
      <c r="I217" s="426" t="s">
        <v>2781</v>
      </c>
      <c r="J217" s="428" t="s">
        <v>2782</v>
      </c>
      <c r="K217" s="426" t="s">
        <v>2783</v>
      </c>
      <c r="L217" s="428" t="s">
        <v>2784</v>
      </c>
      <c r="M217" s="426" t="s">
        <v>2785</v>
      </c>
      <c r="N217" s="428" t="s">
        <v>2786</v>
      </c>
      <c r="O217" s="426" t="s">
        <v>2787</v>
      </c>
      <c r="P217" s="428" t="s">
        <v>2788</v>
      </c>
      <c r="Q217" s="426" t="s">
        <v>2789</v>
      </c>
      <c r="R217" s="428" t="s">
        <v>2790</v>
      </c>
      <c r="S217" s="426" t="s">
        <v>2791</v>
      </c>
      <c r="T217" s="428" t="s">
        <v>2792</v>
      </c>
      <c r="U217" s="426" t="s">
        <v>2793</v>
      </c>
      <c r="V217" s="428" t="s">
        <v>2794</v>
      </c>
      <c r="W217" s="674" t="s">
        <v>2795</v>
      </c>
      <c r="X217" s="689" t="s">
        <v>2796</v>
      </c>
      <c r="Y217" s="677" t="s">
        <v>2797</v>
      </c>
      <c r="Z217" s="1647" t="s">
        <v>2798</v>
      </c>
      <c r="AA217" s="1647" t="s">
        <v>2799</v>
      </c>
      <c r="AB217" s="677" t="s">
        <v>2800</v>
      </c>
      <c r="AC217" s="677" t="s">
        <v>2801</v>
      </c>
      <c r="AD217" s="677" t="s">
        <v>2817</v>
      </c>
      <c r="AE217" s="677" t="s">
        <v>2818</v>
      </c>
      <c r="AF217" s="677" t="s">
        <v>2819</v>
      </c>
      <c r="AG217" s="1079" t="e">
        <f t="shared" si="72"/>
        <v>#VALUE!</v>
      </c>
      <c r="AH217" s="1058"/>
      <c r="AI217" s="1058"/>
      <c r="AJ217" s="1058"/>
      <c r="AK217" s="1058"/>
      <c r="AL217" s="1058"/>
      <c r="AM217" s="1058"/>
      <c r="AN217" s="94"/>
      <c r="BW217" s="79"/>
      <c r="BX217" s="79"/>
      <c r="CB217" s="1031" t="e">
        <f t="shared" si="73"/>
        <v>#VALUE!</v>
      </c>
      <c r="CC217" s="1031" t="str">
        <f t="shared" si="74"/>
        <v xml:space="preserve">* La consulta pertinente según Protocolo de Referencia NO DEBE ser mayor al Total registrado. </v>
      </c>
      <c r="CD217" s="1031" t="str">
        <f t="shared" si="75"/>
        <v xml:space="preserve">* La consulta pertinente según condición clínica NO DEBE ser mayor al Total registrado. </v>
      </c>
      <c r="CE217" s="1031" t="str">
        <f t="shared" si="76"/>
        <v xml:space="preserve">* Las Embarazadas NO DEBEN ser mayor al total de Mujeres. </v>
      </c>
      <c r="CF217" s="1031" t="str">
        <f t="shared" si="77"/>
        <v xml:space="preserve">* Los Usuarios en Situación de Discapacidad NO DEBEN ser mayor al total. </v>
      </c>
      <c r="CG217" s="1031" t="str">
        <f t="shared" si="78"/>
        <v xml:space="preserve">* Los Niños, Niñas, Adolescentes y Jóvenes Población SENAME NO DEBEN ser mayor al total. </v>
      </c>
      <c r="CH217" s="1031" t="str">
        <f t="shared" si="79"/>
        <v xml:space="preserve">* Los Migrantes NO DEBEN ser mayor al total. </v>
      </c>
      <c r="CI217" s="1163" t="e">
        <f t="shared" si="80"/>
        <v>#VALUE!</v>
      </c>
      <c r="CJ217" s="1163">
        <f t="shared" si="81"/>
        <v>1</v>
      </c>
      <c r="CK217" s="1163">
        <f t="shared" si="82"/>
        <v>1</v>
      </c>
      <c r="CL217" s="1163">
        <f t="shared" si="83"/>
        <v>1</v>
      </c>
      <c r="CM217" s="1163">
        <f t="shared" si="84"/>
        <v>1</v>
      </c>
      <c r="CN217" s="1163">
        <f t="shared" si="84"/>
        <v>1</v>
      </c>
      <c r="CO217" s="1163">
        <f t="shared" si="84"/>
        <v>1</v>
      </c>
    </row>
    <row r="218" spans="1:93" ht="16.350000000000001" customHeight="1" x14ac:dyDescent="0.2">
      <c r="A218" s="3009" t="s">
        <v>3659</v>
      </c>
      <c r="B218" s="5103"/>
      <c r="C218" s="5996" t="s">
        <v>1123</v>
      </c>
      <c r="D218" s="5996"/>
      <c r="E218" s="3070" t="s">
        <v>2777</v>
      </c>
      <c r="F218" s="2886" t="s">
        <v>2778</v>
      </c>
      <c r="G218" s="3083" t="s">
        <v>2779</v>
      </c>
      <c r="H218" s="2411" t="s">
        <v>2780</v>
      </c>
      <c r="I218" s="687" t="s">
        <v>2781</v>
      </c>
      <c r="J218" s="684" t="s">
        <v>2782</v>
      </c>
      <c r="K218" s="687" t="s">
        <v>2783</v>
      </c>
      <c r="L218" s="684" t="s">
        <v>2784</v>
      </c>
      <c r="M218" s="687" t="s">
        <v>2785</v>
      </c>
      <c r="N218" s="684" t="s">
        <v>2786</v>
      </c>
      <c r="O218" s="687" t="s">
        <v>2787</v>
      </c>
      <c r="P218" s="684" t="s">
        <v>2788</v>
      </c>
      <c r="Q218" s="687" t="s">
        <v>2789</v>
      </c>
      <c r="R218" s="684" t="s">
        <v>2790</v>
      </c>
      <c r="S218" s="687" t="s">
        <v>2791</v>
      </c>
      <c r="T218" s="684" t="s">
        <v>2792</v>
      </c>
      <c r="U218" s="687" t="s">
        <v>2793</v>
      </c>
      <c r="V218" s="684" t="s">
        <v>2794</v>
      </c>
      <c r="W218" s="676" t="s">
        <v>2795</v>
      </c>
      <c r="X218" s="690" t="s">
        <v>2796</v>
      </c>
      <c r="Y218" s="678" t="s">
        <v>2797</v>
      </c>
      <c r="Z218" s="1650" t="s">
        <v>2798</v>
      </c>
      <c r="AA218" s="1650" t="s">
        <v>2799</v>
      </c>
      <c r="AB218" s="678" t="s">
        <v>2800</v>
      </c>
      <c r="AC218" s="678" t="s">
        <v>2801</v>
      </c>
      <c r="AD218" s="678" t="s">
        <v>2817</v>
      </c>
      <c r="AE218" s="678" t="s">
        <v>2818</v>
      </c>
      <c r="AF218" s="678" t="s">
        <v>2819</v>
      </c>
      <c r="AG218" s="1079" t="e">
        <f t="shared" si="72"/>
        <v>#VALUE!</v>
      </c>
      <c r="AH218" s="1058"/>
      <c r="AI218" s="1058"/>
      <c r="AJ218" s="1058"/>
      <c r="AK218" s="1058"/>
      <c r="AL218" s="1058"/>
      <c r="AM218" s="1058"/>
      <c r="AN218" s="94"/>
      <c r="BW218" s="79"/>
      <c r="BX218" s="79"/>
      <c r="CB218" s="1031" t="e">
        <f t="shared" si="73"/>
        <v>#VALUE!</v>
      </c>
      <c r="CC218" s="1031" t="str">
        <f t="shared" si="74"/>
        <v xml:space="preserve">* La consulta pertinente según Protocolo de Referencia NO DEBE ser mayor al Total registrado. </v>
      </c>
      <c r="CD218" s="1031" t="str">
        <f t="shared" si="75"/>
        <v xml:space="preserve">* La consulta pertinente según condición clínica NO DEBE ser mayor al Total registrado. </v>
      </c>
      <c r="CE218" s="1031" t="str">
        <f t="shared" si="76"/>
        <v xml:space="preserve">* Las Embarazadas NO DEBEN ser mayor al total de Mujeres. </v>
      </c>
      <c r="CF218" s="1031" t="str">
        <f t="shared" si="77"/>
        <v xml:space="preserve">* Los Usuarios en Situación de Discapacidad NO DEBEN ser mayor al total. </v>
      </c>
      <c r="CG218" s="1031" t="str">
        <f t="shared" si="78"/>
        <v xml:space="preserve">* Los Niños, Niñas, Adolescentes y Jóvenes Población SENAME NO DEBEN ser mayor al total. </v>
      </c>
      <c r="CH218" s="1031" t="str">
        <f t="shared" si="79"/>
        <v xml:space="preserve">* Los Migrantes NO DEBEN ser mayor al total. </v>
      </c>
      <c r="CI218" s="1163" t="e">
        <f t="shared" si="80"/>
        <v>#VALUE!</v>
      </c>
      <c r="CJ218" s="1163">
        <f t="shared" si="81"/>
        <v>1</v>
      </c>
      <c r="CK218" s="1163">
        <f t="shared" si="82"/>
        <v>1</v>
      </c>
      <c r="CL218" s="1163">
        <f t="shared" si="83"/>
        <v>1</v>
      </c>
      <c r="CM218" s="1163">
        <f t="shared" si="84"/>
        <v>1</v>
      </c>
      <c r="CN218" s="1163">
        <f t="shared" si="84"/>
        <v>1</v>
      </c>
      <c r="CO218" s="1163">
        <f t="shared" si="84"/>
        <v>1</v>
      </c>
    </row>
    <row r="219" spans="1:93" ht="16.350000000000001" customHeight="1" x14ac:dyDescent="0.2">
      <c r="A219" s="4631" t="s">
        <v>3888</v>
      </c>
      <c r="B219" s="5343"/>
      <c r="C219" s="5986" t="s">
        <v>2014</v>
      </c>
      <c r="D219" s="5986"/>
      <c r="E219" s="3084" t="s">
        <v>2777</v>
      </c>
      <c r="F219" s="2888" t="s">
        <v>2778</v>
      </c>
      <c r="G219" s="3085" t="s">
        <v>2779</v>
      </c>
      <c r="H219" s="530" t="s">
        <v>2780</v>
      </c>
      <c r="I219" s="588" t="s">
        <v>2781</v>
      </c>
      <c r="J219" s="682" t="s">
        <v>2782</v>
      </c>
      <c r="K219" s="588" t="s">
        <v>2783</v>
      </c>
      <c r="L219" s="682" t="s">
        <v>2784</v>
      </c>
      <c r="M219" s="588" t="s">
        <v>2785</v>
      </c>
      <c r="N219" s="682" t="s">
        <v>2786</v>
      </c>
      <c r="O219" s="588" t="s">
        <v>2787</v>
      </c>
      <c r="P219" s="682" t="s">
        <v>2788</v>
      </c>
      <c r="Q219" s="588" t="s">
        <v>2789</v>
      </c>
      <c r="R219" s="682" t="s">
        <v>2790</v>
      </c>
      <c r="S219" s="588" t="s">
        <v>2791</v>
      </c>
      <c r="T219" s="682" t="s">
        <v>2792</v>
      </c>
      <c r="U219" s="588" t="s">
        <v>2793</v>
      </c>
      <c r="V219" s="682" t="s">
        <v>2794</v>
      </c>
      <c r="W219" s="675" t="s">
        <v>2795</v>
      </c>
      <c r="X219" s="690" t="s">
        <v>2796</v>
      </c>
      <c r="Y219" s="678" t="s">
        <v>2797</v>
      </c>
      <c r="Z219" s="1650" t="s">
        <v>2798</v>
      </c>
      <c r="AA219" s="1650" t="s">
        <v>2799</v>
      </c>
      <c r="AB219" s="678" t="s">
        <v>2800</v>
      </c>
      <c r="AC219" s="678" t="s">
        <v>2801</v>
      </c>
      <c r="AD219" s="678" t="s">
        <v>2817</v>
      </c>
      <c r="AE219" s="678" t="s">
        <v>2818</v>
      </c>
      <c r="AF219" s="678" t="s">
        <v>2819</v>
      </c>
      <c r="AG219" s="1079" t="e">
        <f t="shared" si="72"/>
        <v>#VALUE!</v>
      </c>
      <c r="AH219" s="1058"/>
      <c r="AI219" s="1058"/>
      <c r="AJ219" s="1058"/>
      <c r="AK219" s="1058"/>
      <c r="AL219" s="1058"/>
      <c r="AM219" s="1058"/>
      <c r="AN219" s="94"/>
      <c r="BW219" s="79"/>
      <c r="BX219" s="79"/>
      <c r="CB219" s="1031" t="e">
        <f t="shared" si="73"/>
        <v>#VALUE!</v>
      </c>
      <c r="CC219" s="1031" t="str">
        <f t="shared" si="74"/>
        <v xml:space="preserve">* La consulta pertinente según Protocolo de Referencia NO DEBE ser mayor al Total registrado. </v>
      </c>
      <c r="CD219" s="1031" t="str">
        <f t="shared" si="75"/>
        <v xml:space="preserve">* La consulta pertinente según condición clínica NO DEBE ser mayor al Total registrado. </v>
      </c>
      <c r="CE219" s="1031" t="str">
        <f t="shared" si="76"/>
        <v xml:space="preserve">* Las Embarazadas NO DEBEN ser mayor al total de Mujeres. </v>
      </c>
      <c r="CF219" s="1031" t="str">
        <f t="shared" si="77"/>
        <v xml:space="preserve">* Los Usuarios en Situación de Discapacidad NO DEBEN ser mayor al total. </v>
      </c>
      <c r="CG219" s="1031" t="str">
        <f t="shared" si="78"/>
        <v xml:space="preserve">* Los Niños, Niñas, Adolescentes y Jóvenes Población SENAME NO DEBEN ser mayor al total. </v>
      </c>
      <c r="CH219" s="1031" t="str">
        <f t="shared" si="79"/>
        <v xml:space="preserve">* Los Migrantes NO DEBEN ser mayor al total. </v>
      </c>
      <c r="CI219" s="1163" t="e">
        <f t="shared" si="80"/>
        <v>#VALUE!</v>
      </c>
      <c r="CJ219" s="1163">
        <f t="shared" si="81"/>
        <v>1</v>
      </c>
      <c r="CK219" s="1163">
        <f t="shared" si="82"/>
        <v>1</v>
      </c>
      <c r="CL219" s="1163">
        <f t="shared" si="83"/>
        <v>1</v>
      </c>
      <c r="CM219" s="1163">
        <f t="shared" si="84"/>
        <v>1</v>
      </c>
      <c r="CN219" s="1163">
        <f t="shared" si="84"/>
        <v>1</v>
      </c>
      <c r="CO219" s="1163">
        <f t="shared" si="84"/>
        <v>1</v>
      </c>
    </row>
    <row r="220" spans="1:93" ht="16.350000000000001" customHeight="1" x14ac:dyDescent="0.2">
      <c r="A220" s="4631" t="s">
        <v>3889</v>
      </c>
      <c r="B220" s="5989" t="s">
        <v>1124</v>
      </c>
      <c r="C220" s="5980" t="s">
        <v>2012</v>
      </c>
      <c r="D220" s="5981"/>
      <c r="E220" s="4164" t="s">
        <v>2777</v>
      </c>
      <c r="F220" s="4968" t="s">
        <v>2778</v>
      </c>
      <c r="G220" s="4969" t="s">
        <v>2779</v>
      </c>
      <c r="H220" s="4186" t="s">
        <v>2780</v>
      </c>
      <c r="I220" s="4187" t="s">
        <v>2781</v>
      </c>
      <c r="J220" s="4188" t="s">
        <v>2782</v>
      </c>
      <c r="K220" s="4187" t="s">
        <v>2783</v>
      </c>
      <c r="L220" s="4188" t="s">
        <v>2784</v>
      </c>
      <c r="M220" s="4187" t="s">
        <v>2785</v>
      </c>
      <c r="N220" s="4188" t="s">
        <v>2786</v>
      </c>
      <c r="O220" s="4187" t="s">
        <v>2787</v>
      </c>
      <c r="P220" s="4188" t="s">
        <v>2788</v>
      </c>
      <c r="Q220" s="4187" t="s">
        <v>2789</v>
      </c>
      <c r="R220" s="4188" t="s">
        <v>2790</v>
      </c>
      <c r="S220" s="4187" t="s">
        <v>2791</v>
      </c>
      <c r="T220" s="4188" t="s">
        <v>2792</v>
      </c>
      <c r="U220" s="4187" t="s">
        <v>2793</v>
      </c>
      <c r="V220" s="4188" t="s">
        <v>2794</v>
      </c>
      <c r="W220" s="4189" t="s">
        <v>2795</v>
      </c>
      <c r="X220" s="4190" t="s">
        <v>2796</v>
      </c>
      <c r="Y220" s="4970" t="s">
        <v>2797</v>
      </c>
      <c r="Z220" s="4191" t="s">
        <v>2798</v>
      </c>
      <c r="AA220" s="2410" t="s">
        <v>2799</v>
      </c>
      <c r="AB220" s="2410" t="s">
        <v>2800</v>
      </c>
      <c r="AC220" s="2410" t="s">
        <v>2801</v>
      </c>
      <c r="AD220" s="2410" t="s">
        <v>2817</v>
      </c>
      <c r="AE220" s="2410" t="s">
        <v>2818</v>
      </c>
      <c r="AF220" s="2410" t="s">
        <v>2819</v>
      </c>
      <c r="AG220" s="1079" t="str">
        <f t="shared" si="72"/>
        <v xml:space="preserve">* La consulta pertinente según Protocolo de Referencia NO DEBE ser mayor al Total registrado. * La consulta pertinente según condición clínica NO DEBE ser mayor al Total registrado. * Las Embarazadas NO DEBEN ser mayor al total de Mujeres. * Los Usuarios en Situación de Discapacidad NO DEBEN ser mayor al total. * Los Niños, Niñas, Adolescentes y Jóvenes Población SENAME NO DEBEN ser mayor al total. * Los Migrantes NO DEBEN ser mayor al total. </v>
      </c>
      <c r="AH220" s="1058"/>
      <c r="AI220" s="1058"/>
      <c r="AJ220" s="1058"/>
      <c r="AK220" s="1058"/>
      <c r="AL220" s="1058"/>
      <c r="AM220" s="1058"/>
      <c r="AN220" s="94"/>
      <c r="BW220" s="79"/>
      <c r="BX220" s="79"/>
      <c r="CB220" s="1031"/>
      <c r="CC220" s="1031" t="str">
        <f t="shared" si="74"/>
        <v xml:space="preserve">* La consulta pertinente según Protocolo de Referencia NO DEBE ser mayor al Total registrado. </v>
      </c>
      <c r="CD220" s="1031" t="str">
        <f t="shared" si="75"/>
        <v xml:space="preserve">* La consulta pertinente según condición clínica NO DEBE ser mayor al Total registrado. </v>
      </c>
      <c r="CE220" s="1031" t="str">
        <f t="shared" si="76"/>
        <v xml:space="preserve">* Las Embarazadas NO DEBEN ser mayor al total de Mujeres. </v>
      </c>
      <c r="CF220" s="1031" t="str">
        <f t="shared" si="77"/>
        <v xml:space="preserve">* Los Usuarios en Situación de Discapacidad NO DEBEN ser mayor al total. </v>
      </c>
      <c r="CG220" s="1031" t="str">
        <f t="shared" si="78"/>
        <v xml:space="preserve">* Los Niños, Niñas, Adolescentes y Jóvenes Población SENAME NO DEBEN ser mayor al total. </v>
      </c>
      <c r="CH220" s="1031" t="str">
        <f t="shared" si="79"/>
        <v xml:space="preserve">* Los Migrantes NO DEBEN ser mayor al total. </v>
      </c>
      <c r="CI220" s="1163"/>
      <c r="CJ220" s="1163">
        <f t="shared" si="81"/>
        <v>1</v>
      </c>
      <c r="CK220" s="1163">
        <f t="shared" si="82"/>
        <v>1</v>
      </c>
      <c r="CL220" s="1163">
        <f t="shared" si="83"/>
        <v>1</v>
      </c>
      <c r="CM220" s="1163">
        <f t="shared" si="84"/>
        <v>1</v>
      </c>
      <c r="CN220" s="1163">
        <f t="shared" si="84"/>
        <v>1</v>
      </c>
      <c r="CO220" s="1163">
        <f t="shared" si="84"/>
        <v>1</v>
      </c>
    </row>
    <row r="221" spans="1:93" ht="16.350000000000001" customHeight="1" x14ac:dyDescent="0.2">
      <c r="A221" s="4631" t="s">
        <v>3890</v>
      </c>
      <c r="B221" s="5103"/>
      <c r="C221" s="5982" t="s">
        <v>2013</v>
      </c>
      <c r="D221" s="5982"/>
      <c r="E221" s="3070" t="s">
        <v>2777</v>
      </c>
      <c r="F221" s="2886" t="s">
        <v>2778</v>
      </c>
      <c r="G221" s="3083" t="s">
        <v>2779</v>
      </c>
      <c r="H221" s="425" t="s">
        <v>2780</v>
      </c>
      <c r="I221" s="426" t="s">
        <v>2781</v>
      </c>
      <c r="J221" s="428" t="s">
        <v>2782</v>
      </c>
      <c r="K221" s="426" t="s">
        <v>2783</v>
      </c>
      <c r="L221" s="428" t="s">
        <v>2784</v>
      </c>
      <c r="M221" s="426" t="s">
        <v>2785</v>
      </c>
      <c r="N221" s="428" t="s">
        <v>2786</v>
      </c>
      <c r="O221" s="426" t="s">
        <v>2787</v>
      </c>
      <c r="P221" s="428" t="s">
        <v>2788</v>
      </c>
      <c r="Q221" s="426" t="s">
        <v>2789</v>
      </c>
      <c r="R221" s="428" t="s">
        <v>2790</v>
      </c>
      <c r="S221" s="426" t="s">
        <v>2791</v>
      </c>
      <c r="T221" s="428" t="s">
        <v>2792</v>
      </c>
      <c r="U221" s="426" t="s">
        <v>2793</v>
      </c>
      <c r="V221" s="428" t="s">
        <v>2794</v>
      </c>
      <c r="W221" s="674" t="s">
        <v>2795</v>
      </c>
      <c r="X221" s="689" t="s">
        <v>2796</v>
      </c>
      <c r="Y221" s="679" t="s">
        <v>2797</v>
      </c>
      <c r="Z221" s="1647" t="s">
        <v>2798</v>
      </c>
      <c r="AA221" s="1647" t="s">
        <v>2799</v>
      </c>
      <c r="AB221" s="677" t="s">
        <v>2800</v>
      </c>
      <c r="AC221" s="677" t="s">
        <v>2801</v>
      </c>
      <c r="AD221" s="677" t="s">
        <v>2817</v>
      </c>
      <c r="AE221" s="677" t="s">
        <v>2818</v>
      </c>
      <c r="AF221" s="677" t="s">
        <v>2819</v>
      </c>
      <c r="AG221" s="1079" t="str">
        <f t="shared" si="72"/>
        <v xml:space="preserve">* La consulta pertinente según Protocolo de Referencia NO DEBE ser mayor al Total registrado. * La consulta pertinente según condición clínica NO DEBE ser mayor al Total registrado. * Las Embarazadas NO DEBEN ser mayor al total de Mujeres. * Los Usuarios en Situación de Discapacidad NO DEBEN ser mayor al total. * Los Niños, Niñas, Adolescentes y Jóvenes Población SENAME NO DEBEN ser mayor al total. * Los Migrantes NO DEBEN ser mayor al total. </v>
      </c>
      <c r="AH221" s="1058"/>
      <c r="AI221" s="1058"/>
      <c r="AJ221" s="1058"/>
      <c r="AK221" s="1058"/>
      <c r="AL221" s="1058"/>
      <c r="AM221" s="1058"/>
      <c r="AN221" s="94"/>
      <c r="BW221" s="79"/>
      <c r="BX221" s="79"/>
      <c r="CB221" s="1031"/>
      <c r="CC221" s="1031" t="str">
        <f t="shared" si="74"/>
        <v xml:space="preserve">* La consulta pertinente según Protocolo de Referencia NO DEBE ser mayor al Total registrado. </v>
      </c>
      <c r="CD221" s="1031" t="str">
        <f t="shared" si="75"/>
        <v xml:space="preserve">* La consulta pertinente según condición clínica NO DEBE ser mayor al Total registrado. </v>
      </c>
      <c r="CE221" s="1031" t="str">
        <f t="shared" si="76"/>
        <v xml:space="preserve">* Las Embarazadas NO DEBEN ser mayor al total de Mujeres. </v>
      </c>
      <c r="CF221" s="1031" t="str">
        <f t="shared" si="77"/>
        <v xml:space="preserve">* Los Usuarios en Situación de Discapacidad NO DEBEN ser mayor al total. </v>
      </c>
      <c r="CG221" s="1031" t="str">
        <f t="shared" si="78"/>
        <v xml:space="preserve">* Los Niños, Niñas, Adolescentes y Jóvenes Población SENAME NO DEBEN ser mayor al total. </v>
      </c>
      <c r="CH221" s="1031" t="str">
        <f t="shared" si="79"/>
        <v xml:space="preserve">* Los Migrantes NO DEBEN ser mayor al total. </v>
      </c>
      <c r="CI221" s="1163"/>
      <c r="CJ221" s="1163">
        <f t="shared" si="81"/>
        <v>1</v>
      </c>
      <c r="CK221" s="1163">
        <f t="shared" si="82"/>
        <v>1</v>
      </c>
      <c r="CL221" s="1163">
        <f t="shared" si="83"/>
        <v>1</v>
      </c>
      <c r="CM221" s="1163">
        <f t="shared" si="84"/>
        <v>1</v>
      </c>
      <c r="CN221" s="1163">
        <f t="shared" si="84"/>
        <v>1</v>
      </c>
      <c r="CO221" s="1163">
        <f t="shared" si="84"/>
        <v>1</v>
      </c>
    </row>
    <row r="222" spans="1:93" ht="16.350000000000001" customHeight="1" x14ac:dyDescent="0.2">
      <c r="A222" s="3009" t="s">
        <v>3660</v>
      </c>
      <c r="B222" s="5103"/>
      <c r="C222" s="5983" t="s">
        <v>1122</v>
      </c>
      <c r="D222" s="5983"/>
      <c r="E222" s="3070" t="s">
        <v>2777</v>
      </c>
      <c r="F222" s="2886" t="s">
        <v>2778</v>
      </c>
      <c r="G222" s="3083" t="s">
        <v>2779</v>
      </c>
      <c r="H222" s="425" t="s">
        <v>2780</v>
      </c>
      <c r="I222" s="426" t="s">
        <v>2781</v>
      </c>
      <c r="J222" s="428" t="s">
        <v>2782</v>
      </c>
      <c r="K222" s="426" t="s">
        <v>2783</v>
      </c>
      <c r="L222" s="428" t="s">
        <v>2784</v>
      </c>
      <c r="M222" s="426" t="s">
        <v>2785</v>
      </c>
      <c r="N222" s="428" t="s">
        <v>2786</v>
      </c>
      <c r="O222" s="426" t="s">
        <v>2787</v>
      </c>
      <c r="P222" s="428" t="s">
        <v>2788</v>
      </c>
      <c r="Q222" s="426" t="s">
        <v>2789</v>
      </c>
      <c r="R222" s="428" t="s">
        <v>2790</v>
      </c>
      <c r="S222" s="426" t="s">
        <v>2791</v>
      </c>
      <c r="T222" s="428" t="s">
        <v>2792</v>
      </c>
      <c r="U222" s="426" t="s">
        <v>2793</v>
      </c>
      <c r="V222" s="428" t="s">
        <v>2794</v>
      </c>
      <c r="W222" s="674" t="s">
        <v>2795</v>
      </c>
      <c r="X222" s="689" t="s">
        <v>2796</v>
      </c>
      <c r="Y222" s="679" t="s">
        <v>2797</v>
      </c>
      <c r="Z222" s="1647" t="s">
        <v>2798</v>
      </c>
      <c r="AA222" s="1647" t="s">
        <v>2799</v>
      </c>
      <c r="AB222" s="677" t="s">
        <v>2800</v>
      </c>
      <c r="AC222" s="677" t="s">
        <v>2801</v>
      </c>
      <c r="AD222" s="677" t="s">
        <v>2817</v>
      </c>
      <c r="AE222" s="677" t="s">
        <v>2818</v>
      </c>
      <c r="AF222" s="677" t="s">
        <v>2819</v>
      </c>
      <c r="AG222" s="1079" t="str">
        <f t="shared" si="72"/>
        <v xml:space="preserve">* La consulta pertinente según Protocolo de Referencia NO DEBE ser mayor al Total registrado. * La consulta pertinente según condición clínica NO DEBE ser mayor al Total registrado. * Las Embarazadas NO DEBEN ser mayor al total de Mujeres. * Los Usuarios en Situación de Discapacidad NO DEBEN ser mayor al total. * Los Niños, Niñas, Adolescentes y Jóvenes Población SENAME NO DEBEN ser mayor al total. * Los Migrantes NO DEBEN ser mayor al total. </v>
      </c>
      <c r="AH222" s="1058"/>
      <c r="AI222" s="1058"/>
      <c r="AJ222" s="1058"/>
      <c r="AK222" s="1058"/>
      <c r="AL222" s="1058"/>
      <c r="AM222" s="1058"/>
      <c r="AN222" s="94"/>
      <c r="BW222" s="79"/>
      <c r="BX222" s="79"/>
      <c r="CB222" s="1031"/>
      <c r="CC222" s="1031" t="str">
        <f t="shared" si="74"/>
        <v xml:space="preserve">* La consulta pertinente según Protocolo de Referencia NO DEBE ser mayor al Total registrado. </v>
      </c>
      <c r="CD222" s="1031" t="str">
        <f t="shared" si="75"/>
        <v xml:space="preserve">* La consulta pertinente según condición clínica NO DEBE ser mayor al Total registrado. </v>
      </c>
      <c r="CE222" s="1031" t="str">
        <f t="shared" si="76"/>
        <v xml:space="preserve">* Las Embarazadas NO DEBEN ser mayor al total de Mujeres. </v>
      </c>
      <c r="CF222" s="1031" t="str">
        <f t="shared" si="77"/>
        <v xml:space="preserve">* Los Usuarios en Situación de Discapacidad NO DEBEN ser mayor al total. </v>
      </c>
      <c r="CG222" s="1031" t="str">
        <f t="shared" si="78"/>
        <v xml:space="preserve">* Los Niños, Niñas, Adolescentes y Jóvenes Población SENAME NO DEBEN ser mayor al total. </v>
      </c>
      <c r="CH222" s="1031" t="str">
        <f t="shared" si="79"/>
        <v xml:space="preserve">* Los Migrantes NO DEBEN ser mayor al total. </v>
      </c>
      <c r="CI222" s="1163"/>
      <c r="CJ222" s="1163">
        <f t="shared" si="81"/>
        <v>1</v>
      </c>
      <c r="CK222" s="1163">
        <f t="shared" si="82"/>
        <v>1</v>
      </c>
      <c r="CL222" s="1163">
        <f t="shared" si="83"/>
        <v>1</v>
      </c>
      <c r="CM222" s="1163">
        <f t="shared" si="84"/>
        <v>1</v>
      </c>
      <c r="CN222" s="1163">
        <f t="shared" si="84"/>
        <v>1</v>
      </c>
      <c r="CO222" s="1163">
        <f t="shared" si="84"/>
        <v>1</v>
      </c>
    </row>
    <row r="223" spans="1:93" ht="16.350000000000001" customHeight="1" x14ac:dyDescent="0.2">
      <c r="A223" s="3009" t="s">
        <v>3661</v>
      </c>
      <c r="B223" s="5103"/>
      <c r="C223" s="5996" t="s">
        <v>1123</v>
      </c>
      <c r="D223" s="5996"/>
      <c r="E223" s="3070" t="s">
        <v>2777</v>
      </c>
      <c r="F223" s="2886" t="s">
        <v>2778</v>
      </c>
      <c r="G223" s="3083" t="s">
        <v>2779</v>
      </c>
      <c r="H223" s="2411" t="s">
        <v>2780</v>
      </c>
      <c r="I223" s="687" t="s">
        <v>2781</v>
      </c>
      <c r="J223" s="684" t="s">
        <v>2782</v>
      </c>
      <c r="K223" s="687" t="s">
        <v>2783</v>
      </c>
      <c r="L223" s="684" t="s">
        <v>2784</v>
      </c>
      <c r="M223" s="687" t="s">
        <v>2785</v>
      </c>
      <c r="N223" s="684" t="s">
        <v>2786</v>
      </c>
      <c r="O223" s="687" t="s">
        <v>2787</v>
      </c>
      <c r="P223" s="684" t="s">
        <v>2788</v>
      </c>
      <c r="Q223" s="687" t="s">
        <v>2789</v>
      </c>
      <c r="R223" s="684" t="s">
        <v>2790</v>
      </c>
      <c r="S223" s="687" t="s">
        <v>2791</v>
      </c>
      <c r="T223" s="684" t="s">
        <v>2792</v>
      </c>
      <c r="U223" s="687" t="s">
        <v>2793</v>
      </c>
      <c r="V223" s="684" t="s">
        <v>2794</v>
      </c>
      <c r="W223" s="676" t="s">
        <v>2795</v>
      </c>
      <c r="X223" s="690" t="s">
        <v>2796</v>
      </c>
      <c r="Y223" s="680" t="s">
        <v>2797</v>
      </c>
      <c r="Z223" s="1650" t="s">
        <v>2798</v>
      </c>
      <c r="AA223" s="1650" t="s">
        <v>2799</v>
      </c>
      <c r="AB223" s="678" t="s">
        <v>2800</v>
      </c>
      <c r="AC223" s="678" t="s">
        <v>2801</v>
      </c>
      <c r="AD223" s="678" t="s">
        <v>2817</v>
      </c>
      <c r="AE223" s="678" t="s">
        <v>2818</v>
      </c>
      <c r="AF223" s="678" t="s">
        <v>2819</v>
      </c>
      <c r="AG223" s="1079" t="str">
        <f t="shared" si="72"/>
        <v xml:space="preserve">* La consulta pertinente según Protocolo de Referencia NO DEBE ser mayor al Total registrado. * La consulta pertinente según condición clínica NO DEBE ser mayor al Total registrado. * Las Embarazadas NO DEBEN ser mayor al total de Mujeres. * Los Usuarios en Situación de Discapacidad NO DEBEN ser mayor al total. * Los Niños, Niñas, Adolescentes y Jóvenes Población SENAME NO DEBEN ser mayor al total. * Los Migrantes NO DEBEN ser mayor al total. </v>
      </c>
      <c r="AH223" s="1058"/>
      <c r="AI223" s="1058"/>
      <c r="AJ223" s="1058"/>
      <c r="AK223" s="1058"/>
      <c r="AL223" s="1058"/>
      <c r="AM223" s="1058"/>
      <c r="AN223" s="94"/>
      <c r="BW223" s="79"/>
      <c r="BX223" s="79"/>
      <c r="CB223" s="1031"/>
      <c r="CC223" s="1031" t="str">
        <f t="shared" si="74"/>
        <v xml:space="preserve">* La consulta pertinente según Protocolo de Referencia NO DEBE ser mayor al Total registrado. </v>
      </c>
      <c r="CD223" s="1031" t="str">
        <f t="shared" si="75"/>
        <v xml:space="preserve">* La consulta pertinente según condición clínica NO DEBE ser mayor al Total registrado. </v>
      </c>
      <c r="CE223" s="1031" t="str">
        <f t="shared" si="76"/>
        <v xml:space="preserve">* Las Embarazadas NO DEBEN ser mayor al total de Mujeres. </v>
      </c>
      <c r="CF223" s="1031" t="str">
        <f t="shared" si="77"/>
        <v xml:space="preserve">* Los Usuarios en Situación de Discapacidad NO DEBEN ser mayor al total. </v>
      </c>
      <c r="CG223" s="1031" t="str">
        <f t="shared" si="78"/>
        <v xml:space="preserve">* Los Niños, Niñas, Adolescentes y Jóvenes Población SENAME NO DEBEN ser mayor al total. </v>
      </c>
      <c r="CH223" s="1031" t="str">
        <f t="shared" si="79"/>
        <v xml:space="preserve">* Los Migrantes NO DEBEN ser mayor al total. </v>
      </c>
      <c r="CI223" s="1163"/>
      <c r="CJ223" s="1163">
        <f t="shared" si="81"/>
        <v>1</v>
      </c>
      <c r="CK223" s="1163">
        <f t="shared" si="82"/>
        <v>1</v>
      </c>
      <c r="CL223" s="1163">
        <f t="shared" si="83"/>
        <v>1</v>
      </c>
      <c r="CM223" s="1163">
        <f t="shared" si="84"/>
        <v>1</v>
      </c>
      <c r="CN223" s="1163">
        <f t="shared" si="84"/>
        <v>1</v>
      </c>
      <c r="CO223" s="1163">
        <f t="shared" si="84"/>
        <v>1</v>
      </c>
    </row>
    <row r="224" spans="1:93" ht="16.350000000000001" customHeight="1" x14ac:dyDescent="0.2">
      <c r="A224" s="4631" t="s">
        <v>3891</v>
      </c>
      <c r="B224" s="5343"/>
      <c r="C224" s="5986" t="s">
        <v>2014</v>
      </c>
      <c r="D224" s="5986"/>
      <c r="E224" s="3084" t="s">
        <v>2777</v>
      </c>
      <c r="F224" s="2888" t="s">
        <v>2778</v>
      </c>
      <c r="G224" s="3085" t="s">
        <v>2779</v>
      </c>
      <c r="H224" s="530" t="s">
        <v>2780</v>
      </c>
      <c r="I224" s="588" t="s">
        <v>2781</v>
      </c>
      <c r="J224" s="682" t="s">
        <v>2782</v>
      </c>
      <c r="K224" s="588" t="s">
        <v>2783</v>
      </c>
      <c r="L224" s="682" t="s">
        <v>2784</v>
      </c>
      <c r="M224" s="588" t="s">
        <v>2785</v>
      </c>
      <c r="N224" s="682" t="s">
        <v>2786</v>
      </c>
      <c r="O224" s="588" t="s">
        <v>2787</v>
      </c>
      <c r="P224" s="682" t="s">
        <v>2788</v>
      </c>
      <c r="Q224" s="588" t="s">
        <v>2789</v>
      </c>
      <c r="R224" s="682" t="s">
        <v>2790</v>
      </c>
      <c r="S224" s="588" t="s">
        <v>2791</v>
      </c>
      <c r="T224" s="682" t="s">
        <v>2792</v>
      </c>
      <c r="U224" s="588" t="s">
        <v>2793</v>
      </c>
      <c r="V224" s="682" t="s">
        <v>2794</v>
      </c>
      <c r="W224" s="675" t="s">
        <v>2795</v>
      </c>
      <c r="X224" s="4967" t="s">
        <v>2796</v>
      </c>
      <c r="Y224" s="1650" t="s">
        <v>2797</v>
      </c>
      <c r="Z224" s="1650" t="s">
        <v>2798</v>
      </c>
      <c r="AA224" s="1650" t="s">
        <v>2799</v>
      </c>
      <c r="AB224" s="678" t="s">
        <v>2800</v>
      </c>
      <c r="AC224" s="678" t="s">
        <v>2801</v>
      </c>
      <c r="AD224" s="678" t="s">
        <v>2817</v>
      </c>
      <c r="AE224" s="678" t="s">
        <v>2818</v>
      </c>
      <c r="AF224" s="678" t="s">
        <v>2819</v>
      </c>
      <c r="AG224" s="1079" t="str">
        <f t="shared" si="72"/>
        <v xml:space="preserve">* La consulta pertinente según Protocolo de Referencia NO DEBE ser mayor al Total registrado. * La consulta pertinente según condición clínica NO DEBE ser mayor al Total registrado. * Las Embarazadas NO DEBEN ser mayor al total de Mujeres. * Los Usuarios en Situación de Discapacidad NO DEBEN ser mayor al total. * Los Niños, Niñas, Adolescentes y Jóvenes Población SENAME NO DEBEN ser mayor al total. * Los Migrantes NO DEBEN ser mayor al total. </v>
      </c>
      <c r="AH224" s="1058"/>
      <c r="AI224" s="1058"/>
      <c r="AJ224" s="1058"/>
      <c r="AK224" s="1058"/>
      <c r="AL224" s="1058"/>
      <c r="AM224" s="1058"/>
      <c r="AN224" s="94"/>
      <c r="BW224" s="79"/>
      <c r="BX224" s="79"/>
      <c r="CB224" s="1031"/>
      <c r="CC224" s="1031" t="str">
        <f t="shared" si="74"/>
        <v xml:space="preserve">* La consulta pertinente según Protocolo de Referencia NO DEBE ser mayor al Total registrado. </v>
      </c>
      <c r="CD224" s="1031" t="str">
        <f t="shared" si="75"/>
        <v xml:space="preserve">* La consulta pertinente según condición clínica NO DEBE ser mayor al Total registrado. </v>
      </c>
      <c r="CE224" s="1031" t="str">
        <f t="shared" si="76"/>
        <v xml:space="preserve">* Las Embarazadas NO DEBEN ser mayor al total de Mujeres. </v>
      </c>
      <c r="CF224" s="1031" t="str">
        <f t="shared" si="77"/>
        <v xml:space="preserve">* Los Usuarios en Situación de Discapacidad NO DEBEN ser mayor al total. </v>
      </c>
      <c r="CG224" s="1031" t="str">
        <f t="shared" si="78"/>
        <v xml:space="preserve">* Los Niños, Niñas, Adolescentes y Jóvenes Población SENAME NO DEBEN ser mayor al total. </v>
      </c>
      <c r="CH224" s="1031" t="str">
        <f t="shared" si="79"/>
        <v xml:space="preserve">* Los Migrantes NO DEBEN ser mayor al total. </v>
      </c>
      <c r="CI224" s="1163"/>
      <c r="CJ224" s="1163">
        <f t="shared" si="81"/>
        <v>1</v>
      </c>
      <c r="CK224" s="1163">
        <f t="shared" si="82"/>
        <v>1</v>
      </c>
      <c r="CL224" s="1163">
        <f t="shared" si="83"/>
        <v>1</v>
      </c>
      <c r="CM224" s="1163">
        <f t="shared" si="84"/>
        <v>1</v>
      </c>
      <c r="CN224" s="1163">
        <f t="shared" si="84"/>
        <v>1</v>
      </c>
      <c r="CO224" s="1163">
        <f t="shared" si="84"/>
        <v>1</v>
      </c>
    </row>
    <row r="225" spans="1:93" ht="16.350000000000001" customHeight="1" x14ac:dyDescent="0.2">
      <c r="A225" s="4631" t="s">
        <v>3892</v>
      </c>
      <c r="B225" s="5989" t="s">
        <v>1125</v>
      </c>
      <c r="C225" s="5980" t="s">
        <v>2012</v>
      </c>
      <c r="D225" s="5981"/>
      <c r="E225" s="4170" t="s">
        <v>2777</v>
      </c>
      <c r="F225" s="3754" t="s">
        <v>2778</v>
      </c>
      <c r="G225" s="4962" t="s">
        <v>2779</v>
      </c>
      <c r="H225" s="4963" t="s">
        <v>2780</v>
      </c>
      <c r="I225" s="4964" t="s">
        <v>2781</v>
      </c>
      <c r="J225" s="4965" t="s">
        <v>2782</v>
      </c>
      <c r="K225" s="4964" t="s">
        <v>2783</v>
      </c>
      <c r="L225" s="4965" t="s">
        <v>2784</v>
      </c>
      <c r="M225" s="4964" t="s">
        <v>2785</v>
      </c>
      <c r="N225" s="4965" t="s">
        <v>2786</v>
      </c>
      <c r="O225" s="4964" t="s">
        <v>2787</v>
      </c>
      <c r="P225" s="4965" t="s">
        <v>2788</v>
      </c>
      <c r="Q225" s="4964" t="s">
        <v>2789</v>
      </c>
      <c r="R225" s="4965" t="s">
        <v>2790</v>
      </c>
      <c r="S225" s="4964" t="s">
        <v>2791</v>
      </c>
      <c r="T225" s="4965" t="s">
        <v>2792</v>
      </c>
      <c r="U225" s="4964" t="s">
        <v>2793</v>
      </c>
      <c r="V225" s="4965" t="s">
        <v>2794</v>
      </c>
      <c r="W225" s="4966" t="s">
        <v>2795</v>
      </c>
      <c r="X225" s="4967" t="s">
        <v>2796</v>
      </c>
      <c r="Y225" s="2410" t="s">
        <v>2797</v>
      </c>
      <c r="Z225" s="4191" t="s">
        <v>2798</v>
      </c>
      <c r="AA225" s="2410" t="s">
        <v>2799</v>
      </c>
      <c r="AB225" s="2410" t="s">
        <v>2800</v>
      </c>
      <c r="AC225" s="2410" t="s">
        <v>2801</v>
      </c>
      <c r="AD225" s="2410" t="s">
        <v>2817</v>
      </c>
      <c r="AE225" s="2410" t="s">
        <v>2818</v>
      </c>
      <c r="AF225" s="2410" t="s">
        <v>2819</v>
      </c>
      <c r="AG225" s="1079" t="e">
        <f t="shared" si="72"/>
        <v>#VALUE!</v>
      </c>
      <c r="AH225" s="1058"/>
      <c r="AI225" s="1058"/>
      <c r="AJ225" s="1058"/>
      <c r="AK225" s="1058"/>
      <c r="AL225" s="1058"/>
      <c r="AM225" s="1058"/>
      <c r="AN225" s="94"/>
      <c r="BW225" s="79"/>
      <c r="BX225" s="79"/>
      <c r="CB225" s="1031" t="e">
        <f>IF(CI225=1,"* El número de pacientes de 60 años NO DEBE Ser mayor a lo registrado en el grupo Etario 20-64 años. ","")</f>
        <v>#VALUE!</v>
      </c>
      <c r="CC225" s="1031" t="str">
        <f t="shared" si="74"/>
        <v xml:space="preserve">* La consulta pertinente según Protocolo de Referencia NO DEBE ser mayor al Total registrado. </v>
      </c>
      <c r="CD225" s="1031" t="str">
        <f t="shared" si="75"/>
        <v xml:space="preserve">* La consulta pertinente según condición clínica NO DEBE ser mayor al Total registrado. </v>
      </c>
      <c r="CE225" s="1031" t="str">
        <f t="shared" si="76"/>
        <v xml:space="preserve">* Las Embarazadas NO DEBEN ser mayor al total de Mujeres. </v>
      </c>
      <c r="CF225" s="1031" t="str">
        <f t="shared" si="77"/>
        <v xml:space="preserve">* Los Usuarios en Situación de Discapacidad NO DEBEN ser mayor al total. </v>
      </c>
      <c r="CG225" s="1031" t="str">
        <f t="shared" si="78"/>
        <v xml:space="preserve">* Los Niños, Niñas, Adolescentes y Jóvenes Población SENAME NO DEBEN ser mayor al total. </v>
      </c>
      <c r="CH225" s="1031" t="str">
        <f t="shared" si="79"/>
        <v xml:space="preserve">* Los Migrantes NO DEBEN ser mayor al total. </v>
      </c>
      <c r="CI225" s="1163" t="e">
        <f>IF((T225+U225)&lt;Y225,1,0)</f>
        <v>#VALUE!</v>
      </c>
      <c r="CJ225" s="1163">
        <f t="shared" si="81"/>
        <v>1</v>
      </c>
      <c r="CK225" s="1163">
        <f t="shared" si="82"/>
        <v>1</v>
      </c>
      <c r="CL225" s="1163">
        <f t="shared" si="83"/>
        <v>1</v>
      </c>
      <c r="CM225" s="1163">
        <f t="shared" si="84"/>
        <v>1</v>
      </c>
      <c r="CN225" s="1163">
        <f t="shared" si="84"/>
        <v>1</v>
      </c>
      <c r="CO225" s="1163">
        <f t="shared" si="84"/>
        <v>1</v>
      </c>
    </row>
    <row r="226" spans="1:93" ht="16.350000000000001" customHeight="1" x14ac:dyDescent="0.2">
      <c r="A226" s="4631" t="s">
        <v>3893</v>
      </c>
      <c r="B226" s="5103"/>
      <c r="C226" s="5982" t="s">
        <v>2013</v>
      </c>
      <c r="D226" s="5982"/>
      <c r="E226" s="3070" t="s">
        <v>2777</v>
      </c>
      <c r="F226" s="2886" t="s">
        <v>2778</v>
      </c>
      <c r="G226" s="3083" t="s">
        <v>2779</v>
      </c>
      <c r="H226" s="425" t="s">
        <v>2780</v>
      </c>
      <c r="I226" s="426" t="s">
        <v>2781</v>
      </c>
      <c r="J226" s="428" t="s">
        <v>2782</v>
      </c>
      <c r="K226" s="426" t="s">
        <v>2783</v>
      </c>
      <c r="L226" s="428" t="s">
        <v>2784</v>
      </c>
      <c r="M226" s="426" t="s">
        <v>2785</v>
      </c>
      <c r="N226" s="428" t="s">
        <v>2786</v>
      </c>
      <c r="O226" s="426" t="s">
        <v>2787</v>
      </c>
      <c r="P226" s="428" t="s">
        <v>2788</v>
      </c>
      <c r="Q226" s="426" t="s">
        <v>2789</v>
      </c>
      <c r="R226" s="428" t="s">
        <v>2790</v>
      </c>
      <c r="S226" s="426" t="s">
        <v>2791</v>
      </c>
      <c r="T226" s="428" t="s">
        <v>2792</v>
      </c>
      <c r="U226" s="426" t="s">
        <v>2793</v>
      </c>
      <c r="V226" s="428" t="s">
        <v>2794</v>
      </c>
      <c r="W226" s="674" t="s">
        <v>2795</v>
      </c>
      <c r="X226" s="689" t="s">
        <v>2796</v>
      </c>
      <c r="Y226" s="677" t="s">
        <v>2797</v>
      </c>
      <c r="Z226" s="1647" t="s">
        <v>2798</v>
      </c>
      <c r="AA226" s="1647" t="s">
        <v>2799</v>
      </c>
      <c r="AB226" s="677" t="s">
        <v>2800</v>
      </c>
      <c r="AC226" s="677" t="s">
        <v>2801</v>
      </c>
      <c r="AD226" s="677" t="s">
        <v>2817</v>
      </c>
      <c r="AE226" s="677" t="s">
        <v>2818</v>
      </c>
      <c r="AF226" s="677" t="s">
        <v>2819</v>
      </c>
      <c r="AG226" s="1079" t="e">
        <f t="shared" si="72"/>
        <v>#VALUE!</v>
      </c>
      <c r="AH226" s="1058"/>
      <c r="AI226" s="1058"/>
      <c r="AJ226" s="1058"/>
      <c r="AK226" s="1058"/>
      <c r="AL226" s="1058"/>
      <c r="AM226" s="1058"/>
      <c r="AN226" s="94"/>
      <c r="BW226" s="79"/>
      <c r="BX226" s="79"/>
      <c r="CB226" s="1031" t="e">
        <f>IF(CI226=1,"* El número de pacientes de 60 años NO DEBE Ser mayor a lo registrado en el grupo Etario 20-64 años. ","")</f>
        <v>#VALUE!</v>
      </c>
      <c r="CC226" s="1031" t="str">
        <f t="shared" si="74"/>
        <v xml:space="preserve">* La consulta pertinente según Protocolo de Referencia NO DEBE ser mayor al Total registrado. </v>
      </c>
      <c r="CD226" s="1031" t="str">
        <f t="shared" si="75"/>
        <v xml:space="preserve">* La consulta pertinente según condición clínica NO DEBE ser mayor al Total registrado. </v>
      </c>
      <c r="CE226" s="1031" t="str">
        <f t="shared" si="76"/>
        <v xml:space="preserve">* Las Embarazadas NO DEBEN ser mayor al total de Mujeres. </v>
      </c>
      <c r="CF226" s="1031" t="str">
        <f t="shared" si="77"/>
        <v xml:space="preserve">* Los Usuarios en Situación de Discapacidad NO DEBEN ser mayor al total. </v>
      </c>
      <c r="CG226" s="1031" t="str">
        <f t="shared" si="78"/>
        <v xml:space="preserve">* Los Niños, Niñas, Adolescentes y Jóvenes Población SENAME NO DEBEN ser mayor al total. </v>
      </c>
      <c r="CH226" s="1031" t="str">
        <f t="shared" si="79"/>
        <v xml:space="preserve">* Los Migrantes NO DEBEN ser mayor al total. </v>
      </c>
      <c r="CI226" s="1163" t="e">
        <f>IF((T226+U226)&lt;Y226,1,0)</f>
        <v>#VALUE!</v>
      </c>
      <c r="CJ226" s="1163">
        <f t="shared" si="81"/>
        <v>1</v>
      </c>
      <c r="CK226" s="1163">
        <f t="shared" si="82"/>
        <v>1</v>
      </c>
      <c r="CL226" s="1163">
        <f t="shared" si="83"/>
        <v>1</v>
      </c>
      <c r="CM226" s="1163">
        <f t="shared" si="84"/>
        <v>1</v>
      </c>
      <c r="CN226" s="1163">
        <f t="shared" si="84"/>
        <v>1</v>
      </c>
      <c r="CO226" s="1163">
        <f t="shared" si="84"/>
        <v>1</v>
      </c>
    </row>
    <row r="227" spans="1:93" ht="16.350000000000001" customHeight="1" x14ac:dyDescent="0.2">
      <c r="A227" s="3009" t="s">
        <v>3662</v>
      </c>
      <c r="B227" s="5103"/>
      <c r="C227" s="5983" t="s">
        <v>1122</v>
      </c>
      <c r="D227" s="5983"/>
      <c r="E227" s="3070" t="s">
        <v>2777</v>
      </c>
      <c r="F227" s="2886" t="s">
        <v>2778</v>
      </c>
      <c r="G227" s="3083" t="s">
        <v>2779</v>
      </c>
      <c r="H227" s="425" t="s">
        <v>2780</v>
      </c>
      <c r="I227" s="426" t="s">
        <v>2781</v>
      </c>
      <c r="J227" s="428" t="s">
        <v>2782</v>
      </c>
      <c r="K227" s="426" t="s">
        <v>2783</v>
      </c>
      <c r="L227" s="428" t="s">
        <v>2784</v>
      </c>
      <c r="M227" s="426" t="s">
        <v>2785</v>
      </c>
      <c r="N227" s="428" t="s">
        <v>2786</v>
      </c>
      <c r="O227" s="426" t="s">
        <v>2787</v>
      </c>
      <c r="P227" s="428" t="s">
        <v>2788</v>
      </c>
      <c r="Q227" s="426" t="s">
        <v>2789</v>
      </c>
      <c r="R227" s="428" t="s">
        <v>2790</v>
      </c>
      <c r="S227" s="426" t="s">
        <v>2791</v>
      </c>
      <c r="T227" s="428" t="s">
        <v>2792</v>
      </c>
      <c r="U227" s="426" t="s">
        <v>2793</v>
      </c>
      <c r="V227" s="428" t="s">
        <v>2794</v>
      </c>
      <c r="W227" s="674" t="s">
        <v>2795</v>
      </c>
      <c r="X227" s="689" t="s">
        <v>2796</v>
      </c>
      <c r="Y227" s="677" t="s">
        <v>2797</v>
      </c>
      <c r="Z227" s="1647" t="s">
        <v>2798</v>
      </c>
      <c r="AA227" s="1647" t="s">
        <v>2799</v>
      </c>
      <c r="AB227" s="677" t="s">
        <v>2800</v>
      </c>
      <c r="AC227" s="677" t="s">
        <v>2801</v>
      </c>
      <c r="AD227" s="677" t="s">
        <v>2817</v>
      </c>
      <c r="AE227" s="677" t="s">
        <v>2818</v>
      </c>
      <c r="AF227" s="677" t="s">
        <v>2819</v>
      </c>
      <c r="AG227" s="1079" t="e">
        <f t="shared" si="72"/>
        <v>#VALUE!</v>
      </c>
      <c r="AH227" s="1058"/>
      <c r="AI227" s="1058"/>
      <c r="AJ227" s="1058"/>
      <c r="AK227" s="1058"/>
      <c r="AL227" s="1058"/>
      <c r="AM227" s="1058"/>
      <c r="AN227" s="94"/>
      <c r="BW227" s="79"/>
      <c r="BX227" s="79"/>
      <c r="CB227" s="1031" t="e">
        <f>IF(CI227=1,"* El número de pacientes de 60 años NO DEBE Ser mayor a lo registrado en el grupo Etario 20-64 años. ","")</f>
        <v>#VALUE!</v>
      </c>
      <c r="CC227" s="1031" t="str">
        <f t="shared" si="74"/>
        <v xml:space="preserve">* La consulta pertinente según Protocolo de Referencia NO DEBE ser mayor al Total registrado. </v>
      </c>
      <c r="CD227" s="1031" t="str">
        <f t="shared" si="75"/>
        <v xml:space="preserve">* La consulta pertinente según condición clínica NO DEBE ser mayor al Total registrado. </v>
      </c>
      <c r="CE227" s="1031" t="str">
        <f t="shared" si="76"/>
        <v xml:space="preserve">* Las Embarazadas NO DEBEN ser mayor al total de Mujeres. </v>
      </c>
      <c r="CF227" s="1031" t="str">
        <f t="shared" si="77"/>
        <v xml:space="preserve">* Los Usuarios en Situación de Discapacidad NO DEBEN ser mayor al total. </v>
      </c>
      <c r="CG227" s="1031" t="str">
        <f t="shared" si="78"/>
        <v xml:space="preserve">* Los Niños, Niñas, Adolescentes y Jóvenes Población SENAME NO DEBEN ser mayor al total. </v>
      </c>
      <c r="CH227" s="1031" t="str">
        <f t="shared" si="79"/>
        <v xml:space="preserve">* Los Migrantes NO DEBEN ser mayor al total. </v>
      </c>
      <c r="CI227" s="1163" t="e">
        <f>IF((T227+U227)&lt;Y227,1,0)</f>
        <v>#VALUE!</v>
      </c>
      <c r="CJ227" s="1163">
        <f t="shared" si="81"/>
        <v>1</v>
      </c>
      <c r="CK227" s="1163">
        <f t="shared" si="82"/>
        <v>1</v>
      </c>
      <c r="CL227" s="1163">
        <f t="shared" si="83"/>
        <v>1</v>
      </c>
      <c r="CM227" s="1163">
        <f t="shared" si="84"/>
        <v>1</v>
      </c>
      <c r="CN227" s="1163">
        <f t="shared" si="84"/>
        <v>1</v>
      </c>
      <c r="CO227" s="1163">
        <f t="shared" si="84"/>
        <v>1</v>
      </c>
    </row>
    <row r="228" spans="1:93" ht="16.350000000000001" customHeight="1" x14ac:dyDescent="0.2">
      <c r="A228" s="3009" t="s">
        <v>3663</v>
      </c>
      <c r="B228" s="5103"/>
      <c r="C228" s="5997" t="s">
        <v>1123</v>
      </c>
      <c r="D228" s="5997"/>
      <c r="E228" s="3070" t="s">
        <v>2777</v>
      </c>
      <c r="F228" s="2886" t="s">
        <v>2778</v>
      </c>
      <c r="G228" s="3083" t="s">
        <v>2779</v>
      </c>
      <c r="H228" s="2411" t="s">
        <v>2780</v>
      </c>
      <c r="I228" s="687" t="s">
        <v>2781</v>
      </c>
      <c r="J228" s="684" t="s">
        <v>2782</v>
      </c>
      <c r="K228" s="687" t="s">
        <v>2783</v>
      </c>
      <c r="L228" s="684" t="s">
        <v>2784</v>
      </c>
      <c r="M228" s="687" t="s">
        <v>2785</v>
      </c>
      <c r="N228" s="684" t="s">
        <v>2786</v>
      </c>
      <c r="O228" s="687" t="s">
        <v>2787</v>
      </c>
      <c r="P228" s="684" t="s">
        <v>2788</v>
      </c>
      <c r="Q228" s="687" t="s">
        <v>2789</v>
      </c>
      <c r="R228" s="684" t="s">
        <v>2790</v>
      </c>
      <c r="S228" s="687" t="s">
        <v>2791</v>
      </c>
      <c r="T228" s="684" t="s">
        <v>2792</v>
      </c>
      <c r="U228" s="687" t="s">
        <v>2793</v>
      </c>
      <c r="V228" s="684" t="s">
        <v>2794</v>
      </c>
      <c r="W228" s="676" t="s">
        <v>2795</v>
      </c>
      <c r="X228" s="693" t="s">
        <v>2796</v>
      </c>
      <c r="Y228" s="681" t="s">
        <v>2797</v>
      </c>
      <c r="Z228" s="1650" t="s">
        <v>2798</v>
      </c>
      <c r="AA228" s="1650" t="s">
        <v>2799</v>
      </c>
      <c r="AB228" s="678" t="s">
        <v>2800</v>
      </c>
      <c r="AC228" s="678" t="s">
        <v>2801</v>
      </c>
      <c r="AD228" s="678" t="s">
        <v>2817</v>
      </c>
      <c r="AE228" s="678" t="s">
        <v>2818</v>
      </c>
      <c r="AF228" s="678" t="s">
        <v>2819</v>
      </c>
      <c r="AG228" s="1079" t="e">
        <f t="shared" si="72"/>
        <v>#VALUE!</v>
      </c>
      <c r="AH228" s="1058"/>
      <c r="AI228" s="1058"/>
      <c r="AJ228" s="1058"/>
      <c r="AK228" s="1058"/>
      <c r="AL228" s="1058"/>
      <c r="AM228" s="1058"/>
      <c r="AN228" s="94"/>
      <c r="BW228" s="79"/>
      <c r="BX228" s="79"/>
      <c r="CB228" s="1031" t="e">
        <f>IF(CI228=1,"* El número de pacientes de 60 años NO DEBE Ser mayor a lo registrado en el grupo Etario 20-64 años. ","")</f>
        <v>#VALUE!</v>
      </c>
      <c r="CC228" s="1031" t="str">
        <f t="shared" si="74"/>
        <v xml:space="preserve">* La consulta pertinente según Protocolo de Referencia NO DEBE ser mayor al Total registrado. </v>
      </c>
      <c r="CD228" s="1031" t="str">
        <f t="shared" si="75"/>
        <v xml:space="preserve">* La consulta pertinente según condición clínica NO DEBE ser mayor al Total registrado. </v>
      </c>
      <c r="CE228" s="1031" t="str">
        <f t="shared" si="76"/>
        <v xml:space="preserve">* Las Embarazadas NO DEBEN ser mayor al total de Mujeres. </v>
      </c>
      <c r="CF228" s="1031" t="str">
        <f t="shared" si="77"/>
        <v xml:space="preserve">* Los Usuarios en Situación de Discapacidad NO DEBEN ser mayor al total. </v>
      </c>
      <c r="CG228" s="1031" t="str">
        <f t="shared" si="78"/>
        <v xml:space="preserve">* Los Niños, Niñas, Adolescentes y Jóvenes Población SENAME NO DEBEN ser mayor al total. </v>
      </c>
      <c r="CH228" s="1031" t="str">
        <f t="shared" si="79"/>
        <v xml:space="preserve">* Los Migrantes NO DEBEN ser mayor al total. </v>
      </c>
      <c r="CI228" s="1163" t="e">
        <f>IF((T228+U228)&lt;Y228,1,0)</f>
        <v>#VALUE!</v>
      </c>
      <c r="CJ228" s="1163">
        <f t="shared" si="81"/>
        <v>1</v>
      </c>
      <c r="CK228" s="1163">
        <f t="shared" si="82"/>
        <v>1</v>
      </c>
      <c r="CL228" s="1163">
        <f t="shared" si="83"/>
        <v>1</v>
      </c>
      <c r="CM228" s="1163">
        <f t="shared" si="84"/>
        <v>1</v>
      </c>
      <c r="CN228" s="1163">
        <f t="shared" si="84"/>
        <v>1</v>
      </c>
      <c r="CO228" s="1163">
        <f t="shared" si="84"/>
        <v>1</v>
      </c>
    </row>
    <row r="229" spans="1:93" ht="16.350000000000001" customHeight="1" x14ac:dyDescent="0.2">
      <c r="A229" s="4631" t="s">
        <v>3894</v>
      </c>
      <c r="B229" s="5343"/>
      <c r="C229" s="5986" t="s">
        <v>2014</v>
      </c>
      <c r="D229" s="5986"/>
      <c r="E229" s="4727" t="s">
        <v>2777</v>
      </c>
      <c r="F229" s="2890" t="s">
        <v>2778</v>
      </c>
      <c r="G229" s="4971" t="s">
        <v>2779</v>
      </c>
      <c r="H229" s="2411" t="s">
        <v>2780</v>
      </c>
      <c r="I229" s="687" t="s">
        <v>2781</v>
      </c>
      <c r="J229" s="684" t="s">
        <v>2782</v>
      </c>
      <c r="K229" s="687" t="s">
        <v>2783</v>
      </c>
      <c r="L229" s="684" t="s">
        <v>2784</v>
      </c>
      <c r="M229" s="687" t="s">
        <v>2785</v>
      </c>
      <c r="N229" s="684" t="s">
        <v>2786</v>
      </c>
      <c r="O229" s="687" t="s">
        <v>2787</v>
      </c>
      <c r="P229" s="684" t="s">
        <v>2788</v>
      </c>
      <c r="Q229" s="687" t="s">
        <v>2789</v>
      </c>
      <c r="R229" s="684" t="s">
        <v>2790</v>
      </c>
      <c r="S229" s="687" t="s">
        <v>2791</v>
      </c>
      <c r="T229" s="684" t="s">
        <v>2792</v>
      </c>
      <c r="U229" s="687" t="s">
        <v>2793</v>
      </c>
      <c r="V229" s="684" t="s">
        <v>2794</v>
      </c>
      <c r="W229" s="676" t="s">
        <v>2795</v>
      </c>
      <c r="X229" s="690" t="s">
        <v>2796</v>
      </c>
      <c r="Y229" s="678" t="s">
        <v>2797</v>
      </c>
      <c r="Z229" s="1650" t="s">
        <v>2798</v>
      </c>
      <c r="AA229" s="1650" t="s">
        <v>2799</v>
      </c>
      <c r="AB229" s="678" t="s">
        <v>2800</v>
      </c>
      <c r="AC229" s="678" t="s">
        <v>2801</v>
      </c>
      <c r="AD229" s="678" t="s">
        <v>2817</v>
      </c>
      <c r="AE229" s="678" t="s">
        <v>2818</v>
      </c>
      <c r="AF229" s="678" t="s">
        <v>2819</v>
      </c>
      <c r="AG229" s="1079" t="e">
        <f t="shared" si="72"/>
        <v>#VALUE!</v>
      </c>
      <c r="AH229" s="1058"/>
      <c r="AI229" s="1058"/>
      <c r="AJ229" s="1058"/>
      <c r="AK229" s="1058"/>
      <c r="AL229" s="1058"/>
      <c r="AM229" s="1058"/>
      <c r="AN229" s="94"/>
      <c r="BW229" s="79"/>
      <c r="BX229" s="79"/>
      <c r="CB229" s="1031" t="e">
        <f>IF(CI229=1,"* El número de pacientes de 60 años NO DEBE Ser mayor a lo registrado en el grupo Etario 20-64 años. ","")</f>
        <v>#VALUE!</v>
      </c>
      <c r="CC229" s="1031" t="str">
        <f t="shared" si="74"/>
        <v xml:space="preserve">* La consulta pertinente según Protocolo de Referencia NO DEBE ser mayor al Total registrado. </v>
      </c>
      <c r="CD229" s="1031" t="str">
        <f t="shared" si="75"/>
        <v xml:space="preserve">* La consulta pertinente según condición clínica NO DEBE ser mayor al Total registrado. </v>
      </c>
      <c r="CE229" s="1031" t="str">
        <f t="shared" si="76"/>
        <v xml:space="preserve">* Las Embarazadas NO DEBEN ser mayor al total de Mujeres. </v>
      </c>
      <c r="CF229" s="1031" t="str">
        <f t="shared" si="77"/>
        <v xml:space="preserve">* Los Usuarios en Situación de Discapacidad NO DEBEN ser mayor al total. </v>
      </c>
      <c r="CG229" s="1031" t="str">
        <f t="shared" si="78"/>
        <v xml:space="preserve">* Los Niños, Niñas, Adolescentes y Jóvenes Población SENAME NO DEBEN ser mayor al total. </v>
      </c>
      <c r="CH229" s="1031" t="str">
        <f t="shared" si="79"/>
        <v xml:space="preserve">* Los Migrantes NO DEBEN ser mayor al total. </v>
      </c>
      <c r="CI229" s="1163" t="e">
        <f>IF((T229+U229)&lt;Y229,1,0)</f>
        <v>#VALUE!</v>
      </c>
      <c r="CJ229" s="1163">
        <f t="shared" si="81"/>
        <v>1</v>
      </c>
      <c r="CK229" s="1163">
        <f t="shared" si="82"/>
        <v>1</v>
      </c>
      <c r="CL229" s="1163">
        <f t="shared" si="83"/>
        <v>1</v>
      </c>
      <c r="CM229" s="1163">
        <f t="shared" si="84"/>
        <v>1</v>
      </c>
      <c r="CN229" s="1163">
        <f t="shared" si="84"/>
        <v>1</v>
      </c>
      <c r="CO229" s="1163">
        <f t="shared" si="84"/>
        <v>1</v>
      </c>
    </row>
    <row r="230" spans="1:93" ht="16.350000000000001" customHeight="1" x14ac:dyDescent="0.2">
      <c r="A230" s="4631" t="s">
        <v>3895</v>
      </c>
      <c r="B230" s="5989" t="s">
        <v>2015</v>
      </c>
      <c r="C230" s="5980" t="s">
        <v>2012</v>
      </c>
      <c r="D230" s="5981"/>
      <c r="E230" s="4164" t="s">
        <v>2777</v>
      </c>
      <c r="F230" s="4968" t="s">
        <v>2778</v>
      </c>
      <c r="G230" s="4969" t="s">
        <v>2779</v>
      </c>
      <c r="H230" s="4186" t="s">
        <v>2780</v>
      </c>
      <c r="I230" s="4187" t="s">
        <v>2781</v>
      </c>
      <c r="J230" s="4188" t="s">
        <v>2782</v>
      </c>
      <c r="K230" s="4187" t="s">
        <v>2783</v>
      </c>
      <c r="L230" s="4188" t="s">
        <v>2784</v>
      </c>
      <c r="M230" s="4187" t="s">
        <v>2785</v>
      </c>
      <c r="N230" s="4188" t="s">
        <v>2786</v>
      </c>
      <c r="O230" s="4187" t="s">
        <v>2787</v>
      </c>
      <c r="P230" s="4188" t="s">
        <v>2788</v>
      </c>
      <c r="Q230" s="4187" t="s">
        <v>2789</v>
      </c>
      <c r="R230" s="4188" t="s">
        <v>2790</v>
      </c>
      <c r="S230" s="4187" t="s">
        <v>2791</v>
      </c>
      <c r="T230" s="4188" t="s">
        <v>2792</v>
      </c>
      <c r="U230" s="4187" t="s">
        <v>2793</v>
      </c>
      <c r="V230" s="4188" t="s">
        <v>2794</v>
      </c>
      <c r="W230" s="4189" t="s">
        <v>2795</v>
      </c>
      <c r="X230" s="4972" t="s">
        <v>2796</v>
      </c>
      <c r="Y230" s="4970" t="s">
        <v>2797</v>
      </c>
      <c r="Z230" s="4191" t="s">
        <v>2798</v>
      </c>
      <c r="AA230" s="2410" t="s">
        <v>2799</v>
      </c>
      <c r="AB230" s="2410" t="s">
        <v>2800</v>
      </c>
      <c r="AC230" s="2410" t="s">
        <v>2801</v>
      </c>
      <c r="AD230" s="2410" t="s">
        <v>2817</v>
      </c>
      <c r="AE230" s="2410" t="s">
        <v>2818</v>
      </c>
      <c r="AF230" s="2410" t="s">
        <v>2819</v>
      </c>
      <c r="AG230" s="1079" t="str">
        <f t="shared" si="72"/>
        <v xml:space="preserve">* La consulta pertinente según Protocolo de Referencia NO DEBE ser mayor al Total registrado. * La consulta pertinente según condición clínica NO DEBE ser mayor al Total registrado. * Los Usuarios en Situación de Discapacidad NO DEBEN ser mayor al total. * Los Niños, Niñas, Adolescentes y Jóvenes Población SENAME NO DEBEN ser mayor al total. * Los Migrantes NO DEBEN ser mayor al total. </v>
      </c>
      <c r="AH230" s="1058"/>
      <c r="AI230" s="1058"/>
      <c r="AJ230" s="1058"/>
      <c r="AK230" s="1058"/>
      <c r="AL230" s="1058"/>
      <c r="AM230" s="1058"/>
      <c r="AN230" s="94"/>
      <c r="BW230" s="79"/>
      <c r="BX230" s="79"/>
      <c r="CB230" s="1031"/>
      <c r="CC230" s="1031" t="str">
        <f t="shared" si="74"/>
        <v xml:space="preserve">* La consulta pertinente según Protocolo de Referencia NO DEBE ser mayor al Total registrado. </v>
      </c>
      <c r="CD230" s="1031" t="str">
        <f t="shared" si="75"/>
        <v xml:space="preserve">* La consulta pertinente según condición clínica NO DEBE ser mayor al Total registrado. </v>
      </c>
      <c r="CE230" s="1031"/>
      <c r="CF230" s="1031" t="str">
        <f t="shared" si="77"/>
        <v xml:space="preserve">* Los Usuarios en Situación de Discapacidad NO DEBEN ser mayor al total. </v>
      </c>
      <c r="CG230" s="1031" t="str">
        <f t="shared" si="78"/>
        <v xml:space="preserve">* Los Niños, Niñas, Adolescentes y Jóvenes Población SENAME NO DEBEN ser mayor al total. </v>
      </c>
      <c r="CH230" s="1031" t="str">
        <f t="shared" si="79"/>
        <v xml:space="preserve">* Los Migrantes NO DEBEN ser mayor al total. </v>
      </c>
      <c r="CI230" s="1163"/>
      <c r="CJ230" s="1163">
        <f t="shared" si="81"/>
        <v>1</v>
      </c>
      <c r="CK230" s="1163">
        <f t="shared" si="82"/>
        <v>1</v>
      </c>
      <c r="CL230" s="1163"/>
      <c r="CM230" s="1163">
        <f t="shared" si="84"/>
        <v>1</v>
      </c>
      <c r="CN230" s="1163">
        <f t="shared" si="84"/>
        <v>1</v>
      </c>
      <c r="CO230" s="1163">
        <f t="shared" si="84"/>
        <v>1</v>
      </c>
    </row>
    <row r="231" spans="1:93" ht="16.350000000000001" customHeight="1" x14ac:dyDescent="0.2">
      <c r="A231" s="4631" t="s">
        <v>3896</v>
      </c>
      <c r="B231" s="5103"/>
      <c r="C231" s="5982" t="s">
        <v>2013</v>
      </c>
      <c r="D231" s="5982"/>
      <c r="E231" s="3070" t="s">
        <v>2777</v>
      </c>
      <c r="F231" s="2886" t="s">
        <v>2778</v>
      </c>
      <c r="G231" s="3083" t="s">
        <v>2779</v>
      </c>
      <c r="H231" s="425" t="s">
        <v>2780</v>
      </c>
      <c r="I231" s="426" t="s">
        <v>2781</v>
      </c>
      <c r="J231" s="428" t="s">
        <v>2782</v>
      </c>
      <c r="K231" s="426" t="s">
        <v>2783</v>
      </c>
      <c r="L231" s="428" t="s">
        <v>2784</v>
      </c>
      <c r="M231" s="426" t="s">
        <v>2785</v>
      </c>
      <c r="N231" s="428" t="s">
        <v>2786</v>
      </c>
      <c r="O231" s="426" t="s">
        <v>2787</v>
      </c>
      <c r="P231" s="428" t="s">
        <v>2788</v>
      </c>
      <c r="Q231" s="426" t="s">
        <v>2789</v>
      </c>
      <c r="R231" s="428" t="s">
        <v>2790</v>
      </c>
      <c r="S231" s="426" t="s">
        <v>2791</v>
      </c>
      <c r="T231" s="428" t="s">
        <v>2792</v>
      </c>
      <c r="U231" s="426" t="s">
        <v>2793</v>
      </c>
      <c r="V231" s="428" t="s">
        <v>2794</v>
      </c>
      <c r="W231" s="674" t="s">
        <v>2795</v>
      </c>
      <c r="X231" s="691" t="s">
        <v>2796</v>
      </c>
      <c r="Y231" s="679" t="s">
        <v>2797</v>
      </c>
      <c r="Z231" s="1647" t="s">
        <v>2798</v>
      </c>
      <c r="AA231" s="1647" t="s">
        <v>2799</v>
      </c>
      <c r="AB231" s="677" t="s">
        <v>2800</v>
      </c>
      <c r="AC231" s="677" t="s">
        <v>2801</v>
      </c>
      <c r="AD231" s="677" t="s">
        <v>2817</v>
      </c>
      <c r="AE231" s="677" t="s">
        <v>2818</v>
      </c>
      <c r="AF231" s="677" t="s">
        <v>2819</v>
      </c>
      <c r="AG231" s="1079" t="str">
        <f t="shared" si="72"/>
        <v xml:space="preserve">* La consulta pertinente según Protocolo de Referencia NO DEBE ser mayor al Total registrado. * La consulta pertinente según condición clínica NO DEBE ser mayor al Total registrado. * Los Usuarios en Situación de Discapacidad NO DEBEN ser mayor al total. * Los Niños, Niñas, Adolescentes y Jóvenes Población SENAME NO DEBEN ser mayor al total. * Los Migrantes NO DEBEN ser mayor al total. </v>
      </c>
      <c r="AH231" s="1058"/>
      <c r="AI231" s="1058"/>
      <c r="AJ231" s="1058"/>
      <c r="AK231" s="1058"/>
      <c r="AL231" s="1058"/>
      <c r="AM231" s="1058"/>
      <c r="AN231" s="94"/>
      <c r="BW231" s="79"/>
      <c r="BX231" s="79"/>
      <c r="CB231" s="1031"/>
      <c r="CC231" s="1031" t="str">
        <f t="shared" si="74"/>
        <v xml:space="preserve">* La consulta pertinente según Protocolo de Referencia NO DEBE ser mayor al Total registrado. </v>
      </c>
      <c r="CD231" s="1031" t="str">
        <f t="shared" si="75"/>
        <v xml:space="preserve">* La consulta pertinente según condición clínica NO DEBE ser mayor al Total registrado. </v>
      </c>
      <c r="CE231" s="1031"/>
      <c r="CF231" s="1031" t="str">
        <f t="shared" si="77"/>
        <v xml:space="preserve">* Los Usuarios en Situación de Discapacidad NO DEBEN ser mayor al total. </v>
      </c>
      <c r="CG231" s="1031" t="str">
        <f t="shared" si="78"/>
        <v xml:space="preserve">* Los Niños, Niñas, Adolescentes y Jóvenes Población SENAME NO DEBEN ser mayor al total. </v>
      </c>
      <c r="CH231" s="1031" t="str">
        <f t="shared" si="79"/>
        <v xml:space="preserve">* Los Migrantes NO DEBEN ser mayor al total. </v>
      </c>
      <c r="CI231" s="1163"/>
      <c r="CJ231" s="1163">
        <f t="shared" si="81"/>
        <v>1</v>
      </c>
      <c r="CK231" s="1163">
        <f t="shared" si="82"/>
        <v>1</v>
      </c>
      <c r="CL231" s="1163"/>
      <c r="CM231" s="1163">
        <f t="shared" si="84"/>
        <v>1</v>
      </c>
      <c r="CN231" s="1163">
        <f t="shared" si="84"/>
        <v>1</v>
      </c>
      <c r="CO231" s="1163">
        <f t="shared" si="84"/>
        <v>1</v>
      </c>
    </row>
    <row r="232" spans="1:93" ht="16.350000000000001" customHeight="1" x14ac:dyDescent="0.2">
      <c r="A232" s="4651" t="s">
        <v>3833</v>
      </c>
      <c r="B232" s="5103"/>
      <c r="C232" s="5983" t="s">
        <v>1122</v>
      </c>
      <c r="D232" s="5983"/>
      <c r="E232" s="3070" t="s">
        <v>2777</v>
      </c>
      <c r="F232" s="2886" t="s">
        <v>2778</v>
      </c>
      <c r="G232" s="3083" t="s">
        <v>2779</v>
      </c>
      <c r="H232" s="425" t="s">
        <v>2780</v>
      </c>
      <c r="I232" s="426" t="s">
        <v>2781</v>
      </c>
      <c r="J232" s="428" t="s">
        <v>2782</v>
      </c>
      <c r="K232" s="426" t="s">
        <v>2783</v>
      </c>
      <c r="L232" s="428" t="s">
        <v>2784</v>
      </c>
      <c r="M232" s="426" t="s">
        <v>2785</v>
      </c>
      <c r="N232" s="428" t="s">
        <v>2786</v>
      </c>
      <c r="O232" s="426" t="s">
        <v>2787</v>
      </c>
      <c r="P232" s="428" t="s">
        <v>2788</v>
      </c>
      <c r="Q232" s="426" t="s">
        <v>2789</v>
      </c>
      <c r="R232" s="428" t="s">
        <v>2790</v>
      </c>
      <c r="S232" s="426" t="s">
        <v>2791</v>
      </c>
      <c r="T232" s="428" t="s">
        <v>2792</v>
      </c>
      <c r="U232" s="426" t="s">
        <v>2793</v>
      </c>
      <c r="V232" s="428" t="s">
        <v>2794</v>
      </c>
      <c r="W232" s="674" t="s">
        <v>2795</v>
      </c>
      <c r="X232" s="691" t="s">
        <v>2796</v>
      </c>
      <c r="Y232" s="679" t="s">
        <v>2797</v>
      </c>
      <c r="Z232" s="1647" t="s">
        <v>2798</v>
      </c>
      <c r="AA232" s="1647" t="s">
        <v>2799</v>
      </c>
      <c r="AB232" s="677" t="s">
        <v>2800</v>
      </c>
      <c r="AC232" s="677" t="s">
        <v>2801</v>
      </c>
      <c r="AD232" s="677" t="s">
        <v>2817</v>
      </c>
      <c r="AE232" s="677" t="s">
        <v>2818</v>
      </c>
      <c r="AF232" s="677" t="s">
        <v>2819</v>
      </c>
      <c r="AG232" s="1079" t="str">
        <f t="shared" si="72"/>
        <v xml:space="preserve">* La consulta pertinente según Protocolo de Referencia NO DEBE ser mayor al Total registrado. * La consulta pertinente según condición clínica NO DEBE ser mayor al Total registrado. * Los Usuarios en Situación de Discapacidad NO DEBEN ser mayor al total. * Los Niños, Niñas, Adolescentes y Jóvenes Población SENAME NO DEBEN ser mayor al total. * Los Migrantes NO DEBEN ser mayor al total. </v>
      </c>
      <c r="AH232" s="1058"/>
      <c r="AI232" s="1058"/>
      <c r="AJ232" s="1058"/>
      <c r="AK232" s="1058"/>
      <c r="AL232" s="1058"/>
      <c r="AM232" s="1058"/>
      <c r="AN232" s="94"/>
      <c r="BW232" s="79"/>
      <c r="BX232" s="79"/>
      <c r="CB232" s="1031"/>
      <c r="CC232" s="1031" t="str">
        <f t="shared" si="74"/>
        <v xml:space="preserve">* La consulta pertinente según Protocolo de Referencia NO DEBE ser mayor al Total registrado. </v>
      </c>
      <c r="CD232" s="1031" t="str">
        <f t="shared" si="75"/>
        <v xml:space="preserve">* La consulta pertinente según condición clínica NO DEBE ser mayor al Total registrado. </v>
      </c>
      <c r="CE232" s="1031"/>
      <c r="CF232" s="1031" t="str">
        <f t="shared" si="77"/>
        <v xml:space="preserve">* Los Usuarios en Situación de Discapacidad NO DEBEN ser mayor al total. </v>
      </c>
      <c r="CG232" s="1031" t="str">
        <f t="shared" si="78"/>
        <v xml:space="preserve">* Los Niños, Niñas, Adolescentes y Jóvenes Población SENAME NO DEBEN ser mayor al total. </v>
      </c>
      <c r="CH232" s="1031" t="str">
        <f t="shared" si="79"/>
        <v xml:space="preserve">* Los Migrantes NO DEBEN ser mayor al total. </v>
      </c>
      <c r="CI232" s="1163"/>
      <c r="CJ232" s="1163">
        <f t="shared" si="81"/>
        <v>1</v>
      </c>
      <c r="CK232" s="1163">
        <f t="shared" si="82"/>
        <v>1</v>
      </c>
      <c r="CL232" s="1163"/>
      <c r="CM232" s="1163">
        <f t="shared" si="84"/>
        <v>1</v>
      </c>
      <c r="CN232" s="1163">
        <f t="shared" si="84"/>
        <v>1</v>
      </c>
      <c r="CO232" s="1163">
        <f t="shared" si="84"/>
        <v>1</v>
      </c>
    </row>
    <row r="233" spans="1:93" ht="16.350000000000001" customHeight="1" x14ac:dyDescent="0.2">
      <c r="A233" s="4651" t="s">
        <v>3834</v>
      </c>
      <c r="B233" s="5103"/>
      <c r="C233" s="5996" t="s">
        <v>1123</v>
      </c>
      <c r="D233" s="5996"/>
      <c r="E233" s="3070" t="s">
        <v>2777</v>
      </c>
      <c r="F233" s="2886" t="s">
        <v>2778</v>
      </c>
      <c r="G233" s="3083" t="s">
        <v>2779</v>
      </c>
      <c r="H233" s="2411" t="s">
        <v>2780</v>
      </c>
      <c r="I233" s="687" t="s">
        <v>2781</v>
      </c>
      <c r="J233" s="684" t="s">
        <v>2782</v>
      </c>
      <c r="K233" s="687" t="s">
        <v>2783</v>
      </c>
      <c r="L233" s="684" t="s">
        <v>2784</v>
      </c>
      <c r="M233" s="687" t="s">
        <v>2785</v>
      </c>
      <c r="N233" s="684" t="s">
        <v>2786</v>
      </c>
      <c r="O233" s="687" t="s">
        <v>2787</v>
      </c>
      <c r="P233" s="684" t="s">
        <v>2788</v>
      </c>
      <c r="Q233" s="687" t="s">
        <v>2789</v>
      </c>
      <c r="R233" s="684" t="s">
        <v>2790</v>
      </c>
      <c r="S233" s="687" t="s">
        <v>2791</v>
      </c>
      <c r="T233" s="684" t="s">
        <v>2792</v>
      </c>
      <c r="U233" s="687" t="s">
        <v>2793</v>
      </c>
      <c r="V233" s="684" t="s">
        <v>2794</v>
      </c>
      <c r="W233" s="676" t="s">
        <v>2795</v>
      </c>
      <c r="X233" s="692" t="s">
        <v>2796</v>
      </c>
      <c r="Y233" s="680" t="s">
        <v>2797</v>
      </c>
      <c r="Z233" s="1650" t="s">
        <v>2798</v>
      </c>
      <c r="AA233" s="1650" t="s">
        <v>2799</v>
      </c>
      <c r="AB233" s="678" t="s">
        <v>2800</v>
      </c>
      <c r="AC233" s="678" t="s">
        <v>2801</v>
      </c>
      <c r="AD233" s="678" t="s">
        <v>2817</v>
      </c>
      <c r="AE233" s="678" t="s">
        <v>2818</v>
      </c>
      <c r="AF233" s="678" t="s">
        <v>2819</v>
      </c>
      <c r="AG233" s="1079" t="str">
        <f t="shared" si="72"/>
        <v xml:space="preserve">* La consulta pertinente según Protocolo de Referencia NO DEBE ser mayor al Total registrado. * La consulta pertinente según condición clínica NO DEBE ser mayor al Total registrado. * Los Usuarios en Situación de Discapacidad NO DEBEN ser mayor al total. * Los Niños, Niñas, Adolescentes y Jóvenes Población SENAME NO DEBEN ser mayor al total. * Los Migrantes NO DEBEN ser mayor al total. </v>
      </c>
      <c r="AH233" s="1058"/>
      <c r="AI233" s="1058"/>
      <c r="AJ233" s="1058"/>
      <c r="AK233" s="1058"/>
      <c r="AL233" s="1058"/>
      <c r="AM233" s="1058"/>
      <c r="AN233" s="94"/>
      <c r="BW233" s="79"/>
      <c r="BX233" s="79"/>
      <c r="CB233" s="1031"/>
      <c r="CC233" s="1031" t="str">
        <f t="shared" si="74"/>
        <v xml:space="preserve">* La consulta pertinente según Protocolo de Referencia NO DEBE ser mayor al Total registrado. </v>
      </c>
      <c r="CD233" s="1031" t="str">
        <f t="shared" si="75"/>
        <v xml:space="preserve">* La consulta pertinente según condición clínica NO DEBE ser mayor al Total registrado. </v>
      </c>
      <c r="CE233" s="1031"/>
      <c r="CF233" s="1031" t="str">
        <f t="shared" si="77"/>
        <v xml:space="preserve">* Los Usuarios en Situación de Discapacidad NO DEBEN ser mayor al total. </v>
      </c>
      <c r="CG233" s="1031" t="str">
        <f t="shared" si="78"/>
        <v xml:space="preserve">* Los Niños, Niñas, Adolescentes y Jóvenes Población SENAME NO DEBEN ser mayor al total. </v>
      </c>
      <c r="CH233" s="1031" t="str">
        <f t="shared" si="79"/>
        <v xml:space="preserve">* Los Migrantes NO DEBEN ser mayor al total. </v>
      </c>
      <c r="CI233" s="1163"/>
      <c r="CJ233" s="1163">
        <f t="shared" si="81"/>
        <v>1</v>
      </c>
      <c r="CK233" s="1163">
        <f t="shared" si="82"/>
        <v>1</v>
      </c>
      <c r="CL233" s="1163"/>
      <c r="CM233" s="1163">
        <f t="shared" si="84"/>
        <v>1</v>
      </c>
      <c r="CN233" s="1163">
        <f t="shared" si="84"/>
        <v>1</v>
      </c>
      <c r="CO233" s="1163">
        <f t="shared" si="84"/>
        <v>1</v>
      </c>
    </row>
    <row r="234" spans="1:93" ht="16.350000000000001" customHeight="1" x14ac:dyDescent="0.2">
      <c r="A234" s="4631" t="s">
        <v>3897</v>
      </c>
      <c r="B234" s="5343"/>
      <c r="C234" s="5986" t="s">
        <v>2014</v>
      </c>
      <c r="D234" s="5986"/>
      <c r="E234" s="3084" t="s">
        <v>2777</v>
      </c>
      <c r="F234" s="2888" t="s">
        <v>2778</v>
      </c>
      <c r="G234" s="3085" t="s">
        <v>2779</v>
      </c>
      <c r="H234" s="530" t="s">
        <v>2780</v>
      </c>
      <c r="I234" s="588" t="s">
        <v>2781</v>
      </c>
      <c r="J234" s="682" t="s">
        <v>2782</v>
      </c>
      <c r="K234" s="588" t="s">
        <v>2783</v>
      </c>
      <c r="L234" s="682" t="s">
        <v>2784</v>
      </c>
      <c r="M234" s="588" t="s">
        <v>2785</v>
      </c>
      <c r="N234" s="682" t="s">
        <v>2786</v>
      </c>
      <c r="O234" s="588" t="s">
        <v>2787</v>
      </c>
      <c r="P234" s="682" t="s">
        <v>2788</v>
      </c>
      <c r="Q234" s="588" t="s">
        <v>2789</v>
      </c>
      <c r="R234" s="682" t="s">
        <v>2790</v>
      </c>
      <c r="S234" s="588" t="s">
        <v>2791</v>
      </c>
      <c r="T234" s="682" t="s">
        <v>2792</v>
      </c>
      <c r="U234" s="588" t="s">
        <v>2793</v>
      </c>
      <c r="V234" s="682" t="s">
        <v>2794</v>
      </c>
      <c r="W234" s="675" t="s">
        <v>2795</v>
      </c>
      <c r="X234" s="4973" t="s">
        <v>2796</v>
      </c>
      <c r="Y234" s="1650" t="s">
        <v>2797</v>
      </c>
      <c r="Z234" s="1650" t="s">
        <v>2798</v>
      </c>
      <c r="AA234" s="1650" t="s">
        <v>2799</v>
      </c>
      <c r="AB234" s="678" t="s">
        <v>2800</v>
      </c>
      <c r="AC234" s="678" t="s">
        <v>2801</v>
      </c>
      <c r="AD234" s="678" t="s">
        <v>2817</v>
      </c>
      <c r="AE234" s="678" t="s">
        <v>2818</v>
      </c>
      <c r="AF234" s="678" t="s">
        <v>2819</v>
      </c>
      <c r="AG234" s="1079" t="str">
        <f t="shared" si="72"/>
        <v xml:space="preserve">* La consulta pertinente según Protocolo de Referencia NO DEBE ser mayor al Total registrado. * La consulta pertinente según condición clínica NO DEBE ser mayor al Total registrado. * Los Usuarios en Situación de Discapacidad NO DEBEN ser mayor al total. * Los Niños, Niñas, Adolescentes y Jóvenes Población SENAME NO DEBEN ser mayor al total. * Los Migrantes NO DEBEN ser mayor al total. </v>
      </c>
      <c r="AH234" s="1058"/>
      <c r="AI234" s="1058"/>
      <c r="AJ234" s="1058"/>
      <c r="AK234" s="1058"/>
      <c r="AL234" s="1058"/>
      <c r="AM234" s="1058"/>
      <c r="AN234" s="94"/>
      <c r="BW234" s="79"/>
      <c r="BX234" s="79"/>
      <c r="CB234" s="1031"/>
      <c r="CC234" s="1031" t="str">
        <f t="shared" si="74"/>
        <v xml:space="preserve">* La consulta pertinente según Protocolo de Referencia NO DEBE ser mayor al Total registrado. </v>
      </c>
      <c r="CD234" s="1031" t="str">
        <f t="shared" si="75"/>
        <v xml:space="preserve">* La consulta pertinente según condición clínica NO DEBE ser mayor al Total registrado. </v>
      </c>
      <c r="CE234" s="1031"/>
      <c r="CF234" s="1031" t="str">
        <f t="shared" si="77"/>
        <v xml:space="preserve">* Los Usuarios en Situación de Discapacidad NO DEBEN ser mayor al total. </v>
      </c>
      <c r="CG234" s="1031" t="str">
        <f t="shared" si="78"/>
        <v xml:space="preserve">* Los Niños, Niñas, Adolescentes y Jóvenes Población SENAME NO DEBEN ser mayor al total. </v>
      </c>
      <c r="CH234" s="1031" t="str">
        <f t="shared" si="79"/>
        <v xml:space="preserve">* Los Migrantes NO DEBEN ser mayor al total. </v>
      </c>
      <c r="CI234" s="1163"/>
      <c r="CJ234" s="1163">
        <f t="shared" si="81"/>
        <v>1</v>
      </c>
      <c r="CK234" s="1163">
        <f t="shared" si="82"/>
        <v>1</v>
      </c>
      <c r="CL234" s="1163"/>
      <c r="CM234" s="1163">
        <f t="shared" si="84"/>
        <v>1</v>
      </c>
      <c r="CN234" s="1163">
        <f t="shared" si="84"/>
        <v>1</v>
      </c>
      <c r="CO234" s="1163">
        <f t="shared" si="84"/>
        <v>1</v>
      </c>
    </row>
    <row r="235" spans="1:93" ht="16.350000000000001" customHeight="1" x14ac:dyDescent="0.2">
      <c r="A235" s="4631" t="s">
        <v>3898</v>
      </c>
      <c r="B235" s="5993" t="s">
        <v>2016</v>
      </c>
      <c r="C235" s="5980" t="s">
        <v>2012</v>
      </c>
      <c r="D235" s="5981"/>
      <c r="E235" s="4164" t="s">
        <v>2777</v>
      </c>
      <c r="F235" s="4968" t="s">
        <v>2778</v>
      </c>
      <c r="G235" s="4969" t="s">
        <v>2779</v>
      </c>
      <c r="H235" s="4186" t="s">
        <v>2780</v>
      </c>
      <c r="I235" s="4187" t="s">
        <v>2781</v>
      </c>
      <c r="J235" s="4188" t="s">
        <v>2782</v>
      </c>
      <c r="K235" s="4187" t="s">
        <v>2783</v>
      </c>
      <c r="L235" s="4188" t="s">
        <v>2784</v>
      </c>
      <c r="M235" s="4187" t="s">
        <v>2785</v>
      </c>
      <c r="N235" s="4188" t="s">
        <v>2786</v>
      </c>
      <c r="O235" s="4187" t="s">
        <v>2787</v>
      </c>
      <c r="P235" s="4188" t="s">
        <v>2788</v>
      </c>
      <c r="Q235" s="4187" t="s">
        <v>2789</v>
      </c>
      <c r="R235" s="4188" t="s">
        <v>2790</v>
      </c>
      <c r="S235" s="4187" t="s">
        <v>2791</v>
      </c>
      <c r="T235" s="4188" t="s">
        <v>2792</v>
      </c>
      <c r="U235" s="4187" t="s">
        <v>2793</v>
      </c>
      <c r="V235" s="4188" t="s">
        <v>2794</v>
      </c>
      <c r="W235" s="4189" t="s">
        <v>2795</v>
      </c>
      <c r="X235" s="4974" t="s">
        <v>2796</v>
      </c>
      <c r="Y235" s="4975" t="s">
        <v>2797</v>
      </c>
      <c r="Z235" s="4191" t="s">
        <v>2798</v>
      </c>
      <c r="AA235" s="2410" t="s">
        <v>2799</v>
      </c>
      <c r="AB235" s="2410" t="s">
        <v>2800</v>
      </c>
      <c r="AC235" s="2410" t="s">
        <v>2801</v>
      </c>
      <c r="AD235" s="2410" t="s">
        <v>2817</v>
      </c>
      <c r="AE235" s="2410" t="s">
        <v>2818</v>
      </c>
      <c r="AF235" s="2410" t="s">
        <v>2819</v>
      </c>
      <c r="AG235" s="1079" t="str">
        <f t="shared" si="72"/>
        <v xml:space="preserve">* La consulta pertinente según Protocolo de Referencia NO DEBE ser mayor al Total registrado. * La consulta pertinente según condición clínica NO DEBE ser mayor al Total registrado. * Los Usuarios en Situación de Discapacidad NO DEBEN ser mayor al total. * Los Niños, Niñas, Adolescentes y Jóvenes Población SENAME NO DEBEN ser mayor al total. * Los Migrantes NO DEBEN ser mayor al total. </v>
      </c>
      <c r="AH235" s="1058"/>
      <c r="AI235" s="1058"/>
      <c r="AJ235" s="1058"/>
      <c r="AK235" s="1058"/>
      <c r="AL235" s="1058"/>
      <c r="AM235" s="1058"/>
      <c r="AN235" s="94"/>
      <c r="BW235" s="79"/>
      <c r="BX235" s="79"/>
      <c r="CB235" s="1031"/>
      <c r="CC235" s="1031" t="str">
        <f t="shared" si="74"/>
        <v xml:space="preserve">* La consulta pertinente según Protocolo de Referencia NO DEBE ser mayor al Total registrado. </v>
      </c>
      <c r="CD235" s="1031" t="str">
        <f t="shared" si="75"/>
        <v xml:space="preserve">* La consulta pertinente según condición clínica NO DEBE ser mayor al Total registrado. </v>
      </c>
      <c r="CE235" s="1031"/>
      <c r="CF235" s="1031" t="str">
        <f t="shared" si="77"/>
        <v xml:space="preserve">* Los Usuarios en Situación de Discapacidad NO DEBEN ser mayor al total. </v>
      </c>
      <c r="CG235" s="1031" t="str">
        <f t="shared" si="78"/>
        <v xml:space="preserve">* Los Niños, Niñas, Adolescentes y Jóvenes Población SENAME NO DEBEN ser mayor al total. </v>
      </c>
      <c r="CH235" s="1031" t="str">
        <f t="shared" si="79"/>
        <v xml:space="preserve">* Los Migrantes NO DEBEN ser mayor al total. </v>
      </c>
      <c r="CI235" s="1163"/>
      <c r="CJ235" s="1163">
        <f t="shared" si="81"/>
        <v>1</v>
      </c>
      <c r="CK235" s="1163">
        <f t="shared" si="82"/>
        <v>1</v>
      </c>
      <c r="CL235" s="1163"/>
      <c r="CM235" s="1163">
        <f t="shared" ref="CM235:CO266" si="85">IF(AND($E235&lt;&gt;0,AD235=""),1,IF($E235&lt;AD235,1,0))</f>
        <v>1</v>
      </c>
      <c r="CN235" s="1163">
        <f t="shared" si="85"/>
        <v>1</v>
      </c>
      <c r="CO235" s="1163">
        <f t="shared" si="85"/>
        <v>1</v>
      </c>
    </row>
    <row r="236" spans="1:93" ht="16.350000000000001" customHeight="1" x14ac:dyDescent="0.2">
      <c r="A236" s="4631" t="s">
        <v>3899</v>
      </c>
      <c r="B236" s="5994"/>
      <c r="C236" s="5982" t="s">
        <v>2013</v>
      </c>
      <c r="D236" s="5982"/>
      <c r="E236" s="3070" t="s">
        <v>2777</v>
      </c>
      <c r="F236" s="2886" t="s">
        <v>2778</v>
      </c>
      <c r="G236" s="3083" t="s">
        <v>2779</v>
      </c>
      <c r="H236" s="425" t="s">
        <v>2780</v>
      </c>
      <c r="I236" s="426" t="s">
        <v>2781</v>
      </c>
      <c r="J236" s="428" t="s">
        <v>2782</v>
      </c>
      <c r="K236" s="426" t="s">
        <v>2783</v>
      </c>
      <c r="L236" s="428" t="s">
        <v>2784</v>
      </c>
      <c r="M236" s="426" t="s">
        <v>2785</v>
      </c>
      <c r="N236" s="428" t="s">
        <v>2786</v>
      </c>
      <c r="O236" s="426" t="s">
        <v>2787</v>
      </c>
      <c r="P236" s="428" t="s">
        <v>2788</v>
      </c>
      <c r="Q236" s="426" t="s">
        <v>2789</v>
      </c>
      <c r="R236" s="428" t="s">
        <v>2790</v>
      </c>
      <c r="S236" s="426" t="s">
        <v>2791</v>
      </c>
      <c r="T236" s="428" t="s">
        <v>2792</v>
      </c>
      <c r="U236" s="426" t="s">
        <v>2793</v>
      </c>
      <c r="V236" s="428" t="s">
        <v>2794</v>
      </c>
      <c r="W236" s="674" t="s">
        <v>2795</v>
      </c>
      <c r="X236" s="1645" t="s">
        <v>2796</v>
      </c>
      <c r="Y236" s="1646" t="s">
        <v>2797</v>
      </c>
      <c r="Z236" s="1647" t="s">
        <v>2798</v>
      </c>
      <c r="AA236" s="1647" t="s">
        <v>2799</v>
      </c>
      <c r="AB236" s="677" t="s">
        <v>2800</v>
      </c>
      <c r="AC236" s="677" t="s">
        <v>2801</v>
      </c>
      <c r="AD236" s="677" t="s">
        <v>2817</v>
      </c>
      <c r="AE236" s="677" t="s">
        <v>2818</v>
      </c>
      <c r="AF236" s="677" t="s">
        <v>2819</v>
      </c>
      <c r="AG236" s="1079" t="str">
        <f t="shared" si="72"/>
        <v xml:space="preserve">* La consulta pertinente según Protocolo de Referencia NO DEBE ser mayor al Total registrado. * La consulta pertinente según condición clínica NO DEBE ser mayor al Total registrado. * Los Usuarios en Situación de Discapacidad NO DEBEN ser mayor al total. * Los Niños, Niñas, Adolescentes y Jóvenes Población SENAME NO DEBEN ser mayor al total. * Los Migrantes NO DEBEN ser mayor al total. </v>
      </c>
      <c r="AH236" s="1058"/>
      <c r="AI236" s="1058"/>
      <c r="AJ236" s="1058"/>
      <c r="AK236" s="1058"/>
      <c r="AL236" s="1058"/>
      <c r="AM236" s="1058"/>
      <c r="AN236" s="94"/>
      <c r="BW236" s="79"/>
      <c r="BX236" s="79"/>
      <c r="CB236" s="1031"/>
      <c r="CC236" s="1031" t="str">
        <f t="shared" si="74"/>
        <v xml:space="preserve">* La consulta pertinente según Protocolo de Referencia NO DEBE ser mayor al Total registrado. </v>
      </c>
      <c r="CD236" s="1031" t="str">
        <f t="shared" si="75"/>
        <v xml:space="preserve">* La consulta pertinente según condición clínica NO DEBE ser mayor al Total registrado. </v>
      </c>
      <c r="CE236" s="1031"/>
      <c r="CF236" s="1031" t="str">
        <f t="shared" si="77"/>
        <v xml:space="preserve">* Los Usuarios en Situación de Discapacidad NO DEBEN ser mayor al total. </v>
      </c>
      <c r="CG236" s="1031" t="str">
        <f t="shared" si="78"/>
        <v xml:space="preserve">* Los Niños, Niñas, Adolescentes y Jóvenes Población SENAME NO DEBEN ser mayor al total. </v>
      </c>
      <c r="CH236" s="1031" t="str">
        <f t="shared" si="79"/>
        <v xml:space="preserve">* Los Migrantes NO DEBEN ser mayor al total. </v>
      </c>
      <c r="CI236" s="1163"/>
      <c r="CJ236" s="1163">
        <f t="shared" si="81"/>
        <v>1</v>
      </c>
      <c r="CK236" s="1163">
        <f t="shared" si="82"/>
        <v>1</v>
      </c>
      <c r="CL236" s="1163"/>
      <c r="CM236" s="1163">
        <f t="shared" si="85"/>
        <v>1</v>
      </c>
      <c r="CN236" s="1163">
        <f t="shared" si="85"/>
        <v>1</v>
      </c>
      <c r="CO236" s="1163">
        <f t="shared" si="85"/>
        <v>1</v>
      </c>
    </row>
    <row r="237" spans="1:93" ht="16.350000000000001" customHeight="1" x14ac:dyDescent="0.2">
      <c r="A237" s="4631" t="s">
        <v>3900</v>
      </c>
      <c r="B237" s="5994"/>
      <c r="C237" s="5983" t="s">
        <v>1122</v>
      </c>
      <c r="D237" s="5983"/>
      <c r="E237" s="3070" t="s">
        <v>2777</v>
      </c>
      <c r="F237" s="2886" t="s">
        <v>2778</v>
      </c>
      <c r="G237" s="3083" t="s">
        <v>2779</v>
      </c>
      <c r="H237" s="425" t="s">
        <v>2780</v>
      </c>
      <c r="I237" s="426" t="s">
        <v>2781</v>
      </c>
      <c r="J237" s="428" t="s">
        <v>2782</v>
      </c>
      <c r="K237" s="426" t="s">
        <v>2783</v>
      </c>
      <c r="L237" s="428" t="s">
        <v>2784</v>
      </c>
      <c r="M237" s="426" t="s">
        <v>2785</v>
      </c>
      <c r="N237" s="428" t="s">
        <v>2786</v>
      </c>
      <c r="O237" s="426" t="s">
        <v>2787</v>
      </c>
      <c r="P237" s="428" t="s">
        <v>2788</v>
      </c>
      <c r="Q237" s="426" t="s">
        <v>2789</v>
      </c>
      <c r="R237" s="428" t="s">
        <v>2790</v>
      </c>
      <c r="S237" s="426" t="s">
        <v>2791</v>
      </c>
      <c r="T237" s="428" t="s">
        <v>2792</v>
      </c>
      <c r="U237" s="426" t="s">
        <v>2793</v>
      </c>
      <c r="V237" s="428" t="s">
        <v>2794</v>
      </c>
      <c r="W237" s="674" t="s">
        <v>2795</v>
      </c>
      <c r="X237" s="1645" t="s">
        <v>2796</v>
      </c>
      <c r="Y237" s="1646" t="s">
        <v>2797</v>
      </c>
      <c r="Z237" s="1647" t="s">
        <v>2798</v>
      </c>
      <c r="AA237" s="1647" t="s">
        <v>2799</v>
      </c>
      <c r="AB237" s="677" t="s">
        <v>2800</v>
      </c>
      <c r="AC237" s="677" t="s">
        <v>2801</v>
      </c>
      <c r="AD237" s="677" t="s">
        <v>2817</v>
      </c>
      <c r="AE237" s="677" t="s">
        <v>2818</v>
      </c>
      <c r="AF237" s="677" t="s">
        <v>2819</v>
      </c>
      <c r="AG237" s="1079" t="str">
        <f t="shared" si="72"/>
        <v xml:space="preserve">* La consulta pertinente según Protocolo de Referencia NO DEBE ser mayor al Total registrado. * La consulta pertinente según condición clínica NO DEBE ser mayor al Total registrado. * Los Usuarios en Situación de Discapacidad NO DEBEN ser mayor al total. * Los Niños, Niñas, Adolescentes y Jóvenes Población SENAME NO DEBEN ser mayor al total. * Los Migrantes NO DEBEN ser mayor al total. </v>
      </c>
      <c r="AH237" s="1058"/>
      <c r="AI237" s="1058"/>
      <c r="AJ237" s="1058"/>
      <c r="AK237" s="1058"/>
      <c r="AL237" s="1058"/>
      <c r="AM237" s="1058"/>
      <c r="AN237" s="94"/>
      <c r="BW237" s="79"/>
      <c r="BX237" s="79"/>
      <c r="CB237" s="1031"/>
      <c r="CC237" s="1031" t="str">
        <f t="shared" si="74"/>
        <v xml:space="preserve">* La consulta pertinente según Protocolo de Referencia NO DEBE ser mayor al Total registrado. </v>
      </c>
      <c r="CD237" s="1031" t="str">
        <f t="shared" si="75"/>
        <v xml:space="preserve">* La consulta pertinente según condición clínica NO DEBE ser mayor al Total registrado. </v>
      </c>
      <c r="CE237" s="1031"/>
      <c r="CF237" s="1031" t="str">
        <f t="shared" si="77"/>
        <v xml:space="preserve">* Los Usuarios en Situación de Discapacidad NO DEBEN ser mayor al total. </v>
      </c>
      <c r="CG237" s="1031" t="str">
        <f t="shared" si="78"/>
        <v xml:space="preserve">* Los Niños, Niñas, Adolescentes y Jóvenes Población SENAME NO DEBEN ser mayor al total. </v>
      </c>
      <c r="CH237" s="1031" t="str">
        <f t="shared" si="79"/>
        <v xml:space="preserve">* Los Migrantes NO DEBEN ser mayor al total. </v>
      </c>
      <c r="CI237" s="1163"/>
      <c r="CJ237" s="1163">
        <f t="shared" si="81"/>
        <v>1</v>
      </c>
      <c r="CK237" s="1163">
        <f t="shared" si="82"/>
        <v>1</v>
      </c>
      <c r="CL237" s="1163"/>
      <c r="CM237" s="1163">
        <f t="shared" si="85"/>
        <v>1</v>
      </c>
      <c r="CN237" s="1163">
        <f t="shared" si="85"/>
        <v>1</v>
      </c>
      <c r="CO237" s="1163">
        <f t="shared" si="85"/>
        <v>1</v>
      </c>
    </row>
    <row r="238" spans="1:93" ht="16.350000000000001" customHeight="1" x14ac:dyDescent="0.2">
      <c r="A238" s="4631" t="s">
        <v>3901</v>
      </c>
      <c r="B238" s="5994"/>
      <c r="C238" s="5996" t="s">
        <v>1123</v>
      </c>
      <c r="D238" s="5996"/>
      <c r="E238" s="3084" t="s">
        <v>2777</v>
      </c>
      <c r="F238" s="2888" t="s">
        <v>2778</v>
      </c>
      <c r="G238" s="3085" t="s">
        <v>2779</v>
      </c>
      <c r="H238" s="530" t="s">
        <v>2780</v>
      </c>
      <c r="I238" s="588" t="s">
        <v>2781</v>
      </c>
      <c r="J238" s="682" t="s">
        <v>2782</v>
      </c>
      <c r="K238" s="588" t="s">
        <v>2783</v>
      </c>
      <c r="L238" s="682" t="s">
        <v>2784</v>
      </c>
      <c r="M238" s="588" t="s">
        <v>2785</v>
      </c>
      <c r="N238" s="682" t="s">
        <v>2786</v>
      </c>
      <c r="O238" s="588" t="s">
        <v>2787</v>
      </c>
      <c r="P238" s="682" t="s">
        <v>2788</v>
      </c>
      <c r="Q238" s="588" t="s">
        <v>2789</v>
      </c>
      <c r="R238" s="682" t="s">
        <v>2790</v>
      </c>
      <c r="S238" s="588" t="s">
        <v>2791</v>
      </c>
      <c r="T238" s="682" t="s">
        <v>2792</v>
      </c>
      <c r="U238" s="588" t="s">
        <v>2793</v>
      </c>
      <c r="V238" s="682" t="s">
        <v>2794</v>
      </c>
      <c r="W238" s="675" t="s">
        <v>2795</v>
      </c>
      <c r="X238" s="1648" t="s">
        <v>2796</v>
      </c>
      <c r="Y238" s="1649" t="s">
        <v>2797</v>
      </c>
      <c r="Z238" s="1650" t="s">
        <v>2798</v>
      </c>
      <c r="AA238" s="1650" t="s">
        <v>2799</v>
      </c>
      <c r="AB238" s="678" t="s">
        <v>2800</v>
      </c>
      <c r="AC238" s="678" t="s">
        <v>2801</v>
      </c>
      <c r="AD238" s="678" t="s">
        <v>2817</v>
      </c>
      <c r="AE238" s="678" t="s">
        <v>2818</v>
      </c>
      <c r="AF238" s="678" t="s">
        <v>2819</v>
      </c>
      <c r="AG238" s="1079" t="str">
        <f t="shared" si="72"/>
        <v xml:space="preserve">* La consulta pertinente según Protocolo de Referencia NO DEBE ser mayor al Total registrado. * La consulta pertinente según condición clínica NO DEBE ser mayor al Total registrado. * Los Usuarios en Situación de Discapacidad NO DEBEN ser mayor al total. * Los Niños, Niñas, Adolescentes y Jóvenes Población SENAME NO DEBEN ser mayor al total. * Los Migrantes NO DEBEN ser mayor al total. </v>
      </c>
      <c r="AH238" s="1058"/>
      <c r="AI238" s="1058"/>
      <c r="AJ238" s="1058"/>
      <c r="AK238" s="1058"/>
      <c r="AL238" s="1058"/>
      <c r="AM238" s="1058"/>
      <c r="AN238" s="94"/>
      <c r="BW238" s="79"/>
      <c r="BX238" s="79"/>
      <c r="CB238" s="1031"/>
      <c r="CC238" s="1031" t="str">
        <f t="shared" si="74"/>
        <v xml:space="preserve">* La consulta pertinente según Protocolo de Referencia NO DEBE ser mayor al Total registrado. </v>
      </c>
      <c r="CD238" s="1031" t="str">
        <f t="shared" si="75"/>
        <v xml:space="preserve">* La consulta pertinente según condición clínica NO DEBE ser mayor al Total registrado. </v>
      </c>
      <c r="CE238" s="1031"/>
      <c r="CF238" s="1031" t="str">
        <f t="shared" si="77"/>
        <v xml:space="preserve">* Los Usuarios en Situación de Discapacidad NO DEBEN ser mayor al total. </v>
      </c>
      <c r="CG238" s="1031" t="str">
        <f t="shared" si="78"/>
        <v xml:space="preserve">* Los Niños, Niñas, Adolescentes y Jóvenes Población SENAME NO DEBEN ser mayor al total. </v>
      </c>
      <c r="CH238" s="1031" t="str">
        <f t="shared" si="79"/>
        <v xml:space="preserve">* Los Migrantes NO DEBEN ser mayor al total. </v>
      </c>
      <c r="CI238" s="1163"/>
      <c r="CJ238" s="1163">
        <f t="shared" si="81"/>
        <v>1</v>
      </c>
      <c r="CK238" s="1163">
        <f t="shared" si="82"/>
        <v>1</v>
      </c>
      <c r="CL238" s="1163"/>
      <c r="CM238" s="1163">
        <f t="shared" si="85"/>
        <v>1</v>
      </c>
      <c r="CN238" s="1163">
        <f t="shared" si="85"/>
        <v>1</v>
      </c>
      <c r="CO238" s="1163">
        <f t="shared" si="85"/>
        <v>1</v>
      </c>
    </row>
    <row r="239" spans="1:93" ht="16.350000000000001" customHeight="1" x14ac:dyDescent="0.2">
      <c r="A239" s="4631" t="s">
        <v>3902</v>
      </c>
      <c r="B239" s="5995"/>
      <c r="C239" s="5986" t="s">
        <v>2014</v>
      </c>
      <c r="D239" s="5986"/>
      <c r="E239" s="3084" t="s">
        <v>2777</v>
      </c>
      <c r="F239" s="2888" t="s">
        <v>2778</v>
      </c>
      <c r="G239" s="3085" t="s">
        <v>2779</v>
      </c>
      <c r="H239" s="530" t="s">
        <v>2780</v>
      </c>
      <c r="I239" s="588" t="s">
        <v>2781</v>
      </c>
      <c r="J239" s="682" t="s">
        <v>2782</v>
      </c>
      <c r="K239" s="588" t="s">
        <v>2783</v>
      </c>
      <c r="L239" s="682" t="s">
        <v>2784</v>
      </c>
      <c r="M239" s="588" t="s">
        <v>2785</v>
      </c>
      <c r="N239" s="682" t="s">
        <v>2786</v>
      </c>
      <c r="O239" s="588" t="s">
        <v>2787</v>
      </c>
      <c r="P239" s="682" t="s">
        <v>2788</v>
      </c>
      <c r="Q239" s="588" t="s">
        <v>2789</v>
      </c>
      <c r="R239" s="682" t="s">
        <v>2790</v>
      </c>
      <c r="S239" s="588" t="s">
        <v>2791</v>
      </c>
      <c r="T239" s="682" t="s">
        <v>2792</v>
      </c>
      <c r="U239" s="588" t="s">
        <v>2793</v>
      </c>
      <c r="V239" s="682" t="s">
        <v>2794</v>
      </c>
      <c r="W239" s="675" t="s">
        <v>2795</v>
      </c>
      <c r="X239" s="4973" t="s">
        <v>2796</v>
      </c>
      <c r="Y239" s="1650" t="s">
        <v>2797</v>
      </c>
      <c r="Z239" s="1650" t="s">
        <v>2798</v>
      </c>
      <c r="AA239" s="1650" t="s">
        <v>2799</v>
      </c>
      <c r="AB239" s="678" t="s">
        <v>2800</v>
      </c>
      <c r="AC239" s="678" t="s">
        <v>2801</v>
      </c>
      <c r="AD239" s="678" t="s">
        <v>2817</v>
      </c>
      <c r="AE239" s="678" t="s">
        <v>2818</v>
      </c>
      <c r="AF239" s="678" t="s">
        <v>2819</v>
      </c>
      <c r="AG239" s="1079" t="str">
        <f t="shared" si="72"/>
        <v xml:space="preserve">* La consulta pertinente según Protocolo de Referencia NO DEBE ser mayor al Total registrado. * La consulta pertinente según condición clínica NO DEBE ser mayor al Total registrado. * Los Usuarios en Situación de Discapacidad NO DEBEN ser mayor al total. * Los Niños, Niñas, Adolescentes y Jóvenes Población SENAME NO DEBEN ser mayor al total. * Los Migrantes NO DEBEN ser mayor al total. </v>
      </c>
      <c r="AH239" s="1058"/>
      <c r="AI239" s="1058"/>
      <c r="AJ239" s="1058"/>
      <c r="AK239" s="1058"/>
      <c r="AL239" s="1058"/>
      <c r="AM239" s="1058"/>
      <c r="AN239" s="94"/>
      <c r="BW239" s="79"/>
      <c r="BX239" s="79"/>
      <c r="CB239" s="1031"/>
      <c r="CC239" s="1031" t="str">
        <f t="shared" si="74"/>
        <v xml:space="preserve">* La consulta pertinente según Protocolo de Referencia NO DEBE ser mayor al Total registrado. </v>
      </c>
      <c r="CD239" s="1031" t="str">
        <f t="shared" si="75"/>
        <v xml:space="preserve">* La consulta pertinente según condición clínica NO DEBE ser mayor al Total registrado. </v>
      </c>
      <c r="CE239" s="1031"/>
      <c r="CF239" s="1031" t="str">
        <f t="shared" si="77"/>
        <v xml:space="preserve">* Los Usuarios en Situación de Discapacidad NO DEBEN ser mayor al total. </v>
      </c>
      <c r="CG239" s="1031" t="str">
        <f t="shared" si="78"/>
        <v xml:space="preserve">* Los Niños, Niñas, Adolescentes y Jóvenes Población SENAME NO DEBEN ser mayor al total. </v>
      </c>
      <c r="CH239" s="1031" t="str">
        <f t="shared" si="79"/>
        <v xml:space="preserve">* Los Migrantes NO DEBEN ser mayor al total. </v>
      </c>
      <c r="CI239" s="1163"/>
      <c r="CJ239" s="1163">
        <f t="shared" si="81"/>
        <v>1</v>
      </c>
      <c r="CK239" s="1163">
        <f t="shared" si="82"/>
        <v>1</v>
      </c>
      <c r="CL239" s="1163"/>
      <c r="CM239" s="1163">
        <f t="shared" si="85"/>
        <v>1</v>
      </c>
      <c r="CN239" s="1163">
        <f t="shared" si="85"/>
        <v>1</v>
      </c>
      <c r="CO239" s="1163">
        <f t="shared" si="85"/>
        <v>1</v>
      </c>
    </row>
    <row r="240" spans="1:93" ht="16.350000000000001" customHeight="1" x14ac:dyDescent="0.2">
      <c r="A240" s="4631" t="s">
        <v>3903</v>
      </c>
      <c r="B240" s="5989" t="s">
        <v>1086</v>
      </c>
      <c r="C240" s="5980" t="s">
        <v>2012</v>
      </c>
      <c r="D240" s="5981"/>
      <c r="E240" s="4170" t="s">
        <v>2777</v>
      </c>
      <c r="F240" s="3754" t="s">
        <v>2778</v>
      </c>
      <c r="G240" s="4962" t="s">
        <v>2779</v>
      </c>
      <c r="H240" s="4963" t="s">
        <v>2780</v>
      </c>
      <c r="I240" s="4964" t="s">
        <v>2781</v>
      </c>
      <c r="J240" s="4965" t="s">
        <v>2782</v>
      </c>
      <c r="K240" s="4964" t="s">
        <v>2783</v>
      </c>
      <c r="L240" s="4965" t="s">
        <v>2784</v>
      </c>
      <c r="M240" s="4964" t="s">
        <v>2785</v>
      </c>
      <c r="N240" s="4965" t="s">
        <v>2786</v>
      </c>
      <c r="O240" s="4964" t="s">
        <v>2787</v>
      </c>
      <c r="P240" s="4965" t="s">
        <v>2788</v>
      </c>
      <c r="Q240" s="4964" t="s">
        <v>2789</v>
      </c>
      <c r="R240" s="4965" t="s">
        <v>2790</v>
      </c>
      <c r="S240" s="4964" t="s">
        <v>2791</v>
      </c>
      <c r="T240" s="4965" t="s">
        <v>2792</v>
      </c>
      <c r="U240" s="4964" t="s">
        <v>2793</v>
      </c>
      <c r="V240" s="4965" t="s">
        <v>2794</v>
      </c>
      <c r="W240" s="4966" t="s">
        <v>2795</v>
      </c>
      <c r="X240" s="4967" t="s">
        <v>2796</v>
      </c>
      <c r="Y240" s="2410" t="s">
        <v>2797</v>
      </c>
      <c r="Z240" s="2410" t="s">
        <v>2798</v>
      </c>
      <c r="AA240" s="2410" t="s">
        <v>2799</v>
      </c>
      <c r="AB240" s="2410" t="s">
        <v>2800</v>
      </c>
      <c r="AC240" s="2410" t="s">
        <v>2801</v>
      </c>
      <c r="AD240" s="2410" t="s">
        <v>2817</v>
      </c>
      <c r="AE240" s="2410" t="s">
        <v>2818</v>
      </c>
      <c r="AF240" s="2410" t="s">
        <v>2819</v>
      </c>
      <c r="AG240" s="1079" t="e">
        <f t="shared" si="72"/>
        <v>#VALUE!</v>
      </c>
      <c r="AH240" s="1058"/>
      <c r="AI240" s="1058"/>
      <c r="AJ240" s="1058"/>
      <c r="AK240" s="1058"/>
      <c r="AL240" s="1058"/>
      <c r="AM240" s="1058"/>
      <c r="AN240" s="94"/>
      <c r="BW240" s="79"/>
      <c r="BX240" s="79"/>
      <c r="CB240" s="1031" t="e">
        <f t="shared" ref="CB240:CB278" si="86">IF(CI240=1,"* El número de pacientes de 60 años NO DEBE Ser mayor a lo registrado en el grupo Etario 20-64 años. ","")</f>
        <v>#VALUE!</v>
      </c>
      <c r="CC240" s="1031" t="str">
        <f t="shared" si="74"/>
        <v xml:space="preserve">* La consulta pertinente según Protocolo de Referencia NO DEBE ser mayor al Total registrado. </v>
      </c>
      <c r="CD240" s="1031" t="str">
        <f t="shared" si="75"/>
        <v xml:space="preserve">* La consulta pertinente según condición clínica NO DEBE ser mayor al Total registrado. </v>
      </c>
      <c r="CE240" s="1031" t="str">
        <f t="shared" ref="CE240:CE278" si="87">IF(AND(E240&lt;&gt;0,X240=""),"* Recuerde que las Embarazadas deben ser incluídas en el ingreso por rango Etario (Digite CEROS si no tiene). ",IF(G240&lt;X240,"* Las Embarazadas NO DEBEN ser mayor al total de Mujeres. ",""))</f>
        <v xml:space="preserve">* Las Embarazadas NO DEBEN ser mayor al total de Mujeres. </v>
      </c>
      <c r="CF240" s="1031" t="str">
        <f t="shared" si="77"/>
        <v xml:space="preserve">* Los Usuarios en Situación de Discapacidad NO DEBEN ser mayor al total. </v>
      </c>
      <c r="CG240" s="1031" t="str">
        <f t="shared" si="78"/>
        <v xml:space="preserve">* Los Niños, Niñas, Adolescentes y Jóvenes Población SENAME NO DEBEN ser mayor al total. </v>
      </c>
      <c r="CH240" s="1031" t="str">
        <f t="shared" si="79"/>
        <v xml:space="preserve">* Los Migrantes NO DEBEN ser mayor al total. </v>
      </c>
      <c r="CI240" s="1163" t="e">
        <f t="shared" ref="CI240:CI278" si="88">IF((T240+U240)&lt;Y240,1,0)</f>
        <v>#VALUE!</v>
      </c>
      <c r="CJ240" s="1163">
        <f t="shared" si="81"/>
        <v>1</v>
      </c>
      <c r="CK240" s="1163">
        <f t="shared" si="82"/>
        <v>1</v>
      </c>
      <c r="CL240" s="1163">
        <f t="shared" ref="CL240:CL278" si="89">IF(AND(E240&lt;&gt;0,X240=""),1,IF(G240&lt;X240,1,0))</f>
        <v>1</v>
      </c>
      <c r="CM240" s="1163">
        <f t="shared" si="85"/>
        <v>1</v>
      </c>
      <c r="CN240" s="1163">
        <f t="shared" si="85"/>
        <v>1</v>
      </c>
      <c r="CO240" s="1163">
        <f t="shared" si="85"/>
        <v>1</v>
      </c>
    </row>
    <row r="241" spans="1:93" ht="16.350000000000001" customHeight="1" x14ac:dyDescent="0.2">
      <c r="A241" s="4631" t="s">
        <v>3904</v>
      </c>
      <c r="B241" s="5103"/>
      <c r="C241" s="5982" t="s">
        <v>2013</v>
      </c>
      <c r="D241" s="5982"/>
      <c r="E241" s="3070" t="s">
        <v>2777</v>
      </c>
      <c r="F241" s="2886" t="s">
        <v>2778</v>
      </c>
      <c r="G241" s="3083" t="s">
        <v>2779</v>
      </c>
      <c r="H241" s="425" t="s">
        <v>2780</v>
      </c>
      <c r="I241" s="426" t="s">
        <v>2781</v>
      </c>
      <c r="J241" s="428" t="s">
        <v>2782</v>
      </c>
      <c r="K241" s="426" t="s">
        <v>2783</v>
      </c>
      <c r="L241" s="428" t="s">
        <v>2784</v>
      </c>
      <c r="M241" s="426" t="s">
        <v>2785</v>
      </c>
      <c r="N241" s="428" t="s">
        <v>2786</v>
      </c>
      <c r="O241" s="426" t="s">
        <v>2787</v>
      </c>
      <c r="P241" s="428" t="s">
        <v>2788</v>
      </c>
      <c r="Q241" s="426" t="s">
        <v>2789</v>
      </c>
      <c r="R241" s="428" t="s">
        <v>2790</v>
      </c>
      <c r="S241" s="426" t="s">
        <v>2791</v>
      </c>
      <c r="T241" s="428" t="s">
        <v>2792</v>
      </c>
      <c r="U241" s="426" t="s">
        <v>2793</v>
      </c>
      <c r="V241" s="428" t="s">
        <v>2794</v>
      </c>
      <c r="W241" s="674" t="s">
        <v>2795</v>
      </c>
      <c r="X241" s="689" t="s">
        <v>2796</v>
      </c>
      <c r="Y241" s="677" t="s">
        <v>2797</v>
      </c>
      <c r="Z241" s="1647" t="s">
        <v>2798</v>
      </c>
      <c r="AA241" s="1647" t="s">
        <v>2799</v>
      </c>
      <c r="AB241" s="677" t="s">
        <v>2800</v>
      </c>
      <c r="AC241" s="677" t="s">
        <v>2801</v>
      </c>
      <c r="AD241" s="677" t="s">
        <v>2817</v>
      </c>
      <c r="AE241" s="677" t="s">
        <v>2818</v>
      </c>
      <c r="AF241" s="677" t="s">
        <v>2819</v>
      </c>
      <c r="AG241" s="1079" t="e">
        <f t="shared" si="72"/>
        <v>#VALUE!</v>
      </c>
      <c r="AH241" s="1058"/>
      <c r="AI241" s="1058"/>
      <c r="AJ241" s="1058"/>
      <c r="AK241" s="1058"/>
      <c r="AL241" s="1058"/>
      <c r="AM241" s="1058"/>
      <c r="AN241" s="94"/>
      <c r="BW241" s="79"/>
      <c r="BX241" s="79"/>
      <c r="CB241" s="1031" t="e">
        <f t="shared" si="86"/>
        <v>#VALUE!</v>
      </c>
      <c r="CC241" s="1031" t="str">
        <f t="shared" si="74"/>
        <v xml:space="preserve">* La consulta pertinente según Protocolo de Referencia NO DEBE ser mayor al Total registrado. </v>
      </c>
      <c r="CD241" s="1031" t="str">
        <f t="shared" si="75"/>
        <v xml:space="preserve">* La consulta pertinente según condición clínica NO DEBE ser mayor al Total registrado. </v>
      </c>
      <c r="CE241" s="1031" t="str">
        <f t="shared" si="87"/>
        <v xml:space="preserve">* Las Embarazadas NO DEBEN ser mayor al total de Mujeres. </v>
      </c>
      <c r="CF241" s="1031" t="str">
        <f t="shared" si="77"/>
        <v xml:space="preserve">* Los Usuarios en Situación de Discapacidad NO DEBEN ser mayor al total. </v>
      </c>
      <c r="CG241" s="1031" t="str">
        <f t="shared" si="78"/>
        <v xml:space="preserve">* Los Niños, Niñas, Adolescentes y Jóvenes Población SENAME NO DEBEN ser mayor al total. </v>
      </c>
      <c r="CH241" s="1031" t="str">
        <f t="shared" si="79"/>
        <v xml:space="preserve">* Los Migrantes NO DEBEN ser mayor al total. </v>
      </c>
      <c r="CI241" s="1163" t="e">
        <f t="shared" si="88"/>
        <v>#VALUE!</v>
      </c>
      <c r="CJ241" s="1163">
        <f t="shared" si="81"/>
        <v>1</v>
      </c>
      <c r="CK241" s="1163">
        <f t="shared" si="82"/>
        <v>1</v>
      </c>
      <c r="CL241" s="1163">
        <f t="shared" si="89"/>
        <v>1</v>
      </c>
      <c r="CM241" s="1163">
        <f t="shared" si="85"/>
        <v>1</v>
      </c>
      <c r="CN241" s="1163">
        <f t="shared" si="85"/>
        <v>1</v>
      </c>
      <c r="CO241" s="1163">
        <f t="shared" si="85"/>
        <v>1</v>
      </c>
    </row>
    <row r="242" spans="1:93" ht="16.350000000000001" customHeight="1" x14ac:dyDescent="0.2">
      <c r="A242" s="3009" t="s">
        <v>3664</v>
      </c>
      <c r="B242" s="5103"/>
      <c r="C242" s="5983" t="s">
        <v>1122</v>
      </c>
      <c r="D242" s="5983"/>
      <c r="E242" s="3070" t="s">
        <v>2777</v>
      </c>
      <c r="F242" s="2886" t="s">
        <v>2778</v>
      </c>
      <c r="G242" s="3083" t="s">
        <v>2779</v>
      </c>
      <c r="H242" s="425" t="s">
        <v>2780</v>
      </c>
      <c r="I242" s="426" t="s">
        <v>2781</v>
      </c>
      <c r="J242" s="428" t="s">
        <v>2782</v>
      </c>
      <c r="K242" s="426" t="s">
        <v>2783</v>
      </c>
      <c r="L242" s="428" t="s">
        <v>2784</v>
      </c>
      <c r="M242" s="426" t="s">
        <v>2785</v>
      </c>
      <c r="N242" s="428" t="s">
        <v>2786</v>
      </c>
      <c r="O242" s="426" t="s">
        <v>2787</v>
      </c>
      <c r="P242" s="428" t="s">
        <v>2788</v>
      </c>
      <c r="Q242" s="426" t="s">
        <v>2789</v>
      </c>
      <c r="R242" s="428" t="s">
        <v>2790</v>
      </c>
      <c r="S242" s="426" t="s">
        <v>2791</v>
      </c>
      <c r="T242" s="428" t="s">
        <v>2792</v>
      </c>
      <c r="U242" s="426" t="s">
        <v>2793</v>
      </c>
      <c r="V242" s="428" t="s">
        <v>2794</v>
      </c>
      <c r="W242" s="674" t="s">
        <v>2795</v>
      </c>
      <c r="X242" s="689" t="s">
        <v>2796</v>
      </c>
      <c r="Y242" s="677" t="s">
        <v>2797</v>
      </c>
      <c r="Z242" s="1647" t="s">
        <v>2798</v>
      </c>
      <c r="AA242" s="1647" t="s">
        <v>2799</v>
      </c>
      <c r="AB242" s="677" t="s">
        <v>2800</v>
      </c>
      <c r="AC242" s="677" t="s">
        <v>2801</v>
      </c>
      <c r="AD242" s="677" t="s">
        <v>2817</v>
      </c>
      <c r="AE242" s="677" t="s">
        <v>2818</v>
      </c>
      <c r="AF242" s="677" t="s">
        <v>2819</v>
      </c>
      <c r="AG242" s="1079" t="e">
        <f t="shared" si="72"/>
        <v>#VALUE!</v>
      </c>
      <c r="AH242" s="1058"/>
      <c r="AI242" s="1058"/>
      <c r="AJ242" s="1058"/>
      <c r="AK242" s="1058"/>
      <c r="AL242" s="1058"/>
      <c r="AM242" s="1058"/>
      <c r="AN242" s="94"/>
      <c r="BW242" s="79"/>
      <c r="BX242" s="79"/>
      <c r="CB242" s="1031" t="e">
        <f t="shared" si="86"/>
        <v>#VALUE!</v>
      </c>
      <c r="CC242" s="1031" t="str">
        <f t="shared" si="74"/>
        <v xml:space="preserve">* La consulta pertinente según Protocolo de Referencia NO DEBE ser mayor al Total registrado. </v>
      </c>
      <c r="CD242" s="1031" t="str">
        <f t="shared" si="75"/>
        <v xml:space="preserve">* La consulta pertinente según condición clínica NO DEBE ser mayor al Total registrado. </v>
      </c>
      <c r="CE242" s="1031" t="str">
        <f t="shared" si="87"/>
        <v xml:space="preserve">* Las Embarazadas NO DEBEN ser mayor al total de Mujeres. </v>
      </c>
      <c r="CF242" s="1031" t="str">
        <f t="shared" si="77"/>
        <v xml:space="preserve">* Los Usuarios en Situación de Discapacidad NO DEBEN ser mayor al total. </v>
      </c>
      <c r="CG242" s="1031" t="str">
        <f t="shared" si="78"/>
        <v xml:space="preserve">* Los Niños, Niñas, Adolescentes y Jóvenes Población SENAME NO DEBEN ser mayor al total. </v>
      </c>
      <c r="CH242" s="1031" t="str">
        <f t="shared" si="79"/>
        <v xml:space="preserve">* Los Migrantes NO DEBEN ser mayor al total. </v>
      </c>
      <c r="CI242" s="1163" t="e">
        <f t="shared" si="88"/>
        <v>#VALUE!</v>
      </c>
      <c r="CJ242" s="1163">
        <f t="shared" si="81"/>
        <v>1</v>
      </c>
      <c r="CK242" s="1163">
        <f t="shared" si="82"/>
        <v>1</v>
      </c>
      <c r="CL242" s="1163">
        <f t="shared" si="89"/>
        <v>1</v>
      </c>
      <c r="CM242" s="1163">
        <f t="shared" si="85"/>
        <v>1</v>
      </c>
      <c r="CN242" s="1163">
        <f t="shared" si="85"/>
        <v>1</v>
      </c>
      <c r="CO242" s="1163">
        <f t="shared" si="85"/>
        <v>1</v>
      </c>
    </row>
    <row r="243" spans="1:93" ht="16.350000000000001" customHeight="1" x14ac:dyDescent="0.2">
      <c r="A243" s="3009" t="s">
        <v>3665</v>
      </c>
      <c r="B243" s="5103"/>
      <c r="C243" s="5997" t="s">
        <v>1123</v>
      </c>
      <c r="D243" s="5997"/>
      <c r="E243" s="3070" t="s">
        <v>2777</v>
      </c>
      <c r="F243" s="2886" t="s">
        <v>2778</v>
      </c>
      <c r="G243" s="3083" t="s">
        <v>2779</v>
      </c>
      <c r="H243" s="2411" t="s">
        <v>2780</v>
      </c>
      <c r="I243" s="687" t="s">
        <v>2781</v>
      </c>
      <c r="J243" s="684" t="s">
        <v>2782</v>
      </c>
      <c r="K243" s="687" t="s">
        <v>2783</v>
      </c>
      <c r="L243" s="684" t="s">
        <v>2784</v>
      </c>
      <c r="M243" s="687" t="s">
        <v>2785</v>
      </c>
      <c r="N243" s="684" t="s">
        <v>2786</v>
      </c>
      <c r="O243" s="687" t="s">
        <v>2787</v>
      </c>
      <c r="P243" s="684" t="s">
        <v>2788</v>
      </c>
      <c r="Q243" s="687" t="s">
        <v>2789</v>
      </c>
      <c r="R243" s="684" t="s">
        <v>2790</v>
      </c>
      <c r="S243" s="687" t="s">
        <v>2791</v>
      </c>
      <c r="T243" s="684" t="s">
        <v>2792</v>
      </c>
      <c r="U243" s="687" t="s">
        <v>2793</v>
      </c>
      <c r="V243" s="684" t="s">
        <v>2794</v>
      </c>
      <c r="W243" s="676" t="s">
        <v>2795</v>
      </c>
      <c r="X243" s="693" t="s">
        <v>2796</v>
      </c>
      <c r="Y243" s="681" t="s">
        <v>2797</v>
      </c>
      <c r="Z243" s="1662" t="s">
        <v>2798</v>
      </c>
      <c r="AA243" s="1662" t="s">
        <v>2799</v>
      </c>
      <c r="AB243" s="678" t="s">
        <v>2800</v>
      </c>
      <c r="AC243" s="678" t="s">
        <v>2801</v>
      </c>
      <c r="AD243" s="678" t="s">
        <v>2817</v>
      </c>
      <c r="AE243" s="678" t="s">
        <v>2818</v>
      </c>
      <c r="AF243" s="678" t="s">
        <v>2819</v>
      </c>
      <c r="AG243" s="1079" t="e">
        <f t="shared" si="72"/>
        <v>#VALUE!</v>
      </c>
      <c r="AH243" s="1058"/>
      <c r="AI243" s="1058"/>
      <c r="AJ243" s="1058"/>
      <c r="AK243" s="1058"/>
      <c r="AL243" s="1058"/>
      <c r="AM243" s="1058"/>
      <c r="AN243" s="94"/>
      <c r="BW243" s="79"/>
      <c r="BX243" s="79"/>
      <c r="CB243" s="1031" t="e">
        <f t="shared" si="86"/>
        <v>#VALUE!</v>
      </c>
      <c r="CC243" s="1031" t="str">
        <f t="shared" si="74"/>
        <v xml:space="preserve">* La consulta pertinente según Protocolo de Referencia NO DEBE ser mayor al Total registrado. </v>
      </c>
      <c r="CD243" s="1031" t="str">
        <f t="shared" si="75"/>
        <v xml:space="preserve">* La consulta pertinente según condición clínica NO DEBE ser mayor al Total registrado. </v>
      </c>
      <c r="CE243" s="1031" t="str">
        <f t="shared" si="87"/>
        <v xml:space="preserve">* Las Embarazadas NO DEBEN ser mayor al total de Mujeres. </v>
      </c>
      <c r="CF243" s="1031" t="str">
        <f t="shared" si="77"/>
        <v xml:space="preserve">* Los Usuarios en Situación de Discapacidad NO DEBEN ser mayor al total. </v>
      </c>
      <c r="CG243" s="1031" t="str">
        <f t="shared" si="78"/>
        <v xml:space="preserve">* Los Niños, Niñas, Adolescentes y Jóvenes Población SENAME NO DEBEN ser mayor al total. </v>
      </c>
      <c r="CH243" s="1031" t="str">
        <f t="shared" si="79"/>
        <v xml:space="preserve">* Los Migrantes NO DEBEN ser mayor al total. </v>
      </c>
      <c r="CI243" s="1163" t="e">
        <f t="shared" si="88"/>
        <v>#VALUE!</v>
      </c>
      <c r="CJ243" s="1163">
        <f t="shared" si="81"/>
        <v>1</v>
      </c>
      <c r="CK243" s="1163">
        <f t="shared" si="82"/>
        <v>1</v>
      </c>
      <c r="CL243" s="1163">
        <f t="shared" si="89"/>
        <v>1</v>
      </c>
      <c r="CM243" s="1163">
        <f t="shared" si="85"/>
        <v>1</v>
      </c>
      <c r="CN243" s="1163">
        <f t="shared" si="85"/>
        <v>1</v>
      </c>
      <c r="CO243" s="1163">
        <f t="shared" si="85"/>
        <v>1</v>
      </c>
    </row>
    <row r="244" spans="1:93" ht="16.350000000000001" customHeight="1" x14ac:dyDescent="0.2">
      <c r="A244" s="4631" t="s">
        <v>3905</v>
      </c>
      <c r="B244" s="5343"/>
      <c r="C244" s="5986" t="s">
        <v>2014</v>
      </c>
      <c r="D244" s="5986"/>
      <c r="E244" s="4727" t="s">
        <v>2777</v>
      </c>
      <c r="F244" s="2890" t="s">
        <v>2778</v>
      </c>
      <c r="G244" s="4971" t="s">
        <v>2779</v>
      </c>
      <c r="H244" s="2411" t="s">
        <v>2780</v>
      </c>
      <c r="I244" s="687" t="s">
        <v>2781</v>
      </c>
      <c r="J244" s="684" t="s">
        <v>2782</v>
      </c>
      <c r="K244" s="687" t="s">
        <v>2783</v>
      </c>
      <c r="L244" s="684" t="s">
        <v>2784</v>
      </c>
      <c r="M244" s="687" t="s">
        <v>2785</v>
      </c>
      <c r="N244" s="684" t="s">
        <v>2786</v>
      </c>
      <c r="O244" s="687" t="s">
        <v>2787</v>
      </c>
      <c r="P244" s="684" t="s">
        <v>2788</v>
      </c>
      <c r="Q244" s="687" t="s">
        <v>2789</v>
      </c>
      <c r="R244" s="684" t="s">
        <v>2790</v>
      </c>
      <c r="S244" s="687" t="s">
        <v>2791</v>
      </c>
      <c r="T244" s="684" t="s">
        <v>2792</v>
      </c>
      <c r="U244" s="687" t="s">
        <v>2793</v>
      </c>
      <c r="V244" s="684" t="s">
        <v>2794</v>
      </c>
      <c r="W244" s="676" t="s">
        <v>2795</v>
      </c>
      <c r="X244" s="690" t="s">
        <v>2796</v>
      </c>
      <c r="Y244" s="678" t="s">
        <v>2797</v>
      </c>
      <c r="Z244" s="1650" t="s">
        <v>2798</v>
      </c>
      <c r="AA244" s="1650" t="s">
        <v>2799</v>
      </c>
      <c r="AB244" s="678" t="s">
        <v>2800</v>
      </c>
      <c r="AC244" s="678" t="s">
        <v>2801</v>
      </c>
      <c r="AD244" s="678" t="s">
        <v>2817</v>
      </c>
      <c r="AE244" s="678" t="s">
        <v>2818</v>
      </c>
      <c r="AF244" s="678" t="s">
        <v>2819</v>
      </c>
      <c r="AG244" s="1079" t="e">
        <f t="shared" si="72"/>
        <v>#VALUE!</v>
      </c>
      <c r="AH244" s="1058"/>
      <c r="AI244" s="1058"/>
      <c r="AJ244" s="1058"/>
      <c r="AK244" s="1058"/>
      <c r="AL244" s="1058"/>
      <c r="AM244" s="1058"/>
      <c r="AN244" s="94"/>
      <c r="BW244" s="79"/>
      <c r="BX244" s="79"/>
      <c r="CB244" s="1031" t="e">
        <f t="shared" si="86"/>
        <v>#VALUE!</v>
      </c>
      <c r="CC244" s="1031" t="str">
        <f t="shared" si="74"/>
        <v xml:space="preserve">* La consulta pertinente según Protocolo de Referencia NO DEBE ser mayor al Total registrado. </v>
      </c>
      <c r="CD244" s="1031" t="str">
        <f t="shared" si="75"/>
        <v xml:space="preserve">* La consulta pertinente según condición clínica NO DEBE ser mayor al Total registrado. </v>
      </c>
      <c r="CE244" s="1031" t="str">
        <f t="shared" si="87"/>
        <v xml:space="preserve">* Las Embarazadas NO DEBEN ser mayor al total de Mujeres. </v>
      </c>
      <c r="CF244" s="1031" t="str">
        <f t="shared" si="77"/>
        <v xml:space="preserve">* Los Usuarios en Situación de Discapacidad NO DEBEN ser mayor al total. </v>
      </c>
      <c r="CG244" s="1031" t="str">
        <f t="shared" si="78"/>
        <v xml:space="preserve">* Los Niños, Niñas, Adolescentes y Jóvenes Población SENAME NO DEBEN ser mayor al total. </v>
      </c>
      <c r="CH244" s="1031" t="str">
        <f t="shared" si="79"/>
        <v xml:space="preserve">* Los Migrantes NO DEBEN ser mayor al total. </v>
      </c>
      <c r="CI244" s="1163" t="e">
        <f t="shared" si="88"/>
        <v>#VALUE!</v>
      </c>
      <c r="CJ244" s="1163">
        <f t="shared" si="81"/>
        <v>1</v>
      </c>
      <c r="CK244" s="1163">
        <f t="shared" si="82"/>
        <v>1</v>
      </c>
      <c r="CL244" s="1163">
        <f t="shared" si="89"/>
        <v>1</v>
      </c>
      <c r="CM244" s="1163">
        <f t="shared" si="85"/>
        <v>1</v>
      </c>
      <c r="CN244" s="1163">
        <f t="shared" si="85"/>
        <v>1</v>
      </c>
      <c r="CO244" s="1163">
        <f t="shared" si="85"/>
        <v>1</v>
      </c>
    </row>
    <row r="245" spans="1:93" ht="16.350000000000001" customHeight="1" x14ac:dyDescent="0.2">
      <c r="A245" s="4631" t="s">
        <v>3906</v>
      </c>
      <c r="B245" s="5989" t="s">
        <v>1127</v>
      </c>
      <c r="C245" s="5980" t="s">
        <v>2012</v>
      </c>
      <c r="D245" s="5981"/>
      <c r="E245" s="4164" t="s">
        <v>2777</v>
      </c>
      <c r="F245" s="4968" t="s">
        <v>2778</v>
      </c>
      <c r="G245" s="4969" t="s">
        <v>2779</v>
      </c>
      <c r="H245" s="4976" t="s">
        <v>2780</v>
      </c>
      <c r="I245" s="4977" t="s">
        <v>2781</v>
      </c>
      <c r="J245" s="4978" t="s">
        <v>2782</v>
      </c>
      <c r="K245" s="4977" t="s">
        <v>2783</v>
      </c>
      <c r="L245" s="4978" t="s">
        <v>2784</v>
      </c>
      <c r="M245" s="4977" t="s">
        <v>2785</v>
      </c>
      <c r="N245" s="4979" t="s">
        <v>2786</v>
      </c>
      <c r="O245" s="4980" t="s">
        <v>2787</v>
      </c>
      <c r="P245" s="4979" t="s">
        <v>2788</v>
      </c>
      <c r="Q245" s="4980" t="s">
        <v>2789</v>
      </c>
      <c r="R245" s="4188" t="s">
        <v>2790</v>
      </c>
      <c r="S245" s="4187" t="s">
        <v>2791</v>
      </c>
      <c r="T245" s="4188" t="s">
        <v>2792</v>
      </c>
      <c r="U245" s="4187" t="s">
        <v>2793</v>
      </c>
      <c r="V245" s="4188" t="s">
        <v>2794</v>
      </c>
      <c r="W245" s="4189" t="s">
        <v>2795</v>
      </c>
      <c r="X245" s="4190" t="s">
        <v>2796</v>
      </c>
      <c r="Y245" s="4191" t="s">
        <v>2797</v>
      </c>
      <c r="Z245" s="4191" t="s">
        <v>2798</v>
      </c>
      <c r="AA245" s="2410" t="s">
        <v>2799</v>
      </c>
      <c r="AB245" s="2410" t="s">
        <v>2800</v>
      </c>
      <c r="AC245" s="2410" t="s">
        <v>2801</v>
      </c>
      <c r="AD245" s="2410" t="s">
        <v>2817</v>
      </c>
      <c r="AE245" s="2410" t="s">
        <v>2818</v>
      </c>
      <c r="AF245" s="2410" t="s">
        <v>2819</v>
      </c>
      <c r="AG245" s="1079" t="e">
        <f t="shared" si="72"/>
        <v>#VALUE!</v>
      </c>
      <c r="AH245" s="1058"/>
      <c r="AI245" s="1058"/>
      <c r="AJ245" s="1058"/>
      <c r="AK245" s="1058"/>
      <c r="AL245" s="1058"/>
      <c r="AM245" s="1058"/>
      <c r="AN245" s="94"/>
      <c r="BW245" s="79"/>
      <c r="BX245" s="79"/>
      <c r="CB245" s="1031" t="e">
        <f t="shared" si="86"/>
        <v>#VALUE!</v>
      </c>
      <c r="CC245" s="1031" t="str">
        <f t="shared" si="74"/>
        <v xml:space="preserve">* La consulta pertinente según Protocolo de Referencia NO DEBE ser mayor al Total registrado. </v>
      </c>
      <c r="CD245" s="1031" t="str">
        <f t="shared" si="75"/>
        <v xml:space="preserve">* La consulta pertinente según condición clínica NO DEBE ser mayor al Total registrado. </v>
      </c>
      <c r="CE245" s="1031" t="str">
        <f t="shared" si="87"/>
        <v xml:space="preserve">* Las Embarazadas NO DEBEN ser mayor al total de Mujeres. </v>
      </c>
      <c r="CF245" s="1031" t="str">
        <f t="shared" si="77"/>
        <v xml:space="preserve">* Los Usuarios en Situación de Discapacidad NO DEBEN ser mayor al total. </v>
      </c>
      <c r="CG245" s="1031" t="str">
        <f t="shared" si="78"/>
        <v xml:space="preserve">* Los Niños, Niñas, Adolescentes y Jóvenes Población SENAME NO DEBEN ser mayor al total. </v>
      </c>
      <c r="CH245" s="1031" t="str">
        <f t="shared" si="79"/>
        <v xml:space="preserve">* Los Migrantes NO DEBEN ser mayor al total. </v>
      </c>
      <c r="CI245" s="1163" t="e">
        <f t="shared" si="88"/>
        <v>#VALUE!</v>
      </c>
      <c r="CJ245" s="1163">
        <f t="shared" si="81"/>
        <v>1</v>
      </c>
      <c r="CK245" s="1163">
        <f t="shared" si="82"/>
        <v>1</v>
      </c>
      <c r="CL245" s="1163">
        <f t="shared" si="89"/>
        <v>1</v>
      </c>
      <c r="CM245" s="1163">
        <f t="shared" si="85"/>
        <v>1</v>
      </c>
      <c r="CN245" s="1163">
        <f t="shared" si="85"/>
        <v>1</v>
      </c>
      <c r="CO245" s="1163">
        <f t="shared" si="85"/>
        <v>1</v>
      </c>
    </row>
    <row r="246" spans="1:93" ht="16.350000000000001" customHeight="1" x14ac:dyDescent="0.2">
      <c r="A246" s="4631" t="s">
        <v>3907</v>
      </c>
      <c r="B246" s="5103"/>
      <c r="C246" s="5982" t="s">
        <v>2013</v>
      </c>
      <c r="D246" s="5982"/>
      <c r="E246" s="3070" t="s">
        <v>2777</v>
      </c>
      <c r="F246" s="4193" t="s">
        <v>2778</v>
      </c>
      <c r="G246" s="4194" t="s">
        <v>2779</v>
      </c>
      <c r="H246" s="531" t="s">
        <v>2780</v>
      </c>
      <c r="I246" s="686" t="s">
        <v>2781</v>
      </c>
      <c r="J246" s="683" t="s">
        <v>2782</v>
      </c>
      <c r="K246" s="686" t="s">
        <v>2783</v>
      </c>
      <c r="L246" s="683" t="s">
        <v>2784</v>
      </c>
      <c r="M246" s="686" t="s">
        <v>2785</v>
      </c>
      <c r="N246" s="1654" t="s">
        <v>2786</v>
      </c>
      <c r="O246" s="1655" t="s">
        <v>2787</v>
      </c>
      <c r="P246" s="1654" t="s">
        <v>2788</v>
      </c>
      <c r="Q246" s="1655" t="s">
        <v>2789</v>
      </c>
      <c r="R246" s="428" t="s">
        <v>2790</v>
      </c>
      <c r="S246" s="426" t="s">
        <v>2791</v>
      </c>
      <c r="T246" s="428" t="s">
        <v>2792</v>
      </c>
      <c r="U246" s="426" t="s">
        <v>2793</v>
      </c>
      <c r="V246" s="428" t="s">
        <v>2794</v>
      </c>
      <c r="W246" s="674" t="s">
        <v>2795</v>
      </c>
      <c r="X246" s="689" t="s">
        <v>2796</v>
      </c>
      <c r="Y246" s="677" t="s">
        <v>2797</v>
      </c>
      <c r="Z246" s="1647" t="s">
        <v>2798</v>
      </c>
      <c r="AA246" s="1647" t="s">
        <v>2799</v>
      </c>
      <c r="AB246" s="677" t="s">
        <v>2800</v>
      </c>
      <c r="AC246" s="677" t="s">
        <v>2801</v>
      </c>
      <c r="AD246" s="677" t="s">
        <v>2817</v>
      </c>
      <c r="AE246" s="677" t="s">
        <v>2818</v>
      </c>
      <c r="AF246" s="677" t="s">
        <v>2819</v>
      </c>
      <c r="AG246" s="1079" t="e">
        <f t="shared" si="72"/>
        <v>#VALUE!</v>
      </c>
      <c r="AH246" s="1058"/>
      <c r="AI246" s="1058"/>
      <c r="AJ246" s="1058"/>
      <c r="AK246" s="1058"/>
      <c r="AL246" s="1058"/>
      <c r="AM246" s="1058"/>
      <c r="AN246" s="94"/>
      <c r="BW246" s="79"/>
      <c r="BX246" s="79"/>
      <c r="CB246" s="1031" t="e">
        <f t="shared" si="86"/>
        <v>#VALUE!</v>
      </c>
      <c r="CC246" s="1031" t="str">
        <f t="shared" si="74"/>
        <v xml:space="preserve">* La consulta pertinente según Protocolo de Referencia NO DEBE ser mayor al Total registrado. </v>
      </c>
      <c r="CD246" s="1031" t="str">
        <f t="shared" si="75"/>
        <v xml:space="preserve">* La consulta pertinente según condición clínica NO DEBE ser mayor al Total registrado. </v>
      </c>
      <c r="CE246" s="1031" t="str">
        <f t="shared" si="87"/>
        <v xml:space="preserve">* Las Embarazadas NO DEBEN ser mayor al total de Mujeres. </v>
      </c>
      <c r="CF246" s="1031" t="str">
        <f t="shared" si="77"/>
        <v xml:space="preserve">* Los Usuarios en Situación de Discapacidad NO DEBEN ser mayor al total. </v>
      </c>
      <c r="CG246" s="1031" t="str">
        <f t="shared" si="78"/>
        <v xml:space="preserve">* Los Niños, Niñas, Adolescentes y Jóvenes Población SENAME NO DEBEN ser mayor al total. </v>
      </c>
      <c r="CH246" s="1031" t="str">
        <f t="shared" si="79"/>
        <v xml:space="preserve">* Los Migrantes NO DEBEN ser mayor al total. </v>
      </c>
      <c r="CI246" s="1163" t="e">
        <f t="shared" si="88"/>
        <v>#VALUE!</v>
      </c>
      <c r="CJ246" s="1163">
        <f t="shared" si="81"/>
        <v>1</v>
      </c>
      <c r="CK246" s="1163">
        <f t="shared" si="82"/>
        <v>1</v>
      </c>
      <c r="CL246" s="1163">
        <f t="shared" si="89"/>
        <v>1</v>
      </c>
      <c r="CM246" s="1163">
        <f t="shared" si="85"/>
        <v>1</v>
      </c>
      <c r="CN246" s="1163">
        <f t="shared" si="85"/>
        <v>1</v>
      </c>
      <c r="CO246" s="1163">
        <f t="shared" si="85"/>
        <v>1</v>
      </c>
    </row>
    <row r="247" spans="1:93" ht="16.350000000000001" customHeight="1" x14ac:dyDescent="0.2">
      <c r="A247" s="3009" t="s">
        <v>3666</v>
      </c>
      <c r="B247" s="5103"/>
      <c r="C247" s="5983" t="s">
        <v>1122</v>
      </c>
      <c r="D247" s="5983"/>
      <c r="E247" s="3070" t="s">
        <v>2777</v>
      </c>
      <c r="F247" s="4193" t="s">
        <v>2778</v>
      </c>
      <c r="G247" s="4194" t="s">
        <v>2779</v>
      </c>
      <c r="H247" s="531" t="s">
        <v>2780</v>
      </c>
      <c r="I247" s="686" t="s">
        <v>2781</v>
      </c>
      <c r="J247" s="683" t="s">
        <v>2782</v>
      </c>
      <c r="K247" s="686" t="s">
        <v>2783</v>
      </c>
      <c r="L247" s="683" t="s">
        <v>2784</v>
      </c>
      <c r="M247" s="686" t="s">
        <v>2785</v>
      </c>
      <c r="N247" s="1654" t="s">
        <v>2786</v>
      </c>
      <c r="O247" s="1655" t="s">
        <v>2787</v>
      </c>
      <c r="P247" s="1654" t="s">
        <v>2788</v>
      </c>
      <c r="Q247" s="1655" t="s">
        <v>2789</v>
      </c>
      <c r="R247" s="428" t="s">
        <v>2790</v>
      </c>
      <c r="S247" s="426" t="s">
        <v>2791</v>
      </c>
      <c r="T247" s="428" t="s">
        <v>2792</v>
      </c>
      <c r="U247" s="426" t="s">
        <v>2793</v>
      </c>
      <c r="V247" s="428" t="s">
        <v>2794</v>
      </c>
      <c r="W247" s="674" t="s">
        <v>2795</v>
      </c>
      <c r="X247" s="689" t="s">
        <v>2796</v>
      </c>
      <c r="Y247" s="677" t="s">
        <v>2797</v>
      </c>
      <c r="Z247" s="1647" t="s">
        <v>2798</v>
      </c>
      <c r="AA247" s="1647" t="s">
        <v>2799</v>
      </c>
      <c r="AB247" s="677" t="s">
        <v>2800</v>
      </c>
      <c r="AC247" s="677" t="s">
        <v>2801</v>
      </c>
      <c r="AD247" s="677" t="s">
        <v>2817</v>
      </c>
      <c r="AE247" s="677" t="s">
        <v>2818</v>
      </c>
      <c r="AF247" s="677" t="s">
        <v>2819</v>
      </c>
      <c r="AG247" s="1079" t="e">
        <f t="shared" si="72"/>
        <v>#VALUE!</v>
      </c>
      <c r="AH247" s="1058"/>
      <c r="AI247" s="1058"/>
      <c r="AJ247" s="1058"/>
      <c r="AK247" s="1058"/>
      <c r="AL247" s="1058"/>
      <c r="AM247" s="1058"/>
      <c r="AN247" s="94"/>
      <c r="BW247" s="79"/>
      <c r="BX247" s="79"/>
      <c r="CB247" s="1031" t="e">
        <f t="shared" si="86"/>
        <v>#VALUE!</v>
      </c>
      <c r="CC247" s="1031" t="str">
        <f t="shared" si="74"/>
        <v xml:space="preserve">* La consulta pertinente según Protocolo de Referencia NO DEBE ser mayor al Total registrado. </v>
      </c>
      <c r="CD247" s="1031" t="str">
        <f t="shared" si="75"/>
        <v xml:space="preserve">* La consulta pertinente según condición clínica NO DEBE ser mayor al Total registrado. </v>
      </c>
      <c r="CE247" s="1031" t="str">
        <f t="shared" si="87"/>
        <v xml:space="preserve">* Las Embarazadas NO DEBEN ser mayor al total de Mujeres. </v>
      </c>
      <c r="CF247" s="1031" t="str">
        <f t="shared" si="77"/>
        <v xml:space="preserve">* Los Usuarios en Situación de Discapacidad NO DEBEN ser mayor al total. </v>
      </c>
      <c r="CG247" s="1031" t="str">
        <f t="shared" si="78"/>
        <v xml:space="preserve">* Los Niños, Niñas, Adolescentes y Jóvenes Población SENAME NO DEBEN ser mayor al total. </v>
      </c>
      <c r="CH247" s="1031" t="str">
        <f t="shared" si="79"/>
        <v xml:space="preserve">* Los Migrantes NO DEBEN ser mayor al total. </v>
      </c>
      <c r="CI247" s="1163" t="e">
        <f t="shared" si="88"/>
        <v>#VALUE!</v>
      </c>
      <c r="CJ247" s="1163">
        <f t="shared" si="81"/>
        <v>1</v>
      </c>
      <c r="CK247" s="1163">
        <f t="shared" si="82"/>
        <v>1</v>
      </c>
      <c r="CL247" s="1163">
        <f t="shared" si="89"/>
        <v>1</v>
      </c>
      <c r="CM247" s="1163">
        <f t="shared" si="85"/>
        <v>1</v>
      </c>
      <c r="CN247" s="1163">
        <f t="shared" si="85"/>
        <v>1</v>
      </c>
      <c r="CO247" s="1163">
        <f t="shared" si="85"/>
        <v>1</v>
      </c>
    </row>
    <row r="248" spans="1:93" ht="16.350000000000001" customHeight="1" x14ac:dyDescent="0.2">
      <c r="A248" s="3009" t="s">
        <v>3667</v>
      </c>
      <c r="B248" s="5103"/>
      <c r="C248" s="5996" t="s">
        <v>1123</v>
      </c>
      <c r="D248" s="5996"/>
      <c r="E248" s="3070" t="s">
        <v>2777</v>
      </c>
      <c r="F248" s="4193" t="s">
        <v>2778</v>
      </c>
      <c r="G248" s="4194" t="s">
        <v>2779</v>
      </c>
      <c r="H248" s="2413" t="s">
        <v>2780</v>
      </c>
      <c r="I248" s="1644" t="s">
        <v>2781</v>
      </c>
      <c r="J248" s="1643" t="s">
        <v>2782</v>
      </c>
      <c r="K248" s="1644" t="s">
        <v>2783</v>
      </c>
      <c r="L248" s="1643" t="s">
        <v>2784</v>
      </c>
      <c r="M248" s="1644" t="s">
        <v>2785</v>
      </c>
      <c r="N248" s="2414" t="s">
        <v>2786</v>
      </c>
      <c r="O248" s="1655" t="s">
        <v>2787</v>
      </c>
      <c r="P248" s="2414" t="s">
        <v>2788</v>
      </c>
      <c r="Q248" s="1655" t="s">
        <v>2789</v>
      </c>
      <c r="R248" s="684" t="s">
        <v>2790</v>
      </c>
      <c r="S248" s="687" t="s">
        <v>2791</v>
      </c>
      <c r="T248" s="684" t="s">
        <v>2792</v>
      </c>
      <c r="U248" s="687" t="s">
        <v>2793</v>
      </c>
      <c r="V248" s="684" t="s">
        <v>2794</v>
      </c>
      <c r="W248" s="676" t="s">
        <v>2795</v>
      </c>
      <c r="X248" s="690" t="s">
        <v>2796</v>
      </c>
      <c r="Y248" s="678" t="s">
        <v>2797</v>
      </c>
      <c r="Z248" s="1650" t="s">
        <v>2798</v>
      </c>
      <c r="AA248" s="1650" t="s">
        <v>2799</v>
      </c>
      <c r="AB248" s="678" t="s">
        <v>2800</v>
      </c>
      <c r="AC248" s="678" t="s">
        <v>2801</v>
      </c>
      <c r="AD248" s="678" t="s">
        <v>2817</v>
      </c>
      <c r="AE248" s="678" t="s">
        <v>2818</v>
      </c>
      <c r="AF248" s="678" t="s">
        <v>2819</v>
      </c>
      <c r="AG248" s="1079" t="e">
        <f t="shared" si="72"/>
        <v>#VALUE!</v>
      </c>
      <c r="AH248" s="1058"/>
      <c r="AI248" s="1058"/>
      <c r="AJ248" s="1058"/>
      <c r="AK248" s="1058"/>
      <c r="AL248" s="1058"/>
      <c r="AM248" s="1058"/>
      <c r="AN248" s="94"/>
      <c r="BW248" s="79"/>
      <c r="BX248" s="79"/>
      <c r="CB248" s="1031" t="e">
        <f t="shared" si="86"/>
        <v>#VALUE!</v>
      </c>
      <c r="CC248" s="1031" t="str">
        <f t="shared" si="74"/>
        <v xml:space="preserve">* La consulta pertinente según Protocolo de Referencia NO DEBE ser mayor al Total registrado. </v>
      </c>
      <c r="CD248" s="1031" t="str">
        <f t="shared" si="75"/>
        <v xml:space="preserve">* La consulta pertinente según condición clínica NO DEBE ser mayor al Total registrado. </v>
      </c>
      <c r="CE248" s="1031" t="str">
        <f t="shared" si="87"/>
        <v xml:space="preserve">* Las Embarazadas NO DEBEN ser mayor al total de Mujeres. </v>
      </c>
      <c r="CF248" s="1031" t="str">
        <f t="shared" si="77"/>
        <v xml:space="preserve">* Los Usuarios en Situación de Discapacidad NO DEBEN ser mayor al total. </v>
      </c>
      <c r="CG248" s="1031" t="str">
        <f t="shared" si="78"/>
        <v xml:space="preserve">* Los Niños, Niñas, Adolescentes y Jóvenes Población SENAME NO DEBEN ser mayor al total. </v>
      </c>
      <c r="CH248" s="1031" t="str">
        <f t="shared" si="79"/>
        <v xml:space="preserve">* Los Migrantes NO DEBEN ser mayor al total. </v>
      </c>
      <c r="CI248" s="1163" t="e">
        <f t="shared" si="88"/>
        <v>#VALUE!</v>
      </c>
      <c r="CJ248" s="1163">
        <f t="shared" si="81"/>
        <v>1</v>
      </c>
      <c r="CK248" s="1163">
        <f t="shared" si="82"/>
        <v>1</v>
      </c>
      <c r="CL248" s="1163">
        <f t="shared" si="89"/>
        <v>1</v>
      </c>
      <c r="CM248" s="1163">
        <f t="shared" si="85"/>
        <v>1</v>
      </c>
      <c r="CN248" s="1163">
        <f t="shared" si="85"/>
        <v>1</v>
      </c>
      <c r="CO248" s="1163">
        <f t="shared" si="85"/>
        <v>1</v>
      </c>
    </row>
    <row r="249" spans="1:93" ht="16.350000000000001" customHeight="1" x14ac:dyDescent="0.2">
      <c r="A249" s="4631" t="s">
        <v>3908</v>
      </c>
      <c r="B249" s="5343"/>
      <c r="C249" s="5986" t="s">
        <v>2014</v>
      </c>
      <c r="D249" s="5986"/>
      <c r="E249" s="3084" t="s">
        <v>2777</v>
      </c>
      <c r="F249" s="4195" t="s">
        <v>2778</v>
      </c>
      <c r="G249" s="4196" t="s">
        <v>2779</v>
      </c>
      <c r="H249" s="4981" t="s">
        <v>2780</v>
      </c>
      <c r="I249" s="4982" t="s">
        <v>2781</v>
      </c>
      <c r="J249" s="4983" t="s">
        <v>2782</v>
      </c>
      <c r="K249" s="4982" t="s">
        <v>2783</v>
      </c>
      <c r="L249" s="4983" t="s">
        <v>2784</v>
      </c>
      <c r="M249" s="4982" t="s">
        <v>2785</v>
      </c>
      <c r="N249" s="4981" t="s">
        <v>2786</v>
      </c>
      <c r="O249" s="4982" t="s">
        <v>2787</v>
      </c>
      <c r="P249" s="4981" t="s">
        <v>2788</v>
      </c>
      <c r="Q249" s="4982" t="s">
        <v>2789</v>
      </c>
      <c r="R249" s="682" t="s">
        <v>2790</v>
      </c>
      <c r="S249" s="588" t="s">
        <v>2791</v>
      </c>
      <c r="T249" s="682" t="s">
        <v>2792</v>
      </c>
      <c r="U249" s="588" t="s">
        <v>2793</v>
      </c>
      <c r="V249" s="682" t="s">
        <v>2794</v>
      </c>
      <c r="W249" s="675" t="s">
        <v>2795</v>
      </c>
      <c r="X249" s="690" t="s">
        <v>2796</v>
      </c>
      <c r="Y249" s="678" t="s">
        <v>2797</v>
      </c>
      <c r="Z249" s="1650" t="s">
        <v>2798</v>
      </c>
      <c r="AA249" s="1650" t="s">
        <v>2799</v>
      </c>
      <c r="AB249" s="678" t="s">
        <v>2800</v>
      </c>
      <c r="AC249" s="678" t="s">
        <v>2801</v>
      </c>
      <c r="AD249" s="678" t="s">
        <v>2817</v>
      </c>
      <c r="AE249" s="678" t="s">
        <v>2818</v>
      </c>
      <c r="AF249" s="678" t="s">
        <v>2819</v>
      </c>
      <c r="AG249" s="1079" t="e">
        <f t="shared" si="72"/>
        <v>#VALUE!</v>
      </c>
      <c r="AH249" s="1058"/>
      <c r="AI249" s="1058"/>
      <c r="AJ249" s="1058"/>
      <c r="AK249" s="1058"/>
      <c r="AL249" s="1058"/>
      <c r="AM249" s="1058"/>
      <c r="AN249" s="94"/>
      <c r="BW249" s="79"/>
      <c r="BX249" s="79"/>
      <c r="CB249" s="1031" t="e">
        <f t="shared" si="86"/>
        <v>#VALUE!</v>
      </c>
      <c r="CC249" s="1031" t="str">
        <f t="shared" si="74"/>
        <v xml:space="preserve">* La consulta pertinente según Protocolo de Referencia NO DEBE ser mayor al Total registrado. </v>
      </c>
      <c r="CD249" s="1031" t="str">
        <f t="shared" si="75"/>
        <v xml:space="preserve">* La consulta pertinente según condición clínica NO DEBE ser mayor al Total registrado. </v>
      </c>
      <c r="CE249" s="1031" t="str">
        <f t="shared" si="87"/>
        <v xml:space="preserve">* Las Embarazadas NO DEBEN ser mayor al total de Mujeres. </v>
      </c>
      <c r="CF249" s="1031" t="str">
        <f t="shared" si="77"/>
        <v xml:space="preserve">* Los Usuarios en Situación de Discapacidad NO DEBEN ser mayor al total. </v>
      </c>
      <c r="CG249" s="1031" t="str">
        <f t="shared" si="78"/>
        <v xml:space="preserve">* Los Niños, Niñas, Adolescentes y Jóvenes Población SENAME NO DEBEN ser mayor al total. </v>
      </c>
      <c r="CH249" s="1031" t="str">
        <f t="shared" si="79"/>
        <v xml:space="preserve">* Los Migrantes NO DEBEN ser mayor al total. </v>
      </c>
      <c r="CI249" s="1163" t="e">
        <f t="shared" si="88"/>
        <v>#VALUE!</v>
      </c>
      <c r="CJ249" s="1163">
        <f t="shared" si="81"/>
        <v>1</v>
      </c>
      <c r="CK249" s="1163">
        <f t="shared" si="82"/>
        <v>1</v>
      </c>
      <c r="CL249" s="1163">
        <f t="shared" si="89"/>
        <v>1</v>
      </c>
      <c r="CM249" s="1163">
        <f t="shared" si="85"/>
        <v>1</v>
      </c>
      <c r="CN249" s="1163">
        <f t="shared" si="85"/>
        <v>1</v>
      </c>
      <c r="CO249" s="1163">
        <f t="shared" si="85"/>
        <v>1</v>
      </c>
    </row>
    <row r="250" spans="1:93" ht="16.350000000000001" customHeight="1" x14ac:dyDescent="0.2">
      <c r="A250" s="4631" t="s">
        <v>3909</v>
      </c>
      <c r="B250" s="5989" t="s">
        <v>1128</v>
      </c>
      <c r="C250" s="5980" t="s">
        <v>2012</v>
      </c>
      <c r="D250" s="5981"/>
      <c r="E250" s="4170" t="s">
        <v>2777</v>
      </c>
      <c r="F250" s="4984" t="s">
        <v>2778</v>
      </c>
      <c r="G250" s="4985" t="s">
        <v>2779</v>
      </c>
      <c r="H250" s="4986" t="s">
        <v>2780</v>
      </c>
      <c r="I250" s="4987" t="s">
        <v>2781</v>
      </c>
      <c r="J250" s="4988" t="s">
        <v>2782</v>
      </c>
      <c r="K250" s="4987" t="s">
        <v>2783</v>
      </c>
      <c r="L250" s="4988" t="s">
        <v>2784</v>
      </c>
      <c r="M250" s="4987" t="s">
        <v>2785</v>
      </c>
      <c r="N250" s="4979" t="s">
        <v>2786</v>
      </c>
      <c r="O250" s="4980" t="s">
        <v>2787</v>
      </c>
      <c r="P250" s="4979" t="s">
        <v>2788</v>
      </c>
      <c r="Q250" s="4980" t="s">
        <v>2789</v>
      </c>
      <c r="R250" s="4965" t="s">
        <v>2790</v>
      </c>
      <c r="S250" s="4964" t="s">
        <v>2791</v>
      </c>
      <c r="T250" s="4965" t="s">
        <v>2792</v>
      </c>
      <c r="U250" s="4964" t="s">
        <v>2793</v>
      </c>
      <c r="V250" s="4965" t="s">
        <v>2794</v>
      </c>
      <c r="W250" s="4966" t="s">
        <v>2795</v>
      </c>
      <c r="X250" s="4967" t="s">
        <v>2796</v>
      </c>
      <c r="Y250" s="2410" t="s">
        <v>2797</v>
      </c>
      <c r="Z250" s="2410" t="s">
        <v>2798</v>
      </c>
      <c r="AA250" s="2410" t="s">
        <v>2799</v>
      </c>
      <c r="AB250" s="2410" t="s">
        <v>2800</v>
      </c>
      <c r="AC250" s="2410" t="s">
        <v>2801</v>
      </c>
      <c r="AD250" s="2410" t="s">
        <v>2817</v>
      </c>
      <c r="AE250" s="2410" t="s">
        <v>2818</v>
      </c>
      <c r="AF250" s="2410" t="s">
        <v>2819</v>
      </c>
      <c r="AG250" s="1079" t="e">
        <f t="shared" si="72"/>
        <v>#VALUE!</v>
      </c>
      <c r="AH250" s="1058"/>
      <c r="AI250" s="1058"/>
      <c r="AJ250" s="1058"/>
      <c r="AK250" s="1058"/>
      <c r="AL250" s="1058"/>
      <c r="AM250" s="1058"/>
      <c r="AN250" s="94"/>
      <c r="BW250" s="79"/>
      <c r="BX250" s="79"/>
      <c r="CB250" s="1031" t="e">
        <f t="shared" si="86"/>
        <v>#VALUE!</v>
      </c>
      <c r="CC250" s="1031" t="str">
        <f t="shared" si="74"/>
        <v xml:space="preserve">* La consulta pertinente según Protocolo de Referencia NO DEBE ser mayor al Total registrado. </v>
      </c>
      <c r="CD250" s="1031" t="str">
        <f t="shared" si="75"/>
        <v xml:space="preserve">* La consulta pertinente según condición clínica NO DEBE ser mayor al Total registrado. </v>
      </c>
      <c r="CE250" s="1031" t="str">
        <f t="shared" si="87"/>
        <v xml:space="preserve">* Las Embarazadas NO DEBEN ser mayor al total de Mujeres. </v>
      </c>
      <c r="CF250" s="1031" t="str">
        <f t="shared" si="77"/>
        <v xml:space="preserve">* Los Usuarios en Situación de Discapacidad NO DEBEN ser mayor al total. </v>
      </c>
      <c r="CG250" s="1031" t="str">
        <f t="shared" si="78"/>
        <v xml:space="preserve">* Los Niños, Niñas, Adolescentes y Jóvenes Población SENAME NO DEBEN ser mayor al total. </v>
      </c>
      <c r="CH250" s="1031" t="str">
        <f t="shared" si="79"/>
        <v xml:space="preserve">* Los Migrantes NO DEBEN ser mayor al total. </v>
      </c>
      <c r="CI250" s="1163" t="e">
        <f t="shared" si="88"/>
        <v>#VALUE!</v>
      </c>
      <c r="CJ250" s="1163">
        <f t="shared" si="81"/>
        <v>1</v>
      </c>
      <c r="CK250" s="1163">
        <f t="shared" si="82"/>
        <v>1</v>
      </c>
      <c r="CL250" s="1163">
        <f t="shared" si="89"/>
        <v>1</v>
      </c>
      <c r="CM250" s="1163">
        <f t="shared" si="85"/>
        <v>1</v>
      </c>
      <c r="CN250" s="1163">
        <f t="shared" si="85"/>
        <v>1</v>
      </c>
      <c r="CO250" s="1163">
        <f t="shared" si="85"/>
        <v>1</v>
      </c>
    </row>
    <row r="251" spans="1:93" ht="16.350000000000001" customHeight="1" x14ac:dyDescent="0.2">
      <c r="A251" s="4631" t="s">
        <v>3910</v>
      </c>
      <c r="B251" s="5103"/>
      <c r="C251" s="5982" t="s">
        <v>2013</v>
      </c>
      <c r="D251" s="5982"/>
      <c r="E251" s="3070" t="s">
        <v>2777</v>
      </c>
      <c r="F251" s="4193" t="s">
        <v>2778</v>
      </c>
      <c r="G251" s="4194" t="s">
        <v>2779</v>
      </c>
      <c r="H251" s="531" t="s">
        <v>2780</v>
      </c>
      <c r="I251" s="686" t="s">
        <v>2781</v>
      </c>
      <c r="J251" s="683" t="s">
        <v>2782</v>
      </c>
      <c r="K251" s="686" t="s">
        <v>2783</v>
      </c>
      <c r="L251" s="683" t="s">
        <v>2784</v>
      </c>
      <c r="M251" s="686" t="s">
        <v>2785</v>
      </c>
      <c r="N251" s="1654" t="s">
        <v>2786</v>
      </c>
      <c r="O251" s="1655" t="s">
        <v>2787</v>
      </c>
      <c r="P251" s="1654" t="s">
        <v>2788</v>
      </c>
      <c r="Q251" s="1655" t="s">
        <v>2789</v>
      </c>
      <c r="R251" s="428" t="s">
        <v>2790</v>
      </c>
      <c r="S251" s="426" t="s">
        <v>2791</v>
      </c>
      <c r="T251" s="428" t="s">
        <v>2792</v>
      </c>
      <c r="U251" s="426" t="s">
        <v>2793</v>
      </c>
      <c r="V251" s="428" t="s">
        <v>2794</v>
      </c>
      <c r="W251" s="674" t="s">
        <v>2795</v>
      </c>
      <c r="X251" s="689" t="s">
        <v>2796</v>
      </c>
      <c r="Y251" s="677" t="s">
        <v>2797</v>
      </c>
      <c r="Z251" s="1647" t="s">
        <v>2798</v>
      </c>
      <c r="AA251" s="1647" t="s">
        <v>2799</v>
      </c>
      <c r="AB251" s="677" t="s">
        <v>2800</v>
      </c>
      <c r="AC251" s="677" t="s">
        <v>2801</v>
      </c>
      <c r="AD251" s="677" t="s">
        <v>2817</v>
      </c>
      <c r="AE251" s="677" t="s">
        <v>2818</v>
      </c>
      <c r="AF251" s="677" t="s">
        <v>2819</v>
      </c>
      <c r="AG251" s="1079" t="e">
        <f t="shared" si="72"/>
        <v>#VALUE!</v>
      </c>
      <c r="AH251" s="1058"/>
      <c r="AI251" s="1058"/>
      <c r="AJ251" s="1058"/>
      <c r="AK251" s="1058"/>
      <c r="AL251" s="1058"/>
      <c r="AM251" s="1058"/>
      <c r="AN251" s="94"/>
      <c r="BW251" s="79"/>
      <c r="BX251" s="79"/>
      <c r="CB251" s="1031" t="e">
        <f t="shared" si="86"/>
        <v>#VALUE!</v>
      </c>
      <c r="CC251" s="1031" t="str">
        <f t="shared" si="74"/>
        <v xml:space="preserve">* La consulta pertinente según Protocolo de Referencia NO DEBE ser mayor al Total registrado. </v>
      </c>
      <c r="CD251" s="1031" t="str">
        <f t="shared" si="75"/>
        <v xml:space="preserve">* La consulta pertinente según condición clínica NO DEBE ser mayor al Total registrado. </v>
      </c>
      <c r="CE251" s="1031" t="str">
        <f t="shared" si="87"/>
        <v xml:space="preserve">* Las Embarazadas NO DEBEN ser mayor al total de Mujeres. </v>
      </c>
      <c r="CF251" s="1031" t="str">
        <f t="shared" si="77"/>
        <v xml:space="preserve">* Los Usuarios en Situación de Discapacidad NO DEBEN ser mayor al total. </v>
      </c>
      <c r="CG251" s="1031" t="str">
        <f t="shared" si="78"/>
        <v xml:space="preserve">* Los Niños, Niñas, Adolescentes y Jóvenes Población SENAME NO DEBEN ser mayor al total. </v>
      </c>
      <c r="CH251" s="1031" t="str">
        <f t="shared" si="79"/>
        <v xml:space="preserve">* Los Migrantes NO DEBEN ser mayor al total. </v>
      </c>
      <c r="CI251" s="1163" t="e">
        <f t="shared" si="88"/>
        <v>#VALUE!</v>
      </c>
      <c r="CJ251" s="1163">
        <f t="shared" si="81"/>
        <v>1</v>
      </c>
      <c r="CK251" s="1163">
        <f t="shared" si="82"/>
        <v>1</v>
      </c>
      <c r="CL251" s="1163">
        <f t="shared" si="89"/>
        <v>1</v>
      </c>
      <c r="CM251" s="1163">
        <f t="shared" si="85"/>
        <v>1</v>
      </c>
      <c r="CN251" s="1163">
        <f t="shared" si="85"/>
        <v>1</v>
      </c>
      <c r="CO251" s="1163">
        <f t="shared" si="85"/>
        <v>1</v>
      </c>
    </row>
    <row r="252" spans="1:93" ht="16.350000000000001" customHeight="1" x14ac:dyDescent="0.2">
      <c r="A252" s="3009" t="s">
        <v>3668</v>
      </c>
      <c r="B252" s="5103"/>
      <c r="C252" s="5983" t="s">
        <v>1122</v>
      </c>
      <c r="D252" s="5983"/>
      <c r="E252" s="3070" t="s">
        <v>2777</v>
      </c>
      <c r="F252" s="4193" t="s">
        <v>2778</v>
      </c>
      <c r="G252" s="4194" t="s">
        <v>2779</v>
      </c>
      <c r="H252" s="531" t="s">
        <v>2780</v>
      </c>
      <c r="I252" s="686" t="s">
        <v>2781</v>
      </c>
      <c r="J252" s="683" t="s">
        <v>2782</v>
      </c>
      <c r="K252" s="686" t="s">
        <v>2783</v>
      </c>
      <c r="L252" s="683" t="s">
        <v>2784</v>
      </c>
      <c r="M252" s="686" t="s">
        <v>2785</v>
      </c>
      <c r="N252" s="1654" t="s">
        <v>2786</v>
      </c>
      <c r="O252" s="1655" t="s">
        <v>2787</v>
      </c>
      <c r="P252" s="1654" t="s">
        <v>2788</v>
      </c>
      <c r="Q252" s="1655" t="s">
        <v>2789</v>
      </c>
      <c r="R252" s="428" t="s">
        <v>2790</v>
      </c>
      <c r="S252" s="426" t="s">
        <v>2791</v>
      </c>
      <c r="T252" s="428" t="s">
        <v>2792</v>
      </c>
      <c r="U252" s="426" t="s">
        <v>2793</v>
      </c>
      <c r="V252" s="428" t="s">
        <v>2794</v>
      </c>
      <c r="W252" s="674" t="s">
        <v>2795</v>
      </c>
      <c r="X252" s="689" t="s">
        <v>2796</v>
      </c>
      <c r="Y252" s="677" t="s">
        <v>2797</v>
      </c>
      <c r="Z252" s="1647" t="s">
        <v>2798</v>
      </c>
      <c r="AA252" s="1647" t="s">
        <v>2799</v>
      </c>
      <c r="AB252" s="677" t="s">
        <v>2800</v>
      </c>
      <c r="AC252" s="677" t="s">
        <v>2801</v>
      </c>
      <c r="AD252" s="677" t="s">
        <v>2817</v>
      </c>
      <c r="AE252" s="677" t="s">
        <v>2818</v>
      </c>
      <c r="AF252" s="677" t="s">
        <v>2819</v>
      </c>
      <c r="AG252" s="1079" t="e">
        <f t="shared" si="72"/>
        <v>#VALUE!</v>
      </c>
      <c r="AH252" s="1058"/>
      <c r="AI252" s="1058"/>
      <c r="AJ252" s="1058"/>
      <c r="AK252" s="1058"/>
      <c r="AL252" s="1058"/>
      <c r="AM252" s="1058"/>
      <c r="AN252" s="94"/>
      <c r="BW252" s="79"/>
      <c r="BX252" s="79"/>
      <c r="CB252" s="1031" t="e">
        <f t="shared" si="86"/>
        <v>#VALUE!</v>
      </c>
      <c r="CC252" s="1031" t="str">
        <f t="shared" si="74"/>
        <v xml:space="preserve">* La consulta pertinente según Protocolo de Referencia NO DEBE ser mayor al Total registrado. </v>
      </c>
      <c r="CD252" s="1031" t="str">
        <f t="shared" si="75"/>
        <v xml:space="preserve">* La consulta pertinente según condición clínica NO DEBE ser mayor al Total registrado. </v>
      </c>
      <c r="CE252" s="1031" t="str">
        <f t="shared" si="87"/>
        <v xml:space="preserve">* Las Embarazadas NO DEBEN ser mayor al total de Mujeres. </v>
      </c>
      <c r="CF252" s="1031" t="str">
        <f t="shared" si="77"/>
        <v xml:space="preserve">* Los Usuarios en Situación de Discapacidad NO DEBEN ser mayor al total. </v>
      </c>
      <c r="CG252" s="1031" t="str">
        <f t="shared" si="78"/>
        <v xml:space="preserve">* Los Niños, Niñas, Adolescentes y Jóvenes Población SENAME NO DEBEN ser mayor al total. </v>
      </c>
      <c r="CH252" s="1031" t="str">
        <f t="shared" si="79"/>
        <v xml:space="preserve">* Los Migrantes NO DEBEN ser mayor al total. </v>
      </c>
      <c r="CI252" s="1163" t="e">
        <f t="shared" si="88"/>
        <v>#VALUE!</v>
      </c>
      <c r="CJ252" s="1163">
        <f t="shared" si="81"/>
        <v>1</v>
      </c>
      <c r="CK252" s="1163">
        <f t="shared" si="82"/>
        <v>1</v>
      </c>
      <c r="CL252" s="1163">
        <f t="shared" si="89"/>
        <v>1</v>
      </c>
      <c r="CM252" s="1163">
        <f t="shared" si="85"/>
        <v>1</v>
      </c>
      <c r="CN252" s="1163">
        <f t="shared" si="85"/>
        <v>1</v>
      </c>
      <c r="CO252" s="1163">
        <f t="shared" si="85"/>
        <v>1</v>
      </c>
    </row>
    <row r="253" spans="1:93" ht="16.350000000000001" customHeight="1" x14ac:dyDescent="0.2">
      <c r="A253" s="3009" t="s">
        <v>3669</v>
      </c>
      <c r="B253" s="5103"/>
      <c r="C253" s="5996" t="s">
        <v>1123</v>
      </c>
      <c r="D253" s="5996"/>
      <c r="E253" s="3070" t="s">
        <v>2777</v>
      </c>
      <c r="F253" s="4193" t="s">
        <v>2778</v>
      </c>
      <c r="G253" s="4194" t="s">
        <v>2779</v>
      </c>
      <c r="H253" s="2413" t="s">
        <v>2780</v>
      </c>
      <c r="I253" s="1644" t="s">
        <v>2781</v>
      </c>
      <c r="J253" s="1643" t="s">
        <v>2782</v>
      </c>
      <c r="K253" s="1644" t="s">
        <v>2783</v>
      </c>
      <c r="L253" s="1643" t="s">
        <v>2784</v>
      </c>
      <c r="M253" s="1644" t="s">
        <v>2785</v>
      </c>
      <c r="N253" s="2414" t="s">
        <v>2786</v>
      </c>
      <c r="O253" s="1655" t="s">
        <v>2787</v>
      </c>
      <c r="P253" s="2414" t="s">
        <v>2788</v>
      </c>
      <c r="Q253" s="1655" t="s">
        <v>2789</v>
      </c>
      <c r="R253" s="684" t="s">
        <v>2790</v>
      </c>
      <c r="S253" s="687" t="s">
        <v>2791</v>
      </c>
      <c r="T253" s="684" t="s">
        <v>2792</v>
      </c>
      <c r="U253" s="687" t="s">
        <v>2793</v>
      </c>
      <c r="V253" s="684" t="s">
        <v>2794</v>
      </c>
      <c r="W253" s="676" t="s">
        <v>2795</v>
      </c>
      <c r="X253" s="690" t="s">
        <v>2796</v>
      </c>
      <c r="Y253" s="678" t="s">
        <v>2797</v>
      </c>
      <c r="Z253" s="1650" t="s">
        <v>2798</v>
      </c>
      <c r="AA253" s="1650" t="s">
        <v>2799</v>
      </c>
      <c r="AB253" s="678" t="s">
        <v>2800</v>
      </c>
      <c r="AC253" s="678" t="s">
        <v>2801</v>
      </c>
      <c r="AD253" s="678" t="s">
        <v>2817</v>
      </c>
      <c r="AE253" s="678" t="s">
        <v>2818</v>
      </c>
      <c r="AF253" s="678" t="s">
        <v>2819</v>
      </c>
      <c r="AG253" s="1079" t="e">
        <f t="shared" si="72"/>
        <v>#VALUE!</v>
      </c>
      <c r="AH253" s="1058"/>
      <c r="AI253" s="1058"/>
      <c r="AJ253" s="1058"/>
      <c r="AK253" s="1058"/>
      <c r="AL253" s="1058"/>
      <c r="AM253" s="1058"/>
      <c r="AN253" s="94"/>
      <c r="BW253" s="79"/>
      <c r="BX253" s="79"/>
      <c r="CB253" s="1031" t="e">
        <f t="shared" si="86"/>
        <v>#VALUE!</v>
      </c>
      <c r="CC253" s="1031" t="str">
        <f t="shared" si="74"/>
        <v xml:space="preserve">* La consulta pertinente según Protocolo de Referencia NO DEBE ser mayor al Total registrado. </v>
      </c>
      <c r="CD253" s="1031" t="str">
        <f t="shared" si="75"/>
        <v xml:space="preserve">* La consulta pertinente según condición clínica NO DEBE ser mayor al Total registrado. </v>
      </c>
      <c r="CE253" s="1031" t="str">
        <f t="shared" si="87"/>
        <v xml:space="preserve">* Las Embarazadas NO DEBEN ser mayor al total de Mujeres. </v>
      </c>
      <c r="CF253" s="1031" t="str">
        <f t="shared" si="77"/>
        <v xml:space="preserve">* Los Usuarios en Situación de Discapacidad NO DEBEN ser mayor al total. </v>
      </c>
      <c r="CG253" s="1031" t="str">
        <f t="shared" si="78"/>
        <v xml:space="preserve">* Los Niños, Niñas, Adolescentes y Jóvenes Población SENAME NO DEBEN ser mayor al total. </v>
      </c>
      <c r="CH253" s="1031" t="str">
        <f t="shared" si="79"/>
        <v xml:space="preserve">* Los Migrantes NO DEBEN ser mayor al total. </v>
      </c>
      <c r="CI253" s="1163" t="e">
        <f t="shared" si="88"/>
        <v>#VALUE!</v>
      </c>
      <c r="CJ253" s="1163">
        <f t="shared" si="81"/>
        <v>1</v>
      </c>
      <c r="CK253" s="1163">
        <f t="shared" si="82"/>
        <v>1</v>
      </c>
      <c r="CL253" s="1163">
        <f t="shared" si="89"/>
        <v>1</v>
      </c>
      <c r="CM253" s="1163">
        <f t="shared" si="85"/>
        <v>1</v>
      </c>
      <c r="CN253" s="1163">
        <f t="shared" si="85"/>
        <v>1</v>
      </c>
      <c r="CO253" s="1163">
        <f t="shared" si="85"/>
        <v>1</v>
      </c>
    </row>
    <row r="254" spans="1:93" ht="16.350000000000001" customHeight="1" x14ac:dyDescent="0.2">
      <c r="A254" s="4631" t="s">
        <v>3911</v>
      </c>
      <c r="B254" s="5845"/>
      <c r="C254" s="5986" t="s">
        <v>2014</v>
      </c>
      <c r="D254" s="5986"/>
      <c r="E254" s="3084" t="s">
        <v>2777</v>
      </c>
      <c r="F254" s="4195" t="s">
        <v>2778</v>
      </c>
      <c r="G254" s="4196" t="s">
        <v>2779</v>
      </c>
      <c r="H254" s="4981" t="s">
        <v>2780</v>
      </c>
      <c r="I254" s="4982" t="s">
        <v>2781</v>
      </c>
      <c r="J254" s="4983" t="s">
        <v>2782</v>
      </c>
      <c r="K254" s="4982" t="s">
        <v>2783</v>
      </c>
      <c r="L254" s="4983" t="s">
        <v>2784</v>
      </c>
      <c r="M254" s="4982" t="s">
        <v>2785</v>
      </c>
      <c r="N254" s="4981" t="s">
        <v>2786</v>
      </c>
      <c r="O254" s="4982" t="s">
        <v>2787</v>
      </c>
      <c r="P254" s="4981" t="s">
        <v>2788</v>
      </c>
      <c r="Q254" s="4982" t="s">
        <v>2789</v>
      </c>
      <c r="R254" s="682" t="s">
        <v>2790</v>
      </c>
      <c r="S254" s="588" t="s">
        <v>2791</v>
      </c>
      <c r="T254" s="682" t="s">
        <v>2792</v>
      </c>
      <c r="U254" s="588" t="s">
        <v>2793</v>
      </c>
      <c r="V254" s="682" t="s">
        <v>2794</v>
      </c>
      <c r="W254" s="675" t="s">
        <v>2795</v>
      </c>
      <c r="X254" s="690" t="s">
        <v>2796</v>
      </c>
      <c r="Y254" s="678" t="s">
        <v>2797</v>
      </c>
      <c r="Z254" s="1650" t="s">
        <v>2798</v>
      </c>
      <c r="AA254" s="1650" t="s">
        <v>2799</v>
      </c>
      <c r="AB254" s="678" t="s">
        <v>2800</v>
      </c>
      <c r="AC254" s="678" t="s">
        <v>2801</v>
      </c>
      <c r="AD254" s="678" t="s">
        <v>2817</v>
      </c>
      <c r="AE254" s="678" t="s">
        <v>2818</v>
      </c>
      <c r="AF254" s="678" t="s">
        <v>2819</v>
      </c>
      <c r="AG254" s="1079" t="e">
        <f t="shared" si="72"/>
        <v>#VALUE!</v>
      </c>
      <c r="AH254" s="1058"/>
      <c r="AI254" s="1058"/>
      <c r="AJ254" s="1058"/>
      <c r="AK254" s="1058"/>
      <c r="AL254" s="1058"/>
      <c r="AM254" s="1058"/>
      <c r="AN254" s="94"/>
      <c r="BW254" s="79"/>
      <c r="BX254" s="79"/>
      <c r="CB254" s="1031" t="e">
        <f t="shared" si="86"/>
        <v>#VALUE!</v>
      </c>
      <c r="CC254" s="1031" t="str">
        <f t="shared" si="74"/>
        <v xml:space="preserve">* La consulta pertinente según Protocolo de Referencia NO DEBE ser mayor al Total registrado. </v>
      </c>
      <c r="CD254" s="1031" t="str">
        <f t="shared" si="75"/>
        <v xml:space="preserve">* La consulta pertinente según condición clínica NO DEBE ser mayor al Total registrado. </v>
      </c>
      <c r="CE254" s="1031" t="str">
        <f t="shared" si="87"/>
        <v xml:space="preserve">* Las Embarazadas NO DEBEN ser mayor al total de Mujeres. </v>
      </c>
      <c r="CF254" s="1031" t="str">
        <f t="shared" si="77"/>
        <v xml:space="preserve">* Los Usuarios en Situación de Discapacidad NO DEBEN ser mayor al total. </v>
      </c>
      <c r="CG254" s="1031" t="str">
        <f t="shared" si="78"/>
        <v xml:space="preserve">* Los Niños, Niñas, Adolescentes y Jóvenes Población SENAME NO DEBEN ser mayor al total. </v>
      </c>
      <c r="CH254" s="1031" t="str">
        <f t="shared" si="79"/>
        <v xml:space="preserve">* Los Migrantes NO DEBEN ser mayor al total. </v>
      </c>
      <c r="CI254" s="1163" t="e">
        <f t="shared" si="88"/>
        <v>#VALUE!</v>
      </c>
      <c r="CJ254" s="1163">
        <f t="shared" si="81"/>
        <v>1</v>
      </c>
      <c r="CK254" s="1163">
        <f t="shared" si="82"/>
        <v>1</v>
      </c>
      <c r="CL254" s="1163">
        <f t="shared" si="89"/>
        <v>1</v>
      </c>
      <c r="CM254" s="1163">
        <f t="shared" si="85"/>
        <v>1</v>
      </c>
      <c r="CN254" s="1163">
        <f t="shared" si="85"/>
        <v>1</v>
      </c>
      <c r="CO254" s="1163">
        <f t="shared" si="85"/>
        <v>1</v>
      </c>
    </row>
    <row r="255" spans="1:93" ht="16.350000000000001" customHeight="1" x14ac:dyDescent="0.2">
      <c r="A255" s="4631" t="s">
        <v>3912</v>
      </c>
      <c r="B255" s="5993" t="s">
        <v>2017</v>
      </c>
      <c r="C255" s="5980" t="s">
        <v>2012</v>
      </c>
      <c r="D255" s="5981"/>
      <c r="E255" s="4170" t="s">
        <v>2777</v>
      </c>
      <c r="F255" s="4984" t="s">
        <v>2778</v>
      </c>
      <c r="G255" s="4985" t="s">
        <v>2779</v>
      </c>
      <c r="H255" s="4989" t="s">
        <v>2780</v>
      </c>
      <c r="I255" s="4990" t="s">
        <v>2781</v>
      </c>
      <c r="J255" s="4991" t="s">
        <v>2782</v>
      </c>
      <c r="K255" s="4990" t="s">
        <v>2783</v>
      </c>
      <c r="L255" s="4991" t="s">
        <v>2784</v>
      </c>
      <c r="M255" s="4990" t="s">
        <v>2785</v>
      </c>
      <c r="N255" s="4979" t="s">
        <v>2786</v>
      </c>
      <c r="O255" s="4980" t="s">
        <v>2787</v>
      </c>
      <c r="P255" s="4979" t="s">
        <v>2788</v>
      </c>
      <c r="Q255" s="4980" t="s">
        <v>2789</v>
      </c>
      <c r="R255" s="4965" t="s">
        <v>2790</v>
      </c>
      <c r="S255" s="4964" t="s">
        <v>2791</v>
      </c>
      <c r="T255" s="4965" t="s">
        <v>2792</v>
      </c>
      <c r="U255" s="4964" t="s">
        <v>2793</v>
      </c>
      <c r="V255" s="4965" t="s">
        <v>2794</v>
      </c>
      <c r="W255" s="4966" t="s">
        <v>2795</v>
      </c>
      <c r="X255" s="4967" t="s">
        <v>2796</v>
      </c>
      <c r="Y255" s="2410" t="s">
        <v>2797</v>
      </c>
      <c r="Z255" s="2410" t="s">
        <v>2798</v>
      </c>
      <c r="AA255" s="2410" t="s">
        <v>2799</v>
      </c>
      <c r="AB255" s="2410" t="s">
        <v>2800</v>
      </c>
      <c r="AC255" s="2410" t="s">
        <v>2801</v>
      </c>
      <c r="AD255" s="2410" t="s">
        <v>2817</v>
      </c>
      <c r="AE255" s="2410" t="s">
        <v>2818</v>
      </c>
      <c r="AF255" s="2410" t="s">
        <v>2819</v>
      </c>
      <c r="AG255" s="1079" t="e">
        <f t="shared" si="72"/>
        <v>#VALUE!</v>
      </c>
      <c r="AH255" s="1058"/>
      <c r="AI255" s="1058"/>
      <c r="AJ255" s="1058"/>
      <c r="AK255" s="1058"/>
      <c r="AL255" s="1058"/>
      <c r="AM255" s="1058"/>
      <c r="AN255" s="94"/>
      <c r="BW255" s="79"/>
      <c r="BX255" s="79"/>
      <c r="CB255" s="1031" t="e">
        <f t="shared" si="86"/>
        <v>#VALUE!</v>
      </c>
      <c r="CC255" s="1031" t="str">
        <f t="shared" si="74"/>
        <v xml:space="preserve">* La consulta pertinente según Protocolo de Referencia NO DEBE ser mayor al Total registrado. </v>
      </c>
      <c r="CD255" s="1031" t="str">
        <f t="shared" si="75"/>
        <v xml:space="preserve">* La consulta pertinente según condición clínica NO DEBE ser mayor al Total registrado. </v>
      </c>
      <c r="CE255" s="1031" t="str">
        <f t="shared" si="87"/>
        <v xml:space="preserve">* Las Embarazadas NO DEBEN ser mayor al total de Mujeres. </v>
      </c>
      <c r="CF255" s="1031" t="str">
        <f t="shared" si="77"/>
        <v xml:space="preserve">* Los Usuarios en Situación de Discapacidad NO DEBEN ser mayor al total. </v>
      </c>
      <c r="CG255" s="1031" t="str">
        <f t="shared" si="78"/>
        <v xml:space="preserve">* Los Niños, Niñas, Adolescentes y Jóvenes Población SENAME NO DEBEN ser mayor al total. </v>
      </c>
      <c r="CH255" s="1031" t="str">
        <f t="shared" si="79"/>
        <v xml:space="preserve">* Los Migrantes NO DEBEN ser mayor al total. </v>
      </c>
      <c r="CI255" s="1163" t="e">
        <f t="shared" si="88"/>
        <v>#VALUE!</v>
      </c>
      <c r="CJ255" s="1163">
        <f t="shared" si="81"/>
        <v>1</v>
      </c>
      <c r="CK255" s="1163">
        <f t="shared" si="82"/>
        <v>1</v>
      </c>
      <c r="CL255" s="1163">
        <f t="shared" si="89"/>
        <v>1</v>
      </c>
      <c r="CM255" s="1163">
        <f t="shared" si="85"/>
        <v>1</v>
      </c>
      <c r="CN255" s="1163">
        <f t="shared" si="85"/>
        <v>1</v>
      </c>
      <c r="CO255" s="1163">
        <f t="shared" si="85"/>
        <v>1</v>
      </c>
    </row>
    <row r="256" spans="1:93" ht="16.350000000000001" customHeight="1" x14ac:dyDescent="0.2">
      <c r="A256" s="4631" t="s">
        <v>3913</v>
      </c>
      <c r="B256" s="5994"/>
      <c r="C256" s="5982" t="s">
        <v>2013</v>
      </c>
      <c r="D256" s="5982"/>
      <c r="E256" s="3070" t="s">
        <v>2777</v>
      </c>
      <c r="F256" s="4193" t="s">
        <v>2778</v>
      </c>
      <c r="G256" s="4194" t="s">
        <v>2779</v>
      </c>
      <c r="H256" s="1651" t="s">
        <v>2780</v>
      </c>
      <c r="I256" s="1652" t="s">
        <v>2781</v>
      </c>
      <c r="J256" s="1653" t="s">
        <v>2782</v>
      </c>
      <c r="K256" s="1652" t="s">
        <v>2783</v>
      </c>
      <c r="L256" s="1653" t="s">
        <v>2784</v>
      </c>
      <c r="M256" s="1652" t="s">
        <v>2785</v>
      </c>
      <c r="N256" s="1654" t="s">
        <v>2786</v>
      </c>
      <c r="O256" s="1655" t="s">
        <v>2787</v>
      </c>
      <c r="P256" s="1654" t="s">
        <v>2788</v>
      </c>
      <c r="Q256" s="1655" t="s">
        <v>2789</v>
      </c>
      <c r="R256" s="428" t="s">
        <v>2790</v>
      </c>
      <c r="S256" s="426" t="s">
        <v>2791</v>
      </c>
      <c r="T256" s="428" t="s">
        <v>2792</v>
      </c>
      <c r="U256" s="426" t="s">
        <v>2793</v>
      </c>
      <c r="V256" s="428" t="s">
        <v>2794</v>
      </c>
      <c r="W256" s="674" t="s">
        <v>2795</v>
      </c>
      <c r="X256" s="689" t="s">
        <v>2796</v>
      </c>
      <c r="Y256" s="677" t="s">
        <v>2797</v>
      </c>
      <c r="Z256" s="1647" t="s">
        <v>2798</v>
      </c>
      <c r="AA256" s="1647" t="s">
        <v>2799</v>
      </c>
      <c r="AB256" s="677" t="s">
        <v>2800</v>
      </c>
      <c r="AC256" s="677" t="s">
        <v>2801</v>
      </c>
      <c r="AD256" s="677" t="s">
        <v>2817</v>
      </c>
      <c r="AE256" s="677" t="s">
        <v>2818</v>
      </c>
      <c r="AF256" s="677" t="s">
        <v>2819</v>
      </c>
      <c r="AG256" s="1079" t="e">
        <f t="shared" si="72"/>
        <v>#VALUE!</v>
      </c>
      <c r="AH256" s="1058"/>
      <c r="AI256" s="1058"/>
      <c r="AJ256" s="1058"/>
      <c r="AK256" s="1058"/>
      <c r="AL256" s="1058"/>
      <c r="AM256" s="1058"/>
      <c r="AN256" s="94"/>
      <c r="BW256" s="79"/>
      <c r="BX256" s="79"/>
      <c r="CB256" s="1031" t="e">
        <f t="shared" si="86"/>
        <v>#VALUE!</v>
      </c>
      <c r="CC256" s="1031" t="str">
        <f t="shared" si="74"/>
        <v xml:space="preserve">* La consulta pertinente según Protocolo de Referencia NO DEBE ser mayor al Total registrado. </v>
      </c>
      <c r="CD256" s="1031" t="str">
        <f t="shared" si="75"/>
        <v xml:space="preserve">* La consulta pertinente según condición clínica NO DEBE ser mayor al Total registrado. </v>
      </c>
      <c r="CE256" s="1031" t="str">
        <f t="shared" si="87"/>
        <v xml:space="preserve">* Las Embarazadas NO DEBEN ser mayor al total de Mujeres. </v>
      </c>
      <c r="CF256" s="1031" t="str">
        <f t="shared" si="77"/>
        <v xml:space="preserve">* Los Usuarios en Situación de Discapacidad NO DEBEN ser mayor al total. </v>
      </c>
      <c r="CG256" s="1031" t="str">
        <f t="shared" si="78"/>
        <v xml:space="preserve">* Los Niños, Niñas, Adolescentes y Jóvenes Población SENAME NO DEBEN ser mayor al total. </v>
      </c>
      <c r="CH256" s="1031" t="str">
        <f t="shared" si="79"/>
        <v xml:space="preserve">* Los Migrantes NO DEBEN ser mayor al total. </v>
      </c>
      <c r="CI256" s="1163" t="e">
        <f t="shared" si="88"/>
        <v>#VALUE!</v>
      </c>
      <c r="CJ256" s="1163">
        <f t="shared" si="81"/>
        <v>1</v>
      </c>
      <c r="CK256" s="1163">
        <f t="shared" si="82"/>
        <v>1</v>
      </c>
      <c r="CL256" s="1163">
        <f t="shared" si="89"/>
        <v>1</v>
      </c>
      <c r="CM256" s="1163">
        <f t="shared" si="85"/>
        <v>1</v>
      </c>
      <c r="CN256" s="1163">
        <f t="shared" si="85"/>
        <v>1</v>
      </c>
      <c r="CO256" s="1163">
        <f t="shared" si="85"/>
        <v>1</v>
      </c>
    </row>
    <row r="257" spans="1:93" ht="16.350000000000001" customHeight="1" x14ac:dyDescent="0.2">
      <c r="A257" s="4631" t="s">
        <v>3914</v>
      </c>
      <c r="B257" s="5994"/>
      <c r="C257" s="5983" t="s">
        <v>1122</v>
      </c>
      <c r="D257" s="5983"/>
      <c r="E257" s="3070" t="s">
        <v>2777</v>
      </c>
      <c r="F257" s="4193" t="s">
        <v>2778</v>
      </c>
      <c r="G257" s="4194" t="s">
        <v>2779</v>
      </c>
      <c r="H257" s="1651" t="s">
        <v>2780</v>
      </c>
      <c r="I257" s="1652" t="s">
        <v>2781</v>
      </c>
      <c r="J257" s="1653" t="s">
        <v>2782</v>
      </c>
      <c r="K257" s="1652" t="s">
        <v>2783</v>
      </c>
      <c r="L257" s="1653" t="s">
        <v>2784</v>
      </c>
      <c r="M257" s="1652" t="s">
        <v>2785</v>
      </c>
      <c r="N257" s="1654" t="s">
        <v>2786</v>
      </c>
      <c r="O257" s="1655" t="s">
        <v>2787</v>
      </c>
      <c r="P257" s="1654" t="s">
        <v>2788</v>
      </c>
      <c r="Q257" s="1655" t="s">
        <v>2789</v>
      </c>
      <c r="R257" s="428" t="s">
        <v>2790</v>
      </c>
      <c r="S257" s="426" t="s">
        <v>2791</v>
      </c>
      <c r="T257" s="428" t="s">
        <v>2792</v>
      </c>
      <c r="U257" s="426" t="s">
        <v>2793</v>
      </c>
      <c r="V257" s="428" t="s">
        <v>2794</v>
      </c>
      <c r="W257" s="674" t="s">
        <v>2795</v>
      </c>
      <c r="X257" s="689" t="s">
        <v>2796</v>
      </c>
      <c r="Y257" s="677" t="s">
        <v>2797</v>
      </c>
      <c r="Z257" s="1647" t="s">
        <v>2798</v>
      </c>
      <c r="AA257" s="1647" t="s">
        <v>2799</v>
      </c>
      <c r="AB257" s="677" t="s">
        <v>2800</v>
      </c>
      <c r="AC257" s="677" t="s">
        <v>2801</v>
      </c>
      <c r="AD257" s="677" t="s">
        <v>2817</v>
      </c>
      <c r="AE257" s="677" t="s">
        <v>2818</v>
      </c>
      <c r="AF257" s="677" t="s">
        <v>2819</v>
      </c>
      <c r="AG257" s="1079" t="e">
        <f t="shared" si="72"/>
        <v>#VALUE!</v>
      </c>
      <c r="AH257" s="1058"/>
      <c r="AI257" s="1058"/>
      <c r="AJ257" s="1058"/>
      <c r="AK257" s="1058"/>
      <c r="AL257" s="1058"/>
      <c r="AM257" s="1058"/>
      <c r="AN257" s="94"/>
      <c r="BW257" s="79"/>
      <c r="BX257" s="79"/>
      <c r="CB257" s="1031" t="e">
        <f t="shared" si="86"/>
        <v>#VALUE!</v>
      </c>
      <c r="CC257" s="1031" t="str">
        <f t="shared" si="74"/>
        <v xml:space="preserve">* La consulta pertinente según Protocolo de Referencia NO DEBE ser mayor al Total registrado. </v>
      </c>
      <c r="CD257" s="1031" t="str">
        <f t="shared" si="75"/>
        <v xml:space="preserve">* La consulta pertinente según condición clínica NO DEBE ser mayor al Total registrado. </v>
      </c>
      <c r="CE257" s="1031" t="str">
        <f t="shared" si="87"/>
        <v xml:space="preserve">* Las Embarazadas NO DEBEN ser mayor al total de Mujeres. </v>
      </c>
      <c r="CF257" s="1031" t="str">
        <f t="shared" si="77"/>
        <v xml:space="preserve">* Los Usuarios en Situación de Discapacidad NO DEBEN ser mayor al total. </v>
      </c>
      <c r="CG257" s="1031" t="str">
        <f t="shared" si="78"/>
        <v xml:space="preserve">* Los Niños, Niñas, Adolescentes y Jóvenes Población SENAME NO DEBEN ser mayor al total. </v>
      </c>
      <c r="CH257" s="1031" t="str">
        <f t="shared" si="79"/>
        <v xml:space="preserve">* Los Migrantes NO DEBEN ser mayor al total. </v>
      </c>
      <c r="CI257" s="1163" t="e">
        <f t="shared" si="88"/>
        <v>#VALUE!</v>
      </c>
      <c r="CJ257" s="1163">
        <f t="shared" si="81"/>
        <v>1</v>
      </c>
      <c r="CK257" s="1163">
        <f t="shared" si="82"/>
        <v>1</v>
      </c>
      <c r="CL257" s="1163">
        <f t="shared" si="89"/>
        <v>1</v>
      </c>
      <c r="CM257" s="1163">
        <f t="shared" si="85"/>
        <v>1</v>
      </c>
      <c r="CN257" s="1163">
        <f t="shared" si="85"/>
        <v>1</v>
      </c>
      <c r="CO257" s="1163">
        <f t="shared" si="85"/>
        <v>1</v>
      </c>
    </row>
    <row r="258" spans="1:93" ht="16.350000000000001" customHeight="1" x14ac:dyDescent="0.2">
      <c r="A258" s="4631" t="s">
        <v>3915</v>
      </c>
      <c r="B258" s="5994"/>
      <c r="C258" s="5996" t="s">
        <v>1123</v>
      </c>
      <c r="D258" s="5996"/>
      <c r="E258" s="3084" t="s">
        <v>2777</v>
      </c>
      <c r="F258" s="4195" t="s">
        <v>2778</v>
      </c>
      <c r="G258" s="4196" t="s">
        <v>2779</v>
      </c>
      <c r="H258" s="1656" t="s">
        <v>2780</v>
      </c>
      <c r="I258" s="1657" t="s">
        <v>2781</v>
      </c>
      <c r="J258" s="1658" t="s">
        <v>2782</v>
      </c>
      <c r="K258" s="1657" t="s">
        <v>2783</v>
      </c>
      <c r="L258" s="1658" t="s">
        <v>2784</v>
      </c>
      <c r="M258" s="1657" t="s">
        <v>2785</v>
      </c>
      <c r="N258" s="1659" t="s">
        <v>2786</v>
      </c>
      <c r="O258" s="1660" t="s">
        <v>2787</v>
      </c>
      <c r="P258" s="1659" t="s">
        <v>2788</v>
      </c>
      <c r="Q258" s="1660" t="s">
        <v>2789</v>
      </c>
      <c r="R258" s="682" t="s">
        <v>2790</v>
      </c>
      <c r="S258" s="588" t="s">
        <v>2791</v>
      </c>
      <c r="T258" s="682" t="s">
        <v>2792</v>
      </c>
      <c r="U258" s="588" t="s">
        <v>2793</v>
      </c>
      <c r="V258" s="682" t="s">
        <v>2794</v>
      </c>
      <c r="W258" s="675" t="s">
        <v>2795</v>
      </c>
      <c r="X258" s="690" t="s">
        <v>2796</v>
      </c>
      <c r="Y258" s="678" t="s">
        <v>2797</v>
      </c>
      <c r="Z258" s="1650" t="s">
        <v>2798</v>
      </c>
      <c r="AA258" s="1650" t="s">
        <v>2799</v>
      </c>
      <c r="AB258" s="678" t="s">
        <v>2800</v>
      </c>
      <c r="AC258" s="678" t="s">
        <v>2801</v>
      </c>
      <c r="AD258" s="678" t="s">
        <v>2817</v>
      </c>
      <c r="AE258" s="678" t="s">
        <v>2818</v>
      </c>
      <c r="AF258" s="678" t="s">
        <v>2819</v>
      </c>
      <c r="AG258" s="1079" t="e">
        <f t="shared" si="72"/>
        <v>#VALUE!</v>
      </c>
      <c r="AH258" s="1058"/>
      <c r="AI258" s="1058"/>
      <c r="AJ258" s="1058"/>
      <c r="AK258" s="1058"/>
      <c r="AL258" s="1058"/>
      <c r="AM258" s="1058"/>
      <c r="AN258" s="94"/>
      <c r="BW258" s="79"/>
      <c r="BX258" s="79"/>
      <c r="CB258" s="1031" t="e">
        <f t="shared" si="86"/>
        <v>#VALUE!</v>
      </c>
      <c r="CC258" s="1031" t="str">
        <f t="shared" si="74"/>
        <v xml:space="preserve">* La consulta pertinente según Protocolo de Referencia NO DEBE ser mayor al Total registrado. </v>
      </c>
      <c r="CD258" s="1031" t="str">
        <f t="shared" si="75"/>
        <v xml:space="preserve">* La consulta pertinente según condición clínica NO DEBE ser mayor al Total registrado. </v>
      </c>
      <c r="CE258" s="1031" t="str">
        <f t="shared" si="87"/>
        <v xml:space="preserve">* Las Embarazadas NO DEBEN ser mayor al total de Mujeres. </v>
      </c>
      <c r="CF258" s="1031" t="str">
        <f t="shared" si="77"/>
        <v xml:space="preserve">* Los Usuarios en Situación de Discapacidad NO DEBEN ser mayor al total. </v>
      </c>
      <c r="CG258" s="1031" t="str">
        <f t="shared" si="78"/>
        <v xml:space="preserve">* Los Niños, Niñas, Adolescentes y Jóvenes Población SENAME NO DEBEN ser mayor al total. </v>
      </c>
      <c r="CH258" s="1031" t="str">
        <f t="shared" si="79"/>
        <v xml:space="preserve">* Los Migrantes NO DEBEN ser mayor al total. </v>
      </c>
      <c r="CI258" s="1163" t="e">
        <f t="shared" si="88"/>
        <v>#VALUE!</v>
      </c>
      <c r="CJ258" s="1163">
        <f t="shared" si="81"/>
        <v>1</v>
      </c>
      <c r="CK258" s="1163">
        <f t="shared" si="82"/>
        <v>1</v>
      </c>
      <c r="CL258" s="1163">
        <f t="shared" si="89"/>
        <v>1</v>
      </c>
      <c r="CM258" s="1163">
        <f t="shared" si="85"/>
        <v>1</v>
      </c>
      <c r="CN258" s="1163">
        <f t="shared" si="85"/>
        <v>1</v>
      </c>
      <c r="CO258" s="1163">
        <f t="shared" si="85"/>
        <v>1</v>
      </c>
    </row>
    <row r="259" spans="1:93" ht="16.350000000000001" customHeight="1" x14ac:dyDescent="0.2">
      <c r="A259" s="4631" t="s">
        <v>3916</v>
      </c>
      <c r="B259" s="5995"/>
      <c r="C259" s="5986" t="s">
        <v>2014</v>
      </c>
      <c r="D259" s="5986"/>
      <c r="E259" s="3084" t="s">
        <v>2777</v>
      </c>
      <c r="F259" s="2888" t="s">
        <v>2778</v>
      </c>
      <c r="G259" s="3085" t="s">
        <v>2779</v>
      </c>
      <c r="H259" s="4992" t="s">
        <v>2780</v>
      </c>
      <c r="I259" s="1660" t="s">
        <v>2781</v>
      </c>
      <c r="J259" s="1659" t="s">
        <v>2782</v>
      </c>
      <c r="K259" s="1660" t="s">
        <v>2783</v>
      </c>
      <c r="L259" s="1659" t="s">
        <v>2784</v>
      </c>
      <c r="M259" s="1660" t="s">
        <v>2785</v>
      </c>
      <c r="N259" s="1659" t="s">
        <v>2786</v>
      </c>
      <c r="O259" s="1660" t="s">
        <v>2787</v>
      </c>
      <c r="P259" s="1659" t="s">
        <v>2788</v>
      </c>
      <c r="Q259" s="1660" t="s">
        <v>2789</v>
      </c>
      <c r="R259" s="682" t="s">
        <v>2790</v>
      </c>
      <c r="S259" s="588" t="s">
        <v>2791</v>
      </c>
      <c r="T259" s="682" t="s">
        <v>2792</v>
      </c>
      <c r="U259" s="588" t="s">
        <v>2793</v>
      </c>
      <c r="V259" s="682" t="s">
        <v>2794</v>
      </c>
      <c r="W259" s="675" t="s">
        <v>2795</v>
      </c>
      <c r="X259" s="690" t="s">
        <v>2796</v>
      </c>
      <c r="Y259" s="678" t="s">
        <v>2797</v>
      </c>
      <c r="Z259" s="1650" t="s">
        <v>2798</v>
      </c>
      <c r="AA259" s="1650" t="s">
        <v>2799</v>
      </c>
      <c r="AB259" s="678" t="s">
        <v>2800</v>
      </c>
      <c r="AC259" s="678" t="s">
        <v>2801</v>
      </c>
      <c r="AD259" s="678" t="s">
        <v>2817</v>
      </c>
      <c r="AE259" s="678" t="s">
        <v>2818</v>
      </c>
      <c r="AF259" s="678" t="s">
        <v>2819</v>
      </c>
      <c r="AG259" s="1079" t="e">
        <f t="shared" si="72"/>
        <v>#VALUE!</v>
      </c>
      <c r="AH259" s="1058"/>
      <c r="AI259" s="1058"/>
      <c r="AJ259" s="1058"/>
      <c r="AK259" s="1058"/>
      <c r="AL259" s="1058"/>
      <c r="AM259" s="1058"/>
      <c r="AN259" s="94"/>
      <c r="BW259" s="79"/>
      <c r="BX259" s="79"/>
      <c r="CB259" s="1031" t="e">
        <f t="shared" si="86"/>
        <v>#VALUE!</v>
      </c>
      <c r="CC259" s="1031" t="str">
        <f t="shared" si="74"/>
        <v xml:space="preserve">* La consulta pertinente según Protocolo de Referencia NO DEBE ser mayor al Total registrado. </v>
      </c>
      <c r="CD259" s="1031" t="str">
        <f t="shared" si="75"/>
        <v xml:space="preserve">* La consulta pertinente según condición clínica NO DEBE ser mayor al Total registrado. </v>
      </c>
      <c r="CE259" s="1031" t="str">
        <f t="shared" si="87"/>
        <v xml:space="preserve">* Las Embarazadas NO DEBEN ser mayor al total de Mujeres. </v>
      </c>
      <c r="CF259" s="1031" t="str">
        <f t="shared" si="77"/>
        <v xml:space="preserve">* Los Usuarios en Situación de Discapacidad NO DEBEN ser mayor al total. </v>
      </c>
      <c r="CG259" s="1031" t="str">
        <f t="shared" si="78"/>
        <v xml:space="preserve">* Los Niños, Niñas, Adolescentes y Jóvenes Población SENAME NO DEBEN ser mayor al total. </v>
      </c>
      <c r="CH259" s="1031" t="str">
        <f t="shared" si="79"/>
        <v xml:space="preserve">* Los Migrantes NO DEBEN ser mayor al total. </v>
      </c>
      <c r="CI259" s="1163" t="e">
        <f t="shared" si="88"/>
        <v>#VALUE!</v>
      </c>
      <c r="CJ259" s="1163">
        <f t="shared" si="81"/>
        <v>1</v>
      </c>
      <c r="CK259" s="1163">
        <f t="shared" si="82"/>
        <v>1</v>
      </c>
      <c r="CL259" s="1163">
        <f t="shared" si="89"/>
        <v>1</v>
      </c>
      <c r="CM259" s="1163">
        <f t="shared" si="85"/>
        <v>1</v>
      </c>
      <c r="CN259" s="1163">
        <f t="shared" si="85"/>
        <v>1</v>
      </c>
      <c r="CO259" s="1163">
        <f t="shared" si="85"/>
        <v>1</v>
      </c>
    </row>
    <row r="260" spans="1:93" ht="16.350000000000001" customHeight="1" x14ac:dyDescent="0.2">
      <c r="A260" s="4631" t="s">
        <v>3917</v>
      </c>
      <c r="B260" s="5989" t="s">
        <v>1089</v>
      </c>
      <c r="C260" s="5980" t="s">
        <v>2012</v>
      </c>
      <c r="D260" s="5981"/>
      <c r="E260" s="4170" t="s">
        <v>2777</v>
      </c>
      <c r="F260" s="3754" t="s">
        <v>2778</v>
      </c>
      <c r="G260" s="4962" t="s">
        <v>2779</v>
      </c>
      <c r="H260" s="4963" t="s">
        <v>2780</v>
      </c>
      <c r="I260" s="4964" t="s">
        <v>2781</v>
      </c>
      <c r="J260" s="4965" t="s">
        <v>2782</v>
      </c>
      <c r="K260" s="4964" t="s">
        <v>2783</v>
      </c>
      <c r="L260" s="4965" t="s">
        <v>2784</v>
      </c>
      <c r="M260" s="4964" t="s">
        <v>2785</v>
      </c>
      <c r="N260" s="4965" t="s">
        <v>2786</v>
      </c>
      <c r="O260" s="4964" t="s">
        <v>2787</v>
      </c>
      <c r="P260" s="4965" t="s">
        <v>2788</v>
      </c>
      <c r="Q260" s="4964" t="s">
        <v>2789</v>
      </c>
      <c r="R260" s="4965" t="s">
        <v>2790</v>
      </c>
      <c r="S260" s="4964" t="s">
        <v>2791</v>
      </c>
      <c r="T260" s="4965" t="s">
        <v>2792</v>
      </c>
      <c r="U260" s="4964" t="s">
        <v>2793</v>
      </c>
      <c r="V260" s="4965" t="s">
        <v>2794</v>
      </c>
      <c r="W260" s="4966" t="s">
        <v>2795</v>
      </c>
      <c r="X260" s="4967" t="s">
        <v>2796</v>
      </c>
      <c r="Y260" s="2410" t="s">
        <v>2797</v>
      </c>
      <c r="Z260" s="2410" t="s">
        <v>2798</v>
      </c>
      <c r="AA260" s="2410" t="s">
        <v>2799</v>
      </c>
      <c r="AB260" s="2410" t="s">
        <v>2800</v>
      </c>
      <c r="AC260" s="2410" t="s">
        <v>2801</v>
      </c>
      <c r="AD260" s="2410" t="s">
        <v>2817</v>
      </c>
      <c r="AE260" s="2410" t="s">
        <v>2818</v>
      </c>
      <c r="AF260" s="2410" t="s">
        <v>2819</v>
      </c>
      <c r="AG260" s="1079" t="e">
        <f t="shared" si="72"/>
        <v>#VALUE!</v>
      </c>
      <c r="AH260" s="1058"/>
      <c r="AI260" s="1058"/>
      <c r="AJ260" s="1058"/>
      <c r="AK260" s="1058"/>
      <c r="AL260" s="1058"/>
      <c r="AM260" s="1058"/>
      <c r="AN260" s="94"/>
      <c r="BW260" s="79"/>
      <c r="BX260" s="79"/>
      <c r="CB260" s="1031" t="e">
        <f t="shared" si="86"/>
        <v>#VALUE!</v>
      </c>
      <c r="CC260" s="1031" t="str">
        <f t="shared" si="74"/>
        <v xml:space="preserve">* La consulta pertinente según Protocolo de Referencia NO DEBE ser mayor al Total registrado. </v>
      </c>
      <c r="CD260" s="1031" t="str">
        <f t="shared" si="75"/>
        <v xml:space="preserve">* La consulta pertinente según condición clínica NO DEBE ser mayor al Total registrado. </v>
      </c>
      <c r="CE260" s="1031" t="str">
        <f t="shared" si="87"/>
        <v xml:space="preserve">* Las Embarazadas NO DEBEN ser mayor al total de Mujeres. </v>
      </c>
      <c r="CF260" s="1031" t="str">
        <f t="shared" si="77"/>
        <v xml:space="preserve">* Los Usuarios en Situación de Discapacidad NO DEBEN ser mayor al total. </v>
      </c>
      <c r="CG260" s="1031" t="str">
        <f t="shared" si="78"/>
        <v xml:space="preserve">* Los Niños, Niñas, Adolescentes y Jóvenes Población SENAME NO DEBEN ser mayor al total. </v>
      </c>
      <c r="CH260" s="1031" t="str">
        <f t="shared" si="79"/>
        <v xml:space="preserve">* Los Migrantes NO DEBEN ser mayor al total. </v>
      </c>
      <c r="CI260" s="1163" t="e">
        <f t="shared" si="88"/>
        <v>#VALUE!</v>
      </c>
      <c r="CJ260" s="1163">
        <f t="shared" si="81"/>
        <v>1</v>
      </c>
      <c r="CK260" s="1163">
        <f t="shared" si="82"/>
        <v>1</v>
      </c>
      <c r="CL260" s="1163">
        <f t="shared" si="89"/>
        <v>1</v>
      </c>
      <c r="CM260" s="1163">
        <f t="shared" si="85"/>
        <v>1</v>
      </c>
      <c r="CN260" s="1163">
        <f t="shared" si="85"/>
        <v>1</v>
      </c>
      <c r="CO260" s="1163">
        <f t="shared" si="85"/>
        <v>1</v>
      </c>
    </row>
    <row r="261" spans="1:93" ht="16.350000000000001" customHeight="1" x14ac:dyDescent="0.2">
      <c r="A261" s="4631" t="s">
        <v>3918</v>
      </c>
      <c r="B261" s="5103"/>
      <c r="C261" s="5982" t="s">
        <v>2013</v>
      </c>
      <c r="D261" s="5982"/>
      <c r="E261" s="3070" t="s">
        <v>2777</v>
      </c>
      <c r="F261" s="2886" t="s">
        <v>2778</v>
      </c>
      <c r="G261" s="3083" t="s">
        <v>2779</v>
      </c>
      <c r="H261" s="425" t="s">
        <v>2780</v>
      </c>
      <c r="I261" s="426" t="s">
        <v>2781</v>
      </c>
      <c r="J261" s="428" t="s">
        <v>2782</v>
      </c>
      <c r="K261" s="426" t="s">
        <v>2783</v>
      </c>
      <c r="L261" s="428" t="s">
        <v>2784</v>
      </c>
      <c r="M261" s="426" t="s">
        <v>2785</v>
      </c>
      <c r="N261" s="428" t="s">
        <v>2786</v>
      </c>
      <c r="O261" s="426" t="s">
        <v>2787</v>
      </c>
      <c r="P261" s="428" t="s">
        <v>2788</v>
      </c>
      <c r="Q261" s="426" t="s">
        <v>2789</v>
      </c>
      <c r="R261" s="428" t="s">
        <v>2790</v>
      </c>
      <c r="S261" s="426" t="s">
        <v>2791</v>
      </c>
      <c r="T261" s="428" t="s">
        <v>2792</v>
      </c>
      <c r="U261" s="426" t="s">
        <v>2793</v>
      </c>
      <c r="V261" s="428" t="s">
        <v>2794</v>
      </c>
      <c r="W261" s="674" t="s">
        <v>2795</v>
      </c>
      <c r="X261" s="689" t="s">
        <v>2796</v>
      </c>
      <c r="Y261" s="677" t="s">
        <v>2797</v>
      </c>
      <c r="Z261" s="1647" t="s">
        <v>2798</v>
      </c>
      <c r="AA261" s="1647" t="s">
        <v>2799</v>
      </c>
      <c r="AB261" s="677" t="s">
        <v>2800</v>
      </c>
      <c r="AC261" s="677" t="s">
        <v>2801</v>
      </c>
      <c r="AD261" s="677" t="s">
        <v>2817</v>
      </c>
      <c r="AE261" s="677" t="s">
        <v>2818</v>
      </c>
      <c r="AF261" s="677" t="s">
        <v>2819</v>
      </c>
      <c r="AG261" s="1079" t="e">
        <f t="shared" si="72"/>
        <v>#VALUE!</v>
      </c>
      <c r="AH261" s="1058"/>
      <c r="AI261" s="1058"/>
      <c r="AJ261" s="1058"/>
      <c r="AK261" s="1058"/>
      <c r="AL261" s="1058"/>
      <c r="AM261" s="1058"/>
      <c r="AN261" s="94"/>
      <c r="BW261" s="79"/>
      <c r="BX261" s="79"/>
      <c r="CB261" s="1031" t="e">
        <f t="shared" si="86"/>
        <v>#VALUE!</v>
      </c>
      <c r="CC261" s="1031" t="str">
        <f t="shared" si="74"/>
        <v xml:space="preserve">* La consulta pertinente según Protocolo de Referencia NO DEBE ser mayor al Total registrado. </v>
      </c>
      <c r="CD261" s="1031" t="str">
        <f t="shared" si="75"/>
        <v xml:space="preserve">* La consulta pertinente según condición clínica NO DEBE ser mayor al Total registrado. </v>
      </c>
      <c r="CE261" s="1031" t="str">
        <f t="shared" si="87"/>
        <v xml:space="preserve">* Las Embarazadas NO DEBEN ser mayor al total de Mujeres. </v>
      </c>
      <c r="CF261" s="1031" t="str">
        <f t="shared" si="77"/>
        <v xml:space="preserve">* Los Usuarios en Situación de Discapacidad NO DEBEN ser mayor al total. </v>
      </c>
      <c r="CG261" s="1031" t="str">
        <f t="shared" si="78"/>
        <v xml:space="preserve">* Los Niños, Niñas, Adolescentes y Jóvenes Población SENAME NO DEBEN ser mayor al total. </v>
      </c>
      <c r="CH261" s="1031" t="str">
        <f t="shared" si="79"/>
        <v xml:space="preserve">* Los Migrantes NO DEBEN ser mayor al total. </v>
      </c>
      <c r="CI261" s="1163" t="e">
        <f t="shared" si="88"/>
        <v>#VALUE!</v>
      </c>
      <c r="CJ261" s="1163">
        <f t="shared" si="81"/>
        <v>1</v>
      </c>
      <c r="CK261" s="1163">
        <f t="shared" si="82"/>
        <v>1</v>
      </c>
      <c r="CL261" s="1163">
        <f t="shared" si="89"/>
        <v>1</v>
      </c>
      <c r="CM261" s="1163">
        <f t="shared" si="85"/>
        <v>1</v>
      </c>
      <c r="CN261" s="1163">
        <f t="shared" si="85"/>
        <v>1</v>
      </c>
      <c r="CO261" s="1163">
        <f t="shared" si="85"/>
        <v>1</v>
      </c>
    </row>
    <row r="262" spans="1:93" ht="16.350000000000001" customHeight="1" x14ac:dyDescent="0.2">
      <c r="A262" s="3009" t="s">
        <v>3670</v>
      </c>
      <c r="B262" s="5103"/>
      <c r="C262" s="5983" t="s">
        <v>1122</v>
      </c>
      <c r="D262" s="5983"/>
      <c r="E262" s="3070" t="s">
        <v>2777</v>
      </c>
      <c r="F262" s="2886" t="s">
        <v>2778</v>
      </c>
      <c r="G262" s="3083" t="s">
        <v>2779</v>
      </c>
      <c r="H262" s="425" t="s">
        <v>2780</v>
      </c>
      <c r="I262" s="426" t="s">
        <v>2781</v>
      </c>
      <c r="J262" s="428" t="s">
        <v>2782</v>
      </c>
      <c r="K262" s="426" t="s">
        <v>2783</v>
      </c>
      <c r="L262" s="428" t="s">
        <v>2784</v>
      </c>
      <c r="M262" s="426" t="s">
        <v>2785</v>
      </c>
      <c r="N262" s="428" t="s">
        <v>2786</v>
      </c>
      <c r="O262" s="426" t="s">
        <v>2787</v>
      </c>
      <c r="P262" s="428" t="s">
        <v>2788</v>
      </c>
      <c r="Q262" s="426" t="s">
        <v>2789</v>
      </c>
      <c r="R262" s="428" t="s">
        <v>2790</v>
      </c>
      <c r="S262" s="426" t="s">
        <v>2791</v>
      </c>
      <c r="T262" s="428" t="s">
        <v>2792</v>
      </c>
      <c r="U262" s="426" t="s">
        <v>2793</v>
      </c>
      <c r="V262" s="428" t="s">
        <v>2794</v>
      </c>
      <c r="W262" s="674" t="s">
        <v>2795</v>
      </c>
      <c r="X262" s="689" t="s">
        <v>2796</v>
      </c>
      <c r="Y262" s="677" t="s">
        <v>2797</v>
      </c>
      <c r="Z262" s="1647" t="s">
        <v>2798</v>
      </c>
      <c r="AA262" s="1647" t="s">
        <v>2799</v>
      </c>
      <c r="AB262" s="677" t="s">
        <v>2800</v>
      </c>
      <c r="AC262" s="677" t="s">
        <v>2801</v>
      </c>
      <c r="AD262" s="677" t="s">
        <v>2817</v>
      </c>
      <c r="AE262" s="677" t="s">
        <v>2818</v>
      </c>
      <c r="AF262" s="677" t="s">
        <v>2819</v>
      </c>
      <c r="AG262" s="1079" t="e">
        <f t="shared" si="72"/>
        <v>#VALUE!</v>
      </c>
      <c r="AH262" s="1058"/>
      <c r="AI262" s="1058"/>
      <c r="AJ262" s="1058"/>
      <c r="AK262" s="1058"/>
      <c r="AL262" s="1058"/>
      <c r="AM262" s="1058"/>
      <c r="AN262" s="94"/>
      <c r="BW262" s="79"/>
      <c r="BX262" s="79"/>
      <c r="CB262" s="1031" t="e">
        <f t="shared" si="86"/>
        <v>#VALUE!</v>
      </c>
      <c r="CC262" s="1031" t="str">
        <f t="shared" si="74"/>
        <v xml:space="preserve">* La consulta pertinente según Protocolo de Referencia NO DEBE ser mayor al Total registrado. </v>
      </c>
      <c r="CD262" s="1031" t="str">
        <f t="shared" si="75"/>
        <v xml:space="preserve">* La consulta pertinente según condición clínica NO DEBE ser mayor al Total registrado. </v>
      </c>
      <c r="CE262" s="1031" t="str">
        <f t="shared" si="87"/>
        <v xml:space="preserve">* Las Embarazadas NO DEBEN ser mayor al total de Mujeres. </v>
      </c>
      <c r="CF262" s="1031" t="str">
        <f t="shared" si="77"/>
        <v xml:space="preserve">* Los Usuarios en Situación de Discapacidad NO DEBEN ser mayor al total. </v>
      </c>
      <c r="CG262" s="1031" t="str">
        <f t="shared" si="78"/>
        <v xml:space="preserve">* Los Niños, Niñas, Adolescentes y Jóvenes Población SENAME NO DEBEN ser mayor al total. </v>
      </c>
      <c r="CH262" s="1031" t="str">
        <f t="shared" si="79"/>
        <v xml:space="preserve">* Los Migrantes NO DEBEN ser mayor al total. </v>
      </c>
      <c r="CI262" s="1163" t="e">
        <f t="shared" si="88"/>
        <v>#VALUE!</v>
      </c>
      <c r="CJ262" s="1163">
        <f t="shared" si="81"/>
        <v>1</v>
      </c>
      <c r="CK262" s="1163">
        <f t="shared" si="82"/>
        <v>1</v>
      </c>
      <c r="CL262" s="1163">
        <f t="shared" si="89"/>
        <v>1</v>
      </c>
      <c r="CM262" s="1163">
        <f t="shared" si="85"/>
        <v>1</v>
      </c>
      <c r="CN262" s="1163">
        <f t="shared" si="85"/>
        <v>1</v>
      </c>
      <c r="CO262" s="1163">
        <f t="shared" si="85"/>
        <v>1</v>
      </c>
    </row>
    <row r="263" spans="1:93" ht="16.350000000000001" customHeight="1" x14ac:dyDescent="0.2">
      <c r="A263" s="3009" t="s">
        <v>3671</v>
      </c>
      <c r="B263" s="5103"/>
      <c r="C263" s="5983" t="s">
        <v>1123</v>
      </c>
      <c r="D263" s="5983"/>
      <c r="E263" s="3070" t="s">
        <v>2777</v>
      </c>
      <c r="F263" s="2886" t="s">
        <v>2778</v>
      </c>
      <c r="G263" s="3083" t="s">
        <v>2779</v>
      </c>
      <c r="H263" s="2411" t="s">
        <v>2780</v>
      </c>
      <c r="I263" s="687" t="s">
        <v>2781</v>
      </c>
      <c r="J263" s="684" t="s">
        <v>2782</v>
      </c>
      <c r="K263" s="687" t="s">
        <v>2783</v>
      </c>
      <c r="L263" s="684" t="s">
        <v>2784</v>
      </c>
      <c r="M263" s="687" t="s">
        <v>2785</v>
      </c>
      <c r="N263" s="684" t="s">
        <v>2786</v>
      </c>
      <c r="O263" s="687" t="s">
        <v>2787</v>
      </c>
      <c r="P263" s="684" t="s">
        <v>2788</v>
      </c>
      <c r="Q263" s="687" t="s">
        <v>2789</v>
      </c>
      <c r="R263" s="684" t="s">
        <v>2790</v>
      </c>
      <c r="S263" s="687" t="s">
        <v>2791</v>
      </c>
      <c r="T263" s="684" t="s">
        <v>2792</v>
      </c>
      <c r="U263" s="687" t="s">
        <v>2793</v>
      </c>
      <c r="V263" s="684" t="s">
        <v>2794</v>
      </c>
      <c r="W263" s="676" t="s">
        <v>2795</v>
      </c>
      <c r="X263" s="690" t="s">
        <v>2796</v>
      </c>
      <c r="Y263" s="678" t="s">
        <v>2797</v>
      </c>
      <c r="Z263" s="1650" t="s">
        <v>2798</v>
      </c>
      <c r="AA263" s="1650" t="s">
        <v>2799</v>
      </c>
      <c r="AB263" s="678" t="s">
        <v>2800</v>
      </c>
      <c r="AC263" s="678" t="s">
        <v>2801</v>
      </c>
      <c r="AD263" s="678" t="s">
        <v>2817</v>
      </c>
      <c r="AE263" s="678" t="s">
        <v>2818</v>
      </c>
      <c r="AF263" s="678" t="s">
        <v>2819</v>
      </c>
      <c r="AG263" s="1079" t="e">
        <f t="shared" si="72"/>
        <v>#VALUE!</v>
      </c>
      <c r="AH263" s="1058"/>
      <c r="AI263" s="1058"/>
      <c r="AJ263" s="1058"/>
      <c r="AK263" s="1058"/>
      <c r="AL263" s="1058"/>
      <c r="AM263" s="1058"/>
      <c r="AN263" s="94"/>
      <c r="BW263" s="79"/>
      <c r="BX263" s="79"/>
      <c r="CB263" s="1031" t="e">
        <f t="shared" si="86"/>
        <v>#VALUE!</v>
      </c>
      <c r="CC263" s="1031" t="str">
        <f t="shared" si="74"/>
        <v xml:space="preserve">* La consulta pertinente según Protocolo de Referencia NO DEBE ser mayor al Total registrado. </v>
      </c>
      <c r="CD263" s="1031" t="str">
        <f t="shared" si="75"/>
        <v xml:space="preserve">* La consulta pertinente según condición clínica NO DEBE ser mayor al Total registrado. </v>
      </c>
      <c r="CE263" s="1031" t="str">
        <f t="shared" si="87"/>
        <v xml:space="preserve">* Las Embarazadas NO DEBEN ser mayor al total de Mujeres. </v>
      </c>
      <c r="CF263" s="1031" t="str">
        <f t="shared" si="77"/>
        <v xml:space="preserve">* Los Usuarios en Situación de Discapacidad NO DEBEN ser mayor al total. </v>
      </c>
      <c r="CG263" s="1031" t="str">
        <f t="shared" si="78"/>
        <v xml:space="preserve">* Los Niños, Niñas, Adolescentes y Jóvenes Población SENAME NO DEBEN ser mayor al total. </v>
      </c>
      <c r="CH263" s="1031" t="str">
        <f t="shared" si="79"/>
        <v xml:space="preserve">* Los Migrantes NO DEBEN ser mayor al total. </v>
      </c>
      <c r="CI263" s="1163" t="e">
        <f t="shared" si="88"/>
        <v>#VALUE!</v>
      </c>
      <c r="CJ263" s="1163">
        <f t="shared" si="81"/>
        <v>1</v>
      </c>
      <c r="CK263" s="1163">
        <f t="shared" si="82"/>
        <v>1</v>
      </c>
      <c r="CL263" s="1163">
        <f t="shared" si="89"/>
        <v>1</v>
      </c>
      <c r="CM263" s="1163">
        <f t="shared" si="85"/>
        <v>1</v>
      </c>
      <c r="CN263" s="1163">
        <f t="shared" si="85"/>
        <v>1</v>
      </c>
      <c r="CO263" s="1163">
        <f t="shared" si="85"/>
        <v>1</v>
      </c>
    </row>
    <row r="264" spans="1:93" ht="16.350000000000001" customHeight="1" x14ac:dyDescent="0.2">
      <c r="A264" s="4631" t="s">
        <v>3919</v>
      </c>
      <c r="B264" s="5343"/>
      <c r="C264" s="5992" t="s">
        <v>2014</v>
      </c>
      <c r="D264" s="5992"/>
      <c r="E264" s="3084" t="s">
        <v>2777</v>
      </c>
      <c r="F264" s="2888" t="s">
        <v>2778</v>
      </c>
      <c r="G264" s="3085" t="s">
        <v>2779</v>
      </c>
      <c r="H264" s="530" t="s">
        <v>2780</v>
      </c>
      <c r="I264" s="588" t="s">
        <v>2781</v>
      </c>
      <c r="J264" s="682" t="s">
        <v>2782</v>
      </c>
      <c r="K264" s="588" t="s">
        <v>2783</v>
      </c>
      <c r="L264" s="682" t="s">
        <v>2784</v>
      </c>
      <c r="M264" s="588" t="s">
        <v>2785</v>
      </c>
      <c r="N264" s="682" t="s">
        <v>2786</v>
      </c>
      <c r="O264" s="588" t="s">
        <v>2787</v>
      </c>
      <c r="P264" s="682" t="s">
        <v>2788</v>
      </c>
      <c r="Q264" s="588" t="s">
        <v>2789</v>
      </c>
      <c r="R264" s="682" t="s">
        <v>2790</v>
      </c>
      <c r="S264" s="588" t="s">
        <v>2791</v>
      </c>
      <c r="T264" s="682" t="s">
        <v>2792</v>
      </c>
      <c r="U264" s="588" t="s">
        <v>2793</v>
      </c>
      <c r="V264" s="682" t="s">
        <v>2794</v>
      </c>
      <c r="W264" s="675" t="s">
        <v>2795</v>
      </c>
      <c r="X264" s="690" t="s">
        <v>2796</v>
      </c>
      <c r="Y264" s="678" t="s">
        <v>2797</v>
      </c>
      <c r="Z264" s="1650" t="s">
        <v>2798</v>
      </c>
      <c r="AA264" s="1650" t="s">
        <v>2799</v>
      </c>
      <c r="AB264" s="678" t="s">
        <v>2800</v>
      </c>
      <c r="AC264" s="678" t="s">
        <v>2801</v>
      </c>
      <c r="AD264" s="678" t="s">
        <v>2817</v>
      </c>
      <c r="AE264" s="678" t="s">
        <v>2818</v>
      </c>
      <c r="AF264" s="678" t="s">
        <v>2819</v>
      </c>
      <c r="AG264" s="1079" t="e">
        <f t="shared" si="72"/>
        <v>#VALUE!</v>
      </c>
      <c r="AH264" s="1058"/>
      <c r="AI264" s="1058"/>
      <c r="AJ264" s="1058"/>
      <c r="AK264" s="1058"/>
      <c r="AL264" s="1058"/>
      <c r="AM264" s="1058"/>
      <c r="AN264" s="94"/>
      <c r="BW264" s="79"/>
      <c r="BX264" s="79"/>
      <c r="CB264" s="1031" t="e">
        <f t="shared" si="86"/>
        <v>#VALUE!</v>
      </c>
      <c r="CC264" s="1031" t="str">
        <f t="shared" si="74"/>
        <v xml:space="preserve">* La consulta pertinente según Protocolo de Referencia NO DEBE ser mayor al Total registrado. </v>
      </c>
      <c r="CD264" s="1031" t="str">
        <f t="shared" si="75"/>
        <v xml:space="preserve">* La consulta pertinente según condición clínica NO DEBE ser mayor al Total registrado. </v>
      </c>
      <c r="CE264" s="1031" t="str">
        <f t="shared" si="87"/>
        <v xml:space="preserve">* Las Embarazadas NO DEBEN ser mayor al total de Mujeres. </v>
      </c>
      <c r="CF264" s="1031" t="str">
        <f t="shared" si="77"/>
        <v xml:space="preserve">* Los Usuarios en Situación de Discapacidad NO DEBEN ser mayor al total. </v>
      </c>
      <c r="CG264" s="1031" t="str">
        <f t="shared" si="78"/>
        <v xml:space="preserve">* Los Niños, Niñas, Adolescentes y Jóvenes Población SENAME NO DEBEN ser mayor al total. </v>
      </c>
      <c r="CH264" s="1031" t="str">
        <f t="shared" si="79"/>
        <v xml:space="preserve">* Los Migrantes NO DEBEN ser mayor al total. </v>
      </c>
      <c r="CI264" s="1163" t="e">
        <f t="shared" si="88"/>
        <v>#VALUE!</v>
      </c>
      <c r="CJ264" s="1163">
        <f t="shared" si="81"/>
        <v>1</v>
      </c>
      <c r="CK264" s="1163">
        <f t="shared" si="82"/>
        <v>1</v>
      </c>
      <c r="CL264" s="1163">
        <f t="shared" si="89"/>
        <v>1</v>
      </c>
      <c r="CM264" s="1163">
        <f t="shared" si="85"/>
        <v>1</v>
      </c>
      <c r="CN264" s="1163">
        <f t="shared" si="85"/>
        <v>1</v>
      </c>
      <c r="CO264" s="1163">
        <f t="shared" si="85"/>
        <v>1</v>
      </c>
    </row>
    <row r="265" spans="1:93" ht="16.350000000000001" customHeight="1" x14ac:dyDescent="0.2">
      <c r="A265" s="4631" t="s">
        <v>3920</v>
      </c>
      <c r="B265" s="5989" t="s">
        <v>1088</v>
      </c>
      <c r="C265" s="5990" t="s">
        <v>2012</v>
      </c>
      <c r="D265" s="5991"/>
      <c r="E265" s="4170" t="s">
        <v>2777</v>
      </c>
      <c r="F265" s="3754" t="s">
        <v>2778</v>
      </c>
      <c r="G265" s="4962" t="s">
        <v>2779</v>
      </c>
      <c r="H265" s="4963" t="s">
        <v>2780</v>
      </c>
      <c r="I265" s="4964" t="s">
        <v>2781</v>
      </c>
      <c r="J265" s="4965" t="s">
        <v>2782</v>
      </c>
      <c r="K265" s="4964" t="s">
        <v>2783</v>
      </c>
      <c r="L265" s="4965" t="s">
        <v>2784</v>
      </c>
      <c r="M265" s="4964" t="s">
        <v>2785</v>
      </c>
      <c r="N265" s="4965" t="s">
        <v>2786</v>
      </c>
      <c r="O265" s="4964" t="s">
        <v>2787</v>
      </c>
      <c r="P265" s="4965" t="s">
        <v>2788</v>
      </c>
      <c r="Q265" s="4964" t="s">
        <v>2789</v>
      </c>
      <c r="R265" s="4965" t="s">
        <v>2790</v>
      </c>
      <c r="S265" s="4964" t="s">
        <v>2791</v>
      </c>
      <c r="T265" s="4965" t="s">
        <v>2792</v>
      </c>
      <c r="U265" s="4964" t="s">
        <v>2793</v>
      </c>
      <c r="V265" s="4965" t="s">
        <v>2794</v>
      </c>
      <c r="W265" s="4966" t="s">
        <v>2795</v>
      </c>
      <c r="X265" s="4967" t="s">
        <v>2796</v>
      </c>
      <c r="Y265" s="2410" t="s">
        <v>2797</v>
      </c>
      <c r="Z265" s="2410" t="s">
        <v>2798</v>
      </c>
      <c r="AA265" s="2410" t="s">
        <v>2799</v>
      </c>
      <c r="AB265" s="2410" t="s">
        <v>2800</v>
      </c>
      <c r="AC265" s="2410" t="s">
        <v>2801</v>
      </c>
      <c r="AD265" s="2410" t="s">
        <v>2817</v>
      </c>
      <c r="AE265" s="2410" t="s">
        <v>2818</v>
      </c>
      <c r="AF265" s="2410" t="s">
        <v>2819</v>
      </c>
      <c r="AG265" s="1079" t="e">
        <f t="shared" si="72"/>
        <v>#VALUE!</v>
      </c>
      <c r="AH265" s="1058"/>
      <c r="AI265" s="1058"/>
      <c r="AJ265" s="1058"/>
      <c r="AK265" s="1058"/>
      <c r="AL265" s="1058"/>
      <c r="AM265" s="1058"/>
      <c r="AN265" s="94"/>
      <c r="BW265" s="79"/>
      <c r="BX265" s="79"/>
      <c r="CB265" s="1031" t="e">
        <f t="shared" si="86"/>
        <v>#VALUE!</v>
      </c>
      <c r="CC265" s="1031" t="str">
        <f t="shared" si="74"/>
        <v xml:space="preserve">* La consulta pertinente según Protocolo de Referencia NO DEBE ser mayor al Total registrado. </v>
      </c>
      <c r="CD265" s="1031" t="str">
        <f t="shared" si="75"/>
        <v xml:space="preserve">* La consulta pertinente según condición clínica NO DEBE ser mayor al Total registrado. </v>
      </c>
      <c r="CE265" s="1031" t="str">
        <f t="shared" si="87"/>
        <v xml:space="preserve">* Las Embarazadas NO DEBEN ser mayor al total de Mujeres. </v>
      </c>
      <c r="CF265" s="1031" t="str">
        <f t="shared" si="77"/>
        <v xml:space="preserve">* Los Usuarios en Situación de Discapacidad NO DEBEN ser mayor al total. </v>
      </c>
      <c r="CG265" s="1031" t="str">
        <f t="shared" si="78"/>
        <v xml:space="preserve">* Los Niños, Niñas, Adolescentes y Jóvenes Población SENAME NO DEBEN ser mayor al total. </v>
      </c>
      <c r="CH265" s="1031" t="str">
        <f t="shared" si="79"/>
        <v xml:space="preserve">* Los Migrantes NO DEBEN ser mayor al total. </v>
      </c>
      <c r="CI265" s="1163" t="e">
        <f t="shared" si="88"/>
        <v>#VALUE!</v>
      </c>
      <c r="CJ265" s="1163">
        <f t="shared" si="81"/>
        <v>1</v>
      </c>
      <c r="CK265" s="1163">
        <f t="shared" si="82"/>
        <v>1</v>
      </c>
      <c r="CL265" s="1163">
        <f t="shared" si="89"/>
        <v>1</v>
      </c>
      <c r="CM265" s="1163">
        <f t="shared" si="85"/>
        <v>1</v>
      </c>
      <c r="CN265" s="1163">
        <f t="shared" si="85"/>
        <v>1</v>
      </c>
      <c r="CO265" s="1163">
        <f t="shared" si="85"/>
        <v>1</v>
      </c>
    </row>
    <row r="266" spans="1:93" ht="16.350000000000001" customHeight="1" x14ac:dyDescent="0.2">
      <c r="A266" s="4631" t="s">
        <v>3921</v>
      </c>
      <c r="B266" s="5103"/>
      <c r="C266" s="5982" t="s">
        <v>2013</v>
      </c>
      <c r="D266" s="5982"/>
      <c r="E266" s="3070" t="s">
        <v>2777</v>
      </c>
      <c r="F266" s="2886" t="s">
        <v>2778</v>
      </c>
      <c r="G266" s="3083" t="s">
        <v>2779</v>
      </c>
      <c r="H266" s="425" t="s">
        <v>2780</v>
      </c>
      <c r="I266" s="426" t="s">
        <v>2781</v>
      </c>
      <c r="J266" s="428" t="s">
        <v>2782</v>
      </c>
      <c r="K266" s="426" t="s">
        <v>2783</v>
      </c>
      <c r="L266" s="428" t="s">
        <v>2784</v>
      </c>
      <c r="M266" s="426" t="s">
        <v>2785</v>
      </c>
      <c r="N266" s="428" t="s">
        <v>2786</v>
      </c>
      <c r="O266" s="426" t="s">
        <v>2787</v>
      </c>
      <c r="P266" s="428" t="s">
        <v>2788</v>
      </c>
      <c r="Q266" s="426" t="s">
        <v>2789</v>
      </c>
      <c r="R266" s="428" t="s">
        <v>2790</v>
      </c>
      <c r="S266" s="426" t="s">
        <v>2791</v>
      </c>
      <c r="T266" s="428" t="s">
        <v>2792</v>
      </c>
      <c r="U266" s="426" t="s">
        <v>2793</v>
      </c>
      <c r="V266" s="428" t="s">
        <v>2794</v>
      </c>
      <c r="W266" s="674" t="s">
        <v>2795</v>
      </c>
      <c r="X266" s="689" t="s">
        <v>2796</v>
      </c>
      <c r="Y266" s="677" t="s">
        <v>2797</v>
      </c>
      <c r="Z266" s="1647" t="s">
        <v>2798</v>
      </c>
      <c r="AA266" s="1647" t="s">
        <v>2799</v>
      </c>
      <c r="AB266" s="677" t="s">
        <v>2800</v>
      </c>
      <c r="AC266" s="677" t="s">
        <v>2801</v>
      </c>
      <c r="AD266" s="677" t="s">
        <v>2817</v>
      </c>
      <c r="AE266" s="677" t="s">
        <v>2818</v>
      </c>
      <c r="AF266" s="677" t="s">
        <v>2819</v>
      </c>
      <c r="AG266" s="1079" t="e">
        <f t="shared" si="72"/>
        <v>#VALUE!</v>
      </c>
      <c r="AH266" s="1058"/>
      <c r="AI266" s="1058"/>
      <c r="AJ266" s="1058"/>
      <c r="AK266" s="1058"/>
      <c r="AL266" s="1058"/>
      <c r="AM266" s="1058"/>
      <c r="AN266" s="94"/>
      <c r="BW266" s="79"/>
      <c r="BX266" s="79"/>
      <c r="CB266" s="1031" t="e">
        <f t="shared" si="86"/>
        <v>#VALUE!</v>
      </c>
      <c r="CC266" s="1031" t="str">
        <f t="shared" si="74"/>
        <v xml:space="preserve">* La consulta pertinente según Protocolo de Referencia NO DEBE ser mayor al Total registrado. </v>
      </c>
      <c r="CD266" s="1031" t="str">
        <f t="shared" si="75"/>
        <v xml:space="preserve">* La consulta pertinente según condición clínica NO DEBE ser mayor al Total registrado. </v>
      </c>
      <c r="CE266" s="1031" t="str">
        <f t="shared" si="87"/>
        <v xml:space="preserve">* Las Embarazadas NO DEBEN ser mayor al total de Mujeres. </v>
      </c>
      <c r="CF266" s="1031" t="str">
        <f t="shared" si="77"/>
        <v xml:space="preserve">* Los Usuarios en Situación de Discapacidad NO DEBEN ser mayor al total. </v>
      </c>
      <c r="CG266" s="1031" t="str">
        <f t="shared" si="78"/>
        <v xml:space="preserve">* Los Niños, Niñas, Adolescentes y Jóvenes Población SENAME NO DEBEN ser mayor al total. </v>
      </c>
      <c r="CH266" s="1031" t="str">
        <f t="shared" si="79"/>
        <v xml:space="preserve">* Los Migrantes NO DEBEN ser mayor al total. </v>
      </c>
      <c r="CI266" s="1163" t="e">
        <f t="shared" si="88"/>
        <v>#VALUE!</v>
      </c>
      <c r="CJ266" s="1163">
        <f t="shared" si="81"/>
        <v>1</v>
      </c>
      <c r="CK266" s="1163">
        <f t="shared" si="82"/>
        <v>1</v>
      </c>
      <c r="CL266" s="1163">
        <f t="shared" si="89"/>
        <v>1</v>
      </c>
      <c r="CM266" s="1163">
        <f t="shared" si="85"/>
        <v>1</v>
      </c>
      <c r="CN266" s="1163">
        <f t="shared" si="85"/>
        <v>1</v>
      </c>
      <c r="CO266" s="1163">
        <f t="shared" si="85"/>
        <v>1</v>
      </c>
    </row>
    <row r="267" spans="1:93" ht="16.350000000000001" customHeight="1" x14ac:dyDescent="0.2">
      <c r="A267" s="3009" t="s">
        <v>3672</v>
      </c>
      <c r="B267" s="5103"/>
      <c r="C267" s="5983" t="s">
        <v>1122</v>
      </c>
      <c r="D267" s="5983"/>
      <c r="E267" s="3070" t="s">
        <v>2777</v>
      </c>
      <c r="F267" s="2886" t="s">
        <v>2778</v>
      </c>
      <c r="G267" s="3083" t="s">
        <v>2779</v>
      </c>
      <c r="H267" s="425" t="s">
        <v>2780</v>
      </c>
      <c r="I267" s="426" t="s">
        <v>2781</v>
      </c>
      <c r="J267" s="428" t="s">
        <v>2782</v>
      </c>
      <c r="K267" s="426" t="s">
        <v>2783</v>
      </c>
      <c r="L267" s="428" t="s">
        <v>2784</v>
      </c>
      <c r="M267" s="426" t="s">
        <v>2785</v>
      </c>
      <c r="N267" s="428" t="s">
        <v>2786</v>
      </c>
      <c r="O267" s="426" t="s">
        <v>2787</v>
      </c>
      <c r="P267" s="428" t="s">
        <v>2788</v>
      </c>
      <c r="Q267" s="426" t="s">
        <v>2789</v>
      </c>
      <c r="R267" s="428" t="s">
        <v>2790</v>
      </c>
      <c r="S267" s="426" t="s">
        <v>2791</v>
      </c>
      <c r="T267" s="428" t="s">
        <v>2792</v>
      </c>
      <c r="U267" s="426" t="s">
        <v>2793</v>
      </c>
      <c r="V267" s="428" t="s">
        <v>2794</v>
      </c>
      <c r="W267" s="674" t="s">
        <v>2795</v>
      </c>
      <c r="X267" s="689" t="s">
        <v>2796</v>
      </c>
      <c r="Y267" s="677" t="s">
        <v>2797</v>
      </c>
      <c r="Z267" s="1647" t="s">
        <v>2798</v>
      </c>
      <c r="AA267" s="1647" t="s">
        <v>2799</v>
      </c>
      <c r="AB267" s="677" t="s">
        <v>2800</v>
      </c>
      <c r="AC267" s="677" t="s">
        <v>2801</v>
      </c>
      <c r="AD267" s="677" t="s">
        <v>2817</v>
      </c>
      <c r="AE267" s="677" t="s">
        <v>2818</v>
      </c>
      <c r="AF267" s="677" t="s">
        <v>2819</v>
      </c>
      <c r="AG267" s="1079" t="e">
        <f t="shared" ref="AG267:AG278" si="90">CB267&amp;CC267&amp;CD267&amp;CE267&amp;CF267&amp;CG267&amp;CH267</f>
        <v>#VALUE!</v>
      </c>
      <c r="AH267" s="1058"/>
      <c r="AI267" s="1058"/>
      <c r="AJ267" s="1058"/>
      <c r="AK267" s="1058"/>
      <c r="AL267" s="1058"/>
      <c r="AM267" s="1058"/>
      <c r="AN267" s="94"/>
      <c r="BW267" s="79"/>
      <c r="BX267" s="79"/>
      <c r="CB267" s="1031" t="e">
        <f t="shared" si="86"/>
        <v>#VALUE!</v>
      </c>
      <c r="CC267" s="1031" t="str">
        <f t="shared" ref="CC267:CC278" si="91">IF(CJ267=1,"* La consulta pertinente según Protocolo de Referencia NO DEBE ser mayor al Total registrado. ","")</f>
        <v xml:space="preserve">* La consulta pertinente según Protocolo de Referencia NO DEBE ser mayor al Total registrado. </v>
      </c>
      <c r="CD267" s="1031" t="str">
        <f t="shared" ref="CD267:CD278" si="92">IF(CK267=1,"* La consulta pertinente según condición clínica NO DEBE ser mayor al Total registrado. ","")</f>
        <v xml:space="preserve">* La consulta pertinente según condición clínica NO DEBE ser mayor al Total registrado. </v>
      </c>
      <c r="CE267" s="1031" t="str">
        <f t="shared" si="87"/>
        <v xml:space="preserve">* Las Embarazadas NO DEBEN ser mayor al total de Mujeres. </v>
      </c>
      <c r="CF267" s="1031" t="str">
        <f t="shared" ref="CF267:CF278" si="93">IF(AND($E267&lt;&gt;0,AD267=""),"* No olvide digitar la columna Usuarios en Situación de Discapacidad (Digite CEROS si no tiene). ",IF($E267&lt;AD267,"* Los Usuarios en Situación de Discapacidad NO DEBEN ser mayor al total. ",""))</f>
        <v xml:space="preserve">* Los Usuarios en Situación de Discapacidad NO DEBEN ser mayor al total. </v>
      </c>
      <c r="CG267" s="1031" t="str">
        <f t="shared" ref="CG267:CG278" si="94">IF(AND($E267&lt;&gt;0,AE267=""),"* No olvide digitar la columna Niños, Niñas, Adolescentes y Jóvenes Población SENAME (Digite CEROS si no tiene). ",IF($E267&lt;AE267,"* Los Niños, Niñas, Adolescentes y Jóvenes Población SENAME NO DEBEN ser mayor al total. ",""))</f>
        <v xml:space="preserve">* Los Niños, Niñas, Adolescentes y Jóvenes Población SENAME NO DEBEN ser mayor al total. </v>
      </c>
      <c r="CH267" s="1031" t="str">
        <f t="shared" ref="CH267:CH278" si="95">IF(AND($E267&lt;&gt;0,AF267=""),"* No olvide digitar la columna Migrantes (Digite CEROS si no tiene). ",IF($E267&lt;AF267,"* Los Migrantes NO DEBEN ser mayor al total. ",""))</f>
        <v xml:space="preserve">* Los Migrantes NO DEBEN ser mayor al total. </v>
      </c>
      <c r="CI267" s="1163" t="e">
        <f t="shared" si="88"/>
        <v>#VALUE!</v>
      </c>
      <c r="CJ267" s="1163">
        <f t="shared" ref="CJ267:CJ278" si="96">IF(E267&lt;Z267,1,0)</f>
        <v>1</v>
      </c>
      <c r="CK267" s="1163">
        <f t="shared" ref="CK267:CK278" si="97">IF(E269&lt;AA269,1,0)</f>
        <v>1</v>
      </c>
      <c r="CL267" s="1163">
        <f t="shared" si="89"/>
        <v>1</v>
      </c>
      <c r="CM267" s="1163">
        <f t="shared" ref="CM267:CO278" si="98">IF(AND($E267&lt;&gt;0,AD267=""),1,IF($E267&lt;AD267,1,0))</f>
        <v>1</v>
      </c>
      <c r="CN267" s="1163">
        <f t="shared" si="98"/>
        <v>1</v>
      </c>
      <c r="CO267" s="1163">
        <f t="shared" si="98"/>
        <v>1</v>
      </c>
    </row>
    <row r="268" spans="1:93" ht="16.350000000000001" customHeight="1" x14ac:dyDescent="0.2">
      <c r="A268" s="3009" t="s">
        <v>3673</v>
      </c>
      <c r="B268" s="5103"/>
      <c r="C268" s="5983" t="s">
        <v>1123</v>
      </c>
      <c r="D268" s="5983"/>
      <c r="E268" s="3070" t="s">
        <v>2777</v>
      </c>
      <c r="F268" s="2886" t="s">
        <v>2778</v>
      </c>
      <c r="G268" s="3083" t="s">
        <v>2779</v>
      </c>
      <c r="H268" s="2411" t="s">
        <v>2780</v>
      </c>
      <c r="I268" s="687" t="s">
        <v>2781</v>
      </c>
      <c r="J268" s="684" t="s">
        <v>2782</v>
      </c>
      <c r="K268" s="687" t="s">
        <v>2783</v>
      </c>
      <c r="L268" s="684" t="s">
        <v>2784</v>
      </c>
      <c r="M268" s="687" t="s">
        <v>2785</v>
      </c>
      <c r="N268" s="684" t="s">
        <v>2786</v>
      </c>
      <c r="O268" s="687" t="s">
        <v>2787</v>
      </c>
      <c r="P268" s="684" t="s">
        <v>2788</v>
      </c>
      <c r="Q268" s="687" t="s">
        <v>2789</v>
      </c>
      <c r="R268" s="684" t="s">
        <v>2790</v>
      </c>
      <c r="S268" s="687" t="s">
        <v>2791</v>
      </c>
      <c r="T268" s="684" t="s">
        <v>2792</v>
      </c>
      <c r="U268" s="687" t="s">
        <v>2793</v>
      </c>
      <c r="V268" s="684" t="s">
        <v>2794</v>
      </c>
      <c r="W268" s="676" t="s">
        <v>2795</v>
      </c>
      <c r="X268" s="690" t="s">
        <v>2796</v>
      </c>
      <c r="Y268" s="678" t="s">
        <v>2797</v>
      </c>
      <c r="Z268" s="1650" t="s">
        <v>2798</v>
      </c>
      <c r="AA268" s="1650" t="s">
        <v>2799</v>
      </c>
      <c r="AB268" s="678" t="s">
        <v>2800</v>
      </c>
      <c r="AC268" s="678" t="s">
        <v>2801</v>
      </c>
      <c r="AD268" s="678" t="s">
        <v>2817</v>
      </c>
      <c r="AE268" s="678" t="s">
        <v>2818</v>
      </c>
      <c r="AF268" s="678" t="s">
        <v>2819</v>
      </c>
      <c r="AG268" s="1079" t="e">
        <f t="shared" si="90"/>
        <v>#VALUE!</v>
      </c>
      <c r="AH268" s="1058"/>
      <c r="AI268" s="1058"/>
      <c r="AJ268" s="1058"/>
      <c r="AK268" s="1058"/>
      <c r="AL268" s="1058"/>
      <c r="AM268" s="1058"/>
      <c r="AN268" s="94"/>
      <c r="BW268" s="79"/>
      <c r="BX268" s="79"/>
      <c r="CB268" s="1031" t="e">
        <f t="shared" si="86"/>
        <v>#VALUE!</v>
      </c>
      <c r="CC268" s="1031" t="str">
        <f t="shared" si="91"/>
        <v xml:space="preserve">* La consulta pertinente según Protocolo de Referencia NO DEBE ser mayor al Total registrado. </v>
      </c>
      <c r="CD268" s="1031" t="str">
        <f t="shared" si="92"/>
        <v xml:space="preserve">* La consulta pertinente según condición clínica NO DEBE ser mayor al Total registrado. </v>
      </c>
      <c r="CE268" s="1031" t="str">
        <f t="shared" si="87"/>
        <v xml:space="preserve">* Las Embarazadas NO DEBEN ser mayor al total de Mujeres. </v>
      </c>
      <c r="CF268" s="1031" t="str">
        <f t="shared" si="93"/>
        <v xml:space="preserve">* Los Usuarios en Situación de Discapacidad NO DEBEN ser mayor al total. </v>
      </c>
      <c r="CG268" s="1031" t="str">
        <f t="shared" si="94"/>
        <v xml:space="preserve">* Los Niños, Niñas, Adolescentes y Jóvenes Población SENAME NO DEBEN ser mayor al total. </v>
      </c>
      <c r="CH268" s="1031" t="str">
        <f t="shared" si="95"/>
        <v xml:space="preserve">* Los Migrantes NO DEBEN ser mayor al total. </v>
      </c>
      <c r="CI268" s="1163" t="e">
        <f t="shared" si="88"/>
        <v>#VALUE!</v>
      </c>
      <c r="CJ268" s="1163">
        <f t="shared" si="96"/>
        <v>1</v>
      </c>
      <c r="CK268" s="1163">
        <f t="shared" si="97"/>
        <v>1</v>
      </c>
      <c r="CL268" s="1163">
        <f t="shared" si="89"/>
        <v>1</v>
      </c>
      <c r="CM268" s="1163">
        <f t="shared" si="98"/>
        <v>1</v>
      </c>
      <c r="CN268" s="1163">
        <f t="shared" si="98"/>
        <v>1</v>
      </c>
      <c r="CO268" s="1163">
        <f t="shared" si="98"/>
        <v>1</v>
      </c>
    </row>
    <row r="269" spans="1:93" ht="16.350000000000001" customHeight="1" x14ac:dyDescent="0.2">
      <c r="A269" s="4631" t="s">
        <v>3922</v>
      </c>
      <c r="B269" s="5343"/>
      <c r="C269" s="5992" t="s">
        <v>2014</v>
      </c>
      <c r="D269" s="5992"/>
      <c r="E269" s="3084" t="s">
        <v>2777</v>
      </c>
      <c r="F269" s="2888" t="s">
        <v>2778</v>
      </c>
      <c r="G269" s="3085" t="s">
        <v>2779</v>
      </c>
      <c r="H269" s="530" t="s">
        <v>2780</v>
      </c>
      <c r="I269" s="588" t="s">
        <v>2781</v>
      </c>
      <c r="J269" s="682" t="s">
        <v>2782</v>
      </c>
      <c r="K269" s="588" t="s">
        <v>2783</v>
      </c>
      <c r="L269" s="682" t="s">
        <v>2784</v>
      </c>
      <c r="M269" s="588" t="s">
        <v>2785</v>
      </c>
      <c r="N269" s="682" t="s">
        <v>2786</v>
      </c>
      <c r="O269" s="588" t="s">
        <v>2787</v>
      </c>
      <c r="P269" s="682" t="s">
        <v>2788</v>
      </c>
      <c r="Q269" s="588" t="s">
        <v>2789</v>
      </c>
      <c r="R269" s="682" t="s">
        <v>2790</v>
      </c>
      <c r="S269" s="588" t="s">
        <v>2791</v>
      </c>
      <c r="T269" s="682" t="s">
        <v>2792</v>
      </c>
      <c r="U269" s="588" t="s">
        <v>2793</v>
      </c>
      <c r="V269" s="682" t="s">
        <v>2794</v>
      </c>
      <c r="W269" s="675" t="s">
        <v>2795</v>
      </c>
      <c r="X269" s="690" t="s">
        <v>2796</v>
      </c>
      <c r="Y269" s="678" t="s">
        <v>2797</v>
      </c>
      <c r="Z269" s="1650" t="s">
        <v>2798</v>
      </c>
      <c r="AA269" s="1650" t="s">
        <v>2799</v>
      </c>
      <c r="AB269" s="678" t="s">
        <v>2800</v>
      </c>
      <c r="AC269" s="678" t="s">
        <v>2801</v>
      </c>
      <c r="AD269" s="678" t="s">
        <v>2817</v>
      </c>
      <c r="AE269" s="678" t="s">
        <v>2818</v>
      </c>
      <c r="AF269" s="678" t="s">
        <v>2819</v>
      </c>
      <c r="AG269" s="1079" t="e">
        <f t="shared" si="90"/>
        <v>#VALUE!</v>
      </c>
      <c r="AH269" s="1058"/>
      <c r="AI269" s="1058"/>
      <c r="AJ269" s="1058"/>
      <c r="AK269" s="1058"/>
      <c r="AL269" s="1058"/>
      <c r="AM269" s="1058"/>
      <c r="AN269" s="94"/>
      <c r="BW269" s="79"/>
      <c r="BX269" s="79"/>
      <c r="CB269" s="1031" t="e">
        <f t="shared" si="86"/>
        <v>#VALUE!</v>
      </c>
      <c r="CC269" s="1031" t="str">
        <f t="shared" si="91"/>
        <v xml:space="preserve">* La consulta pertinente según Protocolo de Referencia NO DEBE ser mayor al Total registrado. </v>
      </c>
      <c r="CD269" s="1031" t="str">
        <f t="shared" si="92"/>
        <v xml:space="preserve">* La consulta pertinente según condición clínica NO DEBE ser mayor al Total registrado. </v>
      </c>
      <c r="CE269" s="1031" t="str">
        <f t="shared" si="87"/>
        <v xml:space="preserve">* Las Embarazadas NO DEBEN ser mayor al total de Mujeres. </v>
      </c>
      <c r="CF269" s="1031" t="str">
        <f t="shared" si="93"/>
        <v xml:space="preserve">* Los Usuarios en Situación de Discapacidad NO DEBEN ser mayor al total. </v>
      </c>
      <c r="CG269" s="1031" t="str">
        <f t="shared" si="94"/>
        <v xml:space="preserve">* Los Niños, Niñas, Adolescentes y Jóvenes Población SENAME NO DEBEN ser mayor al total. </v>
      </c>
      <c r="CH269" s="1031" t="str">
        <f t="shared" si="95"/>
        <v xml:space="preserve">* Los Migrantes NO DEBEN ser mayor al total. </v>
      </c>
      <c r="CI269" s="1163" t="e">
        <f t="shared" si="88"/>
        <v>#VALUE!</v>
      </c>
      <c r="CJ269" s="1163">
        <f t="shared" si="96"/>
        <v>1</v>
      </c>
      <c r="CK269" s="1163">
        <f t="shared" si="97"/>
        <v>1</v>
      </c>
      <c r="CL269" s="1163">
        <f t="shared" si="89"/>
        <v>1</v>
      </c>
      <c r="CM269" s="1163">
        <f t="shared" si="98"/>
        <v>1</v>
      </c>
      <c r="CN269" s="1163">
        <f t="shared" si="98"/>
        <v>1</v>
      </c>
      <c r="CO269" s="1163">
        <f t="shared" si="98"/>
        <v>1</v>
      </c>
    </row>
    <row r="270" spans="1:93" ht="16.350000000000001" customHeight="1" x14ac:dyDescent="0.2">
      <c r="A270" s="4631" t="s">
        <v>3923</v>
      </c>
      <c r="B270" s="5987" t="s">
        <v>1090</v>
      </c>
      <c r="C270" s="5980" t="s">
        <v>2012</v>
      </c>
      <c r="D270" s="5981"/>
      <c r="E270" s="4993" t="s">
        <v>2777</v>
      </c>
      <c r="F270" s="4994" t="s">
        <v>2778</v>
      </c>
      <c r="G270" s="4995" t="s">
        <v>2779</v>
      </c>
      <c r="H270" s="4996" t="s">
        <v>2780</v>
      </c>
      <c r="I270" s="4997" t="s">
        <v>2781</v>
      </c>
      <c r="J270" s="4998" t="s">
        <v>2782</v>
      </c>
      <c r="K270" s="4997" t="s">
        <v>2783</v>
      </c>
      <c r="L270" s="4998" t="s">
        <v>2784</v>
      </c>
      <c r="M270" s="4997" t="s">
        <v>2785</v>
      </c>
      <c r="N270" s="4998" t="s">
        <v>2786</v>
      </c>
      <c r="O270" s="4997" t="s">
        <v>2787</v>
      </c>
      <c r="P270" s="4998" t="s">
        <v>2788</v>
      </c>
      <c r="Q270" s="4997" t="s">
        <v>2789</v>
      </c>
      <c r="R270" s="4998" t="s">
        <v>2790</v>
      </c>
      <c r="S270" s="4997" t="s">
        <v>2791</v>
      </c>
      <c r="T270" s="4998" t="s">
        <v>2792</v>
      </c>
      <c r="U270" s="4997" t="s">
        <v>2793</v>
      </c>
      <c r="V270" s="4998" t="s">
        <v>2794</v>
      </c>
      <c r="W270" s="4999" t="s">
        <v>2795</v>
      </c>
      <c r="X270" s="5000" t="s">
        <v>2796</v>
      </c>
      <c r="Y270" s="4198" t="s">
        <v>2797</v>
      </c>
      <c r="Z270" s="4198" t="s">
        <v>2798</v>
      </c>
      <c r="AA270" s="5001" t="s">
        <v>2799</v>
      </c>
      <c r="AB270" s="2410" t="s">
        <v>2800</v>
      </c>
      <c r="AC270" s="2410" t="s">
        <v>2801</v>
      </c>
      <c r="AD270" s="2410" t="s">
        <v>2817</v>
      </c>
      <c r="AE270" s="2410" t="s">
        <v>2818</v>
      </c>
      <c r="AF270" s="2410" t="s">
        <v>2819</v>
      </c>
      <c r="AG270" s="1079" t="e">
        <f t="shared" si="90"/>
        <v>#VALUE!</v>
      </c>
      <c r="AH270" s="1058"/>
      <c r="AI270" s="1058"/>
      <c r="AJ270" s="1058"/>
      <c r="AK270" s="1058"/>
      <c r="AL270" s="1058"/>
      <c r="AM270" s="1058"/>
      <c r="AN270" s="94"/>
      <c r="BW270" s="79"/>
      <c r="BX270" s="79"/>
      <c r="CB270" s="1031" t="e">
        <f t="shared" si="86"/>
        <v>#VALUE!</v>
      </c>
      <c r="CC270" s="1031" t="str">
        <f t="shared" si="91"/>
        <v xml:space="preserve">* La consulta pertinente según Protocolo de Referencia NO DEBE ser mayor al Total registrado. </v>
      </c>
      <c r="CD270" s="1031" t="str">
        <f t="shared" si="92"/>
        <v xml:space="preserve">* La consulta pertinente según condición clínica NO DEBE ser mayor al Total registrado. </v>
      </c>
      <c r="CE270" s="1031" t="str">
        <f t="shared" si="87"/>
        <v xml:space="preserve">* Las Embarazadas NO DEBEN ser mayor al total de Mujeres. </v>
      </c>
      <c r="CF270" s="1031" t="str">
        <f t="shared" si="93"/>
        <v xml:space="preserve">* Los Usuarios en Situación de Discapacidad NO DEBEN ser mayor al total. </v>
      </c>
      <c r="CG270" s="1031" t="str">
        <f t="shared" si="94"/>
        <v xml:space="preserve">* Los Niños, Niñas, Adolescentes y Jóvenes Población SENAME NO DEBEN ser mayor al total. </v>
      </c>
      <c r="CH270" s="1031" t="str">
        <f t="shared" si="95"/>
        <v xml:space="preserve">* Los Migrantes NO DEBEN ser mayor al total. </v>
      </c>
      <c r="CI270" s="1163" t="e">
        <f t="shared" si="88"/>
        <v>#VALUE!</v>
      </c>
      <c r="CJ270" s="1163">
        <f t="shared" si="96"/>
        <v>1</v>
      </c>
      <c r="CK270" s="1163">
        <f t="shared" si="97"/>
        <v>1</v>
      </c>
      <c r="CL270" s="1163">
        <f t="shared" si="89"/>
        <v>1</v>
      </c>
      <c r="CM270" s="1163">
        <f t="shared" si="98"/>
        <v>1</v>
      </c>
      <c r="CN270" s="1163">
        <f t="shared" si="98"/>
        <v>1</v>
      </c>
      <c r="CO270" s="1163">
        <f t="shared" si="98"/>
        <v>1</v>
      </c>
    </row>
    <row r="271" spans="1:93" ht="16.350000000000001" customHeight="1" x14ac:dyDescent="0.2">
      <c r="A271" s="4631" t="s">
        <v>3924</v>
      </c>
      <c r="B271" s="5493"/>
      <c r="C271" s="5982" t="s">
        <v>2013</v>
      </c>
      <c r="D271" s="5982"/>
      <c r="E271" s="5002" t="s">
        <v>2777</v>
      </c>
      <c r="F271" s="4994" t="s">
        <v>2778</v>
      </c>
      <c r="G271" s="5003" t="s">
        <v>2779</v>
      </c>
      <c r="H271" s="5004" t="s">
        <v>2780</v>
      </c>
      <c r="I271" s="5005" t="s">
        <v>2781</v>
      </c>
      <c r="J271" s="5006" t="s">
        <v>2782</v>
      </c>
      <c r="K271" s="5005" t="s">
        <v>2783</v>
      </c>
      <c r="L271" s="5006" t="s">
        <v>2784</v>
      </c>
      <c r="M271" s="5005" t="s">
        <v>2785</v>
      </c>
      <c r="N271" s="5006" t="s">
        <v>2786</v>
      </c>
      <c r="O271" s="5005" t="s">
        <v>2787</v>
      </c>
      <c r="P271" s="5006" t="s">
        <v>2788</v>
      </c>
      <c r="Q271" s="5005" t="s">
        <v>2789</v>
      </c>
      <c r="R271" s="5006" t="s">
        <v>2790</v>
      </c>
      <c r="S271" s="5005" t="s">
        <v>2791</v>
      </c>
      <c r="T271" s="5006" t="s">
        <v>2792</v>
      </c>
      <c r="U271" s="5005" t="s">
        <v>2793</v>
      </c>
      <c r="V271" s="5006" t="s">
        <v>2794</v>
      </c>
      <c r="W271" s="4999" t="s">
        <v>2795</v>
      </c>
      <c r="X271" s="4197" t="s">
        <v>2796</v>
      </c>
      <c r="Y271" s="4198" t="s">
        <v>2797</v>
      </c>
      <c r="Z271" s="4199" t="s">
        <v>2798</v>
      </c>
      <c r="AA271" s="5007" t="s">
        <v>2799</v>
      </c>
      <c r="AB271" s="677" t="s">
        <v>2800</v>
      </c>
      <c r="AC271" s="677" t="s">
        <v>2801</v>
      </c>
      <c r="AD271" s="677" t="s">
        <v>2817</v>
      </c>
      <c r="AE271" s="677" t="s">
        <v>2818</v>
      </c>
      <c r="AF271" s="677" t="s">
        <v>2819</v>
      </c>
      <c r="AG271" s="1079" t="e">
        <f t="shared" si="90"/>
        <v>#VALUE!</v>
      </c>
      <c r="AH271" s="1058"/>
      <c r="AI271" s="1058"/>
      <c r="AJ271" s="1058"/>
      <c r="AK271" s="1058"/>
      <c r="AL271" s="1058"/>
      <c r="AM271" s="1058"/>
      <c r="AN271" s="94"/>
      <c r="BW271" s="79"/>
      <c r="BX271" s="79"/>
      <c r="CB271" s="1031" t="e">
        <f t="shared" si="86"/>
        <v>#VALUE!</v>
      </c>
      <c r="CC271" s="1031" t="str">
        <f t="shared" si="91"/>
        <v xml:space="preserve">* La consulta pertinente según Protocolo de Referencia NO DEBE ser mayor al Total registrado. </v>
      </c>
      <c r="CD271" s="1031" t="str">
        <f t="shared" si="92"/>
        <v xml:space="preserve">* La consulta pertinente según condición clínica NO DEBE ser mayor al Total registrado. </v>
      </c>
      <c r="CE271" s="1031" t="str">
        <f t="shared" si="87"/>
        <v xml:space="preserve">* Las Embarazadas NO DEBEN ser mayor al total de Mujeres. </v>
      </c>
      <c r="CF271" s="1031" t="str">
        <f t="shared" si="93"/>
        <v xml:space="preserve">* Los Usuarios en Situación de Discapacidad NO DEBEN ser mayor al total. </v>
      </c>
      <c r="CG271" s="1031" t="str">
        <f t="shared" si="94"/>
        <v xml:space="preserve">* Los Niños, Niñas, Adolescentes y Jóvenes Población SENAME NO DEBEN ser mayor al total. </v>
      </c>
      <c r="CH271" s="1031" t="str">
        <f t="shared" si="95"/>
        <v xml:space="preserve">* Los Migrantes NO DEBEN ser mayor al total. </v>
      </c>
      <c r="CI271" s="1163" t="e">
        <f t="shared" si="88"/>
        <v>#VALUE!</v>
      </c>
      <c r="CJ271" s="1163">
        <f t="shared" si="96"/>
        <v>1</v>
      </c>
      <c r="CK271" s="1163">
        <f t="shared" si="97"/>
        <v>1</v>
      </c>
      <c r="CL271" s="1163">
        <f t="shared" si="89"/>
        <v>1</v>
      </c>
      <c r="CM271" s="1163">
        <f t="shared" si="98"/>
        <v>1</v>
      </c>
      <c r="CN271" s="1163">
        <f t="shared" si="98"/>
        <v>1</v>
      </c>
      <c r="CO271" s="1163">
        <f t="shared" si="98"/>
        <v>1</v>
      </c>
    </row>
    <row r="272" spans="1:93" ht="16.350000000000001" customHeight="1" x14ac:dyDescent="0.2">
      <c r="A272" s="4650" t="s">
        <v>3674</v>
      </c>
      <c r="B272" s="5493"/>
      <c r="C272" s="5984" t="s">
        <v>1122</v>
      </c>
      <c r="D272" s="5985"/>
      <c r="E272" s="5002" t="s">
        <v>2777</v>
      </c>
      <c r="F272" s="4994" t="s">
        <v>2778</v>
      </c>
      <c r="G272" s="5003" t="s">
        <v>2779</v>
      </c>
      <c r="H272" s="5004" t="s">
        <v>2780</v>
      </c>
      <c r="I272" s="5005" t="s">
        <v>2781</v>
      </c>
      <c r="J272" s="5006" t="s">
        <v>2782</v>
      </c>
      <c r="K272" s="5005" t="s">
        <v>2783</v>
      </c>
      <c r="L272" s="5006" t="s">
        <v>2784</v>
      </c>
      <c r="M272" s="5005" t="s">
        <v>2785</v>
      </c>
      <c r="N272" s="5006" t="s">
        <v>2786</v>
      </c>
      <c r="O272" s="5005" t="s">
        <v>2787</v>
      </c>
      <c r="P272" s="5006" t="s">
        <v>2788</v>
      </c>
      <c r="Q272" s="5005" t="s">
        <v>2789</v>
      </c>
      <c r="R272" s="5006" t="s">
        <v>2790</v>
      </c>
      <c r="S272" s="5005" t="s">
        <v>2791</v>
      </c>
      <c r="T272" s="5006" t="s">
        <v>2792</v>
      </c>
      <c r="U272" s="5005" t="s">
        <v>2793</v>
      </c>
      <c r="V272" s="5006" t="s">
        <v>2794</v>
      </c>
      <c r="W272" s="4999" t="s">
        <v>2795</v>
      </c>
      <c r="X272" s="4197" t="s">
        <v>2796</v>
      </c>
      <c r="Y272" s="4198" t="s">
        <v>2797</v>
      </c>
      <c r="Z272" s="4199" t="s">
        <v>2798</v>
      </c>
      <c r="AA272" s="5007" t="s">
        <v>2799</v>
      </c>
      <c r="AB272" s="677" t="s">
        <v>2800</v>
      </c>
      <c r="AC272" s="677" t="s">
        <v>2801</v>
      </c>
      <c r="AD272" s="677" t="s">
        <v>2817</v>
      </c>
      <c r="AE272" s="677" t="s">
        <v>2818</v>
      </c>
      <c r="AF272" s="677" t="s">
        <v>2819</v>
      </c>
      <c r="AG272" s="1079" t="e">
        <f t="shared" si="90"/>
        <v>#VALUE!</v>
      </c>
      <c r="AH272" s="1058"/>
      <c r="AI272" s="1058"/>
      <c r="AJ272" s="1058"/>
      <c r="AK272" s="1058"/>
      <c r="AL272" s="1058"/>
      <c r="AM272" s="1058"/>
      <c r="AN272" s="94"/>
      <c r="BW272" s="79"/>
      <c r="BX272" s="79"/>
      <c r="CB272" s="1031" t="e">
        <f t="shared" si="86"/>
        <v>#VALUE!</v>
      </c>
      <c r="CC272" s="1031" t="str">
        <f t="shared" si="91"/>
        <v xml:space="preserve">* La consulta pertinente según Protocolo de Referencia NO DEBE ser mayor al Total registrado. </v>
      </c>
      <c r="CD272" s="1031" t="str">
        <f t="shared" si="92"/>
        <v xml:space="preserve">* La consulta pertinente según condición clínica NO DEBE ser mayor al Total registrado. </v>
      </c>
      <c r="CE272" s="1031" t="str">
        <f t="shared" si="87"/>
        <v xml:space="preserve">* Las Embarazadas NO DEBEN ser mayor al total de Mujeres. </v>
      </c>
      <c r="CF272" s="1031" t="str">
        <f t="shared" si="93"/>
        <v xml:space="preserve">* Los Usuarios en Situación de Discapacidad NO DEBEN ser mayor al total. </v>
      </c>
      <c r="CG272" s="1031" t="str">
        <f t="shared" si="94"/>
        <v xml:space="preserve">* Los Niños, Niñas, Adolescentes y Jóvenes Población SENAME NO DEBEN ser mayor al total. </v>
      </c>
      <c r="CH272" s="1031" t="str">
        <f t="shared" si="95"/>
        <v xml:space="preserve">* Los Migrantes NO DEBEN ser mayor al total. </v>
      </c>
      <c r="CI272" s="1163" t="e">
        <f t="shared" si="88"/>
        <v>#VALUE!</v>
      </c>
      <c r="CJ272" s="1163">
        <f t="shared" si="96"/>
        <v>1</v>
      </c>
      <c r="CK272" s="1163">
        <f t="shared" si="97"/>
        <v>1</v>
      </c>
      <c r="CL272" s="1163">
        <f t="shared" si="89"/>
        <v>1</v>
      </c>
      <c r="CM272" s="1163">
        <f t="shared" si="98"/>
        <v>1</v>
      </c>
      <c r="CN272" s="1163">
        <f t="shared" si="98"/>
        <v>1</v>
      </c>
      <c r="CO272" s="1163">
        <f t="shared" si="98"/>
        <v>1</v>
      </c>
    </row>
    <row r="273" spans="1:93" ht="16.350000000000001" customHeight="1" x14ac:dyDescent="0.2">
      <c r="A273" s="4650" t="s">
        <v>3675</v>
      </c>
      <c r="B273" s="5493"/>
      <c r="C273" s="5984" t="s">
        <v>1123</v>
      </c>
      <c r="D273" s="5985"/>
      <c r="E273" s="5002" t="s">
        <v>2777</v>
      </c>
      <c r="F273" s="4994" t="s">
        <v>2778</v>
      </c>
      <c r="G273" s="5003" t="s">
        <v>2779</v>
      </c>
      <c r="H273" s="5008" t="s">
        <v>2780</v>
      </c>
      <c r="I273" s="5009" t="s">
        <v>2781</v>
      </c>
      <c r="J273" s="5010" t="s">
        <v>2782</v>
      </c>
      <c r="K273" s="5009" t="s">
        <v>2783</v>
      </c>
      <c r="L273" s="5010" t="s">
        <v>2784</v>
      </c>
      <c r="M273" s="5009" t="s">
        <v>2785</v>
      </c>
      <c r="N273" s="5010" t="s">
        <v>2786</v>
      </c>
      <c r="O273" s="5009" t="s">
        <v>2787</v>
      </c>
      <c r="P273" s="5010" t="s">
        <v>2788</v>
      </c>
      <c r="Q273" s="5009" t="s">
        <v>2789</v>
      </c>
      <c r="R273" s="5010" t="s">
        <v>2790</v>
      </c>
      <c r="S273" s="5009" t="s">
        <v>2791</v>
      </c>
      <c r="T273" s="5010" t="s">
        <v>2792</v>
      </c>
      <c r="U273" s="5009" t="s">
        <v>2793</v>
      </c>
      <c r="V273" s="5010" t="s">
        <v>2794</v>
      </c>
      <c r="W273" s="5011" t="s">
        <v>2795</v>
      </c>
      <c r="X273" s="4200" t="s">
        <v>2796</v>
      </c>
      <c r="Y273" s="4201" t="s">
        <v>2797</v>
      </c>
      <c r="Z273" s="4199" t="s">
        <v>2798</v>
      </c>
      <c r="AA273" s="5007" t="s">
        <v>2799</v>
      </c>
      <c r="AB273" s="4200" t="s">
        <v>2800</v>
      </c>
      <c r="AC273" s="4201" t="s">
        <v>2801</v>
      </c>
      <c r="AD273" s="4201" t="s">
        <v>2817</v>
      </c>
      <c r="AE273" s="4201" t="s">
        <v>2818</v>
      </c>
      <c r="AF273" s="4201" t="s">
        <v>2819</v>
      </c>
      <c r="AG273" s="1079" t="e">
        <f t="shared" si="90"/>
        <v>#VALUE!</v>
      </c>
      <c r="AH273" s="1058"/>
      <c r="AI273" s="1058"/>
      <c r="AJ273" s="1058"/>
      <c r="AK273" s="1058"/>
      <c r="AL273" s="1058"/>
      <c r="AM273" s="1058"/>
      <c r="AN273" s="94"/>
      <c r="BW273" s="79"/>
      <c r="BX273" s="79"/>
      <c r="CB273" s="1031" t="e">
        <f t="shared" si="86"/>
        <v>#VALUE!</v>
      </c>
      <c r="CC273" s="1031" t="str">
        <f t="shared" si="91"/>
        <v xml:space="preserve">* La consulta pertinente según Protocolo de Referencia NO DEBE ser mayor al Total registrado. </v>
      </c>
      <c r="CD273" s="1031" t="str">
        <f t="shared" si="92"/>
        <v/>
      </c>
      <c r="CE273" s="1031" t="str">
        <f t="shared" si="87"/>
        <v xml:space="preserve">* Las Embarazadas NO DEBEN ser mayor al total de Mujeres. </v>
      </c>
      <c r="CF273" s="1031" t="str">
        <f t="shared" si="93"/>
        <v xml:space="preserve">* Los Usuarios en Situación de Discapacidad NO DEBEN ser mayor al total. </v>
      </c>
      <c r="CG273" s="1031" t="str">
        <f t="shared" si="94"/>
        <v xml:space="preserve">* Los Niños, Niñas, Adolescentes y Jóvenes Población SENAME NO DEBEN ser mayor al total. </v>
      </c>
      <c r="CH273" s="1031" t="str">
        <f t="shared" si="95"/>
        <v xml:space="preserve">* Los Migrantes NO DEBEN ser mayor al total. </v>
      </c>
      <c r="CI273" s="1163" t="e">
        <f t="shared" si="88"/>
        <v>#VALUE!</v>
      </c>
      <c r="CJ273" s="1163">
        <f t="shared" si="96"/>
        <v>1</v>
      </c>
      <c r="CK273" s="1163">
        <f t="shared" si="97"/>
        <v>0</v>
      </c>
      <c r="CL273" s="1163">
        <f t="shared" si="89"/>
        <v>1</v>
      </c>
      <c r="CM273" s="1163">
        <f t="shared" si="98"/>
        <v>1</v>
      </c>
      <c r="CN273" s="1163">
        <f t="shared" si="98"/>
        <v>1</v>
      </c>
      <c r="CO273" s="1163">
        <f t="shared" si="98"/>
        <v>1</v>
      </c>
    </row>
    <row r="274" spans="1:93" ht="16.350000000000001" customHeight="1" thickBot="1" x14ac:dyDescent="0.25">
      <c r="A274" s="4631" t="s">
        <v>3925</v>
      </c>
      <c r="B274" s="5493"/>
      <c r="C274" s="5988" t="s">
        <v>2014</v>
      </c>
      <c r="D274" s="5988"/>
      <c r="E274" s="2887" t="s">
        <v>2777</v>
      </c>
      <c r="F274" s="5012" t="s">
        <v>2778</v>
      </c>
      <c r="G274" s="5013" t="s">
        <v>2779</v>
      </c>
      <c r="H274" s="5014" t="s">
        <v>2780</v>
      </c>
      <c r="I274" s="5015" t="s">
        <v>2781</v>
      </c>
      <c r="J274" s="5016" t="s">
        <v>2782</v>
      </c>
      <c r="K274" s="5015" t="s">
        <v>2783</v>
      </c>
      <c r="L274" s="5016" t="s">
        <v>2784</v>
      </c>
      <c r="M274" s="5015" t="s">
        <v>2785</v>
      </c>
      <c r="N274" s="5016" t="s">
        <v>2786</v>
      </c>
      <c r="O274" s="5015" t="s">
        <v>2787</v>
      </c>
      <c r="P274" s="5016" t="s">
        <v>2788</v>
      </c>
      <c r="Q274" s="5015" t="s">
        <v>2789</v>
      </c>
      <c r="R274" s="5016" t="s">
        <v>2790</v>
      </c>
      <c r="S274" s="5015" t="s">
        <v>2791</v>
      </c>
      <c r="T274" s="5016" t="s">
        <v>2792</v>
      </c>
      <c r="U274" s="5015" t="s">
        <v>2793</v>
      </c>
      <c r="V274" s="5014" t="s">
        <v>2794</v>
      </c>
      <c r="W274" s="5017" t="s">
        <v>2795</v>
      </c>
      <c r="X274" s="5018" t="s">
        <v>2796</v>
      </c>
      <c r="Y274" s="5019" t="s">
        <v>2797</v>
      </c>
      <c r="Z274" s="5020" t="s">
        <v>2798</v>
      </c>
      <c r="AA274" s="5021" t="s">
        <v>2799</v>
      </c>
      <c r="AB274" s="5018" t="s">
        <v>2800</v>
      </c>
      <c r="AC274" s="5019" t="s">
        <v>2801</v>
      </c>
      <c r="AD274" s="5019" t="s">
        <v>2817</v>
      </c>
      <c r="AE274" s="5019" t="s">
        <v>2818</v>
      </c>
      <c r="AF274" s="5019" t="s">
        <v>2819</v>
      </c>
      <c r="AG274" s="1079" t="e">
        <f t="shared" si="90"/>
        <v>#VALUE!</v>
      </c>
      <c r="AH274" s="1058"/>
      <c r="AI274" s="1058"/>
      <c r="AJ274" s="1058"/>
      <c r="AK274" s="1058"/>
      <c r="AL274" s="1058"/>
      <c r="AM274" s="1058"/>
      <c r="AN274" s="94"/>
      <c r="BW274" s="79"/>
      <c r="BX274" s="79"/>
      <c r="CB274" s="1031" t="e">
        <f t="shared" si="86"/>
        <v>#VALUE!</v>
      </c>
      <c r="CC274" s="1031" t="str">
        <f t="shared" si="91"/>
        <v xml:space="preserve">* La consulta pertinente según Protocolo de Referencia NO DEBE ser mayor al Total registrado. </v>
      </c>
      <c r="CD274" s="1031" t="str">
        <f t="shared" si="92"/>
        <v/>
      </c>
      <c r="CE274" s="1031" t="str">
        <f t="shared" si="87"/>
        <v xml:space="preserve">* Las Embarazadas NO DEBEN ser mayor al total de Mujeres. </v>
      </c>
      <c r="CF274" s="1031" t="str">
        <f t="shared" si="93"/>
        <v xml:space="preserve">* Los Usuarios en Situación de Discapacidad NO DEBEN ser mayor al total. </v>
      </c>
      <c r="CG274" s="1031" t="str">
        <f t="shared" si="94"/>
        <v xml:space="preserve">* Los Niños, Niñas, Adolescentes y Jóvenes Población SENAME NO DEBEN ser mayor al total. </v>
      </c>
      <c r="CH274" s="1031" t="str">
        <f t="shared" si="95"/>
        <v xml:space="preserve">* Los Migrantes NO DEBEN ser mayor al total. </v>
      </c>
      <c r="CI274" s="1163" t="e">
        <f t="shared" si="88"/>
        <v>#VALUE!</v>
      </c>
      <c r="CJ274" s="1163">
        <f t="shared" si="96"/>
        <v>1</v>
      </c>
      <c r="CK274" s="1163">
        <f t="shared" si="97"/>
        <v>0</v>
      </c>
      <c r="CL274" s="1163">
        <f t="shared" si="89"/>
        <v>1</v>
      </c>
      <c r="CM274" s="1163">
        <f t="shared" si="98"/>
        <v>1</v>
      </c>
      <c r="CN274" s="1163">
        <f t="shared" si="98"/>
        <v>1</v>
      </c>
      <c r="CO274" s="1163">
        <f t="shared" si="98"/>
        <v>1</v>
      </c>
    </row>
    <row r="275" spans="1:93" ht="16.350000000000001" customHeight="1" thickTop="1" x14ac:dyDescent="0.2">
      <c r="A275" s="4682"/>
      <c r="B275" s="5977" t="s">
        <v>42</v>
      </c>
      <c r="C275" s="5980" t="s">
        <v>2012</v>
      </c>
      <c r="D275" s="5981"/>
      <c r="E275" s="4202">
        <f>SUM(F275+G275)</f>
        <v>0</v>
      </c>
      <c r="F275" s="4203">
        <f t="shared" ref="F275:G279" si="99">SUM(H275+J275+L275+N275+P275+R275+T275+V275)</f>
        <v>0</v>
      </c>
      <c r="G275" s="4204">
        <f t="shared" si="99"/>
        <v>0</v>
      </c>
      <c r="H275" s="4205"/>
      <c r="I275" s="4205"/>
      <c r="J275" s="4205"/>
      <c r="K275" s="4205"/>
      <c r="L275" s="4205"/>
      <c r="M275" s="4205"/>
      <c r="N275" s="4205"/>
      <c r="O275" s="4205"/>
      <c r="P275" s="4205"/>
      <c r="Q275" s="4205"/>
      <c r="R275" s="4205"/>
      <c r="S275" s="4205"/>
      <c r="T275" s="4205"/>
      <c r="U275" s="4205"/>
      <c r="V275" s="4205"/>
      <c r="W275" s="4205"/>
      <c r="X275" s="4205"/>
      <c r="Y275" s="4205"/>
      <c r="Z275" s="4205"/>
      <c r="AA275" s="4205"/>
      <c r="AB275" s="4205"/>
      <c r="AC275" s="4205"/>
      <c r="AD275" s="4205"/>
      <c r="AE275" s="4205"/>
      <c r="AF275" s="4205"/>
      <c r="AG275" s="1079" t="str">
        <f t="shared" si="90"/>
        <v/>
      </c>
      <c r="AH275" s="94"/>
      <c r="AI275" s="94"/>
      <c r="AJ275" s="94"/>
      <c r="AK275" s="94"/>
      <c r="AL275" s="94"/>
      <c r="AM275" s="1058"/>
      <c r="AN275" s="94"/>
      <c r="BW275" s="79"/>
      <c r="BX275" s="79"/>
      <c r="CB275" s="1031" t="str">
        <f t="shared" si="86"/>
        <v/>
      </c>
      <c r="CC275" s="1031" t="str">
        <f t="shared" si="91"/>
        <v/>
      </c>
      <c r="CD275" s="1031" t="str">
        <f t="shared" si="92"/>
        <v/>
      </c>
      <c r="CE275" s="1031" t="str">
        <f t="shared" si="87"/>
        <v/>
      </c>
      <c r="CF275" s="1031" t="str">
        <f t="shared" si="93"/>
        <v/>
      </c>
      <c r="CG275" s="1031" t="str">
        <f t="shared" si="94"/>
        <v/>
      </c>
      <c r="CH275" s="1031" t="str">
        <f t="shared" si="95"/>
        <v/>
      </c>
      <c r="CI275" s="1163">
        <f t="shared" si="88"/>
        <v>0</v>
      </c>
      <c r="CJ275" s="1163">
        <f t="shared" si="96"/>
        <v>0</v>
      </c>
      <c r="CK275" s="1163">
        <f t="shared" si="97"/>
        <v>0</v>
      </c>
      <c r="CL275" s="1163">
        <f t="shared" si="89"/>
        <v>0</v>
      </c>
      <c r="CM275" s="1163">
        <f t="shared" si="98"/>
        <v>0</v>
      </c>
      <c r="CN275" s="1163">
        <f t="shared" si="98"/>
        <v>0</v>
      </c>
      <c r="CO275" s="1163">
        <f t="shared" si="98"/>
        <v>0</v>
      </c>
    </row>
    <row r="276" spans="1:93" ht="16.350000000000001" customHeight="1" x14ac:dyDescent="0.2">
      <c r="A276" s="4682"/>
      <c r="B276" s="5978"/>
      <c r="C276" s="5982" t="s">
        <v>2013</v>
      </c>
      <c r="D276" s="5982"/>
      <c r="E276" s="4205">
        <f>SUM(F276+G276)</f>
        <v>0</v>
      </c>
      <c r="F276" s="4206">
        <f t="shared" si="99"/>
        <v>0</v>
      </c>
      <c r="G276" s="4207">
        <f t="shared" si="99"/>
        <v>0</v>
      </c>
      <c r="H276" s="4205"/>
      <c r="I276" s="4205"/>
      <c r="J276" s="4205"/>
      <c r="K276" s="4205"/>
      <c r="L276" s="4205"/>
      <c r="M276" s="4205"/>
      <c r="N276" s="4205"/>
      <c r="O276" s="4205"/>
      <c r="P276" s="4205"/>
      <c r="Q276" s="4205"/>
      <c r="R276" s="4205"/>
      <c r="S276" s="4205"/>
      <c r="T276" s="4205"/>
      <c r="U276" s="4205"/>
      <c r="V276" s="4205"/>
      <c r="W276" s="4205"/>
      <c r="X276" s="4205"/>
      <c r="Y276" s="4205"/>
      <c r="Z276" s="4205"/>
      <c r="AA276" s="4205"/>
      <c r="AB276" s="4205"/>
      <c r="AC276" s="4205"/>
      <c r="AD276" s="4205"/>
      <c r="AE276" s="4205"/>
      <c r="AF276" s="4205"/>
      <c r="AG276" s="1079" t="str">
        <f t="shared" si="90"/>
        <v/>
      </c>
      <c r="AH276" s="94"/>
      <c r="AI276" s="94"/>
      <c r="AJ276" s="94"/>
      <c r="AK276" s="94"/>
      <c r="AL276" s="94"/>
      <c r="AM276" s="1058"/>
      <c r="AN276" s="94"/>
      <c r="BW276" s="79"/>
      <c r="BX276" s="79"/>
      <c r="CB276" s="1031" t="str">
        <f t="shared" si="86"/>
        <v/>
      </c>
      <c r="CC276" s="1031" t="str">
        <f t="shared" si="91"/>
        <v/>
      </c>
      <c r="CD276" s="1031" t="str">
        <f t="shared" si="92"/>
        <v/>
      </c>
      <c r="CE276" s="1031" t="str">
        <f t="shared" si="87"/>
        <v/>
      </c>
      <c r="CF276" s="1031" t="str">
        <f t="shared" si="93"/>
        <v/>
      </c>
      <c r="CG276" s="1031" t="str">
        <f t="shared" si="94"/>
        <v/>
      </c>
      <c r="CH276" s="1031" t="str">
        <f t="shared" si="95"/>
        <v/>
      </c>
      <c r="CI276" s="1163">
        <f t="shared" si="88"/>
        <v>0</v>
      </c>
      <c r="CJ276" s="1163">
        <f t="shared" si="96"/>
        <v>0</v>
      </c>
      <c r="CK276" s="1163">
        <f t="shared" si="97"/>
        <v>0</v>
      </c>
      <c r="CL276" s="1163">
        <f t="shared" si="89"/>
        <v>0</v>
      </c>
      <c r="CM276" s="1163">
        <f t="shared" si="98"/>
        <v>0</v>
      </c>
      <c r="CN276" s="1163">
        <f t="shared" si="98"/>
        <v>0</v>
      </c>
      <c r="CO276" s="1163">
        <f t="shared" si="98"/>
        <v>0</v>
      </c>
    </row>
    <row r="277" spans="1:93" ht="16.350000000000001" customHeight="1" x14ac:dyDescent="0.2">
      <c r="A277" s="4682"/>
      <c r="B277" s="5978"/>
      <c r="C277" s="5983" t="s">
        <v>1122</v>
      </c>
      <c r="D277" s="5983"/>
      <c r="E277" s="4205">
        <f>SUM(F277+G277)</f>
        <v>0</v>
      </c>
      <c r="F277" s="4206">
        <f t="shared" si="99"/>
        <v>0</v>
      </c>
      <c r="G277" s="4207">
        <f t="shared" si="99"/>
        <v>0</v>
      </c>
      <c r="H277" s="4205"/>
      <c r="I277" s="4205"/>
      <c r="J277" s="4205"/>
      <c r="K277" s="4205"/>
      <c r="L277" s="4205"/>
      <c r="M277" s="4205"/>
      <c r="N277" s="4205"/>
      <c r="O277" s="4205"/>
      <c r="P277" s="4205"/>
      <c r="Q277" s="4205"/>
      <c r="R277" s="4205"/>
      <c r="S277" s="4205"/>
      <c r="T277" s="4205"/>
      <c r="U277" s="4205"/>
      <c r="V277" s="4205"/>
      <c r="W277" s="4205"/>
      <c r="X277" s="4205"/>
      <c r="Y277" s="4205"/>
      <c r="Z277" s="4205"/>
      <c r="AA277" s="4205"/>
      <c r="AB277" s="4205"/>
      <c r="AC277" s="4205"/>
      <c r="AD277" s="4205"/>
      <c r="AE277" s="4205"/>
      <c r="AF277" s="4205"/>
      <c r="AG277" s="1079" t="e">
        <f t="shared" si="90"/>
        <v>#VALUE!</v>
      </c>
      <c r="AH277" s="94"/>
      <c r="AI277" s="94"/>
      <c r="AJ277" s="94"/>
      <c r="AK277" s="94"/>
      <c r="AL277" s="94"/>
      <c r="AM277" s="94"/>
      <c r="AN277" s="94"/>
      <c r="BW277" s="79"/>
      <c r="BX277" s="79"/>
      <c r="CB277" s="1031" t="str">
        <f t="shared" si="86"/>
        <v/>
      </c>
      <c r="CC277" s="1031" t="str">
        <f t="shared" si="91"/>
        <v/>
      </c>
      <c r="CD277" s="1031" t="e">
        <f t="shared" si="92"/>
        <v>#VALUE!</v>
      </c>
      <c r="CE277" s="1031" t="str">
        <f t="shared" si="87"/>
        <v/>
      </c>
      <c r="CF277" s="1031" t="str">
        <f t="shared" si="93"/>
        <v/>
      </c>
      <c r="CG277" s="1031" t="str">
        <f t="shared" si="94"/>
        <v/>
      </c>
      <c r="CH277" s="1031" t="str">
        <f t="shared" si="95"/>
        <v/>
      </c>
      <c r="CI277" s="1163">
        <f t="shared" si="88"/>
        <v>0</v>
      </c>
      <c r="CJ277" s="1163">
        <f t="shared" si="96"/>
        <v>0</v>
      </c>
      <c r="CK277" s="1163" t="e">
        <f t="shared" si="97"/>
        <v>#VALUE!</v>
      </c>
      <c r="CL277" s="1163">
        <f t="shared" si="89"/>
        <v>0</v>
      </c>
      <c r="CM277" s="1163">
        <f t="shared" si="98"/>
        <v>0</v>
      </c>
      <c r="CN277" s="1163">
        <f t="shared" si="98"/>
        <v>0</v>
      </c>
      <c r="CO277" s="1163">
        <f t="shared" si="98"/>
        <v>0</v>
      </c>
    </row>
    <row r="278" spans="1:93" ht="16.350000000000001" customHeight="1" x14ac:dyDescent="0.2">
      <c r="A278" s="4682"/>
      <c r="B278" s="5978"/>
      <c r="C278" s="5984" t="s">
        <v>1123</v>
      </c>
      <c r="D278" s="5985"/>
      <c r="E278" s="4205">
        <f>SUM(F278+G278)</f>
        <v>0</v>
      </c>
      <c r="F278" s="4206">
        <f t="shared" si="99"/>
        <v>0</v>
      </c>
      <c r="G278" s="4207">
        <f t="shared" si="99"/>
        <v>0</v>
      </c>
      <c r="H278" s="4205"/>
      <c r="I278" s="4205"/>
      <c r="J278" s="4205"/>
      <c r="K278" s="4205"/>
      <c r="L278" s="4205"/>
      <c r="M278" s="4205"/>
      <c r="N278" s="4205"/>
      <c r="O278" s="4205"/>
      <c r="P278" s="4205"/>
      <c r="Q278" s="4205"/>
      <c r="R278" s="4205"/>
      <c r="S278" s="4205"/>
      <c r="T278" s="4205"/>
      <c r="U278" s="4205"/>
      <c r="V278" s="4205"/>
      <c r="W278" s="4205"/>
      <c r="X278" s="4205"/>
      <c r="Y278" s="4205"/>
      <c r="Z278" s="4205"/>
      <c r="AA278" s="4205"/>
      <c r="AB278" s="4205"/>
      <c r="AC278" s="4205"/>
      <c r="AD278" s="4205"/>
      <c r="AE278" s="4205"/>
      <c r="AF278" s="4205"/>
      <c r="AG278" s="1079" t="str">
        <f t="shared" si="90"/>
        <v/>
      </c>
      <c r="AH278" s="94"/>
      <c r="AI278" s="94"/>
      <c r="AJ278" s="94"/>
      <c r="AK278" s="94"/>
      <c r="AL278" s="94"/>
      <c r="AM278" s="94"/>
      <c r="AN278" s="94"/>
      <c r="BW278" s="79"/>
      <c r="BX278" s="79"/>
      <c r="CB278" s="1031" t="str">
        <f t="shared" si="86"/>
        <v/>
      </c>
      <c r="CC278" s="1031" t="str">
        <f t="shared" si="91"/>
        <v/>
      </c>
      <c r="CD278" s="1031" t="str">
        <f t="shared" si="92"/>
        <v/>
      </c>
      <c r="CE278" s="1031" t="str">
        <f t="shared" si="87"/>
        <v/>
      </c>
      <c r="CF278" s="1031" t="str">
        <f t="shared" si="93"/>
        <v/>
      </c>
      <c r="CG278" s="1031" t="str">
        <f t="shared" si="94"/>
        <v/>
      </c>
      <c r="CH278" s="1031" t="str">
        <f t="shared" si="95"/>
        <v/>
      </c>
      <c r="CI278" s="1163">
        <f t="shared" si="88"/>
        <v>0</v>
      </c>
      <c r="CJ278" s="1163">
        <f t="shared" si="96"/>
        <v>0</v>
      </c>
      <c r="CK278" s="1163">
        <f t="shared" si="97"/>
        <v>0</v>
      </c>
      <c r="CL278" s="1163">
        <f t="shared" si="89"/>
        <v>0</v>
      </c>
      <c r="CM278" s="1163">
        <f t="shared" si="98"/>
        <v>0</v>
      </c>
      <c r="CN278" s="1163">
        <f t="shared" si="98"/>
        <v>0</v>
      </c>
      <c r="CO278" s="1163">
        <f t="shared" si="98"/>
        <v>0</v>
      </c>
    </row>
    <row r="279" spans="1:93" ht="16.350000000000001" customHeight="1" x14ac:dyDescent="0.2">
      <c r="A279" s="4682"/>
      <c r="B279" s="5979"/>
      <c r="C279" s="5986" t="s">
        <v>2014</v>
      </c>
      <c r="D279" s="5986"/>
      <c r="E279" s="532" t="e">
        <f>SUM(F279+G279)</f>
        <v>#VALUE!</v>
      </c>
      <c r="F279" s="4208" t="e">
        <f t="shared" si="99"/>
        <v>#VALUE!</v>
      </c>
      <c r="G279" s="688" t="e">
        <f t="shared" si="99"/>
        <v>#VALUE!</v>
      </c>
      <c r="H279" s="685" t="e">
        <f t="shared" ref="H279:Q279" si="100">SUM(H209+H214+H219+H224+H229+H234+H239+H244+H264+H269+H274)</f>
        <v>#VALUE!</v>
      </c>
      <c r="I279" s="685" t="e">
        <f t="shared" si="100"/>
        <v>#VALUE!</v>
      </c>
      <c r="J279" s="685" t="e">
        <f t="shared" si="100"/>
        <v>#VALUE!</v>
      </c>
      <c r="K279" s="685" t="e">
        <f t="shared" si="100"/>
        <v>#VALUE!</v>
      </c>
      <c r="L279" s="685" t="e">
        <f t="shared" si="100"/>
        <v>#VALUE!</v>
      </c>
      <c r="M279" s="685" t="e">
        <f t="shared" si="100"/>
        <v>#VALUE!</v>
      </c>
      <c r="N279" s="685" t="e">
        <f t="shared" si="100"/>
        <v>#VALUE!</v>
      </c>
      <c r="O279" s="685" t="e">
        <f t="shared" si="100"/>
        <v>#VALUE!</v>
      </c>
      <c r="P279" s="685" t="e">
        <f t="shared" si="100"/>
        <v>#VALUE!</v>
      </c>
      <c r="Q279" s="685" t="e">
        <f t="shared" si="100"/>
        <v>#VALUE!</v>
      </c>
      <c r="R279" s="688" t="e">
        <f>SUM(R209+R214+R219+R224+R229+R234+R239+R244+R249+R254+R259+R264+R269+R274)</f>
        <v>#VALUE!</v>
      </c>
      <c r="S279" s="688" t="e">
        <f>SUM(S209+S214+S219+S224+S229+S234+S239+S244+S249+S254+S259+S264+S269+S274)</f>
        <v>#VALUE!</v>
      </c>
      <c r="T279" s="688" t="e">
        <f>SUM(T209+T214+T219+T229+T234+T239+T244+T249+T254+T259+T264+T269+T274)</f>
        <v>#VALUE!</v>
      </c>
      <c r="U279" s="688" t="e">
        <f>SUM(U209+U214+U219+U229+U234+U239+U244+U249+U254+U259+U264+U269+U274)</f>
        <v>#VALUE!</v>
      </c>
      <c r="V279" s="688" t="e">
        <f>SUM(V209+V214+V219+V229+V234+V239+V244+V249+V254+V259+V264+V269+V274)</f>
        <v>#VALUE!</v>
      </c>
      <c r="W279" s="688" t="e">
        <f>SUM(W209+W214+W219+W229+W234+W239+W244+W249+W254+W259+W264+W269+W274)</f>
        <v>#VALUE!</v>
      </c>
      <c r="X279" s="688" t="e">
        <f>SUM(X209+X213+X218+X228+X243+X248+X253+X263+X268+X274)</f>
        <v>#VALUE!</v>
      </c>
      <c r="Y279" s="688" t="e">
        <f>SUM(Y209+Y213+Y218+Y228+Y243+Y248+Y253+Y263+Y268+Y274)</f>
        <v>#VALUE!</v>
      </c>
      <c r="Z279" s="688" t="e">
        <f>SUM(Z209+Z213+Z218+Z228+Z243+Z248+Z253+Z263+Z268+Z274)</f>
        <v>#VALUE!</v>
      </c>
      <c r="AA279" s="688" t="e">
        <f>SUM(AA209+AA214+AA219+AA229+AA244+AA249+AA254+AA264+AA269+AA274)</f>
        <v>#VALUE!</v>
      </c>
      <c r="AB279" s="688" t="e">
        <f>SUM(AB209+AB213+AB218+AB228+AB243+AB248+AB253+AB263+AB268+AB274)</f>
        <v>#VALUE!</v>
      </c>
      <c r="AC279" s="688" t="e">
        <f>SUM(AC209+AC213+AC218+AC228+AC243+AC248+AC253+AC263+AC268+AC274)</f>
        <v>#VALUE!</v>
      </c>
      <c r="AD279" s="688" t="e">
        <f>SUM(AD209+AD213+AD218+AD228+AD243+AD248+AD253+AD263+AD268+AD274)</f>
        <v>#VALUE!</v>
      </c>
      <c r="AE279" s="688" t="e">
        <f>SUM(AE209+AE213+AE218+AE228+AE243+AE248+AE253+AE263+AE268+AE274)</f>
        <v>#VALUE!</v>
      </c>
      <c r="AF279" s="688" t="e">
        <f>SUM(AF209+AF213+AF218+AF228+AF243+AF248+AF253+AF263+AF268+AF274)</f>
        <v>#VALUE!</v>
      </c>
      <c r="AG279" s="94"/>
      <c r="AH279" s="94"/>
      <c r="AI279" s="94"/>
      <c r="AJ279" s="94"/>
      <c r="AK279" s="94"/>
      <c r="AL279" s="94"/>
      <c r="AM279" s="94"/>
      <c r="AN279" s="94"/>
      <c r="BW279" s="79"/>
      <c r="BX279" s="79"/>
      <c r="CB279" s="1031"/>
      <c r="CC279" s="1031"/>
      <c r="CD279" s="1031"/>
      <c r="CI279" s="1163"/>
      <c r="CJ279" s="1163"/>
      <c r="CK279" s="1163"/>
      <c r="CL279" s="1020"/>
      <c r="CM279" s="1020"/>
      <c r="CN279" s="1020"/>
      <c r="CO279" s="1020"/>
    </row>
    <row r="280" spans="1:93" ht="16.350000000000001" customHeight="1" x14ac:dyDescent="0.2">
      <c r="B280" s="177" t="s">
        <v>3718</v>
      </c>
      <c r="C280" s="504"/>
      <c r="D280" s="504"/>
      <c r="E280" s="378"/>
      <c r="F280" s="378"/>
      <c r="G280" s="378"/>
      <c r="H280" s="378"/>
      <c r="I280" s="378"/>
      <c r="J280" s="378"/>
      <c r="AM280" s="94"/>
      <c r="AN280" s="94"/>
      <c r="BW280" s="79"/>
      <c r="BX280" s="79"/>
      <c r="CI280" s="1020"/>
      <c r="CJ280" s="1020"/>
      <c r="CK280" s="1020"/>
      <c r="CL280" s="1020"/>
      <c r="CM280" s="1020"/>
      <c r="CN280" s="1020"/>
      <c r="CO280" s="1020"/>
    </row>
    <row r="281" spans="1:93" ht="16.350000000000001" customHeight="1" x14ac:dyDescent="0.2">
      <c r="B281" s="5855" t="s">
        <v>615</v>
      </c>
      <c r="C281" s="5966"/>
      <c r="D281" s="5967"/>
      <c r="E281" s="5968" t="s">
        <v>42</v>
      </c>
      <c r="F281" s="5969"/>
      <c r="G281" s="5970"/>
      <c r="H281" s="5340" t="s">
        <v>604</v>
      </c>
      <c r="I281" s="5974"/>
      <c r="J281" s="5974"/>
      <c r="K281" s="5974"/>
      <c r="L281" s="5974"/>
      <c r="M281" s="5974"/>
      <c r="N281" s="5974"/>
      <c r="O281" s="5975"/>
      <c r="P281" s="5976" t="s">
        <v>287</v>
      </c>
      <c r="Q281" s="5342" t="s">
        <v>1269</v>
      </c>
      <c r="AM281" s="94"/>
      <c r="AN281" s="94"/>
      <c r="BW281" s="79"/>
      <c r="BX281" s="79"/>
      <c r="CI281" s="1020"/>
      <c r="CJ281" s="1020"/>
      <c r="CK281" s="1020"/>
      <c r="CL281" s="1020"/>
      <c r="CM281" s="1020"/>
      <c r="CN281" s="1020"/>
      <c r="CO281" s="1020"/>
    </row>
    <row r="282" spans="1:93" ht="32.1" customHeight="1" x14ac:dyDescent="0.2">
      <c r="B282" s="5338"/>
      <c r="C282" s="5274"/>
      <c r="D282" s="5258"/>
      <c r="E282" s="5971"/>
      <c r="F282" s="5972"/>
      <c r="G282" s="5973"/>
      <c r="H282" s="5342" t="s">
        <v>639</v>
      </c>
      <c r="I282" s="5342" t="s">
        <v>609</v>
      </c>
      <c r="J282" s="5342" t="s">
        <v>643</v>
      </c>
      <c r="K282" s="5342" t="s">
        <v>618</v>
      </c>
      <c r="L282" s="5342" t="s">
        <v>644</v>
      </c>
      <c r="M282" s="5342" t="s">
        <v>645</v>
      </c>
      <c r="N282" s="5342" t="s">
        <v>613</v>
      </c>
      <c r="O282" s="5885" t="s">
        <v>614</v>
      </c>
      <c r="P282" s="5143"/>
      <c r="Q282" s="5103"/>
      <c r="BW282" s="79"/>
      <c r="BX282" s="79"/>
      <c r="CI282" s="1020"/>
      <c r="CJ282" s="1020"/>
      <c r="CK282" s="1020"/>
      <c r="CL282" s="1020"/>
      <c r="CM282" s="1020"/>
      <c r="CN282" s="1020"/>
      <c r="CO282" s="1020"/>
    </row>
    <row r="283" spans="1:93" ht="16.350000000000001" customHeight="1" x14ac:dyDescent="0.2">
      <c r="B283" s="5856"/>
      <c r="C283" s="5259"/>
      <c r="D283" s="5878"/>
      <c r="E283" s="3945" t="s">
        <v>184</v>
      </c>
      <c r="F283" s="3945" t="s">
        <v>24</v>
      </c>
      <c r="G283" s="3941" t="s">
        <v>25</v>
      </c>
      <c r="H283" s="5343"/>
      <c r="I283" s="5343"/>
      <c r="J283" s="5343"/>
      <c r="K283" s="5343"/>
      <c r="L283" s="5343"/>
      <c r="M283" s="5343"/>
      <c r="N283" s="5343"/>
      <c r="O283" s="5962"/>
      <c r="P283" s="5297"/>
      <c r="Q283" s="5343"/>
      <c r="R283" s="94"/>
      <c r="S283" s="94"/>
      <c r="T283" s="94"/>
      <c r="U283" s="94"/>
      <c r="V283" s="94"/>
      <c r="W283" s="94"/>
      <c r="X283" s="94"/>
      <c r="Y283" s="94"/>
      <c r="Z283" s="94"/>
      <c r="AA283" s="94"/>
      <c r="AB283" s="94"/>
      <c r="AC283" s="94"/>
      <c r="AD283" s="94"/>
      <c r="AE283" s="94"/>
      <c r="BW283" s="79"/>
      <c r="BX283" s="79"/>
      <c r="CI283" s="1020"/>
      <c r="CJ283" s="1020"/>
      <c r="CK283" s="1020"/>
      <c r="CL283" s="1020"/>
      <c r="CM283" s="1020"/>
      <c r="CN283" s="1020"/>
      <c r="CO283" s="1020"/>
    </row>
    <row r="284" spans="1:93" ht="16.350000000000001" customHeight="1" x14ac:dyDescent="0.2">
      <c r="A284" s="3080" t="s">
        <v>3676</v>
      </c>
      <c r="B284" s="5963" t="s">
        <v>1062</v>
      </c>
      <c r="C284" s="5964"/>
      <c r="D284" s="5965"/>
      <c r="E284" s="4209" t="s">
        <v>2777</v>
      </c>
      <c r="F284" s="4102" t="s">
        <v>2778</v>
      </c>
      <c r="G284" s="4102" t="s">
        <v>2779</v>
      </c>
      <c r="H284" s="2249" t="s">
        <v>2780</v>
      </c>
      <c r="I284" s="2249" t="s">
        <v>2781</v>
      </c>
      <c r="J284" s="2249" t="s">
        <v>2782</v>
      </c>
      <c r="K284" s="2249" t="s">
        <v>2783</v>
      </c>
      <c r="L284" s="2249" t="s">
        <v>2784</v>
      </c>
      <c r="M284" s="2249" t="s">
        <v>2785</v>
      </c>
      <c r="N284" s="2249" t="s">
        <v>2786</v>
      </c>
      <c r="O284" s="4210" t="s">
        <v>2787</v>
      </c>
      <c r="P284" s="2347" t="s">
        <v>2788</v>
      </c>
      <c r="Q284" s="2348" t="s">
        <v>2789</v>
      </c>
      <c r="R284" s="2300" t="e">
        <f>CB284&amp;CC284&amp;CD284</f>
        <v>#VALUE!</v>
      </c>
      <c r="S284" s="1058"/>
      <c r="T284" s="1058"/>
      <c r="U284" s="1058"/>
      <c r="V284" s="1058"/>
      <c r="W284" s="1058"/>
      <c r="X284" s="1058"/>
      <c r="Y284" s="1058"/>
      <c r="Z284" s="1058"/>
      <c r="AA284" s="1058"/>
      <c r="AB284" s="1058"/>
      <c r="AC284" s="1058"/>
      <c r="AD284" s="94"/>
      <c r="AE284" s="94"/>
      <c r="BW284" s="79"/>
      <c r="BX284" s="79"/>
      <c r="CB284" s="1031" t="e">
        <f>IF(CI284=1,"* La suma de los sexos NO DEBE ser diferente al Total. ","")</f>
        <v>#VALUE!</v>
      </c>
      <c r="CC284" s="1031" t="str">
        <f>IF(CJ284=1,"* Las actividades de 60 años NO DEBE ser mayor que el de 20-64 Años. ","")</f>
        <v xml:space="preserve">* Las actividades de 60 años NO DEBE ser mayor que el de 20-64 Años. </v>
      </c>
      <c r="CD284" s="1031" t="str">
        <f>IF(AND(E284&lt;&gt;0,P284=""),"* Recuerde que las Embarazadas deben ser incluídas en el ingreso por rango Etario (Digite CEROS si no tiene). ",IF(G284&lt;P284,"* Las Embarazadas NO DEBEN ser mayor al total de Mujeres. ",""))</f>
        <v xml:space="preserve">* Las Embarazadas NO DEBEN ser mayor al total de Mujeres. </v>
      </c>
      <c r="CI284" s="1163" t="e">
        <f>IF(E284&lt;&gt;(F284+G284),1,0)</f>
        <v>#VALUE!</v>
      </c>
      <c r="CJ284" s="1163">
        <f>IF(N284&lt;Q284,1,0)</f>
        <v>1</v>
      </c>
      <c r="CK284" s="1163">
        <f>IF(AND(E284&lt;&gt;0,P284=""),1,IF(G284&lt;P284,1,0))</f>
        <v>1</v>
      </c>
      <c r="CL284" s="1020"/>
      <c r="CM284" s="1020"/>
      <c r="CN284" s="1020"/>
      <c r="CO284" s="1020"/>
    </row>
    <row r="285" spans="1:93" ht="16.350000000000001" customHeight="1" x14ac:dyDescent="0.2">
      <c r="A285" s="3009" t="s">
        <v>3677</v>
      </c>
      <c r="B285" s="5313" t="s">
        <v>1129</v>
      </c>
      <c r="C285" s="5302"/>
      <c r="D285" s="5303"/>
      <c r="E285" s="3939" t="s">
        <v>2777</v>
      </c>
      <c r="F285" s="164" t="s">
        <v>2778</v>
      </c>
      <c r="G285" s="2249" t="s">
        <v>2779</v>
      </c>
      <c r="H285" s="141" t="s">
        <v>2780</v>
      </c>
      <c r="I285" s="141" t="s">
        <v>2781</v>
      </c>
      <c r="J285" s="141" t="s">
        <v>2782</v>
      </c>
      <c r="K285" s="141" t="s">
        <v>2783</v>
      </c>
      <c r="L285" s="141" t="s">
        <v>2784</v>
      </c>
      <c r="M285" s="141" t="s">
        <v>2785</v>
      </c>
      <c r="N285" s="141" t="s">
        <v>2786</v>
      </c>
      <c r="O285" s="513" t="s">
        <v>2787</v>
      </c>
      <c r="P285" s="198" t="s">
        <v>2788</v>
      </c>
      <c r="Q285" s="164" t="s">
        <v>2789</v>
      </c>
      <c r="R285" s="2300" t="e">
        <f>CB285&amp;CC285&amp;CD285</f>
        <v>#VALUE!</v>
      </c>
      <c r="S285" s="1058"/>
      <c r="T285" s="1058"/>
      <c r="U285" s="1058"/>
      <c r="V285" s="1058"/>
      <c r="W285" s="1058"/>
      <c r="X285" s="1058"/>
      <c r="Y285" s="1058"/>
      <c r="Z285" s="1058"/>
      <c r="AA285" s="1058"/>
      <c r="AB285" s="1058"/>
      <c r="AC285" s="1058"/>
      <c r="AD285" s="94"/>
      <c r="AE285" s="94"/>
      <c r="BW285" s="79"/>
      <c r="BX285" s="79"/>
      <c r="CB285" s="1031" t="e">
        <f>IF(CI285=1,"* La suma de los sexos NO DEBE ser diferente al Total. ","")</f>
        <v>#VALUE!</v>
      </c>
      <c r="CC285" s="1031" t="str">
        <f>IF(CJ285=1,"* Las actividades de 60 años NO DEBE ser mayor que el de 20-64 Años. ","")</f>
        <v xml:space="preserve">* Las actividades de 60 años NO DEBE ser mayor que el de 20-64 Años. </v>
      </c>
      <c r="CD285" s="1031" t="str">
        <f>IF(AND(E285&lt;&gt;0,P285=""),"* Recuerde que las Embarazadas deben ser incluídas en el ingreso por rango Etario (Digite CEROS si no tiene). ",IF(G285&lt;P285,"* Las Embarazadas NO DEBEN ser mayor al total de Mujeres. ",""))</f>
        <v xml:space="preserve">* Las Embarazadas NO DEBEN ser mayor al total de Mujeres. </v>
      </c>
      <c r="CI285" s="1163" t="e">
        <f>IF(E285&lt;&gt;(F285+G285),1,0)</f>
        <v>#VALUE!</v>
      </c>
      <c r="CJ285" s="1163">
        <f>IF(N285&lt;Q285,1,0)</f>
        <v>1</v>
      </c>
      <c r="CK285" s="1163">
        <f>IF(AND(E285&lt;&gt;0,P285=""),1,IF(G285&lt;P285,1,0))</f>
        <v>1</v>
      </c>
      <c r="CL285" s="1020"/>
      <c r="CM285" s="1020"/>
      <c r="CN285" s="1020"/>
      <c r="CO285" s="1020"/>
    </row>
    <row r="286" spans="1:93" ht="16.350000000000001" customHeight="1" x14ac:dyDescent="0.2">
      <c r="A286" s="3009" t="s">
        <v>3678</v>
      </c>
      <c r="B286" s="5313" t="s">
        <v>1130</v>
      </c>
      <c r="C286" s="5302"/>
      <c r="D286" s="5303"/>
      <c r="E286" s="3932" t="s">
        <v>2777</v>
      </c>
      <c r="F286" s="141" t="s">
        <v>2778</v>
      </c>
      <c r="G286" s="164" t="s">
        <v>2779</v>
      </c>
      <c r="H286" s="141" t="s">
        <v>2780</v>
      </c>
      <c r="I286" s="141" t="s">
        <v>2781</v>
      </c>
      <c r="J286" s="141" t="s">
        <v>2782</v>
      </c>
      <c r="K286" s="141" t="s">
        <v>2783</v>
      </c>
      <c r="L286" s="141" t="s">
        <v>2784</v>
      </c>
      <c r="M286" s="141" t="s">
        <v>2785</v>
      </c>
      <c r="N286" s="141" t="s">
        <v>2786</v>
      </c>
      <c r="O286" s="513" t="s">
        <v>2787</v>
      </c>
      <c r="P286" s="198" t="s">
        <v>2788</v>
      </c>
      <c r="Q286" s="164" t="s">
        <v>2789</v>
      </c>
      <c r="R286" s="2300" t="e">
        <f>CB286&amp;CC286&amp;CD286</f>
        <v>#VALUE!</v>
      </c>
      <c r="S286" s="1058"/>
      <c r="T286" s="1058"/>
      <c r="U286" s="1058"/>
      <c r="V286" s="1058"/>
      <c r="W286" s="1058"/>
      <c r="X286" s="1058"/>
      <c r="Y286" s="1058"/>
      <c r="Z286" s="1058"/>
      <c r="AA286" s="1058"/>
      <c r="AB286" s="1058"/>
      <c r="AC286" s="1058"/>
      <c r="AD286" s="94"/>
      <c r="AE286" s="94"/>
      <c r="BW286" s="79"/>
      <c r="BX286" s="79"/>
      <c r="CB286" s="1031" t="e">
        <f>IF(CI286=1,"* La suma de los sexos NO DEBE ser diferente al Total. ","")</f>
        <v>#VALUE!</v>
      </c>
      <c r="CC286" s="1031" t="str">
        <f>IF(CJ286=1,"* Las actividades de 60 años NO DEBE ser mayor que el de 20-64 Años. ","")</f>
        <v xml:space="preserve">* Las actividades de 60 años NO DEBE ser mayor que el de 20-64 Años. </v>
      </c>
      <c r="CD286" s="1031" t="str">
        <f>IF(AND(E286&lt;&gt;0,P286=""),"* Recuerde que las Embarazadas deben ser incluídas en el ingreso por rango Etario (Digite CEROS si no tiene). ",IF(G286&lt;P286,"* Las Embarazadas NO DEBEN ser mayor al total de Mujeres. ",""))</f>
        <v xml:space="preserve">* Las Embarazadas NO DEBEN ser mayor al total de Mujeres. </v>
      </c>
      <c r="CI286" s="1163" t="e">
        <f>IF(E286&lt;&gt;(F286+G286),1,0)</f>
        <v>#VALUE!</v>
      </c>
      <c r="CJ286" s="1163">
        <f>IF(N286&lt;Q286,1,0)</f>
        <v>1</v>
      </c>
      <c r="CK286" s="1163">
        <f>IF(AND(E286&lt;&gt;0,P286=""),1,IF(G286&lt;P286,1,0))</f>
        <v>1</v>
      </c>
      <c r="CL286" s="1020"/>
      <c r="CM286" s="1020"/>
      <c r="CN286" s="1020"/>
      <c r="CO286" s="1020"/>
    </row>
    <row r="287" spans="1:93" ht="16.350000000000001" customHeight="1" x14ac:dyDescent="0.2">
      <c r="A287" s="3009" t="s">
        <v>3679</v>
      </c>
      <c r="B287" s="5959" t="s">
        <v>1058</v>
      </c>
      <c r="C287" s="5960"/>
      <c r="D287" s="5961"/>
      <c r="E287" s="3088" t="s">
        <v>2777</v>
      </c>
      <c r="F287" s="2324" t="s">
        <v>2778</v>
      </c>
      <c r="G287" s="164" t="s">
        <v>2779</v>
      </c>
      <c r="H287" s="2245" t="s">
        <v>2780</v>
      </c>
      <c r="I287" s="2245" t="s">
        <v>2781</v>
      </c>
      <c r="J287" s="2245" t="s">
        <v>2782</v>
      </c>
      <c r="K287" s="2245" t="s">
        <v>2783</v>
      </c>
      <c r="L287" s="2245" t="s">
        <v>2784</v>
      </c>
      <c r="M287" s="2245" t="s">
        <v>2785</v>
      </c>
      <c r="N287" s="2245" t="s">
        <v>2786</v>
      </c>
      <c r="O287" s="2632" t="s">
        <v>2787</v>
      </c>
      <c r="P287" s="240" t="s">
        <v>2788</v>
      </c>
      <c r="Q287" s="2324" t="s">
        <v>2789</v>
      </c>
      <c r="R287" s="2300" t="e">
        <f>CB287&amp;CC287&amp;CD287</f>
        <v>#VALUE!</v>
      </c>
      <c r="S287" s="1058"/>
      <c r="T287" s="1058"/>
      <c r="U287" s="1058"/>
      <c r="V287" s="1058"/>
      <c r="W287" s="1058"/>
      <c r="X287" s="1058"/>
      <c r="Y287" s="1058"/>
      <c r="Z287" s="1058"/>
      <c r="AA287" s="1058"/>
      <c r="AB287" s="1058"/>
      <c r="AC287" s="1058"/>
      <c r="AD287" s="94"/>
      <c r="AE287" s="94"/>
      <c r="BW287" s="79"/>
      <c r="BX287" s="79"/>
      <c r="CB287" s="1031" t="e">
        <f>IF(CI287=1,"* La suma de los sexos NO DEBE ser diferente al Total. ","")</f>
        <v>#VALUE!</v>
      </c>
      <c r="CC287" s="1031" t="str">
        <f>IF(CJ287=1,"* Las actividades de 60 años NO DEBE ser mayor que el de 20-64 Años. ","")</f>
        <v xml:space="preserve">* Las actividades de 60 años NO DEBE ser mayor que el de 20-64 Años. </v>
      </c>
      <c r="CD287" s="1031" t="str">
        <f>IF(AND(E287&lt;&gt;0,P287=""),"* Recuerde que las Embarazadas deben ser incluídas en el ingreso por rango Etario (Digite CEROS si no tiene). ",IF(G287&lt;P287,"* Las Embarazadas NO DEBEN ser mayor al total de Mujeres. ",""))</f>
        <v xml:space="preserve">* Las Embarazadas NO DEBEN ser mayor al total de Mujeres. </v>
      </c>
      <c r="CI287" s="1163" t="e">
        <f>IF(E287&lt;&gt;(F287+G287),1,0)</f>
        <v>#VALUE!</v>
      </c>
      <c r="CJ287" s="1163">
        <f>IF(N287&lt;Q287,1,0)</f>
        <v>1</v>
      </c>
      <c r="CK287" s="1163">
        <f>IF(AND(E287&lt;&gt;0,P287=""),1,IF(G287&lt;P287,1,0))</f>
        <v>1</v>
      </c>
      <c r="CL287" s="1020"/>
      <c r="CM287" s="1020"/>
      <c r="CN287" s="1020"/>
      <c r="CO287" s="1020"/>
    </row>
    <row r="288" spans="1:93" ht="16.350000000000001" customHeight="1" x14ac:dyDescent="0.2">
      <c r="A288" s="3009" t="s">
        <v>3680</v>
      </c>
      <c r="B288" s="5561" t="s">
        <v>1131</v>
      </c>
      <c r="C288" s="5285"/>
      <c r="D288" s="5286"/>
      <c r="E288" s="3936" t="s">
        <v>2777</v>
      </c>
      <c r="F288" s="2324" t="s">
        <v>2778</v>
      </c>
      <c r="G288" s="2324" t="s">
        <v>2779</v>
      </c>
      <c r="H288" s="166" t="s">
        <v>2780</v>
      </c>
      <c r="I288" s="166" t="s">
        <v>2781</v>
      </c>
      <c r="J288" s="166" t="s">
        <v>2782</v>
      </c>
      <c r="K288" s="166" t="s">
        <v>2783</v>
      </c>
      <c r="L288" s="166" t="s">
        <v>2784</v>
      </c>
      <c r="M288" s="166" t="s">
        <v>2785</v>
      </c>
      <c r="N288" s="166" t="s">
        <v>2786</v>
      </c>
      <c r="O288" s="375" t="s">
        <v>2787</v>
      </c>
      <c r="P288" s="168" t="s">
        <v>2788</v>
      </c>
      <c r="Q288" s="105" t="s">
        <v>2789</v>
      </c>
      <c r="R288" s="2300" t="e">
        <f>CB288&amp;CC288&amp;CD288</f>
        <v>#VALUE!</v>
      </c>
      <c r="S288" s="1058"/>
      <c r="T288" s="1058"/>
      <c r="U288" s="1058"/>
      <c r="V288" s="1058"/>
      <c r="W288" s="1058"/>
      <c r="X288" s="1058"/>
      <c r="Y288" s="1058"/>
      <c r="Z288" s="1058"/>
      <c r="AA288" s="1058"/>
      <c r="AB288" s="1058"/>
      <c r="AC288" s="1058"/>
      <c r="AD288" s="94"/>
      <c r="AE288" s="94"/>
      <c r="BW288" s="79"/>
      <c r="BX288" s="79"/>
      <c r="CB288" s="1031" t="e">
        <f>IF(CI288=1,"* La suma de los sexos NO DEBE ser diferente al Total. ","")</f>
        <v>#VALUE!</v>
      </c>
      <c r="CC288" s="1031" t="str">
        <f>IF(CJ288=1,"* Las actividades de 60 años NO DEBE ser mayor que el de 20-64 Años. ","")</f>
        <v xml:space="preserve">* Las actividades de 60 años NO DEBE ser mayor que el de 20-64 Años. </v>
      </c>
      <c r="CD288" s="1031" t="str">
        <f>IF(AND(E288&lt;&gt;0,P288=""),"* Recuerde que las Embarazadas deben ser incluídas en el ingreso por rango Etario (Digite CEROS si no tiene). ",IF(G288&lt;P288,"* Las Embarazadas NO DEBEN ser mayor al total de Mujeres. ",""))</f>
        <v xml:space="preserve">* Las Embarazadas NO DEBEN ser mayor al total de Mujeres. </v>
      </c>
      <c r="CI288" s="1163" t="e">
        <f>IF(E288&lt;&gt;(F288+G288),1,0)</f>
        <v>#VALUE!</v>
      </c>
      <c r="CJ288" s="1163">
        <f>IF(N288&lt;Q288,1,0)</f>
        <v>1</v>
      </c>
      <c r="CK288" s="1163">
        <f>IF(AND(E288&lt;&gt;0,P288=""),1,IF(G288&lt;P288,1,0))</f>
        <v>1</v>
      </c>
      <c r="CL288" s="1020"/>
      <c r="CM288" s="1020"/>
      <c r="CN288" s="1020"/>
      <c r="CO288" s="1020"/>
    </row>
    <row r="289" spans="1:93" ht="16.350000000000001" customHeight="1" x14ac:dyDescent="0.2">
      <c r="B289" s="928" t="s">
        <v>3719</v>
      </c>
      <c r="C289" s="4656"/>
      <c r="D289" s="4656"/>
      <c r="E289" s="2415"/>
      <c r="F289" s="4211"/>
      <c r="G289" s="4212"/>
      <c r="H289" s="94"/>
      <c r="I289" s="94"/>
      <c r="J289" s="94"/>
      <c r="K289" s="94"/>
      <c r="R289" s="94" t="s">
        <v>883</v>
      </c>
      <c r="S289" s="94"/>
      <c r="T289" s="94"/>
      <c r="U289" s="94"/>
      <c r="V289" s="94"/>
      <c r="W289" s="94"/>
      <c r="X289" s="94"/>
      <c r="Y289" s="94"/>
      <c r="Z289" s="94"/>
      <c r="AA289" s="94"/>
      <c r="AB289" s="94"/>
      <c r="AC289" s="94"/>
      <c r="AD289" s="94"/>
      <c r="AE289" s="94"/>
      <c r="BW289" s="79"/>
      <c r="BX289" s="79"/>
      <c r="CI289" s="1020"/>
      <c r="CJ289" s="1020"/>
      <c r="CK289" s="1020"/>
      <c r="CL289" s="1020"/>
      <c r="CM289" s="1020"/>
      <c r="CN289" s="1020"/>
      <c r="CO289" s="1020"/>
    </row>
    <row r="290" spans="1:93" ht="16.350000000000001" customHeight="1" x14ac:dyDescent="0.2">
      <c r="B290" s="5342" t="s">
        <v>646</v>
      </c>
      <c r="C290" s="5342" t="s">
        <v>1140</v>
      </c>
      <c r="D290" s="5342" t="s">
        <v>1139</v>
      </c>
      <c r="E290" s="5342" t="s">
        <v>647</v>
      </c>
      <c r="F290" s="5342" t="s">
        <v>888</v>
      </c>
      <c r="G290" s="94"/>
      <c r="H290" s="94"/>
      <c r="I290" s="94"/>
      <c r="J290" s="94"/>
      <c r="K290" s="94"/>
      <c r="BW290" s="79"/>
      <c r="BX290" s="79"/>
      <c r="CI290" s="1020"/>
      <c r="CJ290" s="1020"/>
      <c r="CK290" s="1020"/>
      <c r="CL290" s="1020"/>
      <c r="CM290" s="1020"/>
      <c r="CN290" s="1020"/>
      <c r="CO290" s="1020"/>
    </row>
    <row r="291" spans="1:93" ht="32.1" customHeight="1" x14ac:dyDescent="0.2">
      <c r="B291" s="5103"/>
      <c r="C291" s="5103"/>
      <c r="D291" s="5103"/>
      <c r="E291" s="5103"/>
      <c r="F291" s="5103"/>
      <c r="G291" s="94"/>
      <c r="H291" s="94"/>
      <c r="I291" s="94"/>
      <c r="J291" s="94"/>
      <c r="K291" s="94"/>
      <c r="BW291" s="79"/>
      <c r="BX291" s="79"/>
      <c r="CI291" s="1020"/>
      <c r="CJ291" s="1020"/>
      <c r="CK291" s="1020"/>
      <c r="CL291" s="1020"/>
      <c r="CM291" s="1020"/>
      <c r="CN291" s="1020"/>
      <c r="CO291" s="1020"/>
    </row>
    <row r="292" spans="1:93" ht="16.350000000000001" customHeight="1" x14ac:dyDescent="0.2">
      <c r="B292" s="5103"/>
      <c r="C292" s="5103"/>
      <c r="D292" s="5103"/>
      <c r="E292" s="5103"/>
      <c r="F292" s="5103"/>
      <c r="G292" s="94"/>
      <c r="H292" s="94"/>
      <c r="I292" s="94"/>
      <c r="J292" s="94"/>
      <c r="K292" s="94"/>
      <c r="BW292" s="79"/>
      <c r="BX292" s="79"/>
      <c r="CI292" s="1020"/>
      <c r="CJ292" s="1020"/>
      <c r="CK292" s="1020"/>
      <c r="CL292" s="1020"/>
      <c r="CM292" s="1020"/>
      <c r="CN292" s="1020"/>
      <c r="CO292" s="1020"/>
    </row>
    <row r="293" spans="1:93" ht="16.350000000000001" customHeight="1" x14ac:dyDescent="0.2">
      <c r="B293" s="5343"/>
      <c r="C293" s="5343"/>
      <c r="D293" s="5343"/>
      <c r="E293" s="5343"/>
      <c r="F293" s="5343"/>
      <c r="G293" s="94"/>
      <c r="H293" s="94"/>
      <c r="I293" s="94"/>
      <c r="J293" s="94"/>
      <c r="K293" s="94"/>
      <c r="BW293" s="79"/>
      <c r="BX293" s="79"/>
      <c r="CI293" s="1020"/>
      <c r="CJ293" s="1020"/>
      <c r="CK293" s="1020"/>
      <c r="CL293" s="1020"/>
      <c r="CM293" s="1020"/>
      <c r="CN293" s="1020"/>
      <c r="CO293" s="1020"/>
    </row>
    <row r="294" spans="1:93" ht="16.350000000000001" customHeight="1" x14ac:dyDescent="0.2">
      <c r="A294" s="3009" t="s">
        <v>3681</v>
      </c>
      <c r="B294" s="4213" t="s">
        <v>648</v>
      </c>
      <c r="C294" s="4214" t="s">
        <v>2777</v>
      </c>
      <c r="D294" s="4215" t="s">
        <v>2778</v>
      </c>
      <c r="E294" s="4216" t="s">
        <v>2779</v>
      </c>
      <c r="F294" s="4216" t="s">
        <v>2780</v>
      </c>
      <c r="G294" s="94"/>
      <c r="H294" s="94"/>
      <c r="I294" s="94"/>
      <c r="J294" s="94"/>
      <c r="K294" s="94"/>
      <c r="BW294" s="79"/>
      <c r="BX294" s="79"/>
      <c r="CI294" s="1020"/>
      <c r="CJ294" s="1020"/>
      <c r="CK294" s="1020"/>
      <c r="CL294" s="1020"/>
      <c r="CM294" s="1020"/>
      <c r="CN294" s="1020"/>
      <c r="CO294" s="1020"/>
    </row>
    <row r="295" spans="1:93" ht="16.350000000000001" customHeight="1" x14ac:dyDescent="0.2">
      <c r="A295" s="3009" t="s">
        <v>3682</v>
      </c>
      <c r="B295" s="4217" t="s">
        <v>1132</v>
      </c>
      <c r="C295" s="4218" t="s">
        <v>2777</v>
      </c>
      <c r="D295" s="4219" t="s">
        <v>2778</v>
      </c>
      <c r="E295" s="4220" t="s">
        <v>2779</v>
      </c>
      <c r="F295" s="4102" t="s">
        <v>2780</v>
      </c>
      <c r="G295" s="94"/>
      <c r="H295" s="94"/>
      <c r="I295" s="94"/>
      <c r="J295" s="94"/>
      <c r="K295" s="94"/>
      <c r="BW295" s="79"/>
      <c r="BX295" s="79"/>
      <c r="CI295" s="1020"/>
      <c r="CJ295" s="1020"/>
      <c r="CK295" s="1020"/>
      <c r="CL295" s="1020"/>
      <c r="CM295" s="1020"/>
      <c r="CN295" s="1020"/>
      <c r="CO295" s="1020"/>
    </row>
    <row r="296" spans="1:93" ht="16.350000000000001" customHeight="1" x14ac:dyDescent="0.2">
      <c r="A296" s="3009" t="s">
        <v>3683</v>
      </c>
      <c r="B296" s="140" t="s">
        <v>1133</v>
      </c>
      <c r="C296" s="506" t="s">
        <v>2777</v>
      </c>
      <c r="D296" s="149" t="s">
        <v>2778</v>
      </c>
      <c r="E296" s="143" t="s">
        <v>2779</v>
      </c>
      <c r="F296" s="164" t="s">
        <v>2780</v>
      </c>
      <c r="G296" s="94"/>
      <c r="H296" s="94"/>
      <c r="I296" s="94"/>
      <c r="J296" s="94"/>
      <c r="K296" s="94"/>
      <c r="BW296" s="79"/>
      <c r="BX296" s="79"/>
      <c r="CI296" s="1020"/>
      <c r="CJ296" s="1020"/>
      <c r="CK296" s="1020"/>
      <c r="CL296" s="1020"/>
      <c r="CM296" s="1020"/>
      <c r="CN296" s="1020"/>
      <c r="CO296" s="1020"/>
    </row>
    <row r="297" spans="1:93" ht="16.350000000000001" customHeight="1" x14ac:dyDescent="0.2">
      <c r="A297" s="3009" t="s">
        <v>3684</v>
      </c>
      <c r="B297" s="100" t="s">
        <v>1134</v>
      </c>
      <c r="C297" s="151" t="s">
        <v>2777</v>
      </c>
      <c r="D297" s="106" t="s">
        <v>2778</v>
      </c>
      <c r="E297" s="265" t="s">
        <v>2779</v>
      </c>
      <c r="F297" s="105" t="s">
        <v>2780</v>
      </c>
      <c r="G297" s="94"/>
      <c r="H297" s="94"/>
      <c r="I297" s="94"/>
      <c r="J297" s="94"/>
      <c r="K297" s="94"/>
      <c r="BW297" s="79"/>
      <c r="BX297" s="79"/>
      <c r="CI297" s="1020"/>
      <c r="CJ297" s="1020"/>
      <c r="CK297" s="1020"/>
      <c r="CL297" s="1020"/>
      <c r="CM297" s="1020"/>
      <c r="CN297" s="1020"/>
      <c r="CO297" s="1020"/>
    </row>
    <row r="298" spans="1:93" ht="16.350000000000001" customHeight="1" x14ac:dyDescent="0.2">
      <c r="B298" s="928" t="s">
        <v>3720</v>
      </c>
      <c r="C298" s="4657"/>
      <c r="D298" s="4657"/>
      <c r="E298" s="2417"/>
      <c r="F298" s="86"/>
      <c r="G298" s="94"/>
      <c r="H298" s="94"/>
      <c r="I298" s="94"/>
      <c r="J298" s="94"/>
      <c r="K298" s="94"/>
      <c r="BW298" s="79"/>
      <c r="BX298" s="79"/>
      <c r="CI298" s="1020"/>
      <c r="CJ298" s="1020"/>
      <c r="CK298" s="1020"/>
      <c r="CL298" s="1020"/>
      <c r="CM298" s="1020"/>
      <c r="CN298" s="1020"/>
      <c r="CO298" s="1020"/>
    </row>
    <row r="299" spans="1:93" ht="38.25" customHeight="1" x14ac:dyDescent="0.2">
      <c r="B299" s="5340" t="s">
        <v>508</v>
      </c>
      <c r="C299" s="5955"/>
      <c r="D299" s="4221" t="s">
        <v>1138</v>
      </c>
      <c r="E299" s="4221" t="s">
        <v>491</v>
      </c>
      <c r="F299" s="4221" t="s">
        <v>492</v>
      </c>
      <c r="G299" s="94"/>
      <c r="H299" s="94"/>
      <c r="I299" s="94"/>
      <c r="J299" s="94"/>
      <c r="K299" s="94"/>
      <c r="BW299" s="79"/>
      <c r="BX299" s="79"/>
    </row>
    <row r="300" spans="1:93" x14ac:dyDescent="0.2">
      <c r="A300" s="3009" t="s">
        <v>3685</v>
      </c>
      <c r="B300" s="5956" t="s">
        <v>1079</v>
      </c>
      <c r="C300" s="5957"/>
      <c r="D300" s="4102" t="s">
        <v>2777</v>
      </c>
      <c r="E300" s="4102" t="s">
        <v>2778</v>
      </c>
      <c r="F300" s="4102" t="s">
        <v>2779</v>
      </c>
      <c r="G300" s="94"/>
      <c r="H300" s="94"/>
      <c r="I300" s="94"/>
      <c r="J300" s="94"/>
      <c r="K300" s="94"/>
      <c r="BW300" s="79"/>
      <c r="BX300" s="79"/>
    </row>
    <row r="301" spans="1:93" ht="14.25" customHeight="1" x14ac:dyDescent="0.2">
      <c r="A301" s="3007" t="s">
        <v>3686</v>
      </c>
      <c r="B301" s="5947" t="s">
        <v>1087</v>
      </c>
      <c r="C301" s="5948"/>
      <c r="D301" s="164" t="s">
        <v>2777</v>
      </c>
      <c r="E301" s="164" t="s">
        <v>2778</v>
      </c>
      <c r="F301" s="164" t="s">
        <v>2779</v>
      </c>
      <c r="G301" s="94"/>
      <c r="H301" s="94"/>
      <c r="I301" s="94"/>
      <c r="J301" s="94"/>
      <c r="K301" s="94"/>
      <c r="BW301" s="79"/>
      <c r="BX301" s="79"/>
    </row>
    <row r="302" spans="1:93" ht="16.350000000000001" customHeight="1" x14ac:dyDescent="0.2">
      <c r="A302" s="3007" t="s">
        <v>3687</v>
      </c>
      <c r="B302" s="5958" t="s">
        <v>1085</v>
      </c>
      <c r="C302" s="5294"/>
      <c r="D302" s="164" t="s">
        <v>2777</v>
      </c>
      <c r="E302" s="164" t="s">
        <v>2778</v>
      </c>
      <c r="F302" s="164" t="s">
        <v>2779</v>
      </c>
      <c r="G302" s="94"/>
      <c r="H302" s="94"/>
      <c r="I302" s="94"/>
      <c r="J302" s="94"/>
      <c r="K302" s="94"/>
      <c r="BW302" s="79"/>
      <c r="BX302" s="79"/>
    </row>
    <row r="303" spans="1:93" ht="16.350000000000001" customHeight="1" x14ac:dyDescent="0.2">
      <c r="A303" s="3007" t="s">
        <v>3688</v>
      </c>
      <c r="B303" s="5947" t="s">
        <v>1124</v>
      </c>
      <c r="C303" s="5948"/>
      <c r="D303" s="164" t="s">
        <v>2777</v>
      </c>
      <c r="E303" s="164" t="s">
        <v>2778</v>
      </c>
      <c r="F303" s="164" t="s">
        <v>2779</v>
      </c>
      <c r="G303" s="94"/>
      <c r="H303" s="94"/>
      <c r="I303" s="94"/>
      <c r="J303" s="94"/>
      <c r="K303" s="94"/>
      <c r="BW303" s="79"/>
      <c r="BX303" s="79"/>
    </row>
    <row r="304" spans="1:93" ht="16.350000000000001" customHeight="1" x14ac:dyDescent="0.2">
      <c r="A304" s="3007" t="s">
        <v>3689</v>
      </c>
      <c r="B304" s="5947" t="s">
        <v>1086</v>
      </c>
      <c r="C304" s="5948"/>
      <c r="D304" s="164" t="s">
        <v>2777</v>
      </c>
      <c r="E304" s="164" t="s">
        <v>2778</v>
      </c>
      <c r="F304" s="164" t="s">
        <v>2779</v>
      </c>
      <c r="G304" s="94"/>
      <c r="H304" s="94"/>
      <c r="I304" s="94"/>
      <c r="J304" s="94"/>
      <c r="K304" s="94"/>
      <c r="BW304" s="79"/>
      <c r="BX304" s="79"/>
    </row>
    <row r="305" spans="1:99" ht="16.350000000000001" customHeight="1" x14ac:dyDescent="0.2">
      <c r="A305" s="3009" t="s">
        <v>3690</v>
      </c>
      <c r="B305" s="5947" t="s">
        <v>1080</v>
      </c>
      <c r="C305" s="5948"/>
      <c r="D305" s="164" t="s">
        <v>2777</v>
      </c>
      <c r="E305" s="164" t="s">
        <v>2778</v>
      </c>
      <c r="F305" s="164" t="s">
        <v>2779</v>
      </c>
      <c r="G305" s="94"/>
      <c r="H305" s="94"/>
      <c r="I305" s="94"/>
      <c r="J305" s="94"/>
      <c r="K305" s="94"/>
      <c r="BW305" s="79"/>
      <c r="BX305" s="79"/>
    </row>
    <row r="306" spans="1:99" ht="16.350000000000001" customHeight="1" x14ac:dyDescent="0.2">
      <c r="A306" s="3009" t="s">
        <v>3691</v>
      </c>
      <c r="B306" s="5949" t="s">
        <v>1135</v>
      </c>
      <c r="C306" s="5950"/>
      <c r="D306" s="164" t="s">
        <v>2777</v>
      </c>
      <c r="E306" s="164" t="s">
        <v>2778</v>
      </c>
      <c r="F306" s="164" t="s">
        <v>2779</v>
      </c>
      <c r="G306" s="94"/>
      <c r="H306" s="94"/>
      <c r="I306" s="94"/>
      <c r="J306" s="94"/>
      <c r="K306" s="94"/>
      <c r="BW306" s="79"/>
      <c r="BX306" s="79"/>
    </row>
    <row r="307" spans="1:99" ht="16.350000000000001" customHeight="1" x14ac:dyDescent="0.2">
      <c r="A307" s="4631" t="s">
        <v>3926</v>
      </c>
      <c r="B307" s="5951" t="s">
        <v>1090</v>
      </c>
      <c r="C307" s="5952"/>
      <c r="D307" s="164" t="s">
        <v>2777</v>
      </c>
      <c r="E307" s="164" t="s">
        <v>2778</v>
      </c>
      <c r="F307" s="164" t="s">
        <v>2779</v>
      </c>
      <c r="G307" s="94"/>
      <c r="H307" s="94"/>
      <c r="I307" s="94"/>
      <c r="J307" s="94"/>
      <c r="K307" s="94"/>
      <c r="BW307" s="79"/>
      <c r="BX307" s="79"/>
    </row>
    <row r="308" spans="1:99" ht="16.350000000000001" customHeight="1" x14ac:dyDescent="0.2">
      <c r="A308" s="4631" t="s">
        <v>3927</v>
      </c>
      <c r="B308" s="5951" t="s">
        <v>1088</v>
      </c>
      <c r="C308" s="5952"/>
      <c r="D308" s="164" t="s">
        <v>2777</v>
      </c>
      <c r="E308" s="164" t="s">
        <v>2778</v>
      </c>
      <c r="F308" s="164" t="s">
        <v>2779</v>
      </c>
      <c r="G308" s="94"/>
      <c r="H308" s="94"/>
      <c r="I308" s="94"/>
      <c r="J308" s="94"/>
      <c r="K308" s="94"/>
      <c r="BW308" s="79"/>
      <c r="BX308" s="79"/>
    </row>
    <row r="309" spans="1:99" ht="14.25" customHeight="1" x14ac:dyDescent="0.2">
      <c r="A309" s="4631" t="s">
        <v>3945</v>
      </c>
      <c r="B309" s="5953" t="s">
        <v>1089</v>
      </c>
      <c r="C309" s="5954"/>
      <c r="D309" s="105" t="s">
        <v>2777</v>
      </c>
      <c r="E309" s="105" t="s">
        <v>2778</v>
      </c>
      <c r="F309" s="105" t="s">
        <v>2779</v>
      </c>
      <c r="G309" s="94"/>
      <c r="H309" s="94"/>
      <c r="I309" s="94"/>
      <c r="J309" s="94"/>
      <c r="K309" s="94"/>
      <c r="BW309" s="79"/>
      <c r="BX309" s="79"/>
    </row>
    <row r="310" spans="1:99" x14ac:dyDescent="0.2">
      <c r="A310" s="4631"/>
      <c r="D310" s="243"/>
      <c r="E310" s="243"/>
      <c r="F310" s="243"/>
      <c r="BW310" s="79"/>
      <c r="BX310" s="79"/>
    </row>
    <row r="311" spans="1:99" x14ac:dyDescent="0.2">
      <c r="A311" s="4631"/>
      <c r="BW311" s="79"/>
      <c r="BX311" s="79"/>
    </row>
    <row r="312" spans="1:99" x14ac:dyDescent="0.2">
      <c r="BW312" s="79"/>
      <c r="BX312" s="79"/>
    </row>
    <row r="313" spans="1:99" x14ac:dyDescent="0.2">
      <c r="BW313" s="79"/>
      <c r="BX313" s="79"/>
    </row>
    <row r="314" spans="1:99" hidden="1" x14ac:dyDescent="0.2">
      <c r="BW314" s="79"/>
      <c r="BX314" s="79"/>
    </row>
    <row r="315" spans="1:99" s="206" customFormat="1" hidden="1" x14ac:dyDescent="0.2">
      <c r="A315" s="4279"/>
      <c r="B315" s="206" t="e">
        <f>SUM(E12:E15,E36,E58,E61:J71,E75:E76,E132,E144,E149:E181,E186:E189,E195:E198,E275:E279,E284:E288,C294:D294,E295:F297,D300:D309)</f>
        <v>#VALUE!</v>
      </c>
      <c r="C315" s="206" t="e">
        <f>SUM(CI9:CO298)</f>
        <v>#VALUE!</v>
      </c>
      <c r="BW315" s="1016"/>
      <c r="BX315" s="1016"/>
      <c r="BY315" s="1016"/>
      <c r="BZ315" s="1016"/>
      <c r="CA315" s="1016"/>
      <c r="CB315" s="889"/>
      <c r="CC315" s="889"/>
      <c r="CD315" s="889"/>
      <c r="CE315" s="889"/>
      <c r="CF315" s="889"/>
      <c r="CG315" s="889"/>
      <c r="CH315" s="889"/>
      <c r="CI315" s="889"/>
      <c r="CJ315" s="889"/>
      <c r="CK315" s="889"/>
      <c r="CL315" s="889"/>
      <c r="CM315" s="889"/>
      <c r="CN315" s="889"/>
      <c r="CO315" s="889"/>
      <c r="CP315" s="889"/>
      <c r="CQ315" s="889"/>
      <c r="CR315" s="889"/>
      <c r="CS315" s="889"/>
      <c r="CT315" s="889"/>
      <c r="CU315" s="889"/>
    </row>
    <row r="316" spans="1:99" x14ac:dyDescent="0.2">
      <c r="BW316" s="79"/>
      <c r="BX316" s="79"/>
    </row>
    <row r="317" spans="1:99" x14ac:dyDescent="0.2">
      <c r="A317" s="4279" t="s">
        <v>3742</v>
      </c>
      <c r="B317" s="80" t="s">
        <v>3740</v>
      </c>
    </row>
    <row r="318" spans="1:99" x14ac:dyDescent="0.2">
      <c r="A318" s="4662" t="s">
        <v>3835</v>
      </c>
      <c r="B318" s="4651" t="s">
        <v>3795</v>
      </c>
      <c r="BW318" s="79"/>
      <c r="BX318" s="79"/>
    </row>
    <row r="319" spans="1:99" x14ac:dyDescent="0.2">
      <c r="A319" s="4662" t="s">
        <v>3836</v>
      </c>
      <c r="B319" s="4651" t="s">
        <v>3796</v>
      </c>
      <c r="BW319" s="79"/>
      <c r="BX319" s="79"/>
    </row>
    <row r="320" spans="1:99" x14ac:dyDescent="0.2">
      <c r="A320" s="4662" t="s">
        <v>3837</v>
      </c>
      <c r="B320" s="4651" t="s">
        <v>3797</v>
      </c>
      <c r="BW320" s="79"/>
      <c r="BX320" s="79"/>
    </row>
    <row r="321" spans="1:76" x14ac:dyDescent="0.2">
      <c r="A321" s="4662" t="s">
        <v>3838</v>
      </c>
      <c r="B321" s="4651" t="s">
        <v>3798</v>
      </c>
      <c r="BW321" s="79"/>
      <c r="BX321" s="79"/>
    </row>
    <row r="322" spans="1:76" x14ac:dyDescent="0.2">
      <c r="A322" s="4662" t="s">
        <v>3839</v>
      </c>
      <c r="B322" s="4651" t="s">
        <v>3799</v>
      </c>
      <c r="BW322" s="79"/>
      <c r="BX322" s="79"/>
    </row>
    <row r="323" spans="1:76" x14ac:dyDescent="0.2">
      <c r="A323" s="4662" t="s">
        <v>3840</v>
      </c>
      <c r="B323" s="4651" t="s">
        <v>3800</v>
      </c>
      <c r="BW323" s="79"/>
      <c r="BX323" s="79"/>
    </row>
    <row r="324" spans="1:76" ht="14.25" customHeight="1" x14ac:dyDescent="0.2">
      <c r="A324" s="4662" t="s">
        <v>3841</v>
      </c>
      <c r="B324" s="4651" t="s">
        <v>3801</v>
      </c>
      <c r="BW324" s="79"/>
      <c r="BX324" s="79"/>
    </row>
    <row r="325" spans="1:76" x14ac:dyDescent="0.2">
      <c r="A325" s="4662" t="s">
        <v>3842</v>
      </c>
      <c r="B325" s="4651" t="s">
        <v>3802</v>
      </c>
      <c r="BW325" s="79"/>
      <c r="BX325" s="79"/>
    </row>
    <row r="326" spans="1:76" x14ac:dyDescent="0.2">
      <c r="A326" s="4662" t="s">
        <v>3843</v>
      </c>
      <c r="B326" s="4651" t="s">
        <v>3793</v>
      </c>
      <c r="BW326" s="79"/>
      <c r="BX326" s="79"/>
    </row>
    <row r="327" spans="1:76" x14ac:dyDescent="0.2">
      <c r="A327" s="4662" t="s">
        <v>3844</v>
      </c>
      <c r="B327" s="4651" t="s">
        <v>3803</v>
      </c>
      <c r="BW327" s="79"/>
      <c r="BX327" s="79"/>
    </row>
    <row r="328" spans="1:76" x14ac:dyDescent="0.2">
      <c r="A328" s="4662" t="s">
        <v>3845</v>
      </c>
      <c r="B328" s="4651" t="s">
        <v>3804</v>
      </c>
      <c r="BW328" s="79"/>
      <c r="BX328" s="79"/>
    </row>
    <row r="329" spans="1:76" x14ac:dyDescent="0.2">
      <c r="A329" s="4662" t="s">
        <v>3846</v>
      </c>
      <c r="B329" s="4651" t="s">
        <v>3805</v>
      </c>
      <c r="BW329" s="79"/>
      <c r="BX329" s="79"/>
    </row>
    <row r="330" spans="1:76" x14ac:dyDescent="0.2">
      <c r="A330" s="4662" t="s">
        <v>3847</v>
      </c>
      <c r="B330" s="4651" t="s">
        <v>3806</v>
      </c>
      <c r="BW330" s="79"/>
      <c r="BX330" s="79"/>
    </row>
    <row r="331" spans="1:76" x14ac:dyDescent="0.2">
      <c r="A331" s="4662" t="s">
        <v>3848</v>
      </c>
      <c r="B331" s="4651" t="s">
        <v>3807</v>
      </c>
      <c r="BW331" s="79"/>
      <c r="BX331" s="79"/>
    </row>
    <row r="332" spans="1:76" x14ac:dyDescent="0.2">
      <c r="A332" s="4662" t="s">
        <v>3849</v>
      </c>
      <c r="B332" s="4651" t="s">
        <v>3808</v>
      </c>
      <c r="BW332" s="79"/>
      <c r="BX332" s="79"/>
    </row>
    <row r="333" spans="1:76" x14ac:dyDescent="0.2">
      <c r="A333" s="4662" t="s">
        <v>3850</v>
      </c>
      <c r="B333" s="4651" t="s">
        <v>3809</v>
      </c>
      <c r="BW333" s="79"/>
      <c r="BX333" s="79"/>
    </row>
    <row r="334" spans="1:76" x14ac:dyDescent="0.2">
      <c r="A334" s="4662" t="s">
        <v>3851</v>
      </c>
      <c r="B334" s="4651" t="s">
        <v>3810</v>
      </c>
      <c r="BW334" s="79"/>
      <c r="BX334" s="79"/>
    </row>
    <row r="335" spans="1:76" x14ac:dyDescent="0.2">
      <c r="A335" s="4662" t="s">
        <v>3852</v>
      </c>
      <c r="B335" s="4651" t="s">
        <v>3946</v>
      </c>
      <c r="BW335" s="79"/>
      <c r="BX335" s="79"/>
    </row>
    <row r="336" spans="1:76" x14ac:dyDescent="0.2">
      <c r="A336" s="4662" t="s">
        <v>3853</v>
      </c>
      <c r="B336" s="4651" t="s">
        <v>3947</v>
      </c>
      <c r="BW336" s="79"/>
      <c r="BX336" s="79"/>
    </row>
    <row r="337" spans="1:76" x14ac:dyDescent="0.2">
      <c r="A337" s="4662" t="s">
        <v>3854</v>
      </c>
      <c r="B337" s="4651" t="s">
        <v>3811</v>
      </c>
      <c r="BW337" s="79"/>
      <c r="BX337" s="79"/>
    </row>
    <row r="338" spans="1:76" x14ac:dyDescent="0.2">
      <c r="A338" s="4662" t="s">
        <v>3855</v>
      </c>
      <c r="B338" s="4651" t="s">
        <v>3812</v>
      </c>
      <c r="BW338" s="79"/>
      <c r="BX338" s="79"/>
    </row>
    <row r="339" spans="1:76" x14ac:dyDescent="0.2">
      <c r="A339" s="4662" t="s">
        <v>3856</v>
      </c>
      <c r="B339" s="4651" t="s">
        <v>3813</v>
      </c>
      <c r="BW339" s="79"/>
      <c r="BX339" s="79"/>
    </row>
    <row r="340" spans="1:76" x14ac:dyDescent="0.2">
      <c r="A340" s="4662" t="s">
        <v>3857</v>
      </c>
      <c r="B340" s="4651" t="s">
        <v>3814</v>
      </c>
      <c r="BW340" s="79"/>
      <c r="BX340" s="79"/>
    </row>
    <row r="341" spans="1:76" x14ac:dyDescent="0.2">
      <c r="A341" s="4662" t="s">
        <v>3858</v>
      </c>
      <c r="B341" s="4651" t="s">
        <v>3815</v>
      </c>
      <c r="BW341" s="79"/>
      <c r="BX341" s="79"/>
    </row>
    <row r="342" spans="1:76" x14ac:dyDescent="0.2">
      <c r="A342" s="4662" t="s">
        <v>3859</v>
      </c>
      <c r="B342" s="4651" t="s">
        <v>3816</v>
      </c>
      <c r="BW342" s="79"/>
      <c r="BX342" s="79"/>
    </row>
    <row r="343" spans="1:76" x14ac:dyDescent="0.2">
      <c r="A343" s="4662" t="s">
        <v>3860</v>
      </c>
      <c r="B343" s="4651" t="s">
        <v>3817</v>
      </c>
      <c r="BW343" s="79"/>
      <c r="BX343" s="79"/>
    </row>
    <row r="344" spans="1:76" x14ac:dyDescent="0.2">
      <c r="A344" s="4662" t="s">
        <v>3861</v>
      </c>
      <c r="B344" s="4651" t="s">
        <v>3818</v>
      </c>
      <c r="BW344" s="79"/>
      <c r="BX344" s="79"/>
    </row>
    <row r="345" spans="1:76" x14ac:dyDescent="0.2">
      <c r="A345" s="4662" t="s">
        <v>3862</v>
      </c>
      <c r="B345" s="4651" t="s">
        <v>3819</v>
      </c>
      <c r="BW345" s="79"/>
      <c r="BX345" s="79"/>
    </row>
    <row r="346" spans="1:76" x14ac:dyDescent="0.2">
      <c r="A346" s="4662" t="s">
        <v>3863</v>
      </c>
      <c r="B346" s="4651" t="s">
        <v>3820</v>
      </c>
      <c r="BW346" s="79"/>
      <c r="BX346" s="79"/>
    </row>
    <row r="347" spans="1:76" x14ac:dyDescent="0.2">
      <c r="A347" s="4662" t="s">
        <v>3864</v>
      </c>
      <c r="B347" s="4651" t="s">
        <v>3821</v>
      </c>
      <c r="BW347" s="79"/>
      <c r="BX347" s="79"/>
    </row>
    <row r="348" spans="1:76" x14ac:dyDescent="0.2">
      <c r="A348" s="4662" t="s">
        <v>3865</v>
      </c>
      <c r="B348" s="4651" t="s">
        <v>3822</v>
      </c>
      <c r="BW348" s="79"/>
      <c r="BX348" s="79"/>
    </row>
    <row r="349" spans="1:76" x14ac:dyDescent="0.2">
      <c r="A349" s="4662" t="s">
        <v>3866</v>
      </c>
      <c r="B349" s="4651" t="s">
        <v>3823</v>
      </c>
      <c r="BW349" s="79"/>
      <c r="BX349" s="79"/>
    </row>
    <row r="350" spans="1:76" x14ac:dyDescent="0.2">
      <c r="A350" s="4662" t="s">
        <v>3867</v>
      </c>
      <c r="B350" s="4651" t="s">
        <v>3824</v>
      </c>
      <c r="BW350" s="79"/>
      <c r="BX350" s="79"/>
    </row>
    <row r="351" spans="1:76" x14ac:dyDescent="0.2">
      <c r="A351" s="4662" t="s">
        <v>3868</v>
      </c>
      <c r="B351" s="4651" t="s">
        <v>3825</v>
      </c>
      <c r="BW351" s="79"/>
      <c r="BX351" s="79"/>
    </row>
    <row r="352" spans="1:76" x14ac:dyDescent="0.2">
      <c r="A352" s="4662" t="s">
        <v>3869</v>
      </c>
      <c r="B352" s="4651" t="s">
        <v>3826</v>
      </c>
      <c r="BW352" s="79"/>
      <c r="BX352" s="79"/>
    </row>
    <row r="353" spans="1:76" x14ac:dyDescent="0.2">
      <c r="A353" s="4662" t="s">
        <v>3870</v>
      </c>
      <c r="B353" s="4651" t="s">
        <v>3827</v>
      </c>
      <c r="BW353" s="79"/>
      <c r="BX353" s="79"/>
    </row>
    <row r="354" spans="1:76" x14ac:dyDescent="0.2">
      <c r="A354" s="4662" t="s">
        <v>3871</v>
      </c>
      <c r="B354" s="4651" t="s">
        <v>3828</v>
      </c>
      <c r="BW354" s="79"/>
      <c r="BX354" s="79"/>
    </row>
    <row r="355" spans="1:76" x14ac:dyDescent="0.2">
      <c r="A355" s="4662" t="s">
        <v>3872</v>
      </c>
      <c r="B355" s="4651" t="s">
        <v>3829</v>
      </c>
      <c r="BW355" s="79"/>
      <c r="BX355" s="79"/>
    </row>
    <row r="356" spans="1:76" x14ac:dyDescent="0.2">
      <c r="A356" s="4631" t="s">
        <v>3873</v>
      </c>
      <c r="B356" s="4651" t="s">
        <v>3830</v>
      </c>
      <c r="BW356" s="79"/>
      <c r="BX356" s="79"/>
    </row>
    <row r="357" spans="1:76" x14ac:dyDescent="0.2">
      <c r="A357" s="4631" t="s">
        <v>3874</v>
      </c>
      <c r="B357" s="4650" t="s">
        <v>3831</v>
      </c>
      <c r="BW357" s="79"/>
      <c r="BX357" s="79"/>
    </row>
    <row r="358" spans="1:76" x14ac:dyDescent="0.2">
      <c r="A358" s="4631" t="s">
        <v>3875</v>
      </c>
      <c r="B358" s="4650" t="s">
        <v>3832</v>
      </c>
      <c r="BW358" s="79"/>
      <c r="BX358" s="79"/>
    </row>
    <row r="359" spans="1:76" x14ac:dyDescent="0.2">
      <c r="A359" s="4631" t="s">
        <v>3876</v>
      </c>
      <c r="BW359" s="79"/>
      <c r="BX359" s="79"/>
    </row>
    <row r="360" spans="1:76" x14ac:dyDescent="0.2">
      <c r="A360" s="4631" t="s">
        <v>3877</v>
      </c>
      <c r="BW360" s="79"/>
      <c r="BX360" s="79"/>
    </row>
    <row r="361" spans="1:76" x14ac:dyDescent="0.2">
      <c r="A361" s="4631" t="s">
        <v>3878</v>
      </c>
      <c r="BW361" s="79"/>
      <c r="BX361" s="79"/>
    </row>
    <row r="362" spans="1:76" x14ac:dyDescent="0.2">
      <c r="A362" s="4631" t="s">
        <v>3879</v>
      </c>
      <c r="BW362" s="79"/>
      <c r="BX362" s="79"/>
    </row>
    <row r="363" spans="1:76" x14ac:dyDescent="0.2">
      <c r="A363" s="4631" t="s">
        <v>3880</v>
      </c>
      <c r="BW363" s="79"/>
      <c r="BX363" s="79"/>
    </row>
    <row r="364" spans="1:76" x14ac:dyDescent="0.2">
      <c r="A364" s="4631" t="s">
        <v>3881</v>
      </c>
      <c r="BW364" s="79"/>
      <c r="BX364" s="79"/>
    </row>
    <row r="365" spans="1:76" x14ac:dyDescent="0.2">
      <c r="A365" s="4631" t="s">
        <v>3882</v>
      </c>
    </row>
    <row r="366" spans="1:76" x14ac:dyDescent="0.2">
      <c r="A366" s="4631" t="s">
        <v>3883</v>
      </c>
    </row>
    <row r="367" spans="1:76" x14ac:dyDescent="0.2">
      <c r="A367" s="4631" t="s">
        <v>3884</v>
      </c>
    </row>
    <row r="368" spans="1:76" x14ac:dyDescent="0.2">
      <c r="A368" s="4631" t="s">
        <v>3885</v>
      </c>
    </row>
    <row r="369" spans="1:1" x14ac:dyDescent="0.2">
      <c r="A369" s="4631" t="s">
        <v>3886</v>
      </c>
    </row>
    <row r="370" spans="1:1" x14ac:dyDescent="0.2">
      <c r="A370" s="4631" t="s">
        <v>3887</v>
      </c>
    </row>
    <row r="371" spans="1:1" x14ac:dyDescent="0.2">
      <c r="A371" s="4631" t="s">
        <v>3888</v>
      </c>
    </row>
    <row r="372" spans="1:1" x14ac:dyDescent="0.2">
      <c r="A372" s="4631" t="s">
        <v>3889</v>
      </c>
    </row>
    <row r="373" spans="1:1" x14ac:dyDescent="0.2">
      <c r="A373" s="4631" t="s">
        <v>3890</v>
      </c>
    </row>
    <row r="374" spans="1:1" x14ac:dyDescent="0.2">
      <c r="A374" s="4631" t="s">
        <v>3891</v>
      </c>
    </row>
    <row r="375" spans="1:1" x14ac:dyDescent="0.2">
      <c r="A375" s="4631" t="s">
        <v>3892</v>
      </c>
    </row>
    <row r="376" spans="1:1" x14ac:dyDescent="0.2">
      <c r="A376" s="4631" t="s">
        <v>3893</v>
      </c>
    </row>
    <row r="377" spans="1:1" x14ac:dyDescent="0.2">
      <c r="A377" s="4631" t="s">
        <v>3894</v>
      </c>
    </row>
    <row r="378" spans="1:1" x14ac:dyDescent="0.2">
      <c r="A378" s="4631" t="s">
        <v>3895</v>
      </c>
    </row>
    <row r="379" spans="1:1" x14ac:dyDescent="0.2">
      <c r="A379" s="4631" t="s">
        <v>3896</v>
      </c>
    </row>
    <row r="380" spans="1:1" x14ac:dyDescent="0.2">
      <c r="A380" s="4631" t="s">
        <v>3897</v>
      </c>
    </row>
    <row r="381" spans="1:1" x14ac:dyDescent="0.2">
      <c r="A381" s="4631" t="s">
        <v>3898</v>
      </c>
    </row>
    <row r="382" spans="1:1" x14ac:dyDescent="0.2">
      <c r="A382" s="4631" t="s">
        <v>3899</v>
      </c>
    </row>
    <row r="383" spans="1:1" x14ac:dyDescent="0.2">
      <c r="A383" s="4631" t="s">
        <v>3900</v>
      </c>
    </row>
    <row r="384" spans="1:1" x14ac:dyDescent="0.2">
      <c r="A384" s="4631" t="s">
        <v>3901</v>
      </c>
    </row>
    <row r="385" spans="1:1" x14ac:dyDescent="0.2">
      <c r="A385" s="4631" t="s">
        <v>3902</v>
      </c>
    </row>
    <row r="386" spans="1:1" x14ac:dyDescent="0.2">
      <c r="A386" s="4631" t="s">
        <v>3903</v>
      </c>
    </row>
    <row r="387" spans="1:1" x14ac:dyDescent="0.2">
      <c r="A387" s="4631" t="s">
        <v>3904</v>
      </c>
    </row>
    <row r="388" spans="1:1" x14ac:dyDescent="0.2">
      <c r="A388" s="4631" t="s">
        <v>3905</v>
      </c>
    </row>
    <row r="389" spans="1:1" x14ac:dyDescent="0.2">
      <c r="A389" s="4631" t="s">
        <v>3906</v>
      </c>
    </row>
    <row r="390" spans="1:1" x14ac:dyDescent="0.2">
      <c r="A390" s="4631" t="s">
        <v>3907</v>
      </c>
    </row>
    <row r="391" spans="1:1" x14ac:dyDescent="0.2">
      <c r="A391" s="4631" t="s">
        <v>3908</v>
      </c>
    </row>
    <row r="392" spans="1:1" x14ac:dyDescent="0.2">
      <c r="A392" s="4631" t="s">
        <v>3909</v>
      </c>
    </row>
    <row r="393" spans="1:1" x14ac:dyDescent="0.2">
      <c r="A393" s="4631" t="s">
        <v>3910</v>
      </c>
    </row>
    <row r="394" spans="1:1" x14ac:dyDescent="0.2">
      <c r="A394" s="4631" t="s">
        <v>3911</v>
      </c>
    </row>
    <row r="395" spans="1:1" x14ac:dyDescent="0.2">
      <c r="A395" s="4631" t="s">
        <v>3912</v>
      </c>
    </row>
    <row r="396" spans="1:1" x14ac:dyDescent="0.2">
      <c r="A396" s="4631" t="s">
        <v>3913</v>
      </c>
    </row>
    <row r="397" spans="1:1" x14ac:dyDescent="0.2">
      <c r="A397" s="4631" t="s">
        <v>3914</v>
      </c>
    </row>
    <row r="398" spans="1:1" x14ac:dyDescent="0.2">
      <c r="A398" s="4631" t="s">
        <v>3915</v>
      </c>
    </row>
    <row r="399" spans="1:1" x14ac:dyDescent="0.2">
      <c r="A399" s="4631" t="s">
        <v>3916</v>
      </c>
    </row>
    <row r="400" spans="1:1" x14ac:dyDescent="0.2">
      <c r="A400" s="4631" t="s">
        <v>3917</v>
      </c>
    </row>
    <row r="401" spans="1:1" x14ac:dyDescent="0.2">
      <c r="A401" s="4631" t="s">
        <v>3918</v>
      </c>
    </row>
    <row r="402" spans="1:1" x14ac:dyDescent="0.2">
      <c r="A402" s="4631" t="s">
        <v>3919</v>
      </c>
    </row>
    <row r="403" spans="1:1" x14ac:dyDescent="0.2">
      <c r="A403" s="4631" t="s">
        <v>3920</v>
      </c>
    </row>
    <row r="404" spans="1:1" x14ac:dyDescent="0.2">
      <c r="A404" s="4631" t="s">
        <v>3921</v>
      </c>
    </row>
    <row r="405" spans="1:1" x14ac:dyDescent="0.2">
      <c r="A405" s="4631" t="s">
        <v>3922</v>
      </c>
    </row>
    <row r="406" spans="1:1" x14ac:dyDescent="0.2">
      <c r="A406" s="4631" t="s">
        <v>3923</v>
      </c>
    </row>
    <row r="407" spans="1:1" x14ac:dyDescent="0.2">
      <c r="A407" s="4631" t="s">
        <v>3924</v>
      </c>
    </row>
    <row r="408" spans="1:1" x14ac:dyDescent="0.2">
      <c r="A408" s="4631" t="s">
        <v>3925</v>
      </c>
    </row>
    <row r="409" spans="1:1" x14ac:dyDescent="0.2">
      <c r="A409" s="4631" t="s">
        <v>3926</v>
      </c>
    </row>
    <row r="410" spans="1:1" x14ac:dyDescent="0.2">
      <c r="A410" s="4631" t="s">
        <v>3927</v>
      </c>
    </row>
  </sheetData>
  <mergeCells count="413">
    <mergeCell ref="B6:Q6"/>
    <mergeCell ref="AX6:BM6"/>
    <mergeCell ref="BN6:CC6"/>
    <mergeCell ref="CD6:CU6"/>
    <mergeCell ref="A9:A11"/>
    <mergeCell ref="B9:D11"/>
    <mergeCell ref="E9:G10"/>
    <mergeCell ref="H9:AE9"/>
    <mergeCell ref="AF9:AF11"/>
    <mergeCell ref="AG9:AG11"/>
    <mergeCell ref="AB10:AC10"/>
    <mergeCell ref="AD10:AE10"/>
    <mergeCell ref="AH9:AH11"/>
    <mergeCell ref="AI9:AI11"/>
    <mergeCell ref="AJ9:AJ11"/>
    <mergeCell ref="H10:I10"/>
    <mergeCell ref="J10:K10"/>
    <mergeCell ref="L10:M10"/>
    <mergeCell ref="N10:O10"/>
    <mergeCell ref="P10:Q10"/>
    <mergeCell ref="R10:S10"/>
    <mergeCell ref="T10:U10"/>
    <mergeCell ref="B13:D13"/>
    <mergeCell ref="B14:D14"/>
    <mergeCell ref="B15:D15"/>
    <mergeCell ref="B17:D18"/>
    <mergeCell ref="E17:G17"/>
    <mergeCell ref="H17:I17"/>
    <mergeCell ref="V10:W10"/>
    <mergeCell ref="X10:Y10"/>
    <mergeCell ref="Z10:AA10"/>
    <mergeCell ref="B12:D12"/>
    <mergeCell ref="AJ17:AJ18"/>
    <mergeCell ref="AK17:AK18"/>
    <mergeCell ref="AL17:AL18"/>
    <mergeCell ref="V17:W17"/>
    <mergeCell ref="X17:Y17"/>
    <mergeCell ref="Z17:AA17"/>
    <mergeCell ref="AB17:AC17"/>
    <mergeCell ref="AD17:AE17"/>
    <mergeCell ref="AF17:AF18"/>
    <mergeCell ref="B19:D19"/>
    <mergeCell ref="B20:D20"/>
    <mergeCell ref="B21:D21"/>
    <mergeCell ref="B22:D22"/>
    <mergeCell ref="B23:D23"/>
    <mergeCell ref="B24:D24"/>
    <mergeCell ref="AG17:AG18"/>
    <mergeCell ref="AH17:AH18"/>
    <mergeCell ref="AI17:AI18"/>
    <mergeCell ref="J17:K17"/>
    <mergeCell ref="L17:M17"/>
    <mergeCell ref="N17:O17"/>
    <mergeCell ref="P17:Q17"/>
    <mergeCell ref="R17:S17"/>
    <mergeCell ref="T17:U17"/>
    <mergeCell ref="B31:D31"/>
    <mergeCell ref="B32:D32"/>
    <mergeCell ref="B33:D33"/>
    <mergeCell ref="B34:D34"/>
    <mergeCell ref="B35:D35"/>
    <mergeCell ref="B36:D36"/>
    <mergeCell ref="B25:D25"/>
    <mergeCell ref="B26:D26"/>
    <mergeCell ref="B27:D27"/>
    <mergeCell ref="B28:D28"/>
    <mergeCell ref="B29:D29"/>
    <mergeCell ref="B30:D30"/>
    <mergeCell ref="B38:D40"/>
    <mergeCell ref="E38:G39"/>
    <mergeCell ref="H38:AE38"/>
    <mergeCell ref="AF38:AF40"/>
    <mergeCell ref="AG38:AG40"/>
    <mergeCell ref="AH38:AH40"/>
    <mergeCell ref="X39:Y39"/>
    <mergeCell ref="Z39:AA39"/>
    <mergeCell ref="AB39:AC39"/>
    <mergeCell ref="AD39:AE39"/>
    <mergeCell ref="AI38:AI40"/>
    <mergeCell ref="AJ38:AJ40"/>
    <mergeCell ref="H39:I39"/>
    <mergeCell ref="J39:K39"/>
    <mergeCell ref="L39:M39"/>
    <mergeCell ref="N39:O39"/>
    <mergeCell ref="P39:Q39"/>
    <mergeCell ref="R39:S39"/>
    <mergeCell ref="T39:U39"/>
    <mergeCell ref="V39:W39"/>
    <mergeCell ref="B47:D47"/>
    <mergeCell ref="B48:C54"/>
    <mergeCell ref="B55:C58"/>
    <mergeCell ref="B60:D60"/>
    <mergeCell ref="B61:D61"/>
    <mergeCell ref="B62:B63"/>
    <mergeCell ref="C62:D62"/>
    <mergeCell ref="C63:D63"/>
    <mergeCell ref="B41:D41"/>
    <mergeCell ref="B42:D42"/>
    <mergeCell ref="B43:D43"/>
    <mergeCell ref="B44:D44"/>
    <mergeCell ref="B45:D45"/>
    <mergeCell ref="B46:D46"/>
    <mergeCell ref="B70:D70"/>
    <mergeCell ref="B71:D71"/>
    <mergeCell ref="B73:D74"/>
    <mergeCell ref="E73:G73"/>
    <mergeCell ref="B75:B76"/>
    <mergeCell ref="C75:D75"/>
    <mergeCell ref="C76:D76"/>
    <mergeCell ref="B64:D64"/>
    <mergeCell ref="B65:D65"/>
    <mergeCell ref="B66:D66"/>
    <mergeCell ref="B67:D67"/>
    <mergeCell ref="B68:D68"/>
    <mergeCell ref="B69:D69"/>
    <mergeCell ref="V78:V79"/>
    <mergeCell ref="B80:D80"/>
    <mergeCell ref="B81:D81"/>
    <mergeCell ref="B78:D79"/>
    <mergeCell ref="E78:G78"/>
    <mergeCell ref="H78:O78"/>
    <mergeCell ref="P78:P79"/>
    <mergeCell ref="Q78:Q79"/>
    <mergeCell ref="R78:R79"/>
    <mergeCell ref="B82:D82"/>
    <mergeCell ref="B83:D83"/>
    <mergeCell ref="B84:D84"/>
    <mergeCell ref="B85:D85"/>
    <mergeCell ref="B86:D86"/>
    <mergeCell ref="B87:D87"/>
    <mergeCell ref="S78:S79"/>
    <mergeCell ref="T78:T79"/>
    <mergeCell ref="U78:U79"/>
    <mergeCell ref="B94:D94"/>
    <mergeCell ref="B95:D95"/>
    <mergeCell ref="B96:D96"/>
    <mergeCell ref="B97:D97"/>
    <mergeCell ref="B98:D98"/>
    <mergeCell ref="B99:D99"/>
    <mergeCell ref="B88:D88"/>
    <mergeCell ref="B89:D89"/>
    <mergeCell ref="B90:D90"/>
    <mergeCell ref="B91:D91"/>
    <mergeCell ref="B92:D92"/>
    <mergeCell ref="B93:D93"/>
    <mergeCell ref="B106:D106"/>
    <mergeCell ref="B107:D107"/>
    <mergeCell ref="B108:D108"/>
    <mergeCell ref="B109:D109"/>
    <mergeCell ref="B110:D110"/>
    <mergeCell ref="B111:D111"/>
    <mergeCell ref="B100:D100"/>
    <mergeCell ref="B101:D101"/>
    <mergeCell ref="B102:D102"/>
    <mergeCell ref="B103:D103"/>
    <mergeCell ref="B104:D104"/>
    <mergeCell ref="B105:D105"/>
    <mergeCell ref="B118:D118"/>
    <mergeCell ref="B119:D119"/>
    <mergeCell ref="B120:D120"/>
    <mergeCell ref="B121:D121"/>
    <mergeCell ref="B122:D122"/>
    <mergeCell ref="B123:D123"/>
    <mergeCell ref="B112:D112"/>
    <mergeCell ref="B113:D113"/>
    <mergeCell ref="B114:D114"/>
    <mergeCell ref="B115:D115"/>
    <mergeCell ref="B116:D116"/>
    <mergeCell ref="B117:D117"/>
    <mergeCell ref="B130:D130"/>
    <mergeCell ref="B131:D131"/>
    <mergeCell ref="B132:D132"/>
    <mergeCell ref="B134:D135"/>
    <mergeCell ref="E134:G134"/>
    <mergeCell ref="H134:O134"/>
    <mergeCell ref="B124:D124"/>
    <mergeCell ref="B125:D125"/>
    <mergeCell ref="B126:D126"/>
    <mergeCell ref="B127:D127"/>
    <mergeCell ref="B128:D128"/>
    <mergeCell ref="B129:D129"/>
    <mergeCell ref="B136:D136"/>
    <mergeCell ref="B137:D137"/>
    <mergeCell ref="B138:D138"/>
    <mergeCell ref="B139:D139"/>
    <mergeCell ref="B140:D140"/>
    <mergeCell ref="B141:D141"/>
    <mergeCell ref="V134:V135"/>
    <mergeCell ref="P134:P135"/>
    <mergeCell ref="Q134:Q135"/>
    <mergeCell ref="R134:R135"/>
    <mergeCell ref="S134:S135"/>
    <mergeCell ref="T134:T135"/>
    <mergeCell ref="U134:U135"/>
    <mergeCell ref="R146:R148"/>
    <mergeCell ref="S146:S148"/>
    <mergeCell ref="T146:T148"/>
    <mergeCell ref="U146:U148"/>
    <mergeCell ref="B142:D142"/>
    <mergeCell ref="B143:D143"/>
    <mergeCell ref="B144:D144"/>
    <mergeCell ref="B146:D148"/>
    <mergeCell ref="E146:G147"/>
    <mergeCell ref="H146:O146"/>
    <mergeCell ref="H147:I147"/>
    <mergeCell ref="J147:K147"/>
    <mergeCell ref="L147:M147"/>
    <mergeCell ref="N147:O147"/>
    <mergeCell ref="B149:B158"/>
    <mergeCell ref="C149:D149"/>
    <mergeCell ref="C150:D150"/>
    <mergeCell ref="C151:D151"/>
    <mergeCell ref="C152:C158"/>
    <mergeCell ref="B159:B162"/>
    <mergeCell ref="C159:C162"/>
    <mergeCell ref="P146:P148"/>
    <mergeCell ref="Q146:Q148"/>
    <mergeCell ref="B172:B176"/>
    <mergeCell ref="C172:D172"/>
    <mergeCell ref="C173:C174"/>
    <mergeCell ref="C175:C176"/>
    <mergeCell ref="B177:B179"/>
    <mergeCell ref="C177:C179"/>
    <mergeCell ref="B163:B165"/>
    <mergeCell ref="C163:C165"/>
    <mergeCell ref="B166:B171"/>
    <mergeCell ref="C166:C167"/>
    <mergeCell ref="C168:C169"/>
    <mergeCell ref="C170:C171"/>
    <mergeCell ref="B180:B181"/>
    <mergeCell ref="C180:C181"/>
    <mergeCell ref="B183:D185"/>
    <mergeCell ref="E183:G184"/>
    <mergeCell ref="H183:AC183"/>
    <mergeCell ref="AD183:AD185"/>
    <mergeCell ref="V184:W184"/>
    <mergeCell ref="X184:Y184"/>
    <mergeCell ref="Z184:AA184"/>
    <mergeCell ref="AB184:AC184"/>
    <mergeCell ref="B186:D186"/>
    <mergeCell ref="B187:D187"/>
    <mergeCell ref="B188:D188"/>
    <mergeCell ref="B189:D189"/>
    <mergeCell ref="B190:D190"/>
    <mergeCell ref="B192:D194"/>
    <mergeCell ref="AF183:AF185"/>
    <mergeCell ref="AG183:AG185"/>
    <mergeCell ref="AH183:AH185"/>
    <mergeCell ref="H184:I184"/>
    <mergeCell ref="J184:K184"/>
    <mergeCell ref="L184:M184"/>
    <mergeCell ref="N184:O184"/>
    <mergeCell ref="P184:Q184"/>
    <mergeCell ref="R184:S184"/>
    <mergeCell ref="T184:U184"/>
    <mergeCell ref="B195:D195"/>
    <mergeCell ref="B196:D196"/>
    <mergeCell ref="B197:D197"/>
    <mergeCell ref="B198:D198"/>
    <mergeCell ref="B200:D202"/>
    <mergeCell ref="E200:G201"/>
    <mergeCell ref="E192:G193"/>
    <mergeCell ref="H192:K192"/>
    <mergeCell ref="H193:H194"/>
    <mergeCell ref="I193:I194"/>
    <mergeCell ref="J193:J194"/>
    <mergeCell ref="K193:K194"/>
    <mergeCell ref="AD200:AD202"/>
    <mergeCell ref="AE200:AE202"/>
    <mergeCell ref="AF200:AF202"/>
    <mergeCell ref="H201:I201"/>
    <mergeCell ref="J201:K201"/>
    <mergeCell ref="L201:M201"/>
    <mergeCell ref="N201:O201"/>
    <mergeCell ref="P201:Q201"/>
    <mergeCell ref="R201:S201"/>
    <mergeCell ref="T201:U201"/>
    <mergeCell ref="H200:W200"/>
    <mergeCell ref="X200:X202"/>
    <mergeCell ref="Y200:Y202"/>
    <mergeCell ref="Z200:AA200"/>
    <mergeCell ref="AB200:AB202"/>
    <mergeCell ref="AC200:AC202"/>
    <mergeCell ref="V201:W201"/>
    <mergeCell ref="Z201:Z202"/>
    <mergeCell ref="AA201:AA202"/>
    <mergeCell ref="B210:B214"/>
    <mergeCell ref="C210:D210"/>
    <mergeCell ref="C211:D211"/>
    <mergeCell ref="C212:D212"/>
    <mergeCell ref="C213:D213"/>
    <mergeCell ref="C214:D214"/>
    <mergeCell ref="B203:B204"/>
    <mergeCell ref="C203:D203"/>
    <mergeCell ref="C204:D204"/>
    <mergeCell ref="B205:B209"/>
    <mergeCell ref="C205:D205"/>
    <mergeCell ref="C206:D206"/>
    <mergeCell ref="C207:D207"/>
    <mergeCell ref="C208:D208"/>
    <mergeCell ref="C209:D209"/>
    <mergeCell ref="B220:B224"/>
    <mergeCell ref="C220:D220"/>
    <mergeCell ref="C221:D221"/>
    <mergeCell ref="C222:D222"/>
    <mergeCell ref="C223:D223"/>
    <mergeCell ref="C224:D224"/>
    <mergeCell ref="B215:B219"/>
    <mergeCell ref="C215:D215"/>
    <mergeCell ref="C216:D216"/>
    <mergeCell ref="C217:D217"/>
    <mergeCell ref="C218:D218"/>
    <mergeCell ref="C219:D219"/>
    <mergeCell ref="B230:B234"/>
    <mergeCell ref="C230:D230"/>
    <mergeCell ref="C231:D231"/>
    <mergeCell ref="C232:D232"/>
    <mergeCell ref="C233:D233"/>
    <mergeCell ref="C234:D234"/>
    <mergeCell ref="B225:B229"/>
    <mergeCell ref="C225:D225"/>
    <mergeCell ref="C226:D226"/>
    <mergeCell ref="C227:D227"/>
    <mergeCell ref="C228:D228"/>
    <mergeCell ref="C229:D229"/>
    <mergeCell ref="B240:B244"/>
    <mergeCell ref="C240:D240"/>
    <mergeCell ref="C241:D241"/>
    <mergeCell ref="C242:D242"/>
    <mergeCell ref="C243:D243"/>
    <mergeCell ref="C244:D244"/>
    <mergeCell ref="B235:B239"/>
    <mergeCell ref="C235:D235"/>
    <mergeCell ref="C236:D236"/>
    <mergeCell ref="C237:D237"/>
    <mergeCell ref="C238:D238"/>
    <mergeCell ref="C239:D239"/>
    <mergeCell ref="B250:B254"/>
    <mergeCell ref="C250:D250"/>
    <mergeCell ref="C251:D251"/>
    <mergeCell ref="C252:D252"/>
    <mergeCell ref="C253:D253"/>
    <mergeCell ref="C254:D254"/>
    <mergeCell ref="B245:B249"/>
    <mergeCell ref="C245:D245"/>
    <mergeCell ref="C246:D246"/>
    <mergeCell ref="C247:D247"/>
    <mergeCell ref="C248:D248"/>
    <mergeCell ref="C249:D249"/>
    <mergeCell ref="B260:B264"/>
    <mergeCell ref="C260:D260"/>
    <mergeCell ref="C261:D261"/>
    <mergeCell ref="C262:D262"/>
    <mergeCell ref="C263:D263"/>
    <mergeCell ref="C264:D264"/>
    <mergeCell ref="B255:B259"/>
    <mergeCell ref="C255:D255"/>
    <mergeCell ref="C256:D256"/>
    <mergeCell ref="C257:D257"/>
    <mergeCell ref="C258:D258"/>
    <mergeCell ref="C259:D259"/>
    <mergeCell ref="B270:B274"/>
    <mergeCell ref="C270:D270"/>
    <mergeCell ref="C271:D271"/>
    <mergeCell ref="C272:D272"/>
    <mergeCell ref="C273:D273"/>
    <mergeCell ref="C274:D274"/>
    <mergeCell ref="B265:B269"/>
    <mergeCell ref="C265:D265"/>
    <mergeCell ref="C266:D266"/>
    <mergeCell ref="C267:D267"/>
    <mergeCell ref="C268:D268"/>
    <mergeCell ref="C269:D269"/>
    <mergeCell ref="P281:P283"/>
    <mergeCell ref="Q281:Q283"/>
    <mergeCell ref="H282:H283"/>
    <mergeCell ref="I282:I283"/>
    <mergeCell ref="J282:J283"/>
    <mergeCell ref="K282:K283"/>
    <mergeCell ref="L282:L283"/>
    <mergeCell ref="B275:B279"/>
    <mergeCell ref="C275:D275"/>
    <mergeCell ref="C276:D276"/>
    <mergeCell ref="C277:D277"/>
    <mergeCell ref="C278:D278"/>
    <mergeCell ref="C279:D279"/>
    <mergeCell ref="B287:D287"/>
    <mergeCell ref="B288:D288"/>
    <mergeCell ref="B290:B293"/>
    <mergeCell ref="C290:C293"/>
    <mergeCell ref="D290:D293"/>
    <mergeCell ref="E290:E293"/>
    <mergeCell ref="M282:M283"/>
    <mergeCell ref="N282:N283"/>
    <mergeCell ref="O282:O283"/>
    <mergeCell ref="B284:D284"/>
    <mergeCell ref="B285:D285"/>
    <mergeCell ref="B286:D286"/>
    <mergeCell ref="B281:D283"/>
    <mergeCell ref="E281:G282"/>
    <mergeCell ref="H281:O281"/>
    <mergeCell ref="B304:C304"/>
    <mergeCell ref="B305:C305"/>
    <mergeCell ref="B306:C306"/>
    <mergeCell ref="B307:C307"/>
    <mergeCell ref="B308:C308"/>
    <mergeCell ref="B309:C309"/>
    <mergeCell ref="F290:F293"/>
    <mergeCell ref="B299:C299"/>
    <mergeCell ref="B300:C300"/>
    <mergeCell ref="B301:C301"/>
    <mergeCell ref="B302:C302"/>
    <mergeCell ref="B303:C303"/>
  </mergeCells>
  <dataValidations count="1">
    <dataValidation operator="greaterThanOrEqual" allowBlank="1" showInputMessage="1" showErrorMessage="1" error="Valor no Permitido" sqref="CI36:CU71 B1:AW5 C7:AL7 A421:A1048576 C103:D117 C8:D81 C86:D100 C123:D126 AX183:CS190 AX62:BW64 CB36:CU59 CB59:CF71 AX1:XFD35 AX36:CA61 CB72:CU77 CB78:CF79 CG59:CH69 CB148:CW181 AX148:BY181 CD146:CW147 AX182:CU182 F135:G135 E136:V182 E132:E135 E8:AL35 E36:AJ57 F132:G133 E58:V131 H132:V135 A317 C130:D182 W58:AJ182 AK36:AL182 B6:B163 CI78:CU145 CB80:CH145 AX65:CA147 B362:B1048576 B166:B312 D318:XFD1048576 C360:C1048576 B318:B334 C318 B336:B358 C183:AL312 CV36:XFD316 AM7:AW312 B313:AW316 AX191:CU316" xr:uid="{00000000-0002-0000-0900-000000000000}"/>
  </dataValidation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Hoja13">
    <tabColor theme="0"/>
  </sheetPr>
  <dimension ref="A1:EA284"/>
  <sheetViews>
    <sheetView zoomScaleNormal="100" workbookViewId="0">
      <selection activeCell="B238" sqref="B238"/>
    </sheetView>
  </sheetViews>
  <sheetFormatPr baseColWidth="10" defaultColWidth="11.42578125" defaultRowHeight="15" x14ac:dyDescent="0.25"/>
  <cols>
    <col min="1" max="1" width="13.7109375" style="210" customWidth="1"/>
    <col min="2" max="2" width="43.140625" style="210" customWidth="1"/>
    <col min="3" max="3" width="26.85546875" style="210" customWidth="1"/>
    <col min="4" max="4" width="16.85546875" style="210" customWidth="1"/>
    <col min="5" max="5" width="14.85546875" style="210" customWidth="1"/>
    <col min="6" max="6" width="14.42578125" style="210" customWidth="1"/>
    <col min="7" max="44" width="11.42578125" style="210"/>
    <col min="45" max="45" width="13.42578125" style="210" customWidth="1"/>
    <col min="46" max="46" width="11.42578125" style="210"/>
    <col min="47" max="47" width="12.85546875" style="783" customWidth="1"/>
    <col min="48" max="48" width="11.42578125" style="783"/>
    <col min="49" max="49" width="12.42578125" style="210" customWidth="1"/>
    <col min="50" max="50" width="11.42578125" style="210"/>
    <col min="51" max="51" width="12.140625" style="210" customWidth="1"/>
    <col min="52" max="74" width="11.42578125" style="210"/>
    <col min="75" max="76" width="11.42578125" style="884"/>
    <col min="77" max="78" width="8.140625" style="885" customWidth="1"/>
    <col min="79" max="79" width="9.42578125" style="885" customWidth="1"/>
    <col min="80" max="80" width="6.85546875" style="2024" hidden="1" customWidth="1"/>
    <col min="81" max="105" width="5.42578125" style="2024" hidden="1" customWidth="1"/>
    <col min="106" max="131" width="5.42578125" style="1346" hidden="1" customWidth="1"/>
    <col min="132" max="132" width="9.42578125" style="210" customWidth="1"/>
    <col min="133" max="134" width="8.140625" style="210" customWidth="1"/>
    <col min="135" max="16384" width="11.42578125" style="210"/>
  </cols>
  <sheetData>
    <row r="1" spans="1:131" s="2020" customFormat="1" ht="16.350000000000001" customHeight="1" x14ac:dyDescent="0.25">
      <c r="B1" s="78" t="s">
        <v>910</v>
      </c>
      <c r="AU1" s="2021"/>
      <c r="AV1" s="2021"/>
      <c r="BW1" s="2022"/>
      <c r="BX1" s="2022"/>
      <c r="BY1" s="2023"/>
      <c r="BZ1" s="2023"/>
      <c r="CA1" s="2023"/>
      <c r="CB1" s="2024"/>
      <c r="CC1" s="2024"/>
      <c r="CD1" s="2024"/>
      <c r="CE1" s="2024"/>
      <c r="CF1" s="2024"/>
      <c r="CG1" s="2024"/>
      <c r="CH1" s="2024"/>
      <c r="CI1" s="2024"/>
      <c r="CJ1" s="2024"/>
      <c r="CK1" s="2024"/>
      <c r="CL1" s="2024"/>
      <c r="CM1" s="2024"/>
      <c r="CN1" s="2024"/>
      <c r="CO1" s="2024"/>
      <c r="CP1" s="2024"/>
      <c r="CQ1" s="2024"/>
      <c r="CR1" s="2024"/>
      <c r="CS1" s="2024"/>
      <c r="CT1" s="2024"/>
      <c r="CU1" s="2024"/>
      <c r="CV1" s="2024"/>
      <c r="CW1" s="2024"/>
      <c r="CX1" s="2024"/>
      <c r="CY1" s="2024"/>
      <c r="CZ1" s="2024"/>
      <c r="DA1" s="2024"/>
      <c r="DB1" s="1346"/>
      <c r="DC1" s="1346"/>
      <c r="DD1" s="1346"/>
      <c r="DE1" s="1346"/>
      <c r="DF1" s="1346"/>
      <c r="DG1" s="1346"/>
      <c r="DH1" s="1346"/>
      <c r="DI1" s="1346"/>
      <c r="DJ1" s="1346"/>
      <c r="DK1" s="1346"/>
      <c r="DL1" s="1346"/>
      <c r="DM1" s="1346"/>
      <c r="DN1" s="1346"/>
      <c r="DO1" s="1346"/>
      <c r="DP1" s="1346"/>
      <c r="DQ1" s="1346"/>
      <c r="DR1" s="1346"/>
      <c r="DS1" s="1346"/>
      <c r="DT1" s="1346"/>
      <c r="DU1" s="1346"/>
      <c r="DV1" s="1346"/>
      <c r="DW1" s="1346"/>
      <c r="DX1" s="1346"/>
      <c r="DY1" s="1346"/>
      <c r="DZ1" s="1346"/>
      <c r="EA1" s="1346"/>
    </row>
    <row r="2" spans="1:131" s="2020" customFormat="1" ht="16.350000000000001" customHeight="1" x14ac:dyDescent="0.25">
      <c r="B2" s="78" t="str">
        <f>CONCATENATE("COMUNA: ",NOMBRE!B2," - ","( ",NOMBRE!C2,NOMBRE!D2,NOMBRE!E2,NOMBRE!F2,NOMBRE!G2," )")</f>
        <v>COMUNA:  - (  )</v>
      </c>
      <c r="AU2" s="2021"/>
      <c r="AV2" s="2021"/>
      <c r="BW2" s="2022"/>
      <c r="BX2" s="2022"/>
      <c r="BY2" s="2023"/>
      <c r="BZ2" s="2023"/>
      <c r="CA2" s="2023"/>
      <c r="CB2" s="2024"/>
      <c r="CC2" s="2024"/>
      <c r="CD2" s="2024"/>
      <c r="CE2" s="2024"/>
      <c r="CF2" s="2024"/>
      <c r="CG2" s="2024"/>
      <c r="CH2" s="2024"/>
      <c r="CI2" s="2024"/>
      <c r="CJ2" s="2024"/>
      <c r="CK2" s="2024"/>
      <c r="CL2" s="2024"/>
      <c r="CM2" s="2024"/>
      <c r="CN2" s="2024"/>
      <c r="CO2" s="2024"/>
      <c r="CP2" s="2024"/>
      <c r="CQ2" s="2024"/>
      <c r="CR2" s="2024"/>
      <c r="CS2" s="2024"/>
      <c r="CT2" s="2024"/>
      <c r="CU2" s="2024"/>
      <c r="CV2" s="2024"/>
      <c r="CW2" s="2024"/>
      <c r="CX2" s="2024"/>
      <c r="CY2" s="2024"/>
      <c r="CZ2" s="2024"/>
      <c r="DA2" s="2024"/>
      <c r="DB2" s="1346"/>
      <c r="DC2" s="1346"/>
      <c r="DD2" s="1346"/>
      <c r="DE2" s="1346"/>
      <c r="DF2" s="1346"/>
      <c r="DG2" s="1346"/>
      <c r="DH2" s="1346"/>
      <c r="DI2" s="1346"/>
      <c r="DJ2" s="1346"/>
      <c r="DK2" s="1346"/>
      <c r="DL2" s="1346"/>
      <c r="DM2" s="1346"/>
      <c r="DN2" s="1346"/>
      <c r="DO2" s="1346"/>
      <c r="DP2" s="1346"/>
      <c r="DQ2" s="1346"/>
      <c r="DR2" s="1346"/>
      <c r="DS2" s="1346"/>
      <c r="DT2" s="1346"/>
      <c r="DU2" s="1346"/>
      <c r="DV2" s="1346"/>
      <c r="DW2" s="1346"/>
      <c r="DX2" s="1346"/>
      <c r="DY2" s="1346"/>
      <c r="DZ2" s="1346"/>
      <c r="EA2" s="1346"/>
    </row>
    <row r="3" spans="1:131" s="2020" customFormat="1" ht="16.350000000000001" customHeight="1" x14ac:dyDescent="0.25">
      <c r="B3" s="78" t="str">
        <f>CONCATENATE("ESTABLECIMIENTO/ESTRATEGIA: ",NOMBRE!B3," - ","( ",NOMBRE!C3,NOMBRE!D3,NOMBRE!E3,NOMBRE!F3,NOMBRE!G3,NOMBRE!H3," )")</f>
        <v>ESTABLECIMIENTO/ESTRATEGIA:  - (  )</v>
      </c>
      <c r="AU3" s="2021"/>
      <c r="AV3" s="2021"/>
      <c r="BW3" s="2022"/>
      <c r="BX3" s="2022"/>
      <c r="BY3" s="2023"/>
      <c r="BZ3" s="2023"/>
      <c r="CA3" s="2023"/>
      <c r="CB3" s="2024"/>
      <c r="CC3" s="2024"/>
      <c r="CD3" s="2024"/>
      <c r="CE3" s="2024"/>
      <c r="CF3" s="2024"/>
      <c r="CG3" s="2024"/>
      <c r="CH3" s="2024"/>
      <c r="CI3" s="2024"/>
      <c r="CJ3" s="2024"/>
      <c r="CK3" s="2024"/>
      <c r="CL3" s="2024"/>
      <c r="CM3" s="2024"/>
      <c r="CN3" s="2024"/>
      <c r="CO3" s="2024"/>
      <c r="CP3" s="2024"/>
      <c r="CQ3" s="2024"/>
      <c r="CR3" s="2024"/>
      <c r="CS3" s="2024"/>
      <c r="CT3" s="2024"/>
      <c r="CU3" s="2024"/>
      <c r="CV3" s="2024"/>
      <c r="CW3" s="2024"/>
      <c r="CX3" s="2024"/>
      <c r="CY3" s="2024"/>
      <c r="CZ3" s="2024"/>
      <c r="DA3" s="2024"/>
      <c r="DB3" s="1346"/>
      <c r="DC3" s="1346"/>
      <c r="DD3" s="1346"/>
      <c r="DE3" s="1346"/>
      <c r="DF3" s="1346"/>
      <c r="DG3" s="1346"/>
      <c r="DH3" s="1346"/>
      <c r="DI3" s="1346"/>
      <c r="DJ3" s="1346"/>
      <c r="DK3" s="1346"/>
      <c r="DL3" s="1346"/>
      <c r="DM3" s="1346"/>
      <c r="DN3" s="1346"/>
      <c r="DO3" s="1346"/>
      <c r="DP3" s="1346"/>
      <c r="DQ3" s="1346"/>
      <c r="DR3" s="1346"/>
      <c r="DS3" s="1346"/>
      <c r="DT3" s="1346"/>
      <c r="DU3" s="1346"/>
      <c r="DV3" s="1346"/>
      <c r="DW3" s="1346"/>
      <c r="DX3" s="1346"/>
      <c r="DY3" s="1346"/>
      <c r="DZ3" s="1346"/>
      <c r="EA3" s="1346"/>
    </row>
    <row r="4" spans="1:131" s="2020" customFormat="1" ht="16.350000000000001" customHeight="1" x14ac:dyDescent="0.25">
      <c r="B4" s="78" t="str">
        <f>CONCATENATE("MES: ",NOMBRE!B6," - ","( ",NOMBRE!C6,NOMBRE!D6," )")</f>
        <v>MES:  - (  )</v>
      </c>
      <c r="AU4" s="2021"/>
      <c r="AV4" s="2021"/>
      <c r="BW4" s="2022"/>
      <c r="BX4" s="2022"/>
      <c r="BY4" s="2023"/>
      <c r="BZ4" s="2023"/>
      <c r="CA4" s="2023"/>
      <c r="CB4" s="2024"/>
      <c r="CC4" s="2024"/>
      <c r="CD4" s="2024"/>
      <c r="CE4" s="2024"/>
      <c r="CF4" s="2024"/>
      <c r="CG4" s="2024"/>
      <c r="CH4" s="2024"/>
      <c r="CI4" s="2024"/>
      <c r="CJ4" s="2024"/>
      <c r="CK4" s="2024"/>
      <c r="CL4" s="2024"/>
      <c r="CM4" s="2024"/>
      <c r="CN4" s="2024"/>
      <c r="CO4" s="2024"/>
      <c r="CP4" s="2024"/>
      <c r="CQ4" s="2024"/>
      <c r="CR4" s="2024"/>
      <c r="CS4" s="2024"/>
      <c r="CT4" s="2024"/>
      <c r="CU4" s="2024"/>
      <c r="CV4" s="2024"/>
      <c r="CW4" s="2024"/>
      <c r="CX4" s="2024"/>
      <c r="CY4" s="2024"/>
      <c r="CZ4" s="2024"/>
      <c r="DA4" s="2024"/>
      <c r="DB4" s="1346"/>
      <c r="DC4" s="1346"/>
      <c r="DD4" s="1346"/>
      <c r="DE4" s="1346"/>
      <c r="DF4" s="1346"/>
      <c r="DG4" s="1346"/>
      <c r="DH4" s="1346"/>
      <c r="DI4" s="1346"/>
      <c r="DJ4" s="1346"/>
      <c r="DK4" s="1346"/>
      <c r="DL4" s="1346"/>
      <c r="DM4" s="1346"/>
      <c r="DN4" s="1346"/>
      <c r="DO4" s="1346"/>
      <c r="DP4" s="1346"/>
      <c r="DQ4" s="1346"/>
      <c r="DR4" s="1346"/>
      <c r="DS4" s="1346"/>
      <c r="DT4" s="1346"/>
      <c r="DU4" s="1346"/>
      <c r="DV4" s="1346"/>
      <c r="DW4" s="1346"/>
      <c r="DX4" s="1346"/>
      <c r="DY4" s="1346"/>
      <c r="DZ4" s="1346"/>
      <c r="EA4" s="1346"/>
    </row>
    <row r="5" spans="1:131" s="2020" customFormat="1" ht="16.350000000000001" customHeight="1" x14ac:dyDescent="0.25">
      <c r="B5" s="78" t="str">
        <f>CONCATENATE("AÑO: ",NOMBRE!B7)</f>
        <v>AÑO: 2020</v>
      </c>
      <c r="AU5" s="2021"/>
      <c r="AV5" s="2021"/>
      <c r="BW5" s="2022"/>
      <c r="BX5" s="2022"/>
      <c r="BY5" s="2023"/>
      <c r="BZ5" s="2023"/>
      <c r="CA5" s="2023"/>
      <c r="CB5" s="2024"/>
      <c r="CC5" s="2024"/>
      <c r="CD5" s="2024"/>
      <c r="CE5" s="2024"/>
      <c r="CF5" s="2024"/>
      <c r="CG5" s="2024"/>
      <c r="CH5" s="2024"/>
      <c r="CI5" s="2024"/>
      <c r="CJ5" s="2024"/>
      <c r="CK5" s="2024"/>
      <c r="CL5" s="2024"/>
      <c r="CM5" s="2024"/>
      <c r="CN5" s="2024"/>
      <c r="CO5" s="2024"/>
      <c r="CP5" s="2024"/>
      <c r="CQ5" s="2024"/>
      <c r="CR5" s="2024"/>
      <c r="CS5" s="2024"/>
      <c r="CT5" s="2024"/>
      <c r="CU5" s="2024"/>
      <c r="CV5" s="2024"/>
      <c r="CW5" s="2024"/>
      <c r="CX5" s="2024"/>
      <c r="CY5" s="2024"/>
      <c r="CZ5" s="2024"/>
      <c r="DA5" s="2024"/>
      <c r="DB5" s="1346"/>
      <c r="DC5" s="1346"/>
      <c r="DD5" s="1346"/>
      <c r="DE5" s="1346"/>
      <c r="DF5" s="1346"/>
      <c r="DG5" s="1346"/>
      <c r="DH5" s="1346"/>
      <c r="DI5" s="1346"/>
      <c r="DJ5" s="1346"/>
      <c r="DK5" s="1346"/>
      <c r="DL5" s="1346"/>
      <c r="DM5" s="1346"/>
      <c r="DN5" s="1346"/>
      <c r="DO5" s="1346"/>
      <c r="DP5" s="1346"/>
      <c r="DQ5" s="1346"/>
      <c r="DR5" s="1346"/>
      <c r="DS5" s="1346"/>
      <c r="DT5" s="1346"/>
      <c r="DU5" s="1346"/>
      <c r="DV5" s="1346"/>
      <c r="DW5" s="1346"/>
      <c r="DX5" s="1346"/>
      <c r="DY5" s="1346"/>
      <c r="DZ5" s="1346"/>
      <c r="EA5" s="1346"/>
    </row>
    <row r="6" spans="1:131" ht="16.350000000000001" customHeight="1" x14ac:dyDescent="0.25">
      <c r="B6" s="5148" t="s">
        <v>2252</v>
      </c>
      <c r="C6" s="5148"/>
      <c r="D6" s="5148"/>
      <c r="E6" s="5148"/>
      <c r="F6" s="5148"/>
      <c r="G6" s="5148"/>
      <c r="H6" s="5148"/>
      <c r="I6" s="5148"/>
      <c r="J6" s="5148"/>
      <c r="K6" s="5148"/>
      <c r="L6" s="5148"/>
      <c r="M6" s="5148"/>
      <c r="N6" s="5148"/>
      <c r="O6" s="5148"/>
      <c r="P6" s="5148"/>
      <c r="Q6" s="5148"/>
      <c r="R6" s="84"/>
      <c r="S6" s="84"/>
      <c r="T6" s="84"/>
      <c r="U6" s="84"/>
      <c r="V6" s="84"/>
      <c r="W6" s="84"/>
      <c r="X6" s="84"/>
      <c r="Y6" s="84"/>
      <c r="Z6" s="84"/>
      <c r="AA6" s="84"/>
      <c r="AB6" s="84"/>
      <c r="AC6" s="84"/>
      <c r="AD6" s="84"/>
      <c r="AE6" s="84"/>
      <c r="AF6" s="84"/>
      <c r="AG6" s="190"/>
      <c r="AH6" s="190"/>
      <c r="AI6" s="190"/>
      <c r="AJ6" s="190"/>
      <c r="AK6" s="190"/>
      <c r="AL6" s="190"/>
      <c r="AM6" s="190"/>
      <c r="AY6" s="2020"/>
      <c r="AZ6" s="2020"/>
      <c r="BA6" s="2020"/>
      <c r="BB6" s="2020"/>
      <c r="BC6" s="2020"/>
      <c r="BD6" s="2020"/>
      <c r="BE6" s="2020"/>
      <c r="BF6" s="2020"/>
      <c r="BG6" s="2020"/>
      <c r="BH6" s="2020"/>
      <c r="BI6" s="2020"/>
      <c r="BJ6" s="2020"/>
    </row>
    <row r="7" spans="1:131" ht="32.1" customHeight="1" x14ac:dyDescent="0.25">
      <c r="B7" s="6298" t="s">
        <v>2253</v>
      </c>
      <c r="C7" s="6298"/>
      <c r="D7" s="322"/>
      <c r="E7" s="322"/>
      <c r="F7" s="322"/>
      <c r="G7" s="1892"/>
      <c r="H7" s="1892"/>
      <c r="I7" s="1892"/>
      <c r="J7" s="1892"/>
      <c r="K7" s="1892"/>
      <c r="L7" s="1892"/>
      <c r="M7" s="1892"/>
      <c r="N7" s="1892"/>
      <c r="O7" s="1892"/>
      <c r="P7" s="1892"/>
      <c r="Q7" s="1892"/>
      <c r="R7" s="84"/>
      <c r="S7" s="84"/>
      <c r="T7" s="84"/>
      <c r="U7" s="84"/>
      <c r="V7" s="84"/>
      <c r="W7" s="84"/>
      <c r="X7" s="84"/>
      <c r="Y7" s="84"/>
      <c r="Z7" s="84"/>
      <c r="AA7" s="84"/>
      <c r="AB7" s="84"/>
      <c r="AC7" s="84"/>
      <c r="AD7" s="84"/>
      <c r="AE7" s="84"/>
      <c r="AF7" s="84"/>
      <c r="AG7" s="190"/>
      <c r="AH7" s="190"/>
      <c r="AI7" s="190"/>
      <c r="AJ7" s="190"/>
      <c r="AK7" s="190"/>
      <c r="AL7" s="190"/>
      <c r="AM7" s="190"/>
      <c r="AS7" s="211"/>
      <c r="AT7" s="211"/>
      <c r="AU7" s="2025"/>
      <c r="AV7" s="2025"/>
      <c r="AW7" s="211"/>
      <c r="AX7" s="211"/>
      <c r="AY7" s="2020"/>
      <c r="AZ7" s="2020"/>
      <c r="BA7" s="2020"/>
      <c r="BB7" s="2020"/>
      <c r="BC7" s="2020"/>
      <c r="BD7" s="2020"/>
      <c r="BE7" s="2020"/>
      <c r="BF7" s="2020"/>
      <c r="BG7" s="2020"/>
      <c r="BH7" s="2020"/>
      <c r="BI7" s="2020"/>
      <c r="BJ7" s="2020"/>
    </row>
    <row r="8" spans="1:131" ht="32.1" customHeight="1" x14ac:dyDescent="0.25">
      <c r="B8" s="2026" t="s">
        <v>2254</v>
      </c>
      <c r="C8" s="2027"/>
      <c r="D8" s="2027"/>
      <c r="E8" s="177"/>
      <c r="F8" s="177"/>
      <c r="G8" s="177"/>
      <c r="H8" s="177"/>
      <c r="I8" s="2020"/>
      <c r="J8" s="177"/>
      <c r="K8" s="139"/>
      <c r="L8" s="139"/>
      <c r="M8" s="139"/>
      <c r="N8" s="139"/>
      <c r="O8" s="139"/>
      <c r="P8" s="139"/>
      <c r="Q8" s="139"/>
      <c r="R8" s="190"/>
      <c r="AY8" s="2020"/>
      <c r="AZ8" s="2020"/>
      <c r="BA8" s="2020"/>
      <c r="BB8" s="2020"/>
      <c r="BC8" s="2020"/>
      <c r="BD8" s="2020"/>
      <c r="BE8" s="2020"/>
      <c r="BF8" s="2020"/>
      <c r="BG8" s="2020"/>
      <c r="BH8" s="2020"/>
      <c r="BI8" s="2020"/>
      <c r="BJ8" s="2020"/>
      <c r="BU8" s="211"/>
      <c r="BV8" s="211"/>
      <c r="BW8" s="885"/>
      <c r="BX8" s="885"/>
    </row>
    <row r="9" spans="1:131" ht="32.1" customHeight="1" x14ac:dyDescent="0.25">
      <c r="A9" s="5168" t="s">
        <v>2775</v>
      </c>
      <c r="B9" s="5158" t="s">
        <v>2255</v>
      </c>
      <c r="C9" s="6208" t="s">
        <v>42</v>
      </c>
      <c r="D9" s="6209"/>
      <c r="E9" s="5160" t="s">
        <v>425</v>
      </c>
      <c r="F9" s="5161"/>
      <c r="G9" s="5161"/>
      <c r="H9" s="5161"/>
      <c r="I9" s="5161"/>
      <c r="J9" s="5161"/>
      <c r="K9" s="5161"/>
      <c r="L9" s="5161"/>
      <c r="M9" s="5161"/>
      <c r="N9" s="5161"/>
      <c r="O9" s="5161"/>
      <c r="P9" s="5161"/>
      <c r="Q9" s="5161"/>
      <c r="R9" s="5161"/>
      <c r="S9" s="5161"/>
      <c r="T9" s="5161"/>
      <c r="U9" s="5161"/>
      <c r="V9" s="5161"/>
      <c r="W9" s="5161"/>
      <c r="X9" s="5161"/>
      <c r="Y9" s="5161"/>
      <c r="Z9" s="5161"/>
      <c r="AA9" s="5161"/>
      <c r="AB9" s="5161"/>
      <c r="AC9" s="5161"/>
      <c r="AD9" s="5161"/>
      <c r="AE9" s="5161"/>
      <c r="AF9" s="5161"/>
      <c r="AG9" s="5161"/>
      <c r="AH9" s="5161"/>
      <c r="AI9" s="5161"/>
      <c r="AJ9" s="5161"/>
      <c r="AK9" s="5161"/>
      <c r="AL9" s="5161"/>
      <c r="AM9" s="5161"/>
      <c r="AN9" s="5161"/>
      <c r="AO9" s="5161"/>
      <c r="AP9" s="5161"/>
      <c r="AQ9" s="5161"/>
      <c r="AR9" s="6212"/>
      <c r="AS9" s="5540" t="s">
        <v>2256</v>
      </c>
      <c r="AT9" s="6213"/>
      <c r="AU9" s="6214" t="s">
        <v>411</v>
      </c>
      <c r="AV9" s="6215"/>
      <c r="AW9" s="6218" t="s">
        <v>1359</v>
      </c>
      <c r="AX9" s="6219" t="s">
        <v>1358</v>
      </c>
      <c r="AY9" s="884"/>
      <c r="AZ9" s="884"/>
      <c r="BA9" s="884"/>
      <c r="BB9" s="884"/>
      <c r="BC9" s="884"/>
      <c r="BD9" s="884"/>
      <c r="BE9" s="884"/>
      <c r="BF9" s="884"/>
      <c r="BG9" s="884"/>
      <c r="BH9" s="884"/>
      <c r="BI9" s="884"/>
      <c r="BJ9" s="884"/>
      <c r="BK9" s="884"/>
      <c r="BL9" s="884"/>
      <c r="BM9" s="884"/>
      <c r="BV9" s="884"/>
      <c r="BW9" s="885"/>
      <c r="BX9" s="885"/>
    </row>
    <row r="10" spans="1:131" ht="16.350000000000001" customHeight="1" x14ac:dyDescent="0.25">
      <c r="A10" s="5168"/>
      <c r="B10" s="5113"/>
      <c r="C10" s="6210"/>
      <c r="D10" s="6211"/>
      <c r="E10" s="5165" t="s">
        <v>426</v>
      </c>
      <c r="F10" s="5540"/>
      <c r="G10" s="5165" t="s">
        <v>1382</v>
      </c>
      <c r="H10" s="5540"/>
      <c r="I10" s="5165" t="s">
        <v>1355</v>
      </c>
      <c r="J10" s="5167"/>
      <c r="K10" s="5540" t="s">
        <v>620</v>
      </c>
      <c r="L10" s="5540"/>
      <c r="M10" s="5165" t="s">
        <v>275</v>
      </c>
      <c r="N10" s="5167"/>
      <c r="O10" s="5540" t="s">
        <v>352</v>
      </c>
      <c r="P10" s="5540"/>
      <c r="Q10" s="5165" t="s">
        <v>319</v>
      </c>
      <c r="R10" s="5540"/>
      <c r="S10" s="5165" t="s">
        <v>10</v>
      </c>
      <c r="T10" s="5540"/>
      <c r="U10" s="5165" t="s">
        <v>151</v>
      </c>
      <c r="V10" s="5167"/>
      <c r="W10" s="5165" t="s">
        <v>152</v>
      </c>
      <c r="X10" s="5167"/>
      <c r="Y10" s="5165" t="s">
        <v>153</v>
      </c>
      <c r="Z10" s="5167"/>
      <c r="AA10" s="5165" t="s">
        <v>154</v>
      </c>
      <c r="AB10" s="5167"/>
      <c r="AC10" s="5165" t="s">
        <v>155</v>
      </c>
      <c r="AD10" s="5167"/>
      <c r="AE10" s="5165" t="s">
        <v>156</v>
      </c>
      <c r="AF10" s="5167"/>
      <c r="AG10" s="5165" t="s">
        <v>157</v>
      </c>
      <c r="AH10" s="5167"/>
      <c r="AI10" s="5165" t="s">
        <v>158</v>
      </c>
      <c r="AJ10" s="5167"/>
      <c r="AK10" s="5165" t="s">
        <v>159</v>
      </c>
      <c r="AL10" s="5167"/>
      <c r="AM10" s="5165" t="s">
        <v>160</v>
      </c>
      <c r="AN10" s="5167"/>
      <c r="AO10" s="5165" t="s">
        <v>161</v>
      </c>
      <c r="AP10" s="5167"/>
      <c r="AQ10" s="5165" t="s">
        <v>162</v>
      </c>
      <c r="AR10" s="6213"/>
      <c r="AS10" s="6220" t="s">
        <v>24</v>
      </c>
      <c r="AT10" s="6222" t="s">
        <v>25</v>
      </c>
      <c r="AU10" s="6216"/>
      <c r="AV10" s="6217"/>
      <c r="AW10" s="5121"/>
      <c r="AX10" s="5123"/>
      <c r="AY10" s="884"/>
      <c r="AZ10" s="884"/>
      <c r="BA10" s="884"/>
      <c r="BB10" s="884"/>
      <c r="BC10" s="884"/>
      <c r="BD10" s="884"/>
      <c r="BE10" s="884"/>
      <c r="BF10" s="884"/>
      <c r="BG10" s="884"/>
      <c r="BH10" s="884"/>
      <c r="BI10" s="884"/>
      <c r="BJ10" s="884"/>
      <c r="BK10" s="884"/>
      <c r="BL10" s="884"/>
      <c r="BM10" s="884"/>
      <c r="BV10" s="884"/>
    </row>
    <row r="11" spans="1:131" ht="16.350000000000001" customHeight="1" x14ac:dyDescent="0.25">
      <c r="B11" s="5159"/>
      <c r="C11" s="1597" t="s">
        <v>2257</v>
      </c>
      <c r="D11" s="1924" t="s">
        <v>2258</v>
      </c>
      <c r="E11" s="1927" t="s">
        <v>2257</v>
      </c>
      <c r="F11" s="1239" t="s">
        <v>2258</v>
      </c>
      <c r="G11" s="1927" t="s">
        <v>2257</v>
      </c>
      <c r="H11" s="1239" t="s">
        <v>2258</v>
      </c>
      <c r="I11" s="1927" t="s">
        <v>2257</v>
      </c>
      <c r="J11" s="2028" t="s">
        <v>2258</v>
      </c>
      <c r="K11" s="2029" t="s">
        <v>2257</v>
      </c>
      <c r="L11" s="1239" t="s">
        <v>2258</v>
      </c>
      <c r="M11" s="1927" t="s">
        <v>2257</v>
      </c>
      <c r="N11" s="2028" t="s">
        <v>2258</v>
      </c>
      <c r="O11" s="1749" t="s">
        <v>2257</v>
      </c>
      <c r="P11" s="1695" t="s">
        <v>2258</v>
      </c>
      <c r="Q11" s="1597" t="s">
        <v>2257</v>
      </c>
      <c r="R11" s="1695" t="s">
        <v>2258</v>
      </c>
      <c r="S11" s="1597" t="s">
        <v>2257</v>
      </c>
      <c r="T11" s="1695" t="s">
        <v>2258</v>
      </c>
      <c r="U11" s="1597" t="s">
        <v>2257</v>
      </c>
      <c r="V11" s="1695" t="s">
        <v>2258</v>
      </c>
      <c r="W11" s="1597" t="s">
        <v>2257</v>
      </c>
      <c r="X11" s="1695" t="s">
        <v>2258</v>
      </c>
      <c r="Y11" s="1597" t="s">
        <v>2257</v>
      </c>
      <c r="Z11" s="1695" t="s">
        <v>2258</v>
      </c>
      <c r="AA11" s="1597" t="s">
        <v>2257</v>
      </c>
      <c r="AB11" s="1695" t="s">
        <v>2258</v>
      </c>
      <c r="AC11" s="1597" t="s">
        <v>2257</v>
      </c>
      <c r="AD11" s="1695" t="s">
        <v>2258</v>
      </c>
      <c r="AE11" s="1597" t="s">
        <v>2257</v>
      </c>
      <c r="AF11" s="1695" t="s">
        <v>2258</v>
      </c>
      <c r="AG11" s="1597" t="s">
        <v>2257</v>
      </c>
      <c r="AH11" s="1695" t="s">
        <v>2258</v>
      </c>
      <c r="AI11" s="1597" t="s">
        <v>2257</v>
      </c>
      <c r="AJ11" s="1695" t="s">
        <v>2258</v>
      </c>
      <c r="AK11" s="1597" t="s">
        <v>2257</v>
      </c>
      <c r="AL11" s="1695" t="s">
        <v>2258</v>
      </c>
      <c r="AM11" s="1597" t="s">
        <v>2257</v>
      </c>
      <c r="AN11" s="1695" t="s">
        <v>2258</v>
      </c>
      <c r="AO11" s="1597" t="s">
        <v>2257</v>
      </c>
      <c r="AP11" s="1695" t="s">
        <v>2258</v>
      </c>
      <c r="AQ11" s="1597" t="s">
        <v>2257</v>
      </c>
      <c r="AR11" s="2030" t="s">
        <v>2258</v>
      </c>
      <c r="AS11" s="6221"/>
      <c r="AT11" s="6223"/>
      <c r="AU11" s="2031" t="s">
        <v>1350</v>
      </c>
      <c r="AV11" s="1901" t="s">
        <v>1351</v>
      </c>
      <c r="AW11" s="5799"/>
      <c r="AX11" s="5403"/>
      <c r="AY11" s="884"/>
      <c r="AZ11" s="884"/>
      <c r="BA11" s="884"/>
      <c r="BB11" s="884"/>
      <c r="BC11" s="884"/>
      <c r="BD11" s="884"/>
      <c r="BE11" s="884"/>
      <c r="BF11" s="884"/>
      <c r="BG11" s="884"/>
      <c r="BH11" s="884"/>
      <c r="BI11" s="884"/>
      <c r="BJ11" s="884"/>
      <c r="BK11" s="884"/>
      <c r="BL11" s="884"/>
      <c r="BM11" s="884"/>
      <c r="BV11" s="884"/>
    </row>
    <row r="12" spans="1:131" ht="15.95" customHeight="1" x14ac:dyDescent="0.25">
      <c r="A12" s="2458">
        <v>11053700</v>
      </c>
      <c r="B12" s="3089" t="s">
        <v>2259</v>
      </c>
      <c r="C12" s="2032" t="s">
        <v>2777</v>
      </c>
      <c r="D12" s="1855" t="s">
        <v>2778</v>
      </c>
      <c r="E12" s="161" t="s">
        <v>2779</v>
      </c>
      <c r="F12" s="145" t="s">
        <v>2780</v>
      </c>
      <c r="G12" s="173" t="s">
        <v>2781</v>
      </c>
      <c r="H12" s="145" t="s">
        <v>2782</v>
      </c>
      <c r="I12" s="173" t="s">
        <v>2783</v>
      </c>
      <c r="J12" s="145" t="s">
        <v>2784</v>
      </c>
      <c r="K12" s="173" t="s">
        <v>2785</v>
      </c>
      <c r="L12" s="145" t="s">
        <v>2786</v>
      </c>
      <c r="M12" s="173" t="s">
        <v>2787</v>
      </c>
      <c r="N12" s="162" t="s">
        <v>2788</v>
      </c>
      <c r="O12" s="180" t="s">
        <v>2789</v>
      </c>
      <c r="P12" s="142" t="s">
        <v>2790</v>
      </c>
      <c r="Q12" s="141" t="s">
        <v>2791</v>
      </c>
      <c r="R12" s="142" t="s">
        <v>2792</v>
      </c>
      <c r="S12" s="141" t="s">
        <v>2793</v>
      </c>
      <c r="T12" s="142" t="s">
        <v>2794</v>
      </c>
      <c r="U12" s="141" t="s">
        <v>2795</v>
      </c>
      <c r="V12" s="142" t="s">
        <v>2796</v>
      </c>
      <c r="W12" s="141" t="s">
        <v>2797</v>
      </c>
      <c r="X12" s="142" t="s">
        <v>2798</v>
      </c>
      <c r="Y12" s="141" t="s">
        <v>2799</v>
      </c>
      <c r="Z12" s="142" t="s">
        <v>2800</v>
      </c>
      <c r="AA12" s="141" t="s">
        <v>2801</v>
      </c>
      <c r="AB12" s="142" t="s">
        <v>2817</v>
      </c>
      <c r="AC12" s="141" t="s">
        <v>2818</v>
      </c>
      <c r="AD12" s="142" t="s">
        <v>2819</v>
      </c>
      <c r="AE12" s="141" t="s">
        <v>2821</v>
      </c>
      <c r="AF12" s="142" t="s">
        <v>2822</v>
      </c>
      <c r="AG12" s="141" t="s">
        <v>2823</v>
      </c>
      <c r="AH12" s="142" t="s">
        <v>2824</v>
      </c>
      <c r="AI12" s="141" t="s">
        <v>2825</v>
      </c>
      <c r="AJ12" s="142" t="s">
        <v>2826</v>
      </c>
      <c r="AK12" s="141" t="s">
        <v>2827</v>
      </c>
      <c r="AL12" s="142" t="s">
        <v>2831</v>
      </c>
      <c r="AM12" s="141" t="s">
        <v>2832</v>
      </c>
      <c r="AN12" s="142" t="s">
        <v>2833</v>
      </c>
      <c r="AO12" s="141" t="s">
        <v>2834</v>
      </c>
      <c r="AP12" s="142" t="s">
        <v>3011</v>
      </c>
      <c r="AQ12" s="141" t="s">
        <v>3012</v>
      </c>
      <c r="AR12" s="318" t="s">
        <v>3013</v>
      </c>
      <c r="AS12" s="1703" t="s">
        <v>3014</v>
      </c>
      <c r="AT12" s="318" t="s">
        <v>3015</v>
      </c>
      <c r="AU12" s="180" t="s">
        <v>3206</v>
      </c>
      <c r="AV12" s="142" t="s">
        <v>3207</v>
      </c>
      <c r="AW12" s="141" t="s">
        <v>3272</v>
      </c>
      <c r="AX12" s="163" t="s">
        <v>3273</v>
      </c>
      <c r="AY12" s="1079" t="e">
        <f>$CB12&amp;$CC12&amp;$CD12&amp;$CE12&amp;$CF12&amp;$CG12&amp;$CH12&amp;$CI12&amp;$CJ12&amp;$CK12&amp;$CL12&amp;$CM12&amp;$CN12&amp;$CO12&amp;$CP12&amp;$CQ12&amp;$CR12&amp;$CS12&amp;$CT12&amp;$CU12&amp;$CV12&amp;$CW12&amp;$CX12&amp;$CY12&amp;$CZ12&amp;$DA12</f>
        <v>#VALUE!</v>
      </c>
      <c r="AZ12" s="1079"/>
      <c r="BA12" s="1079"/>
      <c r="BB12" s="1079"/>
      <c r="BC12" s="1079"/>
      <c r="BD12" s="1079"/>
      <c r="BE12" s="1079"/>
      <c r="BF12" s="1079"/>
      <c r="BG12" s="1079"/>
      <c r="BH12" s="1079"/>
      <c r="BI12" s="1079"/>
      <c r="BJ12" s="884"/>
      <c r="BK12" s="884"/>
      <c r="BL12" s="884"/>
      <c r="BM12" s="884"/>
      <c r="BV12" s="884"/>
      <c r="BX12" s="885"/>
      <c r="CB12" s="2077" t="str">
        <f>IF(C12&lt;D12,"* El total de Reactivos NO DEBE ser superior al total de Procesados. ","")</f>
        <v xml:space="preserve">* El total de Reactivos NO DEBE ser superior al total de Procesados. </v>
      </c>
      <c r="CC12" s="2077" t="e">
        <f>IF(C12&lt;&gt;(AS12+ AT12),"* La suma de las columnas Sexo DEBE SER IGUAL a los Procesados. ","")</f>
        <v>#VALUE!</v>
      </c>
      <c r="CD12" s="2077" t="e">
        <f>IF(C12&lt;(AU12+ AV12),"* La suma de las columna Trans NO DEBE ser superior al total de Procesados. ","")</f>
        <v>#VALUE!</v>
      </c>
      <c r="CE12" s="2077" t="str">
        <f>IF(C12&lt;AW12,"* La columna Pueblos Originarios NO DEBE ser superior al total de Procesados. ","")</f>
        <v xml:space="preserve">* La columna Pueblos Originarios NO DEBE ser superior al total de Procesados. </v>
      </c>
      <c r="CF12" s="2077" t="str">
        <f>IF(C12&lt;AX12,"* La columna Migrantes NO DEBE ser superior al total de Procesados. ","")</f>
        <v xml:space="preserve">* La columna Migrantes NO DEBE ser superior al total de Procesados. </v>
      </c>
      <c r="CG12" s="2077" t="str">
        <f>IF(E12&lt;F12,CONCATENATE("* El total de procesados debe ser mayor o igual al total de Reactivos en el grupo de edad ",$E$10),"")</f>
        <v>* El total de procesados debe ser mayor o igual al total de Reactivos en el grupo de edad Menor de 6 meses</v>
      </c>
      <c r="CH12" s="2077" t="str">
        <f>IF(G12&lt;H12,CONCATENATE("* El total de procesados debe ser mayor o igual al total de Reactivos en el grupo de edad ",$G$10),"")</f>
        <v>* El total de procesados debe ser mayor o igual al total de Reactivos en el grupo de edad 6 a 11 meses</v>
      </c>
      <c r="CI12" s="2077" t="str">
        <f>IF(I12&lt;J12,CONCATENATE("* El total de procesados debe ser mayor o igual al total de Reactivos en el grupo de edad ",$I$10),"")</f>
        <v>* El total de procesados debe ser mayor o igual al total de Reactivos en el grupo de edad 12-24 meses</v>
      </c>
      <c r="CJ12" s="2077" t="str">
        <f>IF(K12&lt;L12,CONCATENATE("* El total de procesados debe ser mayor o igual al total de Reactivos en el grupo de edad ",$K$10),"")</f>
        <v>* El total de procesados debe ser mayor o igual al total de Reactivos en el grupo de edad 3 a 4</v>
      </c>
      <c r="CK12" s="2077" t="str">
        <f>IF(M12&lt;N12,CONCATENATE("* El total de procesados debe ser mayor o igual al total de Reactivos en el grupo de edad ",$M$10),"")</f>
        <v>* El total de procesados debe ser mayor o igual al total de Reactivos en el grupo de edad 5 a 9</v>
      </c>
      <c r="CL12" s="2077" t="str">
        <f>IF(O12&lt;P12,CONCATENATE("* El total de procesados debe ser mayor o igual al total de Reactivos en el grupo de edad ",$O$10),"")</f>
        <v>* El total de procesados debe ser mayor o igual al total de Reactivos en el grupo de edad 10 - 14</v>
      </c>
      <c r="CM12" s="2077" t="str">
        <f>IF(Q12&lt;R12,CONCATENATE("* El total de procesados debe ser mayor o igual al total de Reactivos en el grupo de edad ",$Q$10),"")</f>
        <v>* El total de procesados debe ser mayor o igual al total de Reactivos en el grupo de edad 15 - 19</v>
      </c>
      <c r="CN12" s="2077" t="str">
        <f>IF(S12&lt;T12,CONCATENATE("* El total de procesados debe ser mayor o igual al total de Reactivos en el grupo de edad ",$S$10),"")</f>
        <v>* El total de procesados debe ser mayor o igual al total de Reactivos en el grupo de edad 20 - 24</v>
      </c>
      <c r="CO12" s="2077" t="str">
        <f>IF(U12&lt;V12,CONCATENATE("* El total de procesados debe ser mayor o igual al total de Reactivos en el grupo de edad ",$U$10),"")</f>
        <v>* El total de procesados debe ser mayor o igual al total de Reactivos en el grupo de edad 25 a 29</v>
      </c>
      <c r="CP12" s="2077" t="str">
        <f>IF(W12&lt;X12,CONCATENATE("* El total de procesados debe ser mayor o igual al total de Reactivos en el grupo de edad ",$W$10),"")</f>
        <v>* El total de procesados debe ser mayor o igual al total de Reactivos en el grupo de edad 30 a 34</v>
      </c>
      <c r="CQ12" s="2077" t="str">
        <f>IF(Y12&lt;Z12,CONCATENATE("* El total de procesados debe ser mayor o igual al total de Reactivos en el grupo de edad ",$Y$10),"")</f>
        <v>* El total de procesados debe ser mayor o igual al total de Reactivos en el grupo de edad 35 a 39</v>
      </c>
      <c r="CR12" s="2077" t="str">
        <f>IF(AA12&lt;AB12,CONCATENATE("* El total de procesados debe ser mayor o igual al total de Reactivos en el grupo de edad ",$AA$10),"")</f>
        <v>* El total de procesados debe ser mayor o igual al total de Reactivos en el grupo de edad 40 a 44</v>
      </c>
      <c r="CS12" s="2077" t="str">
        <f>IF(AC12&lt;AD12,CONCATENATE("* El total de procesados debe ser mayor o igual al total de Reactivos en el grupo de edad ",$AC$10),"")</f>
        <v>* El total de procesados debe ser mayor o igual al total de Reactivos en el grupo de edad 45 a 49</v>
      </c>
      <c r="CT12" s="2077" t="str">
        <f>IF(AE12&lt;AF12,CONCATENATE("* El total de procesados debe ser mayor o igual al total de Reactivos en el grupo de edad ",$AE$10),"")</f>
        <v>* El total de procesados debe ser mayor o igual al total de Reactivos en el grupo de edad 50 a 54</v>
      </c>
      <c r="CU12" s="2077" t="str">
        <f>IF(AG12&lt;AH12,CONCATENATE("* El total de procesados debe ser mayor o igual al total de Reactivos en el grupo de edad ",$AG$10),"")</f>
        <v>* El total de procesados debe ser mayor o igual al total de Reactivos en el grupo de edad 55 a 59</v>
      </c>
      <c r="CV12" s="2077" t="str">
        <f>IF(AI12&lt;AJ12,CONCATENATE("* El total de procesados debe ser mayor o igual al total de Reactivos en el grupo de edad ",$AI$10),"")</f>
        <v>* El total de procesados debe ser mayor o igual al total de Reactivos en el grupo de edad 60 a 64</v>
      </c>
      <c r="CW12" s="2077" t="str">
        <f>IF(AK12&lt;AL12,CONCATENATE("* El total de procesados debe ser mayor o igual al total de Reactivos en el grupo de edad ",$AK$10),"")</f>
        <v>* El total de procesados debe ser mayor o igual al total de Reactivos en el grupo de edad 65 a 69</v>
      </c>
      <c r="CX12" s="2077" t="str">
        <f>IF(AM12&lt;AN12,CONCATENATE("* El total de procesados debe ser mayor o igual al total de Reactivos en el grupo de edad ",$AM$10),"")</f>
        <v>* El total de procesados debe ser mayor o igual al total de Reactivos en el grupo de edad 70 a 74</v>
      </c>
      <c r="CY12" s="2077" t="str">
        <f>IF(AO12&lt;AP12,CONCATENATE("* El total de procesados debe ser mayor o igual al total de Reactivos en el grupo de edad ",$AO$10),"")</f>
        <v>* El total de procesados debe ser mayor o igual al total de Reactivos en el grupo de edad 75 a 79</v>
      </c>
      <c r="CZ12" s="2077" t="str">
        <f>IF(AQ12&lt;AR12,CONCATENATE("* El total de procesados debe ser mayor o igual al total de Reactivos en el grupo de edad ",$AQ$10),"")</f>
        <v>* El total de procesados debe ser mayor o igual al total de Reactivos en el grupo de edad 80 y más</v>
      </c>
      <c r="DA12" s="2077" t="str">
        <f t="shared" ref="DA12:DA29" si="0">IF(AND(C12&lt;&gt;0,OR(AU12="",AV12="",AW12="",AX12="")),"* No olvide digitar la columna Trans y/o Pueblos Originarios y/o Migrantes (Digite Cero si no tiene). ","")</f>
        <v/>
      </c>
      <c r="DB12" s="1363">
        <f t="shared" ref="DB12:DB29" si="1">IF(C12&lt;   D12,1,0)</f>
        <v>1</v>
      </c>
      <c r="DC12" s="1363" t="e">
        <f t="shared" ref="DC12:DC29" si="2">IF(C12&lt;&gt; AS12+AT12,1,0)</f>
        <v>#VALUE!</v>
      </c>
      <c r="DD12" s="1363" t="e">
        <f t="shared" ref="DD12:DD29" si="3">IF(C12&lt;  AU12+AV12,1,0)</f>
        <v>#VALUE!</v>
      </c>
      <c r="DE12" s="1363">
        <f t="shared" ref="DE12:DE29" si="4">IF(C12&lt;  AW12,1,0)</f>
        <v>1</v>
      </c>
      <c r="DF12" s="1363">
        <f t="shared" ref="DF12:DF29" si="5">IF(C12&lt;  AX12,1,0)</f>
        <v>1</v>
      </c>
      <c r="DG12" s="1363">
        <f>IF(E12&lt;F12,1,0)</f>
        <v>1</v>
      </c>
      <c r="DH12" s="1363">
        <f>IF(G12&lt;H12,1,0)</f>
        <v>1</v>
      </c>
      <c r="DI12" s="1363">
        <f>IF(I12&lt;J12,1,0)</f>
        <v>1</v>
      </c>
      <c r="DJ12" s="1363">
        <f>IF(K12&lt;L12,1,0)</f>
        <v>1</v>
      </c>
      <c r="DK12" s="1363">
        <f>IF(M12&lt;N12,1,0)</f>
        <v>1</v>
      </c>
      <c r="DL12" s="1363">
        <f>IF(O12&lt;P12,1,0)</f>
        <v>1</v>
      </c>
      <c r="DM12" s="1363">
        <f>IF(Q12&lt;R12,1,0)</f>
        <v>1</v>
      </c>
      <c r="DN12" s="1363">
        <f>IF(S12&lt;T12,1,0)</f>
        <v>1</v>
      </c>
      <c r="DO12" s="1363">
        <f>IF(U12&lt;V12,1,0)</f>
        <v>1</v>
      </c>
      <c r="DP12" s="1363">
        <f>IF(W12&lt;X12,1,0)</f>
        <v>1</v>
      </c>
      <c r="DQ12" s="1363">
        <f>IF(Y12&lt;Z12,1,0)</f>
        <v>1</v>
      </c>
      <c r="DR12" s="1363">
        <f>IF(AA12&lt;AB12,1,0)</f>
        <v>1</v>
      </c>
      <c r="DS12" s="1363">
        <f>IF(AC12&lt;AD12,1,0)</f>
        <v>1</v>
      </c>
      <c r="DT12" s="1363">
        <f>IF(AE12&lt;AF12,1,0)</f>
        <v>1</v>
      </c>
      <c r="DU12" s="1363">
        <f>IF(AG12&lt;AH12,1,0)</f>
        <v>1</v>
      </c>
      <c r="DV12" s="1363">
        <f>IF(AI12&lt;AJ12,1,0)</f>
        <v>1</v>
      </c>
      <c r="DW12" s="1363">
        <f>IF(AK12&lt;AL12,1,0)</f>
        <v>1</v>
      </c>
      <c r="DX12" s="1363">
        <f>IF(AM12&lt;AN12,1,0)</f>
        <v>1</v>
      </c>
      <c r="DY12" s="1363">
        <f>IF(AO12&lt;AP12,1,0)</f>
        <v>1</v>
      </c>
      <c r="DZ12" s="1363">
        <f>IF(AQ12&lt;AR12,1,0)</f>
        <v>1</v>
      </c>
      <c r="EA12" s="1363">
        <f>IF(AND(C12&lt;&gt;0,OR(AU12="",AV12="",AW12="",AX12="")),1,0)</f>
        <v>0</v>
      </c>
    </row>
    <row r="13" spans="1:131" ht="15.95" customHeight="1" x14ac:dyDescent="0.25">
      <c r="A13" s="2458">
        <v>11053800</v>
      </c>
      <c r="B13" s="2460" t="s">
        <v>2260</v>
      </c>
      <c r="C13" s="707" t="s">
        <v>2777</v>
      </c>
      <c r="D13" s="281" t="s">
        <v>2778</v>
      </c>
      <c r="E13" s="161" t="s">
        <v>2779</v>
      </c>
      <c r="F13" s="145" t="s">
        <v>2780</v>
      </c>
      <c r="G13" s="173" t="s">
        <v>2781</v>
      </c>
      <c r="H13" s="145" t="s">
        <v>2782</v>
      </c>
      <c r="I13" s="173" t="s">
        <v>2783</v>
      </c>
      <c r="J13" s="145" t="s">
        <v>2784</v>
      </c>
      <c r="K13" s="173" t="s">
        <v>2785</v>
      </c>
      <c r="L13" s="145" t="s">
        <v>2786</v>
      </c>
      <c r="M13" s="173" t="s">
        <v>2787</v>
      </c>
      <c r="N13" s="162" t="s">
        <v>2788</v>
      </c>
      <c r="O13" s="180" t="s">
        <v>2789</v>
      </c>
      <c r="P13" s="142" t="s">
        <v>2790</v>
      </c>
      <c r="Q13" s="141" t="s">
        <v>2791</v>
      </c>
      <c r="R13" s="142" t="s">
        <v>2792</v>
      </c>
      <c r="S13" s="141" t="s">
        <v>2793</v>
      </c>
      <c r="T13" s="142" t="s">
        <v>2794</v>
      </c>
      <c r="U13" s="141" t="s">
        <v>2795</v>
      </c>
      <c r="V13" s="142" t="s">
        <v>2796</v>
      </c>
      <c r="W13" s="141" t="s">
        <v>2797</v>
      </c>
      <c r="X13" s="142" t="s">
        <v>2798</v>
      </c>
      <c r="Y13" s="141" t="s">
        <v>2799</v>
      </c>
      <c r="Z13" s="142" t="s">
        <v>2800</v>
      </c>
      <c r="AA13" s="141" t="s">
        <v>2801</v>
      </c>
      <c r="AB13" s="142" t="s">
        <v>2817</v>
      </c>
      <c r="AC13" s="141" t="s">
        <v>2818</v>
      </c>
      <c r="AD13" s="142" t="s">
        <v>2819</v>
      </c>
      <c r="AE13" s="141" t="s">
        <v>2821</v>
      </c>
      <c r="AF13" s="142" t="s">
        <v>2822</v>
      </c>
      <c r="AG13" s="141" t="s">
        <v>2823</v>
      </c>
      <c r="AH13" s="142" t="s">
        <v>2824</v>
      </c>
      <c r="AI13" s="141" t="s">
        <v>2825</v>
      </c>
      <c r="AJ13" s="142" t="s">
        <v>2826</v>
      </c>
      <c r="AK13" s="141" t="s">
        <v>2827</v>
      </c>
      <c r="AL13" s="142" t="s">
        <v>2831</v>
      </c>
      <c r="AM13" s="141" t="s">
        <v>2832</v>
      </c>
      <c r="AN13" s="142" t="s">
        <v>2833</v>
      </c>
      <c r="AO13" s="141" t="s">
        <v>2834</v>
      </c>
      <c r="AP13" s="142" t="s">
        <v>3011</v>
      </c>
      <c r="AQ13" s="141" t="s">
        <v>3012</v>
      </c>
      <c r="AR13" s="318" t="s">
        <v>3013</v>
      </c>
      <c r="AS13" s="1703" t="s">
        <v>3014</v>
      </c>
      <c r="AT13" s="318" t="s">
        <v>3015</v>
      </c>
      <c r="AU13" s="180" t="s">
        <v>3206</v>
      </c>
      <c r="AV13" s="142" t="s">
        <v>3207</v>
      </c>
      <c r="AW13" s="141" t="s">
        <v>3272</v>
      </c>
      <c r="AX13" s="163" t="s">
        <v>3273</v>
      </c>
      <c r="AY13" s="1079" t="e">
        <f t="shared" ref="AY13:AY29" si="6">$CB13&amp;$CC13&amp;$CD13&amp;$CE13&amp;$CF13&amp;$CG13&amp;$CH13&amp;$CI13&amp;$CJ13&amp;$CK13&amp;$CL13&amp;$CM13&amp;$CN13&amp;$CO13&amp;$CP13&amp;$CQ13&amp;$CR13&amp;$CS13&amp;$CT13&amp;$CU13&amp;$CV13&amp;$CW13&amp;$CX13&amp;$CY13&amp;$CZ13&amp;$DA13</f>
        <v>#VALUE!</v>
      </c>
      <c r="AZ13" s="1079"/>
      <c r="BA13" s="1079"/>
      <c r="BB13" s="1079"/>
      <c r="BC13" s="1079"/>
      <c r="BD13" s="1079"/>
      <c r="BE13" s="1079"/>
      <c r="BF13" s="1079"/>
      <c r="BG13" s="1079"/>
      <c r="BH13" s="1079"/>
      <c r="BI13" s="1079"/>
      <c r="BJ13" s="884"/>
      <c r="BK13" s="884"/>
      <c r="BL13" s="884"/>
      <c r="BM13" s="884"/>
      <c r="BV13" s="884"/>
      <c r="BX13" s="885"/>
      <c r="CB13" s="2077" t="str">
        <f t="shared" ref="CB13:CB29" si="7">IF(C13&lt;D13,"* El total de Reactivos NO DEBE ser superior al total de Procesados. ","")</f>
        <v xml:space="preserve">* El total de Reactivos NO DEBE ser superior al total de Procesados. </v>
      </c>
      <c r="CC13" s="2077" t="e">
        <f t="shared" ref="CC13:CC29" si="8">IF(C13&lt;&gt;(AS13+ AT13),"* La suma de las columnas Sexo DEBE SER IGUAL a los Procesados. ","")</f>
        <v>#VALUE!</v>
      </c>
      <c r="CD13" s="2077" t="e">
        <f t="shared" ref="CD13:CD29" si="9">IF(C13&lt;(AU13+ AV13),"* La suma de las columna Trans NO DEBE ser superior al total de Procesados. ","")</f>
        <v>#VALUE!</v>
      </c>
      <c r="CE13" s="2077" t="str">
        <f t="shared" ref="CE13:CE29" si="10">IF(C13&lt;AW13,"* La columna Pueblos Originarios NO DEBE ser superior al total de Procesados. ","")</f>
        <v xml:space="preserve">* La columna Pueblos Originarios NO DEBE ser superior al total de Procesados. </v>
      </c>
      <c r="CF13" s="2077" t="str">
        <f t="shared" ref="CF13:CF29" si="11">IF(C13&lt;AX13,"* La columna Migrantes NO DEBE ser superior al total de Procesados. ","")</f>
        <v xml:space="preserve">* La columna Migrantes NO DEBE ser superior al total de Procesados. </v>
      </c>
      <c r="CG13" s="2077" t="str">
        <f t="shared" ref="CG13:CG29" si="12">IF(E13&lt;F13,CONCATENATE("* El total de procesados debe ser mayor o igual al total de Reactivos en el grupo de edad ",$E$10),"")</f>
        <v>* El total de procesados debe ser mayor o igual al total de Reactivos en el grupo de edad Menor de 6 meses</v>
      </c>
      <c r="CH13" s="2077" t="str">
        <f t="shared" ref="CH13:CH29" si="13">IF(G13&lt;H13,CONCATENATE("* El total de procesados debe ser mayor o igual al total de Reactivos en el grupo de edad ",$G$10),"")</f>
        <v>* El total de procesados debe ser mayor o igual al total de Reactivos en el grupo de edad 6 a 11 meses</v>
      </c>
      <c r="CI13" s="2077" t="str">
        <f t="shared" ref="CI13:CI29" si="14">IF(I13&lt;J13,CONCATENATE("* El total de procesados debe ser mayor o igual al total de Reactivos en el grupo de edad ",$I$10),"")</f>
        <v>* El total de procesados debe ser mayor o igual al total de Reactivos en el grupo de edad 12-24 meses</v>
      </c>
      <c r="CJ13" s="2077" t="str">
        <f t="shared" ref="CJ13:CJ29" si="15">IF(K13&lt;L13,CONCATENATE("* El total de procesados debe ser mayor o igual al total de Reactivos en el grupo de edad ",$K$10),"")</f>
        <v>* El total de procesados debe ser mayor o igual al total de Reactivos en el grupo de edad 3 a 4</v>
      </c>
      <c r="CK13" s="2077" t="str">
        <f t="shared" ref="CK13:CK29" si="16">IF(M13&lt;N13,CONCATENATE("* El total de procesados debe ser mayor o igual al total de Reactivos en el grupo de edad ",$M$10),"")</f>
        <v>* El total de procesados debe ser mayor o igual al total de Reactivos en el grupo de edad 5 a 9</v>
      </c>
      <c r="CL13" s="2077" t="str">
        <f t="shared" ref="CL13:CL29" si="17">IF(O13&lt;P13,CONCATENATE("* El total de procesados debe ser mayor o igual al total de Reactivos en el grupo de edad ",$O$10),"")</f>
        <v>* El total de procesados debe ser mayor o igual al total de Reactivos en el grupo de edad 10 - 14</v>
      </c>
      <c r="CM13" s="2077" t="str">
        <f t="shared" ref="CM13:CM29" si="18">IF(Q13&lt;R13,CONCATENATE("* El total de procesados debe ser mayor o igual al total de Reactivos en el grupo de edad ",$Q$10),"")</f>
        <v>* El total de procesados debe ser mayor o igual al total de Reactivos en el grupo de edad 15 - 19</v>
      </c>
      <c r="CN13" s="2077" t="str">
        <f t="shared" ref="CN13:CN29" si="19">IF(S13&lt;T13,CONCATENATE("* El total de procesados debe ser mayor o igual al total de Reactivos en el grupo de edad ",$S$10),"")</f>
        <v>* El total de procesados debe ser mayor o igual al total de Reactivos en el grupo de edad 20 - 24</v>
      </c>
      <c r="CO13" s="2077" t="str">
        <f t="shared" ref="CO13:CO29" si="20">IF(U13&lt;V13,CONCATENATE("* El total de procesados debe ser mayor o igual al total de Reactivos en el grupo de edad ",$U$10),"")</f>
        <v>* El total de procesados debe ser mayor o igual al total de Reactivos en el grupo de edad 25 a 29</v>
      </c>
      <c r="CP13" s="2077" t="str">
        <f t="shared" ref="CP13:CP29" si="21">IF(W13&lt;X13,CONCATENATE("* El total de procesados debe ser mayor o igual al total de Reactivos en el grupo de edad ",$W$10),"")</f>
        <v>* El total de procesados debe ser mayor o igual al total de Reactivos en el grupo de edad 30 a 34</v>
      </c>
      <c r="CQ13" s="2077" t="str">
        <f t="shared" ref="CQ13:CQ29" si="22">IF(Y13&lt;Z13,CONCATENATE("* El total de procesados debe ser mayor o igual al total de Reactivos en el grupo de edad ",$Y$10),"")</f>
        <v>* El total de procesados debe ser mayor o igual al total de Reactivos en el grupo de edad 35 a 39</v>
      </c>
      <c r="CR13" s="2077" t="str">
        <f t="shared" ref="CR13:CR29" si="23">IF(AA13&lt;AB13,CONCATENATE("* El total de procesados debe ser mayor o igual al total de Reactivos en el grupo de edad ",$AA$10),"")</f>
        <v>* El total de procesados debe ser mayor o igual al total de Reactivos en el grupo de edad 40 a 44</v>
      </c>
      <c r="CS13" s="2077" t="str">
        <f t="shared" ref="CS13:CS29" si="24">IF(AC13&lt;AD13,CONCATENATE("* El total de procesados debe ser mayor o igual al total de Reactivos en el grupo de edad ",$AC$10),"")</f>
        <v>* El total de procesados debe ser mayor o igual al total de Reactivos en el grupo de edad 45 a 49</v>
      </c>
      <c r="CT13" s="2077" t="str">
        <f t="shared" ref="CT13:CT29" si="25">IF(AE13&lt;AF13,CONCATENATE("* El total de procesados debe ser mayor o igual al total de Reactivos en el grupo de edad ",$AE$10),"")</f>
        <v>* El total de procesados debe ser mayor o igual al total de Reactivos en el grupo de edad 50 a 54</v>
      </c>
      <c r="CU13" s="2077" t="str">
        <f t="shared" ref="CU13:CU29" si="26">IF(AG13&lt;AH13,CONCATENATE("* El total de procesados debe ser mayor o igual al total de Reactivos en el grupo de edad ",$AG$10),"")</f>
        <v>* El total de procesados debe ser mayor o igual al total de Reactivos en el grupo de edad 55 a 59</v>
      </c>
      <c r="CV13" s="2077" t="str">
        <f t="shared" ref="CV13:CV29" si="27">IF(AI13&lt;AJ13,CONCATENATE("* El total de procesados debe ser mayor o igual al total de Reactivos en el grupo de edad ",$AI$10),"")</f>
        <v>* El total de procesados debe ser mayor o igual al total de Reactivos en el grupo de edad 60 a 64</v>
      </c>
      <c r="CW13" s="2077" t="str">
        <f t="shared" ref="CW13:CW29" si="28">IF(AK13&lt;AL13,CONCATENATE("* El total de procesados debe ser mayor o igual al total de Reactivos en el grupo de edad ",$AK$10),"")</f>
        <v>* El total de procesados debe ser mayor o igual al total de Reactivos en el grupo de edad 65 a 69</v>
      </c>
      <c r="CX13" s="2077" t="str">
        <f t="shared" ref="CX13:CX29" si="29">IF(AM13&lt;AN13,CONCATENATE("* El total de procesados debe ser mayor o igual al total de Reactivos en el grupo de edad ",$AM$10),"")</f>
        <v>* El total de procesados debe ser mayor o igual al total de Reactivos en el grupo de edad 70 a 74</v>
      </c>
      <c r="CY13" s="2077" t="str">
        <f t="shared" ref="CY13:CY29" si="30">IF(AO13&lt;AP13,CONCATENATE("* El total de procesados debe ser mayor o igual al total de Reactivos en el grupo de edad ",$AO$10),"")</f>
        <v>* El total de procesados debe ser mayor o igual al total de Reactivos en el grupo de edad 75 a 79</v>
      </c>
      <c r="CZ13" s="2077" t="str">
        <f t="shared" ref="CZ13:CZ29" si="31">IF(AQ13&lt;AR13,CONCATENATE("* El total de procesados debe ser mayor o igual al total de Reactivos en el grupo de edad ",$AQ$10),"")</f>
        <v>* El total de procesados debe ser mayor o igual al total de Reactivos en el grupo de edad 80 y más</v>
      </c>
      <c r="DA13" s="2077" t="str">
        <f t="shared" si="0"/>
        <v/>
      </c>
      <c r="DB13" s="1363">
        <f t="shared" si="1"/>
        <v>1</v>
      </c>
      <c r="DC13" s="1363" t="e">
        <f t="shared" si="2"/>
        <v>#VALUE!</v>
      </c>
      <c r="DD13" s="1363" t="e">
        <f t="shared" si="3"/>
        <v>#VALUE!</v>
      </c>
      <c r="DE13" s="1363">
        <f t="shared" si="4"/>
        <v>1</v>
      </c>
      <c r="DF13" s="1363">
        <f t="shared" si="5"/>
        <v>1</v>
      </c>
      <c r="DG13" s="1363">
        <f t="shared" ref="DG13:DG29" si="32">IF(E13&lt;F13,1,0)</f>
        <v>1</v>
      </c>
      <c r="DH13" s="1363">
        <f t="shared" ref="DH13:DH29" si="33">IF(G13&lt;H13,1,0)</f>
        <v>1</v>
      </c>
      <c r="DI13" s="1363">
        <f t="shared" ref="DI13:DI29" si="34">IF(I13&lt;J13,1,0)</f>
        <v>1</v>
      </c>
      <c r="DJ13" s="1363">
        <f t="shared" ref="DJ13:DJ29" si="35">IF(K13&lt;L13,1,0)</f>
        <v>1</v>
      </c>
      <c r="DK13" s="1363">
        <f t="shared" ref="DK13:DK29" si="36">IF(M13&lt;N13,1,0)</f>
        <v>1</v>
      </c>
      <c r="DL13" s="1363">
        <f t="shared" ref="DL13:DL29" si="37">IF(O13&lt;P13,1,0)</f>
        <v>1</v>
      </c>
      <c r="DM13" s="1363">
        <f t="shared" ref="DM13:DM29" si="38">IF(Q13&lt;R13,1,0)</f>
        <v>1</v>
      </c>
      <c r="DN13" s="1363">
        <f t="shared" ref="DN13:DN29" si="39">IF(S13&lt;T13,1,0)</f>
        <v>1</v>
      </c>
      <c r="DO13" s="1363">
        <f t="shared" ref="DO13:DO29" si="40">IF(U13&lt;V13,1,0)</f>
        <v>1</v>
      </c>
      <c r="DP13" s="1363">
        <f t="shared" ref="DP13:DP29" si="41">IF(W13&lt;X13,1,0)</f>
        <v>1</v>
      </c>
      <c r="DQ13" s="1363">
        <f t="shared" ref="DQ13:DQ29" si="42">IF(Y13&lt;Z13,1,0)</f>
        <v>1</v>
      </c>
      <c r="DR13" s="1363">
        <f t="shared" ref="DR13:DR29" si="43">IF(AA13&lt;AB13,1,0)</f>
        <v>1</v>
      </c>
      <c r="DS13" s="1363">
        <f t="shared" ref="DS13:DS29" si="44">IF(AC13&lt;AD13,1,0)</f>
        <v>1</v>
      </c>
      <c r="DT13" s="1363">
        <f t="shared" ref="DT13:DT29" si="45">IF(AE13&lt;AF13,1,0)</f>
        <v>1</v>
      </c>
      <c r="DU13" s="1363">
        <f t="shared" ref="DU13:DU29" si="46">IF(AG13&lt;AH13,1,0)</f>
        <v>1</v>
      </c>
      <c r="DV13" s="1363">
        <f t="shared" ref="DV13:DV29" si="47">IF(AI13&lt;AJ13,1,0)</f>
        <v>1</v>
      </c>
      <c r="DW13" s="1363">
        <f t="shared" ref="DW13:DW29" si="48">IF(AK13&lt;AL13,1,0)</f>
        <v>1</v>
      </c>
      <c r="DX13" s="1363">
        <f t="shared" ref="DX13:DX29" si="49">IF(AM13&lt;AN13,1,0)</f>
        <v>1</v>
      </c>
      <c r="DY13" s="1363">
        <f t="shared" ref="DY13:DY29" si="50">IF(AO13&lt;AP13,1,0)</f>
        <v>1</v>
      </c>
      <c r="DZ13" s="1363">
        <f t="shared" ref="DZ13:DZ29" si="51">IF(AQ13&lt;AR13,1,0)</f>
        <v>1</v>
      </c>
      <c r="EA13" s="1363">
        <f t="shared" ref="EA13:EA29" si="52">IF(AND(C13&lt;&gt;0,OR(AU13="",AV13="",AW13="",AX13="")),1,0)</f>
        <v>0</v>
      </c>
    </row>
    <row r="14" spans="1:131" ht="15.95" customHeight="1" x14ac:dyDescent="0.25">
      <c r="A14" s="2458">
        <v>11053900</v>
      </c>
      <c r="B14" s="2460" t="s">
        <v>2261</v>
      </c>
      <c r="C14" s="707" t="s">
        <v>2777</v>
      </c>
      <c r="D14" s="281" t="s">
        <v>2778</v>
      </c>
      <c r="E14" s="161" t="s">
        <v>2779</v>
      </c>
      <c r="F14" s="145" t="s">
        <v>2780</v>
      </c>
      <c r="G14" s="173" t="s">
        <v>2781</v>
      </c>
      <c r="H14" s="145" t="s">
        <v>2782</v>
      </c>
      <c r="I14" s="173" t="s">
        <v>2783</v>
      </c>
      <c r="J14" s="145" t="s">
        <v>2784</v>
      </c>
      <c r="K14" s="173" t="s">
        <v>2785</v>
      </c>
      <c r="L14" s="145" t="s">
        <v>2786</v>
      </c>
      <c r="M14" s="173" t="s">
        <v>2787</v>
      </c>
      <c r="N14" s="162" t="s">
        <v>2788</v>
      </c>
      <c r="O14" s="180" t="s">
        <v>2789</v>
      </c>
      <c r="P14" s="142" t="s">
        <v>2790</v>
      </c>
      <c r="Q14" s="141" t="s">
        <v>2791</v>
      </c>
      <c r="R14" s="142" t="s">
        <v>2792</v>
      </c>
      <c r="S14" s="141" t="s">
        <v>2793</v>
      </c>
      <c r="T14" s="142" t="s">
        <v>2794</v>
      </c>
      <c r="U14" s="141" t="s">
        <v>2795</v>
      </c>
      <c r="V14" s="142" t="s">
        <v>2796</v>
      </c>
      <c r="W14" s="141" t="s">
        <v>2797</v>
      </c>
      <c r="X14" s="142" t="s">
        <v>2798</v>
      </c>
      <c r="Y14" s="141" t="s">
        <v>2799</v>
      </c>
      <c r="Z14" s="142" t="s">
        <v>2800</v>
      </c>
      <c r="AA14" s="141" t="s">
        <v>2801</v>
      </c>
      <c r="AB14" s="142" t="s">
        <v>2817</v>
      </c>
      <c r="AC14" s="141" t="s">
        <v>2818</v>
      </c>
      <c r="AD14" s="142" t="s">
        <v>2819</v>
      </c>
      <c r="AE14" s="141" t="s">
        <v>2821</v>
      </c>
      <c r="AF14" s="142" t="s">
        <v>2822</v>
      </c>
      <c r="AG14" s="141" t="s">
        <v>2823</v>
      </c>
      <c r="AH14" s="142" t="s">
        <v>2824</v>
      </c>
      <c r="AI14" s="141" t="s">
        <v>2825</v>
      </c>
      <c r="AJ14" s="142" t="s">
        <v>2826</v>
      </c>
      <c r="AK14" s="141" t="s">
        <v>2827</v>
      </c>
      <c r="AL14" s="142" t="s">
        <v>2831</v>
      </c>
      <c r="AM14" s="141" t="s">
        <v>2832</v>
      </c>
      <c r="AN14" s="142" t="s">
        <v>2833</v>
      </c>
      <c r="AO14" s="141" t="s">
        <v>2834</v>
      </c>
      <c r="AP14" s="142" t="s">
        <v>3011</v>
      </c>
      <c r="AQ14" s="141" t="s">
        <v>3012</v>
      </c>
      <c r="AR14" s="318" t="s">
        <v>3013</v>
      </c>
      <c r="AS14" s="1703" t="s">
        <v>3014</v>
      </c>
      <c r="AT14" s="318" t="s">
        <v>3015</v>
      </c>
      <c r="AU14" s="180" t="s">
        <v>3206</v>
      </c>
      <c r="AV14" s="142" t="s">
        <v>3207</v>
      </c>
      <c r="AW14" s="141" t="s">
        <v>3272</v>
      </c>
      <c r="AX14" s="163" t="s">
        <v>3273</v>
      </c>
      <c r="AY14" s="1079" t="e">
        <f t="shared" si="6"/>
        <v>#VALUE!</v>
      </c>
      <c r="AZ14" s="1079"/>
      <c r="BA14" s="1079"/>
      <c r="BB14" s="1079"/>
      <c r="BC14" s="1079"/>
      <c r="BD14" s="1079"/>
      <c r="BE14" s="1079"/>
      <c r="BF14" s="1079"/>
      <c r="BG14" s="1079"/>
      <c r="BH14" s="1079"/>
      <c r="BI14" s="1079"/>
      <c r="BJ14" s="884"/>
      <c r="BK14" s="884"/>
      <c r="BL14" s="884"/>
      <c r="BM14" s="884"/>
      <c r="BV14" s="884"/>
      <c r="BX14" s="885"/>
      <c r="CB14" s="2077" t="str">
        <f t="shared" si="7"/>
        <v xml:space="preserve">* El total de Reactivos NO DEBE ser superior al total de Procesados. </v>
      </c>
      <c r="CC14" s="2077" t="e">
        <f t="shared" si="8"/>
        <v>#VALUE!</v>
      </c>
      <c r="CD14" s="2077" t="e">
        <f t="shared" si="9"/>
        <v>#VALUE!</v>
      </c>
      <c r="CE14" s="2077" t="str">
        <f t="shared" si="10"/>
        <v xml:space="preserve">* La columna Pueblos Originarios NO DEBE ser superior al total de Procesados. </v>
      </c>
      <c r="CF14" s="2077" t="str">
        <f t="shared" si="11"/>
        <v xml:space="preserve">* La columna Migrantes NO DEBE ser superior al total de Procesados. </v>
      </c>
      <c r="CG14" s="2077" t="str">
        <f t="shared" si="12"/>
        <v>* El total de procesados debe ser mayor o igual al total de Reactivos en el grupo de edad Menor de 6 meses</v>
      </c>
      <c r="CH14" s="2077" t="str">
        <f t="shared" si="13"/>
        <v>* El total de procesados debe ser mayor o igual al total de Reactivos en el grupo de edad 6 a 11 meses</v>
      </c>
      <c r="CI14" s="2077" t="str">
        <f t="shared" si="14"/>
        <v>* El total de procesados debe ser mayor o igual al total de Reactivos en el grupo de edad 12-24 meses</v>
      </c>
      <c r="CJ14" s="2077" t="str">
        <f t="shared" si="15"/>
        <v>* El total de procesados debe ser mayor o igual al total de Reactivos en el grupo de edad 3 a 4</v>
      </c>
      <c r="CK14" s="2077" t="str">
        <f t="shared" si="16"/>
        <v>* El total de procesados debe ser mayor o igual al total de Reactivos en el grupo de edad 5 a 9</v>
      </c>
      <c r="CL14" s="2077" t="str">
        <f t="shared" si="17"/>
        <v>* El total de procesados debe ser mayor o igual al total de Reactivos en el grupo de edad 10 - 14</v>
      </c>
      <c r="CM14" s="2077" t="str">
        <f t="shared" si="18"/>
        <v>* El total de procesados debe ser mayor o igual al total de Reactivos en el grupo de edad 15 - 19</v>
      </c>
      <c r="CN14" s="2077" t="str">
        <f t="shared" si="19"/>
        <v>* El total de procesados debe ser mayor o igual al total de Reactivos en el grupo de edad 20 - 24</v>
      </c>
      <c r="CO14" s="2077" t="str">
        <f t="shared" si="20"/>
        <v>* El total de procesados debe ser mayor o igual al total de Reactivos en el grupo de edad 25 a 29</v>
      </c>
      <c r="CP14" s="2077" t="str">
        <f t="shared" si="21"/>
        <v>* El total de procesados debe ser mayor o igual al total de Reactivos en el grupo de edad 30 a 34</v>
      </c>
      <c r="CQ14" s="2077" t="str">
        <f t="shared" si="22"/>
        <v>* El total de procesados debe ser mayor o igual al total de Reactivos en el grupo de edad 35 a 39</v>
      </c>
      <c r="CR14" s="2077" t="str">
        <f t="shared" si="23"/>
        <v>* El total de procesados debe ser mayor o igual al total de Reactivos en el grupo de edad 40 a 44</v>
      </c>
      <c r="CS14" s="2077" t="str">
        <f t="shared" si="24"/>
        <v>* El total de procesados debe ser mayor o igual al total de Reactivos en el grupo de edad 45 a 49</v>
      </c>
      <c r="CT14" s="2077" t="str">
        <f t="shared" si="25"/>
        <v>* El total de procesados debe ser mayor o igual al total de Reactivos en el grupo de edad 50 a 54</v>
      </c>
      <c r="CU14" s="2077" t="str">
        <f t="shared" si="26"/>
        <v>* El total de procesados debe ser mayor o igual al total de Reactivos en el grupo de edad 55 a 59</v>
      </c>
      <c r="CV14" s="2077" t="str">
        <f t="shared" si="27"/>
        <v>* El total de procesados debe ser mayor o igual al total de Reactivos en el grupo de edad 60 a 64</v>
      </c>
      <c r="CW14" s="2077" t="str">
        <f t="shared" si="28"/>
        <v>* El total de procesados debe ser mayor o igual al total de Reactivos en el grupo de edad 65 a 69</v>
      </c>
      <c r="CX14" s="2077" t="str">
        <f t="shared" si="29"/>
        <v>* El total de procesados debe ser mayor o igual al total de Reactivos en el grupo de edad 70 a 74</v>
      </c>
      <c r="CY14" s="2077" t="str">
        <f t="shared" si="30"/>
        <v>* El total de procesados debe ser mayor o igual al total de Reactivos en el grupo de edad 75 a 79</v>
      </c>
      <c r="CZ14" s="2077" t="str">
        <f t="shared" si="31"/>
        <v>* El total de procesados debe ser mayor o igual al total de Reactivos en el grupo de edad 80 y más</v>
      </c>
      <c r="DA14" s="2077" t="str">
        <f t="shared" si="0"/>
        <v/>
      </c>
      <c r="DB14" s="1363">
        <f t="shared" si="1"/>
        <v>1</v>
      </c>
      <c r="DC14" s="1363" t="e">
        <f t="shared" si="2"/>
        <v>#VALUE!</v>
      </c>
      <c r="DD14" s="1363" t="e">
        <f t="shared" si="3"/>
        <v>#VALUE!</v>
      </c>
      <c r="DE14" s="1363">
        <f t="shared" si="4"/>
        <v>1</v>
      </c>
      <c r="DF14" s="1363">
        <f t="shared" si="5"/>
        <v>1</v>
      </c>
      <c r="DG14" s="1363">
        <f t="shared" si="32"/>
        <v>1</v>
      </c>
      <c r="DH14" s="1363">
        <f t="shared" si="33"/>
        <v>1</v>
      </c>
      <c r="DI14" s="1363">
        <f t="shared" si="34"/>
        <v>1</v>
      </c>
      <c r="DJ14" s="1363">
        <f t="shared" si="35"/>
        <v>1</v>
      </c>
      <c r="DK14" s="1363">
        <f t="shared" si="36"/>
        <v>1</v>
      </c>
      <c r="DL14" s="1363">
        <f t="shared" si="37"/>
        <v>1</v>
      </c>
      <c r="DM14" s="1363">
        <f t="shared" si="38"/>
        <v>1</v>
      </c>
      <c r="DN14" s="1363">
        <f t="shared" si="39"/>
        <v>1</v>
      </c>
      <c r="DO14" s="1363">
        <f t="shared" si="40"/>
        <v>1</v>
      </c>
      <c r="DP14" s="1363">
        <f t="shared" si="41"/>
        <v>1</v>
      </c>
      <c r="DQ14" s="1363">
        <f t="shared" si="42"/>
        <v>1</v>
      </c>
      <c r="DR14" s="1363">
        <f t="shared" si="43"/>
        <v>1</v>
      </c>
      <c r="DS14" s="1363">
        <f t="shared" si="44"/>
        <v>1</v>
      </c>
      <c r="DT14" s="1363">
        <f t="shared" si="45"/>
        <v>1</v>
      </c>
      <c r="DU14" s="1363">
        <f t="shared" si="46"/>
        <v>1</v>
      </c>
      <c r="DV14" s="1363">
        <f t="shared" si="47"/>
        <v>1</v>
      </c>
      <c r="DW14" s="1363">
        <f t="shared" si="48"/>
        <v>1</v>
      </c>
      <c r="DX14" s="1363">
        <f t="shared" si="49"/>
        <v>1</v>
      </c>
      <c r="DY14" s="1363">
        <f t="shared" si="50"/>
        <v>1</v>
      </c>
      <c r="DZ14" s="1363">
        <f t="shared" si="51"/>
        <v>1</v>
      </c>
      <c r="EA14" s="1363">
        <f t="shared" si="52"/>
        <v>0</v>
      </c>
    </row>
    <row r="15" spans="1:131" ht="15.95" customHeight="1" x14ac:dyDescent="0.25">
      <c r="A15" s="2458">
        <v>11054000</v>
      </c>
      <c r="B15" s="2460" t="s">
        <v>2262</v>
      </c>
      <c r="C15" s="707" t="s">
        <v>2777</v>
      </c>
      <c r="D15" s="281" t="s">
        <v>2778</v>
      </c>
      <c r="E15" s="161" t="s">
        <v>2779</v>
      </c>
      <c r="F15" s="145" t="s">
        <v>2780</v>
      </c>
      <c r="G15" s="173" t="s">
        <v>2781</v>
      </c>
      <c r="H15" s="145" t="s">
        <v>2782</v>
      </c>
      <c r="I15" s="173" t="s">
        <v>2783</v>
      </c>
      <c r="J15" s="145" t="s">
        <v>2784</v>
      </c>
      <c r="K15" s="173" t="s">
        <v>2785</v>
      </c>
      <c r="L15" s="145" t="s">
        <v>2786</v>
      </c>
      <c r="M15" s="173" t="s">
        <v>2787</v>
      </c>
      <c r="N15" s="162" t="s">
        <v>2788</v>
      </c>
      <c r="O15" s="180" t="s">
        <v>2789</v>
      </c>
      <c r="P15" s="142" t="s">
        <v>2790</v>
      </c>
      <c r="Q15" s="141" t="s">
        <v>2791</v>
      </c>
      <c r="R15" s="142" t="s">
        <v>2792</v>
      </c>
      <c r="S15" s="141" t="s">
        <v>2793</v>
      </c>
      <c r="T15" s="142" t="s">
        <v>2794</v>
      </c>
      <c r="U15" s="141" t="s">
        <v>2795</v>
      </c>
      <c r="V15" s="142" t="s">
        <v>2796</v>
      </c>
      <c r="W15" s="141" t="s">
        <v>2797</v>
      </c>
      <c r="X15" s="142" t="s">
        <v>2798</v>
      </c>
      <c r="Y15" s="141" t="s">
        <v>2799</v>
      </c>
      <c r="Z15" s="142" t="s">
        <v>2800</v>
      </c>
      <c r="AA15" s="141" t="s">
        <v>2801</v>
      </c>
      <c r="AB15" s="142" t="s">
        <v>2817</v>
      </c>
      <c r="AC15" s="141" t="s">
        <v>2818</v>
      </c>
      <c r="AD15" s="142" t="s">
        <v>2819</v>
      </c>
      <c r="AE15" s="141" t="s">
        <v>2821</v>
      </c>
      <c r="AF15" s="142" t="s">
        <v>2822</v>
      </c>
      <c r="AG15" s="141" t="s">
        <v>2823</v>
      </c>
      <c r="AH15" s="142" t="s">
        <v>2824</v>
      </c>
      <c r="AI15" s="141" t="s">
        <v>2825</v>
      </c>
      <c r="AJ15" s="142" t="s">
        <v>2826</v>
      </c>
      <c r="AK15" s="141" t="s">
        <v>2827</v>
      </c>
      <c r="AL15" s="142" t="s">
        <v>2831</v>
      </c>
      <c r="AM15" s="141" t="s">
        <v>2832</v>
      </c>
      <c r="AN15" s="142" t="s">
        <v>2833</v>
      </c>
      <c r="AO15" s="141" t="s">
        <v>2834</v>
      </c>
      <c r="AP15" s="142" t="s">
        <v>3011</v>
      </c>
      <c r="AQ15" s="141" t="s">
        <v>3012</v>
      </c>
      <c r="AR15" s="318" t="s">
        <v>3013</v>
      </c>
      <c r="AS15" s="1703" t="s">
        <v>3014</v>
      </c>
      <c r="AT15" s="318" t="s">
        <v>3015</v>
      </c>
      <c r="AU15" s="180" t="s">
        <v>3206</v>
      </c>
      <c r="AV15" s="142" t="s">
        <v>3207</v>
      </c>
      <c r="AW15" s="141" t="s">
        <v>3272</v>
      </c>
      <c r="AX15" s="163" t="s">
        <v>3273</v>
      </c>
      <c r="AY15" s="1079" t="e">
        <f t="shared" si="6"/>
        <v>#VALUE!</v>
      </c>
      <c r="AZ15" s="1079"/>
      <c r="BA15" s="1079"/>
      <c r="BB15" s="1079"/>
      <c r="BC15" s="1079"/>
      <c r="BD15" s="1079"/>
      <c r="BE15" s="1079"/>
      <c r="BF15" s="1079"/>
      <c r="BG15" s="1079"/>
      <c r="BH15" s="1079"/>
      <c r="BI15" s="1079"/>
      <c r="BJ15" s="884"/>
      <c r="BK15" s="884"/>
      <c r="BL15" s="884"/>
      <c r="BM15" s="884"/>
      <c r="BV15" s="884"/>
      <c r="BX15" s="885"/>
      <c r="CB15" s="2077" t="str">
        <f t="shared" si="7"/>
        <v xml:space="preserve">* El total de Reactivos NO DEBE ser superior al total de Procesados. </v>
      </c>
      <c r="CC15" s="2077" t="e">
        <f t="shared" si="8"/>
        <v>#VALUE!</v>
      </c>
      <c r="CD15" s="2077" t="e">
        <f t="shared" si="9"/>
        <v>#VALUE!</v>
      </c>
      <c r="CE15" s="2077" t="str">
        <f t="shared" si="10"/>
        <v xml:space="preserve">* La columna Pueblos Originarios NO DEBE ser superior al total de Procesados. </v>
      </c>
      <c r="CF15" s="2077" t="str">
        <f t="shared" si="11"/>
        <v xml:space="preserve">* La columna Migrantes NO DEBE ser superior al total de Procesados. </v>
      </c>
      <c r="CG15" s="2077" t="str">
        <f t="shared" si="12"/>
        <v>* El total de procesados debe ser mayor o igual al total de Reactivos en el grupo de edad Menor de 6 meses</v>
      </c>
      <c r="CH15" s="2077" t="str">
        <f t="shared" si="13"/>
        <v>* El total de procesados debe ser mayor o igual al total de Reactivos en el grupo de edad 6 a 11 meses</v>
      </c>
      <c r="CI15" s="2077" t="str">
        <f t="shared" si="14"/>
        <v>* El total de procesados debe ser mayor o igual al total de Reactivos en el grupo de edad 12-24 meses</v>
      </c>
      <c r="CJ15" s="2077" t="str">
        <f t="shared" si="15"/>
        <v>* El total de procesados debe ser mayor o igual al total de Reactivos en el grupo de edad 3 a 4</v>
      </c>
      <c r="CK15" s="2077" t="str">
        <f t="shared" si="16"/>
        <v>* El total de procesados debe ser mayor o igual al total de Reactivos en el grupo de edad 5 a 9</v>
      </c>
      <c r="CL15" s="2077" t="str">
        <f t="shared" si="17"/>
        <v>* El total de procesados debe ser mayor o igual al total de Reactivos en el grupo de edad 10 - 14</v>
      </c>
      <c r="CM15" s="2077" t="str">
        <f t="shared" si="18"/>
        <v>* El total de procesados debe ser mayor o igual al total de Reactivos en el grupo de edad 15 - 19</v>
      </c>
      <c r="CN15" s="2077" t="str">
        <f t="shared" si="19"/>
        <v>* El total de procesados debe ser mayor o igual al total de Reactivos en el grupo de edad 20 - 24</v>
      </c>
      <c r="CO15" s="2077" t="str">
        <f t="shared" si="20"/>
        <v>* El total de procesados debe ser mayor o igual al total de Reactivos en el grupo de edad 25 a 29</v>
      </c>
      <c r="CP15" s="2077" t="str">
        <f t="shared" si="21"/>
        <v>* El total de procesados debe ser mayor o igual al total de Reactivos en el grupo de edad 30 a 34</v>
      </c>
      <c r="CQ15" s="2077" t="str">
        <f t="shared" si="22"/>
        <v>* El total de procesados debe ser mayor o igual al total de Reactivos en el grupo de edad 35 a 39</v>
      </c>
      <c r="CR15" s="2077" t="str">
        <f t="shared" si="23"/>
        <v>* El total de procesados debe ser mayor o igual al total de Reactivos en el grupo de edad 40 a 44</v>
      </c>
      <c r="CS15" s="2077" t="str">
        <f t="shared" si="24"/>
        <v>* El total de procesados debe ser mayor o igual al total de Reactivos en el grupo de edad 45 a 49</v>
      </c>
      <c r="CT15" s="2077" t="str">
        <f t="shared" si="25"/>
        <v>* El total de procesados debe ser mayor o igual al total de Reactivos en el grupo de edad 50 a 54</v>
      </c>
      <c r="CU15" s="2077" t="str">
        <f t="shared" si="26"/>
        <v>* El total de procesados debe ser mayor o igual al total de Reactivos en el grupo de edad 55 a 59</v>
      </c>
      <c r="CV15" s="2077" t="str">
        <f t="shared" si="27"/>
        <v>* El total de procesados debe ser mayor o igual al total de Reactivos en el grupo de edad 60 a 64</v>
      </c>
      <c r="CW15" s="2077" t="str">
        <f t="shared" si="28"/>
        <v>* El total de procesados debe ser mayor o igual al total de Reactivos en el grupo de edad 65 a 69</v>
      </c>
      <c r="CX15" s="2077" t="str">
        <f t="shared" si="29"/>
        <v>* El total de procesados debe ser mayor o igual al total de Reactivos en el grupo de edad 70 a 74</v>
      </c>
      <c r="CY15" s="2077" t="str">
        <f t="shared" si="30"/>
        <v>* El total de procesados debe ser mayor o igual al total de Reactivos en el grupo de edad 75 a 79</v>
      </c>
      <c r="CZ15" s="2077" t="str">
        <f t="shared" si="31"/>
        <v>* El total de procesados debe ser mayor o igual al total de Reactivos en el grupo de edad 80 y más</v>
      </c>
      <c r="DA15" s="2077" t="str">
        <f t="shared" si="0"/>
        <v/>
      </c>
      <c r="DB15" s="1363">
        <f t="shared" si="1"/>
        <v>1</v>
      </c>
      <c r="DC15" s="1363" t="e">
        <f t="shared" si="2"/>
        <v>#VALUE!</v>
      </c>
      <c r="DD15" s="1363" t="e">
        <f t="shared" si="3"/>
        <v>#VALUE!</v>
      </c>
      <c r="DE15" s="1363">
        <f t="shared" si="4"/>
        <v>1</v>
      </c>
      <c r="DF15" s="1363">
        <f t="shared" si="5"/>
        <v>1</v>
      </c>
      <c r="DG15" s="1363">
        <f t="shared" si="32"/>
        <v>1</v>
      </c>
      <c r="DH15" s="1363">
        <f t="shared" si="33"/>
        <v>1</v>
      </c>
      <c r="DI15" s="1363">
        <f t="shared" si="34"/>
        <v>1</v>
      </c>
      <c r="DJ15" s="1363">
        <f t="shared" si="35"/>
        <v>1</v>
      </c>
      <c r="DK15" s="1363">
        <f t="shared" si="36"/>
        <v>1</v>
      </c>
      <c r="DL15" s="1363">
        <f t="shared" si="37"/>
        <v>1</v>
      </c>
      <c r="DM15" s="1363">
        <f t="shared" si="38"/>
        <v>1</v>
      </c>
      <c r="DN15" s="1363">
        <f t="shared" si="39"/>
        <v>1</v>
      </c>
      <c r="DO15" s="1363">
        <f t="shared" si="40"/>
        <v>1</v>
      </c>
      <c r="DP15" s="1363">
        <f t="shared" si="41"/>
        <v>1</v>
      </c>
      <c r="DQ15" s="1363">
        <f t="shared" si="42"/>
        <v>1</v>
      </c>
      <c r="DR15" s="1363">
        <f t="shared" si="43"/>
        <v>1</v>
      </c>
      <c r="DS15" s="1363">
        <f t="shared" si="44"/>
        <v>1</v>
      </c>
      <c r="DT15" s="1363">
        <f t="shared" si="45"/>
        <v>1</v>
      </c>
      <c r="DU15" s="1363">
        <f t="shared" si="46"/>
        <v>1</v>
      </c>
      <c r="DV15" s="1363">
        <f t="shared" si="47"/>
        <v>1</v>
      </c>
      <c r="DW15" s="1363">
        <f t="shared" si="48"/>
        <v>1</v>
      </c>
      <c r="DX15" s="1363">
        <f t="shared" si="49"/>
        <v>1</v>
      </c>
      <c r="DY15" s="1363">
        <f t="shared" si="50"/>
        <v>1</v>
      </c>
      <c r="DZ15" s="1363">
        <f t="shared" si="51"/>
        <v>1</v>
      </c>
      <c r="EA15" s="1363">
        <f t="shared" si="52"/>
        <v>0</v>
      </c>
    </row>
    <row r="16" spans="1:131" ht="15.95" customHeight="1" x14ac:dyDescent="0.25">
      <c r="A16" s="2458">
        <v>11051200</v>
      </c>
      <c r="B16" s="371" t="s">
        <v>2263</v>
      </c>
      <c r="C16" s="707" t="s">
        <v>2777</v>
      </c>
      <c r="D16" s="281" t="s">
        <v>2778</v>
      </c>
      <c r="E16" s="161" t="s">
        <v>2779</v>
      </c>
      <c r="F16" s="145" t="s">
        <v>2780</v>
      </c>
      <c r="G16" s="173" t="s">
        <v>2781</v>
      </c>
      <c r="H16" s="145" t="s">
        <v>2782</v>
      </c>
      <c r="I16" s="173" t="s">
        <v>2783</v>
      </c>
      <c r="J16" s="145" t="s">
        <v>2784</v>
      </c>
      <c r="K16" s="173" t="s">
        <v>2785</v>
      </c>
      <c r="L16" s="145" t="s">
        <v>2786</v>
      </c>
      <c r="M16" s="173" t="s">
        <v>2787</v>
      </c>
      <c r="N16" s="162" t="s">
        <v>2788</v>
      </c>
      <c r="O16" s="180" t="s">
        <v>2789</v>
      </c>
      <c r="P16" s="142" t="s">
        <v>2790</v>
      </c>
      <c r="Q16" s="141" t="s">
        <v>2791</v>
      </c>
      <c r="R16" s="142" t="s">
        <v>2792</v>
      </c>
      <c r="S16" s="141" t="s">
        <v>2793</v>
      </c>
      <c r="T16" s="142" t="s">
        <v>2794</v>
      </c>
      <c r="U16" s="141" t="s">
        <v>2795</v>
      </c>
      <c r="V16" s="142" t="s">
        <v>2796</v>
      </c>
      <c r="W16" s="141" t="s">
        <v>2797</v>
      </c>
      <c r="X16" s="142" t="s">
        <v>2798</v>
      </c>
      <c r="Y16" s="141" t="s">
        <v>2799</v>
      </c>
      <c r="Z16" s="142" t="s">
        <v>2800</v>
      </c>
      <c r="AA16" s="141" t="s">
        <v>2801</v>
      </c>
      <c r="AB16" s="142" t="s">
        <v>2817</v>
      </c>
      <c r="AC16" s="141" t="s">
        <v>2818</v>
      </c>
      <c r="AD16" s="142" t="s">
        <v>2819</v>
      </c>
      <c r="AE16" s="141" t="s">
        <v>2821</v>
      </c>
      <c r="AF16" s="142" t="s">
        <v>2822</v>
      </c>
      <c r="AG16" s="141" t="s">
        <v>2823</v>
      </c>
      <c r="AH16" s="142" t="s">
        <v>2824</v>
      </c>
      <c r="AI16" s="141" t="s">
        <v>2825</v>
      </c>
      <c r="AJ16" s="142" t="s">
        <v>2826</v>
      </c>
      <c r="AK16" s="141" t="s">
        <v>2827</v>
      </c>
      <c r="AL16" s="142" t="s">
        <v>2831</v>
      </c>
      <c r="AM16" s="141" t="s">
        <v>2832</v>
      </c>
      <c r="AN16" s="142" t="s">
        <v>2833</v>
      </c>
      <c r="AO16" s="141" t="s">
        <v>2834</v>
      </c>
      <c r="AP16" s="142" t="s">
        <v>3011</v>
      </c>
      <c r="AQ16" s="141" t="s">
        <v>3012</v>
      </c>
      <c r="AR16" s="318" t="s">
        <v>3013</v>
      </c>
      <c r="AS16" s="1703" t="s">
        <v>3014</v>
      </c>
      <c r="AT16" s="318" t="s">
        <v>3015</v>
      </c>
      <c r="AU16" s="180" t="s">
        <v>3206</v>
      </c>
      <c r="AV16" s="142" t="s">
        <v>3207</v>
      </c>
      <c r="AW16" s="141" t="s">
        <v>3272</v>
      </c>
      <c r="AX16" s="163" t="s">
        <v>3273</v>
      </c>
      <c r="AY16" s="1079" t="e">
        <f t="shared" si="6"/>
        <v>#VALUE!</v>
      </c>
      <c r="AZ16" s="1079"/>
      <c r="BA16" s="1079"/>
      <c r="BB16" s="1079"/>
      <c r="BC16" s="1079"/>
      <c r="BD16" s="1079"/>
      <c r="BE16" s="1079"/>
      <c r="BF16" s="1079"/>
      <c r="BG16" s="1079"/>
      <c r="BH16" s="1079"/>
      <c r="BI16" s="1079"/>
      <c r="BJ16" s="884"/>
      <c r="BK16" s="884"/>
      <c r="BL16" s="884"/>
      <c r="BM16" s="884"/>
      <c r="BV16" s="884"/>
      <c r="BX16" s="885"/>
      <c r="CB16" s="2077" t="str">
        <f t="shared" si="7"/>
        <v xml:space="preserve">* El total de Reactivos NO DEBE ser superior al total de Procesados. </v>
      </c>
      <c r="CC16" s="2077" t="e">
        <f t="shared" si="8"/>
        <v>#VALUE!</v>
      </c>
      <c r="CD16" s="2077" t="e">
        <f t="shared" si="9"/>
        <v>#VALUE!</v>
      </c>
      <c r="CE16" s="2077" t="str">
        <f t="shared" si="10"/>
        <v xml:space="preserve">* La columna Pueblos Originarios NO DEBE ser superior al total de Procesados. </v>
      </c>
      <c r="CF16" s="2077" t="str">
        <f t="shared" si="11"/>
        <v xml:space="preserve">* La columna Migrantes NO DEBE ser superior al total de Procesados. </v>
      </c>
      <c r="CG16" s="2077" t="str">
        <f t="shared" si="12"/>
        <v>* El total de procesados debe ser mayor o igual al total de Reactivos en el grupo de edad Menor de 6 meses</v>
      </c>
      <c r="CH16" s="2077" t="str">
        <f t="shared" si="13"/>
        <v>* El total de procesados debe ser mayor o igual al total de Reactivos en el grupo de edad 6 a 11 meses</v>
      </c>
      <c r="CI16" s="2077" t="str">
        <f t="shared" si="14"/>
        <v>* El total de procesados debe ser mayor o igual al total de Reactivos en el grupo de edad 12-24 meses</v>
      </c>
      <c r="CJ16" s="2077" t="str">
        <f t="shared" si="15"/>
        <v>* El total de procesados debe ser mayor o igual al total de Reactivos en el grupo de edad 3 a 4</v>
      </c>
      <c r="CK16" s="2077" t="str">
        <f t="shared" si="16"/>
        <v>* El total de procesados debe ser mayor o igual al total de Reactivos en el grupo de edad 5 a 9</v>
      </c>
      <c r="CL16" s="2077" t="str">
        <f t="shared" si="17"/>
        <v>* El total de procesados debe ser mayor o igual al total de Reactivos en el grupo de edad 10 - 14</v>
      </c>
      <c r="CM16" s="2077" t="str">
        <f t="shared" si="18"/>
        <v>* El total de procesados debe ser mayor o igual al total de Reactivos en el grupo de edad 15 - 19</v>
      </c>
      <c r="CN16" s="2077" t="str">
        <f t="shared" si="19"/>
        <v>* El total de procesados debe ser mayor o igual al total de Reactivos en el grupo de edad 20 - 24</v>
      </c>
      <c r="CO16" s="2077" t="str">
        <f t="shared" si="20"/>
        <v>* El total de procesados debe ser mayor o igual al total de Reactivos en el grupo de edad 25 a 29</v>
      </c>
      <c r="CP16" s="2077" t="str">
        <f t="shared" si="21"/>
        <v>* El total de procesados debe ser mayor o igual al total de Reactivos en el grupo de edad 30 a 34</v>
      </c>
      <c r="CQ16" s="2077" t="str">
        <f t="shared" si="22"/>
        <v>* El total de procesados debe ser mayor o igual al total de Reactivos en el grupo de edad 35 a 39</v>
      </c>
      <c r="CR16" s="2077" t="str">
        <f t="shared" si="23"/>
        <v>* El total de procesados debe ser mayor o igual al total de Reactivos en el grupo de edad 40 a 44</v>
      </c>
      <c r="CS16" s="2077" t="str">
        <f t="shared" si="24"/>
        <v>* El total de procesados debe ser mayor o igual al total de Reactivos en el grupo de edad 45 a 49</v>
      </c>
      <c r="CT16" s="2077" t="str">
        <f t="shared" si="25"/>
        <v>* El total de procesados debe ser mayor o igual al total de Reactivos en el grupo de edad 50 a 54</v>
      </c>
      <c r="CU16" s="2077" t="str">
        <f t="shared" si="26"/>
        <v>* El total de procesados debe ser mayor o igual al total de Reactivos en el grupo de edad 55 a 59</v>
      </c>
      <c r="CV16" s="2077" t="str">
        <f t="shared" si="27"/>
        <v>* El total de procesados debe ser mayor o igual al total de Reactivos en el grupo de edad 60 a 64</v>
      </c>
      <c r="CW16" s="2077" t="str">
        <f t="shared" si="28"/>
        <v>* El total de procesados debe ser mayor o igual al total de Reactivos en el grupo de edad 65 a 69</v>
      </c>
      <c r="CX16" s="2077" t="str">
        <f t="shared" si="29"/>
        <v>* El total de procesados debe ser mayor o igual al total de Reactivos en el grupo de edad 70 a 74</v>
      </c>
      <c r="CY16" s="2077" t="str">
        <f t="shared" si="30"/>
        <v>* El total de procesados debe ser mayor o igual al total de Reactivos en el grupo de edad 75 a 79</v>
      </c>
      <c r="CZ16" s="2077" t="str">
        <f t="shared" si="31"/>
        <v>* El total de procesados debe ser mayor o igual al total de Reactivos en el grupo de edad 80 y más</v>
      </c>
      <c r="DA16" s="2077" t="str">
        <f t="shared" si="0"/>
        <v/>
      </c>
      <c r="DB16" s="1363">
        <f t="shared" si="1"/>
        <v>1</v>
      </c>
      <c r="DC16" s="1363" t="e">
        <f t="shared" si="2"/>
        <v>#VALUE!</v>
      </c>
      <c r="DD16" s="1363" t="e">
        <f t="shared" si="3"/>
        <v>#VALUE!</v>
      </c>
      <c r="DE16" s="1363">
        <f t="shared" si="4"/>
        <v>1</v>
      </c>
      <c r="DF16" s="1363">
        <f t="shared" si="5"/>
        <v>1</v>
      </c>
      <c r="DG16" s="1363">
        <f t="shared" si="32"/>
        <v>1</v>
      </c>
      <c r="DH16" s="1363">
        <f t="shared" si="33"/>
        <v>1</v>
      </c>
      <c r="DI16" s="1363">
        <f t="shared" si="34"/>
        <v>1</v>
      </c>
      <c r="DJ16" s="1363">
        <f t="shared" si="35"/>
        <v>1</v>
      </c>
      <c r="DK16" s="1363">
        <f t="shared" si="36"/>
        <v>1</v>
      </c>
      <c r="DL16" s="1363">
        <f t="shared" si="37"/>
        <v>1</v>
      </c>
      <c r="DM16" s="1363">
        <f t="shared" si="38"/>
        <v>1</v>
      </c>
      <c r="DN16" s="1363">
        <f t="shared" si="39"/>
        <v>1</v>
      </c>
      <c r="DO16" s="1363">
        <f t="shared" si="40"/>
        <v>1</v>
      </c>
      <c r="DP16" s="1363">
        <f t="shared" si="41"/>
        <v>1</v>
      </c>
      <c r="DQ16" s="1363">
        <f t="shared" si="42"/>
        <v>1</v>
      </c>
      <c r="DR16" s="1363">
        <f t="shared" si="43"/>
        <v>1</v>
      </c>
      <c r="DS16" s="1363">
        <f t="shared" si="44"/>
        <v>1</v>
      </c>
      <c r="DT16" s="1363">
        <f t="shared" si="45"/>
        <v>1</v>
      </c>
      <c r="DU16" s="1363">
        <f t="shared" si="46"/>
        <v>1</v>
      </c>
      <c r="DV16" s="1363">
        <f t="shared" si="47"/>
        <v>1</v>
      </c>
      <c r="DW16" s="1363">
        <f t="shared" si="48"/>
        <v>1</v>
      </c>
      <c r="DX16" s="1363">
        <f t="shared" si="49"/>
        <v>1</v>
      </c>
      <c r="DY16" s="1363">
        <f t="shared" si="50"/>
        <v>1</v>
      </c>
      <c r="DZ16" s="1363">
        <f t="shared" si="51"/>
        <v>1</v>
      </c>
      <c r="EA16" s="1363">
        <f t="shared" si="52"/>
        <v>0</v>
      </c>
    </row>
    <row r="17" spans="1:131" ht="15.95" customHeight="1" x14ac:dyDescent="0.25">
      <c r="A17" s="2458">
        <v>11051201</v>
      </c>
      <c r="B17" s="371" t="s">
        <v>2264</v>
      </c>
      <c r="C17" s="707" t="s">
        <v>2777</v>
      </c>
      <c r="D17" s="281" t="s">
        <v>2778</v>
      </c>
      <c r="E17" s="161" t="s">
        <v>2779</v>
      </c>
      <c r="F17" s="145" t="s">
        <v>2780</v>
      </c>
      <c r="G17" s="173" t="s">
        <v>2781</v>
      </c>
      <c r="H17" s="145" t="s">
        <v>2782</v>
      </c>
      <c r="I17" s="173" t="s">
        <v>2783</v>
      </c>
      <c r="J17" s="145" t="s">
        <v>2784</v>
      </c>
      <c r="K17" s="173" t="s">
        <v>2785</v>
      </c>
      <c r="L17" s="145" t="s">
        <v>2786</v>
      </c>
      <c r="M17" s="173" t="s">
        <v>2787</v>
      </c>
      <c r="N17" s="162" t="s">
        <v>2788</v>
      </c>
      <c r="O17" s="180" t="s">
        <v>2789</v>
      </c>
      <c r="P17" s="142" t="s">
        <v>2790</v>
      </c>
      <c r="Q17" s="141" t="s">
        <v>2791</v>
      </c>
      <c r="R17" s="142" t="s">
        <v>2792</v>
      </c>
      <c r="S17" s="141" t="s">
        <v>2793</v>
      </c>
      <c r="T17" s="142" t="s">
        <v>2794</v>
      </c>
      <c r="U17" s="141" t="s">
        <v>2795</v>
      </c>
      <c r="V17" s="142" t="s">
        <v>2796</v>
      </c>
      <c r="W17" s="141" t="s">
        <v>2797</v>
      </c>
      <c r="X17" s="142" t="s">
        <v>2798</v>
      </c>
      <c r="Y17" s="141" t="s">
        <v>2799</v>
      </c>
      <c r="Z17" s="142" t="s">
        <v>2800</v>
      </c>
      <c r="AA17" s="141" t="s">
        <v>2801</v>
      </c>
      <c r="AB17" s="142" t="s">
        <v>2817</v>
      </c>
      <c r="AC17" s="141" t="s">
        <v>2818</v>
      </c>
      <c r="AD17" s="142" t="s">
        <v>2819</v>
      </c>
      <c r="AE17" s="141" t="s">
        <v>2821</v>
      </c>
      <c r="AF17" s="142" t="s">
        <v>2822</v>
      </c>
      <c r="AG17" s="141" t="s">
        <v>2823</v>
      </c>
      <c r="AH17" s="142" t="s">
        <v>2824</v>
      </c>
      <c r="AI17" s="141" t="s">
        <v>2825</v>
      </c>
      <c r="AJ17" s="142" t="s">
        <v>2826</v>
      </c>
      <c r="AK17" s="141" t="s">
        <v>2827</v>
      </c>
      <c r="AL17" s="142" t="s">
        <v>2831</v>
      </c>
      <c r="AM17" s="141" t="s">
        <v>2832</v>
      </c>
      <c r="AN17" s="142" t="s">
        <v>2833</v>
      </c>
      <c r="AO17" s="141" t="s">
        <v>2834</v>
      </c>
      <c r="AP17" s="142" t="s">
        <v>3011</v>
      </c>
      <c r="AQ17" s="141" t="s">
        <v>3012</v>
      </c>
      <c r="AR17" s="318" t="s">
        <v>3013</v>
      </c>
      <c r="AS17" s="180" t="s">
        <v>3014</v>
      </c>
      <c r="AT17" s="318" t="s">
        <v>3015</v>
      </c>
      <c r="AU17" s="180" t="s">
        <v>3206</v>
      </c>
      <c r="AV17" s="142" t="s">
        <v>3207</v>
      </c>
      <c r="AW17" s="141" t="s">
        <v>3272</v>
      </c>
      <c r="AX17" s="163" t="s">
        <v>3273</v>
      </c>
      <c r="AY17" s="1079" t="e">
        <f t="shared" si="6"/>
        <v>#VALUE!</v>
      </c>
      <c r="AZ17" s="1079"/>
      <c r="BA17" s="1079"/>
      <c r="BB17" s="1079"/>
      <c r="BC17" s="1079"/>
      <c r="BD17" s="1079"/>
      <c r="BE17" s="1079"/>
      <c r="BF17" s="1079"/>
      <c r="BG17" s="1079"/>
      <c r="BH17" s="1079"/>
      <c r="BI17" s="1079"/>
      <c r="BJ17" s="884"/>
      <c r="BK17" s="884"/>
      <c r="BL17" s="884"/>
      <c r="BM17" s="884"/>
      <c r="BV17" s="884"/>
      <c r="BX17" s="885"/>
      <c r="CB17" s="2077" t="str">
        <f t="shared" si="7"/>
        <v xml:space="preserve">* El total de Reactivos NO DEBE ser superior al total de Procesados. </v>
      </c>
      <c r="CC17" s="2077" t="e">
        <f t="shared" si="8"/>
        <v>#VALUE!</v>
      </c>
      <c r="CD17" s="2077" t="e">
        <f t="shared" si="9"/>
        <v>#VALUE!</v>
      </c>
      <c r="CE17" s="2077" t="str">
        <f t="shared" si="10"/>
        <v xml:space="preserve">* La columna Pueblos Originarios NO DEBE ser superior al total de Procesados. </v>
      </c>
      <c r="CF17" s="2077" t="str">
        <f t="shared" si="11"/>
        <v xml:space="preserve">* La columna Migrantes NO DEBE ser superior al total de Procesados. </v>
      </c>
      <c r="CG17" s="2077" t="str">
        <f t="shared" si="12"/>
        <v>* El total de procesados debe ser mayor o igual al total de Reactivos en el grupo de edad Menor de 6 meses</v>
      </c>
      <c r="CH17" s="2077" t="str">
        <f t="shared" si="13"/>
        <v>* El total de procesados debe ser mayor o igual al total de Reactivos en el grupo de edad 6 a 11 meses</v>
      </c>
      <c r="CI17" s="2077" t="str">
        <f t="shared" si="14"/>
        <v>* El total de procesados debe ser mayor o igual al total de Reactivos en el grupo de edad 12-24 meses</v>
      </c>
      <c r="CJ17" s="2077" t="str">
        <f t="shared" si="15"/>
        <v>* El total de procesados debe ser mayor o igual al total de Reactivos en el grupo de edad 3 a 4</v>
      </c>
      <c r="CK17" s="2077" t="str">
        <f t="shared" si="16"/>
        <v>* El total de procesados debe ser mayor o igual al total de Reactivos en el grupo de edad 5 a 9</v>
      </c>
      <c r="CL17" s="2077" t="str">
        <f t="shared" si="17"/>
        <v>* El total de procesados debe ser mayor o igual al total de Reactivos en el grupo de edad 10 - 14</v>
      </c>
      <c r="CM17" s="2077" t="str">
        <f t="shared" si="18"/>
        <v>* El total de procesados debe ser mayor o igual al total de Reactivos en el grupo de edad 15 - 19</v>
      </c>
      <c r="CN17" s="2077" t="str">
        <f t="shared" si="19"/>
        <v>* El total de procesados debe ser mayor o igual al total de Reactivos en el grupo de edad 20 - 24</v>
      </c>
      <c r="CO17" s="2077" t="str">
        <f t="shared" si="20"/>
        <v>* El total de procesados debe ser mayor o igual al total de Reactivos en el grupo de edad 25 a 29</v>
      </c>
      <c r="CP17" s="2077" t="str">
        <f t="shared" si="21"/>
        <v>* El total de procesados debe ser mayor o igual al total de Reactivos en el grupo de edad 30 a 34</v>
      </c>
      <c r="CQ17" s="2077" t="str">
        <f t="shared" si="22"/>
        <v>* El total de procesados debe ser mayor o igual al total de Reactivos en el grupo de edad 35 a 39</v>
      </c>
      <c r="CR17" s="2077" t="str">
        <f t="shared" si="23"/>
        <v>* El total de procesados debe ser mayor o igual al total de Reactivos en el grupo de edad 40 a 44</v>
      </c>
      <c r="CS17" s="2077" t="str">
        <f t="shared" si="24"/>
        <v>* El total de procesados debe ser mayor o igual al total de Reactivos en el grupo de edad 45 a 49</v>
      </c>
      <c r="CT17" s="2077" t="str">
        <f t="shared" si="25"/>
        <v>* El total de procesados debe ser mayor o igual al total de Reactivos en el grupo de edad 50 a 54</v>
      </c>
      <c r="CU17" s="2077" t="str">
        <f t="shared" si="26"/>
        <v>* El total de procesados debe ser mayor o igual al total de Reactivos en el grupo de edad 55 a 59</v>
      </c>
      <c r="CV17" s="2077" t="str">
        <f t="shared" si="27"/>
        <v>* El total de procesados debe ser mayor o igual al total de Reactivos en el grupo de edad 60 a 64</v>
      </c>
      <c r="CW17" s="2077" t="str">
        <f t="shared" si="28"/>
        <v>* El total de procesados debe ser mayor o igual al total de Reactivos en el grupo de edad 65 a 69</v>
      </c>
      <c r="CX17" s="2077" t="str">
        <f t="shared" si="29"/>
        <v>* El total de procesados debe ser mayor o igual al total de Reactivos en el grupo de edad 70 a 74</v>
      </c>
      <c r="CY17" s="2077" t="str">
        <f t="shared" si="30"/>
        <v>* El total de procesados debe ser mayor o igual al total de Reactivos en el grupo de edad 75 a 79</v>
      </c>
      <c r="CZ17" s="2077" t="str">
        <f t="shared" si="31"/>
        <v>* El total de procesados debe ser mayor o igual al total de Reactivos en el grupo de edad 80 y más</v>
      </c>
      <c r="DA17" s="2077" t="str">
        <f t="shared" si="0"/>
        <v/>
      </c>
      <c r="DB17" s="1363">
        <f t="shared" si="1"/>
        <v>1</v>
      </c>
      <c r="DC17" s="1363" t="e">
        <f t="shared" si="2"/>
        <v>#VALUE!</v>
      </c>
      <c r="DD17" s="1363" t="e">
        <f t="shared" si="3"/>
        <v>#VALUE!</v>
      </c>
      <c r="DE17" s="1363">
        <f t="shared" si="4"/>
        <v>1</v>
      </c>
      <c r="DF17" s="1363">
        <f t="shared" si="5"/>
        <v>1</v>
      </c>
      <c r="DG17" s="1363">
        <f t="shared" si="32"/>
        <v>1</v>
      </c>
      <c r="DH17" s="1363">
        <f t="shared" si="33"/>
        <v>1</v>
      </c>
      <c r="DI17" s="1363">
        <f t="shared" si="34"/>
        <v>1</v>
      </c>
      <c r="DJ17" s="1363">
        <f t="shared" si="35"/>
        <v>1</v>
      </c>
      <c r="DK17" s="1363">
        <f t="shared" si="36"/>
        <v>1</v>
      </c>
      <c r="DL17" s="1363">
        <f t="shared" si="37"/>
        <v>1</v>
      </c>
      <c r="DM17" s="1363">
        <f t="shared" si="38"/>
        <v>1</v>
      </c>
      <c r="DN17" s="1363">
        <f t="shared" si="39"/>
        <v>1</v>
      </c>
      <c r="DO17" s="1363">
        <f t="shared" si="40"/>
        <v>1</v>
      </c>
      <c r="DP17" s="1363">
        <f t="shared" si="41"/>
        <v>1</v>
      </c>
      <c r="DQ17" s="1363">
        <f t="shared" si="42"/>
        <v>1</v>
      </c>
      <c r="DR17" s="1363">
        <f t="shared" si="43"/>
        <v>1</v>
      </c>
      <c r="DS17" s="1363">
        <f t="shared" si="44"/>
        <v>1</v>
      </c>
      <c r="DT17" s="1363">
        <f t="shared" si="45"/>
        <v>1</v>
      </c>
      <c r="DU17" s="1363">
        <f t="shared" si="46"/>
        <v>1</v>
      </c>
      <c r="DV17" s="1363">
        <f t="shared" si="47"/>
        <v>1</v>
      </c>
      <c r="DW17" s="1363">
        <f t="shared" si="48"/>
        <v>1</v>
      </c>
      <c r="DX17" s="1363">
        <f t="shared" si="49"/>
        <v>1</v>
      </c>
      <c r="DY17" s="1363">
        <f t="shared" si="50"/>
        <v>1</v>
      </c>
      <c r="DZ17" s="1363">
        <f t="shared" si="51"/>
        <v>1</v>
      </c>
      <c r="EA17" s="1363">
        <f t="shared" si="52"/>
        <v>0</v>
      </c>
    </row>
    <row r="18" spans="1:131" ht="21.75" customHeight="1" x14ac:dyDescent="0.25">
      <c r="A18" s="2458">
        <v>11041000</v>
      </c>
      <c r="B18" s="3095" t="s">
        <v>2265</v>
      </c>
      <c r="C18" s="707" t="s">
        <v>2777</v>
      </c>
      <c r="D18" s="281" t="s">
        <v>2778</v>
      </c>
      <c r="E18" s="161" t="s">
        <v>2779</v>
      </c>
      <c r="F18" s="145" t="s">
        <v>2780</v>
      </c>
      <c r="G18" s="173" t="s">
        <v>2781</v>
      </c>
      <c r="H18" s="145" t="s">
        <v>2782</v>
      </c>
      <c r="I18" s="173" t="s">
        <v>2783</v>
      </c>
      <c r="J18" s="145" t="s">
        <v>2784</v>
      </c>
      <c r="K18" s="173" t="s">
        <v>2785</v>
      </c>
      <c r="L18" s="145" t="s">
        <v>2786</v>
      </c>
      <c r="M18" s="173" t="s">
        <v>2787</v>
      </c>
      <c r="N18" s="162" t="s">
        <v>2788</v>
      </c>
      <c r="O18" s="180" t="s">
        <v>2789</v>
      </c>
      <c r="P18" s="142" t="s">
        <v>2790</v>
      </c>
      <c r="Q18" s="141" t="s">
        <v>2791</v>
      </c>
      <c r="R18" s="142" t="s">
        <v>2792</v>
      </c>
      <c r="S18" s="141" t="s">
        <v>2793</v>
      </c>
      <c r="T18" s="142" t="s">
        <v>2794</v>
      </c>
      <c r="U18" s="141" t="s">
        <v>2795</v>
      </c>
      <c r="V18" s="142" t="s">
        <v>2796</v>
      </c>
      <c r="W18" s="141" t="s">
        <v>2797</v>
      </c>
      <c r="X18" s="142" t="s">
        <v>2798</v>
      </c>
      <c r="Y18" s="141" t="s">
        <v>2799</v>
      </c>
      <c r="Z18" s="142" t="s">
        <v>2800</v>
      </c>
      <c r="AA18" s="141" t="s">
        <v>2801</v>
      </c>
      <c r="AB18" s="142" t="s">
        <v>2817</v>
      </c>
      <c r="AC18" s="141" t="s">
        <v>2818</v>
      </c>
      <c r="AD18" s="142" t="s">
        <v>2819</v>
      </c>
      <c r="AE18" s="141" t="s">
        <v>2821</v>
      </c>
      <c r="AF18" s="142" t="s">
        <v>2822</v>
      </c>
      <c r="AG18" s="141" t="s">
        <v>2823</v>
      </c>
      <c r="AH18" s="142" t="s">
        <v>2824</v>
      </c>
      <c r="AI18" s="141" t="s">
        <v>2825</v>
      </c>
      <c r="AJ18" s="142" t="s">
        <v>2826</v>
      </c>
      <c r="AK18" s="141" t="s">
        <v>2827</v>
      </c>
      <c r="AL18" s="142" t="s">
        <v>2831</v>
      </c>
      <c r="AM18" s="141" t="s">
        <v>2832</v>
      </c>
      <c r="AN18" s="142" t="s">
        <v>2833</v>
      </c>
      <c r="AO18" s="141" t="s">
        <v>2834</v>
      </c>
      <c r="AP18" s="142" t="s">
        <v>3011</v>
      </c>
      <c r="AQ18" s="141" t="s">
        <v>3012</v>
      </c>
      <c r="AR18" s="318" t="s">
        <v>3013</v>
      </c>
      <c r="AS18" s="1703" t="s">
        <v>3014</v>
      </c>
      <c r="AT18" s="318" t="s">
        <v>3015</v>
      </c>
      <c r="AU18" s="180" t="s">
        <v>3206</v>
      </c>
      <c r="AV18" s="142" t="s">
        <v>3207</v>
      </c>
      <c r="AW18" s="141" t="s">
        <v>3272</v>
      </c>
      <c r="AX18" s="163" t="s">
        <v>3273</v>
      </c>
      <c r="AY18" s="1079" t="e">
        <f t="shared" si="6"/>
        <v>#VALUE!</v>
      </c>
      <c r="AZ18" s="1079"/>
      <c r="BA18" s="1079"/>
      <c r="BB18" s="1079"/>
      <c r="BC18" s="1079"/>
      <c r="BD18" s="1079"/>
      <c r="BE18" s="1079"/>
      <c r="BF18" s="1079"/>
      <c r="BG18" s="1079"/>
      <c r="BH18" s="1079"/>
      <c r="BI18" s="1079"/>
      <c r="BJ18" s="884"/>
      <c r="BK18" s="884"/>
      <c r="BL18" s="884"/>
      <c r="BM18" s="884"/>
      <c r="BV18" s="884"/>
      <c r="BX18" s="885"/>
      <c r="CB18" s="2077" t="str">
        <f t="shared" si="7"/>
        <v xml:space="preserve">* El total de Reactivos NO DEBE ser superior al total de Procesados. </v>
      </c>
      <c r="CC18" s="2077" t="e">
        <f t="shared" si="8"/>
        <v>#VALUE!</v>
      </c>
      <c r="CD18" s="2077" t="e">
        <f t="shared" si="9"/>
        <v>#VALUE!</v>
      </c>
      <c r="CE18" s="2077" t="str">
        <f t="shared" si="10"/>
        <v xml:space="preserve">* La columna Pueblos Originarios NO DEBE ser superior al total de Procesados. </v>
      </c>
      <c r="CF18" s="2077" t="str">
        <f t="shared" si="11"/>
        <v xml:space="preserve">* La columna Migrantes NO DEBE ser superior al total de Procesados. </v>
      </c>
      <c r="CG18" s="2077" t="str">
        <f t="shared" si="12"/>
        <v>* El total de procesados debe ser mayor o igual al total de Reactivos en el grupo de edad Menor de 6 meses</v>
      </c>
      <c r="CH18" s="2077" t="str">
        <f t="shared" si="13"/>
        <v>* El total de procesados debe ser mayor o igual al total de Reactivos en el grupo de edad 6 a 11 meses</v>
      </c>
      <c r="CI18" s="2077" t="str">
        <f t="shared" si="14"/>
        <v>* El total de procesados debe ser mayor o igual al total de Reactivos en el grupo de edad 12-24 meses</v>
      </c>
      <c r="CJ18" s="2077" t="str">
        <f t="shared" si="15"/>
        <v>* El total de procesados debe ser mayor o igual al total de Reactivos en el grupo de edad 3 a 4</v>
      </c>
      <c r="CK18" s="2077" t="str">
        <f t="shared" si="16"/>
        <v>* El total de procesados debe ser mayor o igual al total de Reactivos en el grupo de edad 5 a 9</v>
      </c>
      <c r="CL18" s="2077" t="str">
        <f t="shared" si="17"/>
        <v>* El total de procesados debe ser mayor o igual al total de Reactivos en el grupo de edad 10 - 14</v>
      </c>
      <c r="CM18" s="2077" t="str">
        <f t="shared" si="18"/>
        <v>* El total de procesados debe ser mayor o igual al total de Reactivos en el grupo de edad 15 - 19</v>
      </c>
      <c r="CN18" s="2077" t="str">
        <f t="shared" si="19"/>
        <v>* El total de procesados debe ser mayor o igual al total de Reactivos en el grupo de edad 20 - 24</v>
      </c>
      <c r="CO18" s="2077" t="str">
        <f t="shared" si="20"/>
        <v>* El total de procesados debe ser mayor o igual al total de Reactivos en el grupo de edad 25 a 29</v>
      </c>
      <c r="CP18" s="2077" t="str">
        <f t="shared" si="21"/>
        <v>* El total de procesados debe ser mayor o igual al total de Reactivos en el grupo de edad 30 a 34</v>
      </c>
      <c r="CQ18" s="2077" t="str">
        <f t="shared" si="22"/>
        <v>* El total de procesados debe ser mayor o igual al total de Reactivos en el grupo de edad 35 a 39</v>
      </c>
      <c r="CR18" s="2077" t="str">
        <f t="shared" si="23"/>
        <v>* El total de procesados debe ser mayor o igual al total de Reactivos en el grupo de edad 40 a 44</v>
      </c>
      <c r="CS18" s="2077" t="str">
        <f t="shared" si="24"/>
        <v>* El total de procesados debe ser mayor o igual al total de Reactivos en el grupo de edad 45 a 49</v>
      </c>
      <c r="CT18" s="2077" t="str">
        <f t="shared" si="25"/>
        <v>* El total de procesados debe ser mayor o igual al total de Reactivos en el grupo de edad 50 a 54</v>
      </c>
      <c r="CU18" s="2077" t="str">
        <f t="shared" si="26"/>
        <v>* El total de procesados debe ser mayor o igual al total de Reactivos en el grupo de edad 55 a 59</v>
      </c>
      <c r="CV18" s="2077" t="str">
        <f t="shared" si="27"/>
        <v>* El total de procesados debe ser mayor o igual al total de Reactivos en el grupo de edad 60 a 64</v>
      </c>
      <c r="CW18" s="2077" t="str">
        <f t="shared" si="28"/>
        <v>* El total de procesados debe ser mayor o igual al total de Reactivos en el grupo de edad 65 a 69</v>
      </c>
      <c r="CX18" s="2077" t="str">
        <f t="shared" si="29"/>
        <v>* El total de procesados debe ser mayor o igual al total de Reactivos en el grupo de edad 70 a 74</v>
      </c>
      <c r="CY18" s="2077" t="str">
        <f t="shared" si="30"/>
        <v>* El total de procesados debe ser mayor o igual al total de Reactivos en el grupo de edad 75 a 79</v>
      </c>
      <c r="CZ18" s="2077" t="str">
        <f t="shared" si="31"/>
        <v>* El total de procesados debe ser mayor o igual al total de Reactivos en el grupo de edad 80 y más</v>
      </c>
      <c r="DA18" s="2077" t="str">
        <f t="shared" si="0"/>
        <v/>
      </c>
      <c r="DB18" s="1363">
        <f t="shared" si="1"/>
        <v>1</v>
      </c>
      <c r="DC18" s="1363" t="e">
        <f t="shared" si="2"/>
        <v>#VALUE!</v>
      </c>
      <c r="DD18" s="1363" t="e">
        <f t="shared" si="3"/>
        <v>#VALUE!</v>
      </c>
      <c r="DE18" s="1363">
        <f t="shared" si="4"/>
        <v>1</v>
      </c>
      <c r="DF18" s="1363">
        <f t="shared" si="5"/>
        <v>1</v>
      </c>
      <c r="DG18" s="1363">
        <f t="shared" si="32"/>
        <v>1</v>
      </c>
      <c r="DH18" s="1363">
        <f t="shared" si="33"/>
        <v>1</v>
      </c>
      <c r="DI18" s="1363">
        <f t="shared" si="34"/>
        <v>1</v>
      </c>
      <c r="DJ18" s="1363">
        <f t="shared" si="35"/>
        <v>1</v>
      </c>
      <c r="DK18" s="1363">
        <f t="shared" si="36"/>
        <v>1</v>
      </c>
      <c r="DL18" s="1363">
        <f t="shared" si="37"/>
        <v>1</v>
      </c>
      <c r="DM18" s="1363">
        <f t="shared" si="38"/>
        <v>1</v>
      </c>
      <c r="DN18" s="1363">
        <f t="shared" si="39"/>
        <v>1</v>
      </c>
      <c r="DO18" s="1363">
        <f t="shared" si="40"/>
        <v>1</v>
      </c>
      <c r="DP18" s="1363">
        <f t="shared" si="41"/>
        <v>1</v>
      </c>
      <c r="DQ18" s="1363">
        <f t="shared" si="42"/>
        <v>1</v>
      </c>
      <c r="DR18" s="1363">
        <f t="shared" si="43"/>
        <v>1</v>
      </c>
      <c r="DS18" s="1363">
        <f t="shared" si="44"/>
        <v>1</v>
      </c>
      <c r="DT18" s="1363">
        <f t="shared" si="45"/>
        <v>1</v>
      </c>
      <c r="DU18" s="1363">
        <f t="shared" si="46"/>
        <v>1</v>
      </c>
      <c r="DV18" s="1363">
        <f t="shared" si="47"/>
        <v>1</v>
      </c>
      <c r="DW18" s="1363">
        <f t="shared" si="48"/>
        <v>1</v>
      </c>
      <c r="DX18" s="1363">
        <f t="shared" si="49"/>
        <v>1</v>
      </c>
      <c r="DY18" s="1363">
        <f t="shared" si="50"/>
        <v>1</v>
      </c>
      <c r="DZ18" s="1363">
        <f t="shared" si="51"/>
        <v>1</v>
      </c>
      <c r="EA18" s="1363">
        <f t="shared" si="52"/>
        <v>0</v>
      </c>
    </row>
    <row r="19" spans="1:131" ht="15.95" customHeight="1" x14ac:dyDescent="0.25">
      <c r="A19" s="2458">
        <v>11041100</v>
      </c>
      <c r="B19" s="140" t="s">
        <v>2266</v>
      </c>
      <c r="C19" s="707" t="s">
        <v>2777</v>
      </c>
      <c r="D19" s="281" t="s">
        <v>2778</v>
      </c>
      <c r="E19" s="161" t="s">
        <v>2779</v>
      </c>
      <c r="F19" s="145" t="s">
        <v>2780</v>
      </c>
      <c r="G19" s="173" t="s">
        <v>2781</v>
      </c>
      <c r="H19" s="145" t="s">
        <v>2782</v>
      </c>
      <c r="I19" s="173" t="s">
        <v>2783</v>
      </c>
      <c r="J19" s="145" t="s">
        <v>2784</v>
      </c>
      <c r="K19" s="173" t="s">
        <v>2785</v>
      </c>
      <c r="L19" s="145" t="s">
        <v>2786</v>
      </c>
      <c r="M19" s="173" t="s">
        <v>2787</v>
      </c>
      <c r="N19" s="162" t="s">
        <v>2788</v>
      </c>
      <c r="O19" s="180" t="s">
        <v>2789</v>
      </c>
      <c r="P19" s="142" t="s">
        <v>2790</v>
      </c>
      <c r="Q19" s="141" t="s">
        <v>2791</v>
      </c>
      <c r="R19" s="142" t="s">
        <v>2792</v>
      </c>
      <c r="S19" s="141" t="s">
        <v>2793</v>
      </c>
      <c r="T19" s="142" t="s">
        <v>2794</v>
      </c>
      <c r="U19" s="141" t="s">
        <v>2795</v>
      </c>
      <c r="V19" s="142" t="s">
        <v>2796</v>
      </c>
      <c r="W19" s="141" t="s">
        <v>2797</v>
      </c>
      <c r="X19" s="142" t="s">
        <v>2798</v>
      </c>
      <c r="Y19" s="141" t="s">
        <v>2799</v>
      </c>
      <c r="Z19" s="142" t="s">
        <v>2800</v>
      </c>
      <c r="AA19" s="141" t="s">
        <v>2801</v>
      </c>
      <c r="AB19" s="142" t="s">
        <v>2817</v>
      </c>
      <c r="AC19" s="141" t="s">
        <v>2818</v>
      </c>
      <c r="AD19" s="142" t="s">
        <v>2819</v>
      </c>
      <c r="AE19" s="141" t="s">
        <v>2821</v>
      </c>
      <c r="AF19" s="142" t="s">
        <v>2822</v>
      </c>
      <c r="AG19" s="141" t="s">
        <v>2823</v>
      </c>
      <c r="AH19" s="142" t="s">
        <v>2824</v>
      </c>
      <c r="AI19" s="141" t="s">
        <v>2825</v>
      </c>
      <c r="AJ19" s="142" t="s">
        <v>2826</v>
      </c>
      <c r="AK19" s="141" t="s">
        <v>2827</v>
      </c>
      <c r="AL19" s="142" t="s">
        <v>2831</v>
      </c>
      <c r="AM19" s="141" t="s">
        <v>2832</v>
      </c>
      <c r="AN19" s="142" t="s">
        <v>2833</v>
      </c>
      <c r="AO19" s="141" t="s">
        <v>2834</v>
      </c>
      <c r="AP19" s="142" t="s">
        <v>3011</v>
      </c>
      <c r="AQ19" s="141" t="s">
        <v>3012</v>
      </c>
      <c r="AR19" s="318" t="s">
        <v>3013</v>
      </c>
      <c r="AS19" s="1703" t="s">
        <v>3014</v>
      </c>
      <c r="AT19" s="318" t="s">
        <v>3015</v>
      </c>
      <c r="AU19" s="180" t="s">
        <v>3206</v>
      </c>
      <c r="AV19" s="142" t="s">
        <v>3207</v>
      </c>
      <c r="AW19" s="141" t="s">
        <v>3272</v>
      </c>
      <c r="AX19" s="163" t="s">
        <v>3273</v>
      </c>
      <c r="AY19" s="1079" t="e">
        <f t="shared" si="6"/>
        <v>#VALUE!</v>
      </c>
      <c r="AZ19" s="1079"/>
      <c r="BA19" s="1079"/>
      <c r="BB19" s="1079"/>
      <c r="BC19" s="1079"/>
      <c r="BD19" s="1079"/>
      <c r="BE19" s="1079"/>
      <c r="BF19" s="1079"/>
      <c r="BG19" s="1079"/>
      <c r="BH19" s="1079"/>
      <c r="BI19" s="1079"/>
      <c r="BJ19" s="884"/>
      <c r="BK19" s="884"/>
      <c r="BL19" s="884"/>
      <c r="BM19" s="884"/>
      <c r="BV19" s="884"/>
      <c r="BX19" s="885"/>
      <c r="CB19" s="2077" t="str">
        <f t="shared" si="7"/>
        <v xml:space="preserve">* El total de Reactivos NO DEBE ser superior al total de Procesados. </v>
      </c>
      <c r="CC19" s="2077" t="e">
        <f t="shared" si="8"/>
        <v>#VALUE!</v>
      </c>
      <c r="CD19" s="2077" t="e">
        <f t="shared" si="9"/>
        <v>#VALUE!</v>
      </c>
      <c r="CE19" s="2077" t="str">
        <f t="shared" si="10"/>
        <v xml:space="preserve">* La columna Pueblos Originarios NO DEBE ser superior al total de Procesados. </v>
      </c>
      <c r="CF19" s="2077" t="str">
        <f t="shared" si="11"/>
        <v xml:space="preserve">* La columna Migrantes NO DEBE ser superior al total de Procesados. </v>
      </c>
      <c r="CG19" s="2077" t="str">
        <f t="shared" si="12"/>
        <v>* El total de procesados debe ser mayor o igual al total de Reactivos en el grupo de edad Menor de 6 meses</v>
      </c>
      <c r="CH19" s="2077" t="str">
        <f t="shared" si="13"/>
        <v>* El total de procesados debe ser mayor o igual al total de Reactivos en el grupo de edad 6 a 11 meses</v>
      </c>
      <c r="CI19" s="2077" t="str">
        <f t="shared" si="14"/>
        <v>* El total de procesados debe ser mayor o igual al total de Reactivos en el grupo de edad 12-24 meses</v>
      </c>
      <c r="CJ19" s="2077" t="str">
        <f t="shared" si="15"/>
        <v>* El total de procesados debe ser mayor o igual al total de Reactivos en el grupo de edad 3 a 4</v>
      </c>
      <c r="CK19" s="2077" t="str">
        <f t="shared" si="16"/>
        <v>* El total de procesados debe ser mayor o igual al total de Reactivos en el grupo de edad 5 a 9</v>
      </c>
      <c r="CL19" s="2077" t="str">
        <f t="shared" si="17"/>
        <v>* El total de procesados debe ser mayor o igual al total de Reactivos en el grupo de edad 10 - 14</v>
      </c>
      <c r="CM19" s="2077" t="str">
        <f t="shared" si="18"/>
        <v>* El total de procesados debe ser mayor o igual al total de Reactivos en el grupo de edad 15 - 19</v>
      </c>
      <c r="CN19" s="2077" t="str">
        <f t="shared" si="19"/>
        <v>* El total de procesados debe ser mayor o igual al total de Reactivos en el grupo de edad 20 - 24</v>
      </c>
      <c r="CO19" s="2077" t="str">
        <f t="shared" si="20"/>
        <v>* El total de procesados debe ser mayor o igual al total de Reactivos en el grupo de edad 25 a 29</v>
      </c>
      <c r="CP19" s="2077" t="str">
        <f t="shared" si="21"/>
        <v>* El total de procesados debe ser mayor o igual al total de Reactivos en el grupo de edad 30 a 34</v>
      </c>
      <c r="CQ19" s="2077" t="str">
        <f t="shared" si="22"/>
        <v>* El total de procesados debe ser mayor o igual al total de Reactivos en el grupo de edad 35 a 39</v>
      </c>
      <c r="CR19" s="2077" t="str">
        <f t="shared" si="23"/>
        <v>* El total de procesados debe ser mayor o igual al total de Reactivos en el grupo de edad 40 a 44</v>
      </c>
      <c r="CS19" s="2077" t="str">
        <f t="shared" si="24"/>
        <v>* El total de procesados debe ser mayor o igual al total de Reactivos en el grupo de edad 45 a 49</v>
      </c>
      <c r="CT19" s="2077" t="str">
        <f t="shared" si="25"/>
        <v>* El total de procesados debe ser mayor o igual al total de Reactivos en el grupo de edad 50 a 54</v>
      </c>
      <c r="CU19" s="2077" t="str">
        <f t="shared" si="26"/>
        <v>* El total de procesados debe ser mayor o igual al total de Reactivos en el grupo de edad 55 a 59</v>
      </c>
      <c r="CV19" s="2077" t="str">
        <f t="shared" si="27"/>
        <v>* El total de procesados debe ser mayor o igual al total de Reactivos en el grupo de edad 60 a 64</v>
      </c>
      <c r="CW19" s="2077" t="str">
        <f t="shared" si="28"/>
        <v>* El total de procesados debe ser mayor o igual al total de Reactivos en el grupo de edad 65 a 69</v>
      </c>
      <c r="CX19" s="2077" t="str">
        <f t="shared" si="29"/>
        <v>* El total de procesados debe ser mayor o igual al total de Reactivos en el grupo de edad 70 a 74</v>
      </c>
      <c r="CY19" s="2077" t="str">
        <f t="shared" si="30"/>
        <v>* El total de procesados debe ser mayor o igual al total de Reactivos en el grupo de edad 75 a 79</v>
      </c>
      <c r="CZ19" s="2077" t="str">
        <f t="shared" si="31"/>
        <v>* El total de procesados debe ser mayor o igual al total de Reactivos en el grupo de edad 80 y más</v>
      </c>
      <c r="DA19" s="2077" t="str">
        <f t="shared" si="0"/>
        <v/>
      </c>
      <c r="DB19" s="1363">
        <f t="shared" si="1"/>
        <v>1</v>
      </c>
      <c r="DC19" s="1363" t="e">
        <f t="shared" si="2"/>
        <v>#VALUE!</v>
      </c>
      <c r="DD19" s="1363" t="e">
        <f t="shared" si="3"/>
        <v>#VALUE!</v>
      </c>
      <c r="DE19" s="1363">
        <f t="shared" si="4"/>
        <v>1</v>
      </c>
      <c r="DF19" s="1363">
        <f t="shared" si="5"/>
        <v>1</v>
      </c>
      <c r="DG19" s="1363">
        <f t="shared" si="32"/>
        <v>1</v>
      </c>
      <c r="DH19" s="1363">
        <f t="shared" si="33"/>
        <v>1</v>
      </c>
      <c r="DI19" s="1363">
        <f t="shared" si="34"/>
        <v>1</v>
      </c>
      <c r="DJ19" s="1363">
        <f t="shared" si="35"/>
        <v>1</v>
      </c>
      <c r="DK19" s="1363">
        <f t="shared" si="36"/>
        <v>1</v>
      </c>
      <c r="DL19" s="1363">
        <f t="shared" si="37"/>
        <v>1</v>
      </c>
      <c r="DM19" s="1363">
        <f t="shared" si="38"/>
        <v>1</v>
      </c>
      <c r="DN19" s="1363">
        <f t="shared" si="39"/>
        <v>1</v>
      </c>
      <c r="DO19" s="1363">
        <f t="shared" si="40"/>
        <v>1</v>
      </c>
      <c r="DP19" s="1363">
        <f t="shared" si="41"/>
        <v>1</v>
      </c>
      <c r="DQ19" s="1363">
        <f t="shared" si="42"/>
        <v>1</v>
      </c>
      <c r="DR19" s="1363">
        <f t="shared" si="43"/>
        <v>1</v>
      </c>
      <c r="DS19" s="1363">
        <f t="shared" si="44"/>
        <v>1</v>
      </c>
      <c r="DT19" s="1363">
        <f t="shared" si="45"/>
        <v>1</v>
      </c>
      <c r="DU19" s="1363">
        <f t="shared" si="46"/>
        <v>1</v>
      </c>
      <c r="DV19" s="1363">
        <f t="shared" si="47"/>
        <v>1</v>
      </c>
      <c r="DW19" s="1363">
        <f t="shared" si="48"/>
        <v>1</v>
      </c>
      <c r="DX19" s="1363">
        <f t="shared" si="49"/>
        <v>1</v>
      </c>
      <c r="DY19" s="1363">
        <f t="shared" si="50"/>
        <v>1</v>
      </c>
      <c r="DZ19" s="1363">
        <f t="shared" si="51"/>
        <v>1</v>
      </c>
      <c r="EA19" s="1363">
        <f t="shared" si="52"/>
        <v>0</v>
      </c>
    </row>
    <row r="20" spans="1:131" ht="15.95" customHeight="1" x14ac:dyDescent="0.25">
      <c r="A20" s="2458">
        <v>11051500</v>
      </c>
      <c r="B20" s="140" t="s">
        <v>2267</v>
      </c>
      <c r="C20" s="707" t="s">
        <v>2777</v>
      </c>
      <c r="D20" s="281" t="s">
        <v>2778</v>
      </c>
      <c r="E20" s="180" t="s">
        <v>2779</v>
      </c>
      <c r="F20" s="142" t="s">
        <v>2780</v>
      </c>
      <c r="G20" s="141" t="s">
        <v>2781</v>
      </c>
      <c r="H20" s="142" t="s">
        <v>2782</v>
      </c>
      <c r="I20" s="141" t="s">
        <v>2783</v>
      </c>
      <c r="J20" s="163" t="s">
        <v>2784</v>
      </c>
      <c r="K20" s="180" t="s">
        <v>2785</v>
      </c>
      <c r="L20" s="180" t="s">
        <v>2786</v>
      </c>
      <c r="M20" s="141" t="s">
        <v>2787</v>
      </c>
      <c r="N20" s="163" t="s">
        <v>2788</v>
      </c>
      <c r="O20" s="180" t="s">
        <v>2789</v>
      </c>
      <c r="P20" s="142" t="s">
        <v>2790</v>
      </c>
      <c r="Q20" s="141" t="s">
        <v>2791</v>
      </c>
      <c r="R20" s="142" t="s">
        <v>2792</v>
      </c>
      <c r="S20" s="141" t="s">
        <v>2793</v>
      </c>
      <c r="T20" s="142" t="s">
        <v>2794</v>
      </c>
      <c r="U20" s="141" t="s">
        <v>2795</v>
      </c>
      <c r="V20" s="142" t="s">
        <v>2796</v>
      </c>
      <c r="W20" s="141" t="s">
        <v>2797</v>
      </c>
      <c r="X20" s="142" t="s">
        <v>2798</v>
      </c>
      <c r="Y20" s="141" t="s">
        <v>2799</v>
      </c>
      <c r="Z20" s="142" t="s">
        <v>2800</v>
      </c>
      <c r="AA20" s="141" t="s">
        <v>2801</v>
      </c>
      <c r="AB20" s="142" t="s">
        <v>2817</v>
      </c>
      <c r="AC20" s="141" t="s">
        <v>2818</v>
      </c>
      <c r="AD20" s="142" t="s">
        <v>2819</v>
      </c>
      <c r="AE20" s="141" t="s">
        <v>2821</v>
      </c>
      <c r="AF20" s="142" t="s">
        <v>2822</v>
      </c>
      <c r="AG20" s="141" t="s">
        <v>2823</v>
      </c>
      <c r="AH20" s="142" t="s">
        <v>2824</v>
      </c>
      <c r="AI20" s="141" t="s">
        <v>2825</v>
      </c>
      <c r="AJ20" s="142" t="s">
        <v>2826</v>
      </c>
      <c r="AK20" s="141" t="s">
        <v>2827</v>
      </c>
      <c r="AL20" s="142" t="s">
        <v>2831</v>
      </c>
      <c r="AM20" s="141" t="s">
        <v>2832</v>
      </c>
      <c r="AN20" s="142" t="s">
        <v>2833</v>
      </c>
      <c r="AO20" s="141" t="s">
        <v>2834</v>
      </c>
      <c r="AP20" s="142" t="s">
        <v>3011</v>
      </c>
      <c r="AQ20" s="141" t="s">
        <v>3012</v>
      </c>
      <c r="AR20" s="318" t="s">
        <v>3013</v>
      </c>
      <c r="AS20" s="1703" t="s">
        <v>3014</v>
      </c>
      <c r="AT20" s="318" t="s">
        <v>3015</v>
      </c>
      <c r="AU20" s="180" t="s">
        <v>3206</v>
      </c>
      <c r="AV20" s="142" t="s">
        <v>3207</v>
      </c>
      <c r="AW20" s="141" t="s">
        <v>3272</v>
      </c>
      <c r="AX20" s="163" t="s">
        <v>3273</v>
      </c>
      <c r="AY20" s="1079" t="e">
        <f t="shared" si="6"/>
        <v>#VALUE!</v>
      </c>
      <c r="AZ20" s="1079"/>
      <c r="BA20" s="1079"/>
      <c r="BB20" s="1079"/>
      <c r="BC20" s="1079"/>
      <c r="BD20" s="1079"/>
      <c r="BE20" s="1079"/>
      <c r="BF20" s="1079"/>
      <c r="BG20" s="1079"/>
      <c r="BH20" s="1079"/>
      <c r="BI20" s="1079"/>
      <c r="BJ20" s="884"/>
      <c r="BK20" s="884"/>
      <c r="BL20" s="884"/>
      <c r="BM20" s="884"/>
      <c r="BV20" s="884"/>
      <c r="BX20" s="885"/>
      <c r="CB20" s="2077" t="str">
        <f t="shared" si="7"/>
        <v xml:space="preserve">* El total de Reactivos NO DEBE ser superior al total de Procesados. </v>
      </c>
      <c r="CC20" s="2077" t="e">
        <f t="shared" si="8"/>
        <v>#VALUE!</v>
      </c>
      <c r="CD20" s="2077" t="e">
        <f t="shared" si="9"/>
        <v>#VALUE!</v>
      </c>
      <c r="CE20" s="2077" t="str">
        <f t="shared" si="10"/>
        <v xml:space="preserve">* La columna Pueblos Originarios NO DEBE ser superior al total de Procesados. </v>
      </c>
      <c r="CF20" s="2077" t="str">
        <f t="shared" si="11"/>
        <v xml:space="preserve">* La columna Migrantes NO DEBE ser superior al total de Procesados. </v>
      </c>
      <c r="CG20" s="2077" t="str">
        <f t="shared" si="12"/>
        <v>* El total de procesados debe ser mayor o igual al total de Reactivos en el grupo de edad Menor de 6 meses</v>
      </c>
      <c r="CH20" s="2077" t="str">
        <f t="shared" si="13"/>
        <v>* El total de procesados debe ser mayor o igual al total de Reactivos en el grupo de edad 6 a 11 meses</v>
      </c>
      <c r="CI20" s="2077" t="str">
        <f t="shared" si="14"/>
        <v>* El total de procesados debe ser mayor o igual al total de Reactivos en el grupo de edad 12-24 meses</v>
      </c>
      <c r="CJ20" s="2077" t="str">
        <f t="shared" si="15"/>
        <v>* El total de procesados debe ser mayor o igual al total de Reactivos en el grupo de edad 3 a 4</v>
      </c>
      <c r="CK20" s="2077" t="str">
        <f t="shared" si="16"/>
        <v>* El total de procesados debe ser mayor o igual al total de Reactivos en el grupo de edad 5 a 9</v>
      </c>
      <c r="CL20" s="2077" t="str">
        <f t="shared" si="17"/>
        <v>* El total de procesados debe ser mayor o igual al total de Reactivos en el grupo de edad 10 - 14</v>
      </c>
      <c r="CM20" s="2077" t="str">
        <f t="shared" si="18"/>
        <v>* El total de procesados debe ser mayor o igual al total de Reactivos en el grupo de edad 15 - 19</v>
      </c>
      <c r="CN20" s="2077" t="str">
        <f t="shared" si="19"/>
        <v>* El total de procesados debe ser mayor o igual al total de Reactivos en el grupo de edad 20 - 24</v>
      </c>
      <c r="CO20" s="2077" t="str">
        <f t="shared" si="20"/>
        <v>* El total de procesados debe ser mayor o igual al total de Reactivos en el grupo de edad 25 a 29</v>
      </c>
      <c r="CP20" s="2077" t="str">
        <f t="shared" si="21"/>
        <v>* El total de procesados debe ser mayor o igual al total de Reactivos en el grupo de edad 30 a 34</v>
      </c>
      <c r="CQ20" s="2077" t="str">
        <f t="shared" si="22"/>
        <v>* El total de procesados debe ser mayor o igual al total de Reactivos en el grupo de edad 35 a 39</v>
      </c>
      <c r="CR20" s="2077" t="str">
        <f t="shared" si="23"/>
        <v>* El total de procesados debe ser mayor o igual al total de Reactivos en el grupo de edad 40 a 44</v>
      </c>
      <c r="CS20" s="2077" t="str">
        <f t="shared" si="24"/>
        <v>* El total de procesados debe ser mayor o igual al total de Reactivos en el grupo de edad 45 a 49</v>
      </c>
      <c r="CT20" s="2077" t="str">
        <f t="shared" si="25"/>
        <v>* El total de procesados debe ser mayor o igual al total de Reactivos en el grupo de edad 50 a 54</v>
      </c>
      <c r="CU20" s="2077" t="str">
        <f t="shared" si="26"/>
        <v>* El total de procesados debe ser mayor o igual al total de Reactivos en el grupo de edad 55 a 59</v>
      </c>
      <c r="CV20" s="2077" t="str">
        <f t="shared" si="27"/>
        <v>* El total de procesados debe ser mayor o igual al total de Reactivos en el grupo de edad 60 a 64</v>
      </c>
      <c r="CW20" s="2077" t="str">
        <f t="shared" si="28"/>
        <v>* El total de procesados debe ser mayor o igual al total de Reactivos en el grupo de edad 65 a 69</v>
      </c>
      <c r="CX20" s="2077" t="str">
        <f t="shared" si="29"/>
        <v>* El total de procesados debe ser mayor o igual al total de Reactivos en el grupo de edad 70 a 74</v>
      </c>
      <c r="CY20" s="2077" t="str">
        <f t="shared" si="30"/>
        <v>* El total de procesados debe ser mayor o igual al total de Reactivos en el grupo de edad 75 a 79</v>
      </c>
      <c r="CZ20" s="2077" t="str">
        <f t="shared" si="31"/>
        <v>* El total de procesados debe ser mayor o igual al total de Reactivos en el grupo de edad 80 y más</v>
      </c>
      <c r="DA20" s="2077" t="str">
        <f t="shared" si="0"/>
        <v/>
      </c>
      <c r="DB20" s="1363">
        <f t="shared" si="1"/>
        <v>1</v>
      </c>
      <c r="DC20" s="1363" t="e">
        <f t="shared" si="2"/>
        <v>#VALUE!</v>
      </c>
      <c r="DD20" s="1363" t="e">
        <f t="shared" si="3"/>
        <v>#VALUE!</v>
      </c>
      <c r="DE20" s="1363">
        <f t="shared" si="4"/>
        <v>1</v>
      </c>
      <c r="DF20" s="1363">
        <f t="shared" si="5"/>
        <v>1</v>
      </c>
      <c r="DG20" s="1363">
        <f t="shared" si="32"/>
        <v>1</v>
      </c>
      <c r="DH20" s="1363">
        <f t="shared" si="33"/>
        <v>1</v>
      </c>
      <c r="DI20" s="1363">
        <f t="shared" si="34"/>
        <v>1</v>
      </c>
      <c r="DJ20" s="1363">
        <f t="shared" si="35"/>
        <v>1</v>
      </c>
      <c r="DK20" s="1363">
        <f t="shared" si="36"/>
        <v>1</v>
      </c>
      <c r="DL20" s="1363">
        <f t="shared" si="37"/>
        <v>1</v>
      </c>
      <c r="DM20" s="1363">
        <f t="shared" si="38"/>
        <v>1</v>
      </c>
      <c r="DN20" s="1363">
        <f t="shared" si="39"/>
        <v>1</v>
      </c>
      <c r="DO20" s="1363">
        <f t="shared" si="40"/>
        <v>1</v>
      </c>
      <c r="DP20" s="1363">
        <f t="shared" si="41"/>
        <v>1</v>
      </c>
      <c r="DQ20" s="1363">
        <f t="shared" si="42"/>
        <v>1</v>
      </c>
      <c r="DR20" s="1363">
        <f t="shared" si="43"/>
        <v>1</v>
      </c>
      <c r="DS20" s="1363">
        <f t="shared" si="44"/>
        <v>1</v>
      </c>
      <c r="DT20" s="1363">
        <f t="shared" si="45"/>
        <v>1</v>
      </c>
      <c r="DU20" s="1363">
        <f t="shared" si="46"/>
        <v>1</v>
      </c>
      <c r="DV20" s="1363">
        <f t="shared" si="47"/>
        <v>1</v>
      </c>
      <c r="DW20" s="1363">
        <f t="shared" si="48"/>
        <v>1</v>
      </c>
      <c r="DX20" s="1363">
        <f t="shared" si="49"/>
        <v>1</v>
      </c>
      <c r="DY20" s="1363">
        <f t="shared" si="50"/>
        <v>1</v>
      </c>
      <c r="DZ20" s="1363">
        <f t="shared" si="51"/>
        <v>1</v>
      </c>
      <c r="EA20" s="1363">
        <f t="shared" si="52"/>
        <v>0</v>
      </c>
    </row>
    <row r="21" spans="1:131" ht="24" customHeight="1" x14ac:dyDescent="0.25">
      <c r="A21" s="2458">
        <v>11051300</v>
      </c>
      <c r="B21" s="3095" t="s">
        <v>2268</v>
      </c>
      <c r="C21" s="707" t="s">
        <v>2777</v>
      </c>
      <c r="D21" s="281" t="s">
        <v>2778</v>
      </c>
      <c r="E21" s="180" t="s">
        <v>2779</v>
      </c>
      <c r="F21" s="142" t="s">
        <v>2780</v>
      </c>
      <c r="G21" s="141" t="s">
        <v>2781</v>
      </c>
      <c r="H21" s="142" t="s">
        <v>2782</v>
      </c>
      <c r="I21" s="141" t="s">
        <v>2783</v>
      </c>
      <c r="J21" s="163" t="s">
        <v>2784</v>
      </c>
      <c r="K21" s="936" t="s">
        <v>2785</v>
      </c>
      <c r="L21" s="1090" t="s">
        <v>2786</v>
      </c>
      <c r="M21" s="936" t="s">
        <v>2787</v>
      </c>
      <c r="N21" s="1090" t="s">
        <v>2788</v>
      </c>
      <c r="O21" s="936" t="s">
        <v>2789</v>
      </c>
      <c r="P21" s="1090" t="s">
        <v>2790</v>
      </c>
      <c r="Q21" s="936" t="s">
        <v>2791</v>
      </c>
      <c r="R21" s="1090" t="s">
        <v>2792</v>
      </c>
      <c r="S21" s="936" t="s">
        <v>2793</v>
      </c>
      <c r="T21" s="1090" t="s">
        <v>2794</v>
      </c>
      <c r="U21" s="936" t="s">
        <v>2795</v>
      </c>
      <c r="V21" s="1090" t="s">
        <v>2796</v>
      </c>
      <c r="W21" s="936" t="s">
        <v>2797</v>
      </c>
      <c r="X21" s="1090" t="s">
        <v>2798</v>
      </c>
      <c r="Y21" s="936" t="s">
        <v>2799</v>
      </c>
      <c r="Z21" s="1090" t="s">
        <v>2800</v>
      </c>
      <c r="AA21" s="936" t="s">
        <v>2801</v>
      </c>
      <c r="AB21" s="1090" t="s">
        <v>2817</v>
      </c>
      <c r="AC21" s="936" t="s">
        <v>2818</v>
      </c>
      <c r="AD21" s="1090" t="s">
        <v>2819</v>
      </c>
      <c r="AE21" s="936" t="s">
        <v>2821</v>
      </c>
      <c r="AF21" s="1090" t="s">
        <v>2822</v>
      </c>
      <c r="AG21" s="936" t="s">
        <v>2823</v>
      </c>
      <c r="AH21" s="1090" t="s">
        <v>2824</v>
      </c>
      <c r="AI21" s="936" t="s">
        <v>2825</v>
      </c>
      <c r="AJ21" s="1090" t="s">
        <v>2826</v>
      </c>
      <c r="AK21" s="936" t="s">
        <v>2827</v>
      </c>
      <c r="AL21" s="1090" t="s">
        <v>2831</v>
      </c>
      <c r="AM21" s="936" t="s">
        <v>2832</v>
      </c>
      <c r="AN21" s="1090" t="s">
        <v>2833</v>
      </c>
      <c r="AO21" s="936" t="s">
        <v>2834</v>
      </c>
      <c r="AP21" s="1090" t="s">
        <v>3011</v>
      </c>
      <c r="AQ21" s="936" t="s">
        <v>3012</v>
      </c>
      <c r="AR21" s="2033" t="s">
        <v>3013</v>
      </c>
      <c r="AS21" s="180" t="s">
        <v>3014</v>
      </c>
      <c r="AT21" s="318" t="s">
        <v>3015</v>
      </c>
      <c r="AU21" s="180" t="s">
        <v>3206</v>
      </c>
      <c r="AV21" s="142" t="s">
        <v>3207</v>
      </c>
      <c r="AW21" s="141" t="s">
        <v>3272</v>
      </c>
      <c r="AX21" s="163" t="s">
        <v>3273</v>
      </c>
      <c r="AY21" s="1079" t="e">
        <f t="shared" si="6"/>
        <v>#VALUE!</v>
      </c>
      <c r="AZ21" s="1079"/>
      <c r="BA21" s="1079"/>
      <c r="BB21" s="1079"/>
      <c r="BC21" s="1079"/>
      <c r="BD21" s="1079"/>
      <c r="BE21" s="1079"/>
      <c r="BF21" s="1079"/>
      <c r="BG21" s="1079"/>
      <c r="BH21" s="1079"/>
      <c r="BI21" s="1079"/>
      <c r="BJ21" s="884"/>
      <c r="BK21" s="884"/>
      <c r="BL21" s="884"/>
      <c r="BM21" s="884"/>
      <c r="BV21" s="884"/>
      <c r="BX21" s="885"/>
      <c r="CB21" s="2077" t="str">
        <f t="shared" si="7"/>
        <v xml:space="preserve">* El total de Reactivos NO DEBE ser superior al total de Procesados. </v>
      </c>
      <c r="CC21" s="2077" t="e">
        <f t="shared" si="8"/>
        <v>#VALUE!</v>
      </c>
      <c r="CD21" s="2077" t="e">
        <f t="shared" si="9"/>
        <v>#VALUE!</v>
      </c>
      <c r="CE21" s="2077" t="str">
        <f t="shared" si="10"/>
        <v xml:space="preserve">* La columna Pueblos Originarios NO DEBE ser superior al total de Procesados. </v>
      </c>
      <c r="CF21" s="2077" t="str">
        <f t="shared" si="11"/>
        <v xml:space="preserve">* La columna Migrantes NO DEBE ser superior al total de Procesados. </v>
      </c>
      <c r="CG21" s="2077" t="str">
        <f t="shared" si="12"/>
        <v>* El total de procesados debe ser mayor o igual al total de Reactivos en el grupo de edad Menor de 6 meses</v>
      </c>
      <c r="CH21" s="2077" t="str">
        <f t="shared" si="13"/>
        <v>* El total de procesados debe ser mayor o igual al total de Reactivos en el grupo de edad 6 a 11 meses</v>
      </c>
      <c r="CI21" s="2077" t="str">
        <f t="shared" si="14"/>
        <v>* El total de procesados debe ser mayor o igual al total de Reactivos en el grupo de edad 12-24 meses</v>
      </c>
      <c r="CJ21" s="2077" t="str">
        <f t="shared" si="15"/>
        <v>* El total de procesados debe ser mayor o igual al total de Reactivos en el grupo de edad 3 a 4</v>
      </c>
      <c r="CK21" s="2077" t="str">
        <f t="shared" si="16"/>
        <v>* El total de procesados debe ser mayor o igual al total de Reactivos en el grupo de edad 5 a 9</v>
      </c>
      <c r="CL21" s="2077" t="str">
        <f t="shared" si="17"/>
        <v>* El total de procesados debe ser mayor o igual al total de Reactivos en el grupo de edad 10 - 14</v>
      </c>
      <c r="CM21" s="2077" t="str">
        <f t="shared" si="18"/>
        <v>* El total de procesados debe ser mayor o igual al total de Reactivos en el grupo de edad 15 - 19</v>
      </c>
      <c r="CN21" s="2077" t="str">
        <f t="shared" si="19"/>
        <v>* El total de procesados debe ser mayor o igual al total de Reactivos en el grupo de edad 20 - 24</v>
      </c>
      <c r="CO21" s="2077" t="str">
        <f t="shared" si="20"/>
        <v>* El total de procesados debe ser mayor o igual al total de Reactivos en el grupo de edad 25 a 29</v>
      </c>
      <c r="CP21" s="2077" t="str">
        <f t="shared" si="21"/>
        <v>* El total de procesados debe ser mayor o igual al total de Reactivos en el grupo de edad 30 a 34</v>
      </c>
      <c r="CQ21" s="2077" t="str">
        <f t="shared" si="22"/>
        <v>* El total de procesados debe ser mayor o igual al total de Reactivos en el grupo de edad 35 a 39</v>
      </c>
      <c r="CR21" s="2077" t="str">
        <f t="shared" si="23"/>
        <v>* El total de procesados debe ser mayor o igual al total de Reactivos en el grupo de edad 40 a 44</v>
      </c>
      <c r="CS21" s="2077" t="str">
        <f t="shared" si="24"/>
        <v>* El total de procesados debe ser mayor o igual al total de Reactivos en el grupo de edad 45 a 49</v>
      </c>
      <c r="CT21" s="2077" t="str">
        <f t="shared" si="25"/>
        <v>* El total de procesados debe ser mayor o igual al total de Reactivos en el grupo de edad 50 a 54</v>
      </c>
      <c r="CU21" s="2077" t="str">
        <f t="shared" si="26"/>
        <v>* El total de procesados debe ser mayor o igual al total de Reactivos en el grupo de edad 55 a 59</v>
      </c>
      <c r="CV21" s="2077" t="str">
        <f t="shared" si="27"/>
        <v>* El total de procesados debe ser mayor o igual al total de Reactivos en el grupo de edad 60 a 64</v>
      </c>
      <c r="CW21" s="2077" t="str">
        <f t="shared" si="28"/>
        <v>* El total de procesados debe ser mayor o igual al total de Reactivos en el grupo de edad 65 a 69</v>
      </c>
      <c r="CX21" s="2077" t="str">
        <f t="shared" si="29"/>
        <v>* El total de procesados debe ser mayor o igual al total de Reactivos en el grupo de edad 70 a 74</v>
      </c>
      <c r="CY21" s="2077" t="str">
        <f t="shared" si="30"/>
        <v>* El total de procesados debe ser mayor o igual al total de Reactivos en el grupo de edad 75 a 79</v>
      </c>
      <c r="CZ21" s="2077" t="str">
        <f t="shared" si="31"/>
        <v>* El total de procesados debe ser mayor o igual al total de Reactivos en el grupo de edad 80 y más</v>
      </c>
      <c r="DA21" s="2077" t="str">
        <f t="shared" si="0"/>
        <v/>
      </c>
      <c r="DB21" s="1363">
        <f t="shared" si="1"/>
        <v>1</v>
      </c>
      <c r="DC21" s="1363" t="e">
        <f t="shared" si="2"/>
        <v>#VALUE!</v>
      </c>
      <c r="DD21" s="1363" t="e">
        <f t="shared" si="3"/>
        <v>#VALUE!</v>
      </c>
      <c r="DE21" s="1363">
        <f t="shared" si="4"/>
        <v>1</v>
      </c>
      <c r="DF21" s="1363">
        <f t="shared" si="5"/>
        <v>1</v>
      </c>
      <c r="DG21" s="1363">
        <f t="shared" si="32"/>
        <v>1</v>
      </c>
      <c r="DH21" s="1363">
        <f t="shared" si="33"/>
        <v>1</v>
      </c>
      <c r="DI21" s="1363">
        <f t="shared" si="34"/>
        <v>1</v>
      </c>
      <c r="DJ21" s="1363">
        <f t="shared" si="35"/>
        <v>1</v>
      </c>
      <c r="DK21" s="1363">
        <f t="shared" si="36"/>
        <v>1</v>
      </c>
      <c r="DL21" s="1363">
        <f t="shared" si="37"/>
        <v>1</v>
      </c>
      <c r="DM21" s="1363">
        <f t="shared" si="38"/>
        <v>1</v>
      </c>
      <c r="DN21" s="1363">
        <f t="shared" si="39"/>
        <v>1</v>
      </c>
      <c r="DO21" s="1363">
        <f t="shared" si="40"/>
        <v>1</v>
      </c>
      <c r="DP21" s="1363">
        <f t="shared" si="41"/>
        <v>1</v>
      </c>
      <c r="DQ21" s="1363">
        <f t="shared" si="42"/>
        <v>1</v>
      </c>
      <c r="DR21" s="1363">
        <f t="shared" si="43"/>
        <v>1</v>
      </c>
      <c r="DS21" s="1363">
        <f t="shared" si="44"/>
        <v>1</v>
      </c>
      <c r="DT21" s="1363">
        <f t="shared" si="45"/>
        <v>1</v>
      </c>
      <c r="DU21" s="1363">
        <f t="shared" si="46"/>
        <v>1</v>
      </c>
      <c r="DV21" s="1363">
        <f t="shared" si="47"/>
        <v>1</v>
      </c>
      <c r="DW21" s="1363">
        <f t="shared" si="48"/>
        <v>1</v>
      </c>
      <c r="DX21" s="1363">
        <f t="shared" si="49"/>
        <v>1</v>
      </c>
      <c r="DY21" s="1363">
        <f t="shared" si="50"/>
        <v>1</v>
      </c>
      <c r="DZ21" s="1363">
        <f t="shared" si="51"/>
        <v>1</v>
      </c>
      <c r="EA21" s="1363">
        <f t="shared" si="52"/>
        <v>0</v>
      </c>
    </row>
    <row r="22" spans="1:131" ht="15.95" customHeight="1" x14ac:dyDescent="0.25">
      <c r="A22" s="2458">
        <v>11040200</v>
      </c>
      <c r="B22" s="371" t="s">
        <v>2269</v>
      </c>
      <c r="C22" s="707" t="s">
        <v>2777</v>
      </c>
      <c r="D22" s="281" t="s">
        <v>2778</v>
      </c>
      <c r="E22" s="161" t="s">
        <v>2779</v>
      </c>
      <c r="F22" s="145" t="s">
        <v>2780</v>
      </c>
      <c r="G22" s="173" t="s">
        <v>2781</v>
      </c>
      <c r="H22" s="145" t="s">
        <v>2782</v>
      </c>
      <c r="I22" s="173" t="s">
        <v>2783</v>
      </c>
      <c r="J22" s="145" t="s">
        <v>2784</v>
      </c>
      <c r="K22" s="173" t="s">
        <v>2785</v>
      </c>
      <c r="L22" s="145" t="s">
        <v>2786</v>
      </c>
      <c r="M22" s="173" t="s">
        <v>2787</v>
      </c>
      <c r="N22" s="162" t="s">
        <v>2788</v>
      </c>
      <c r="O22" s="161" t="s">
        <v>2789</v>
      </c>
      <c r="P22" s="145" t="s">
        <v>2790</v>
      </c>
      <c r="Q22" s="141" t="s">
        <v>2791</v>
      </c>
      <c r="R22" s="142" t="s">
        <v>2792</v>
      </c>
      <c r="S22" s="141" t="s">
        <v>2793</v>
      </c>
      <c r="T22" s="142" t="s">
        <v>2794</v>
      </c>
      <c r="U22" s="141" t="s">
        <v>2795</v>
      </c>
      <c r="V22" s="142" t="s">
        <v>2796</v>
      </c>
      <c r="W22" s="141" t="s">
        <v>2797</v>
      </c>
      <c r="X22" s="142" t="s">
        <v>2798</v>
      </c>
      <c r="Y22" s="141" t="s">
        <v>2799</v>
      </c>
      <c r="Z22" s="142" t="s">
        <v>2800</v>
      </c>
      <c r="AA22" s="141" t="s">
        <v>2801</v>
      </c>
      <c r="AB22" s="142" t="s">
        <v>2817</v>
      </c>
      <c r="AC22" s="141" t="s">
        <v>2818</v>
      </c>
      <c r="AD22" s="142" t="s">
        <v>2819</v>
      </c>
      <c r="AE22" s="141" t="s">
        <v>2821</v>
      </c>
      <c r="AF22" s="142" t="s">
        <v>2822</v>
      </c>
      <c r="AG22" s="141" t="s">
        <v>2823</v>
      </c>
      <c r="AH22" s="142" t="s">
        <v>2824</v>
      </c>
      <c r="AI22" s="141" t="s">
        <v>2825</v>
      </c>
      <c r="AJ22" s="142" t="s">
        <v>2826</v>
      </c>
      <c r="AK22" s="141" t="s">
        <v>2827</v>
      </c>
      <c r="AL22" s="142" t="s">
        <v>2831</v>
      </c>
      <c r="AM22" s="141" t="s">
        <v>2832</v>
      </c>
      <c r="AN22" s="142" t="s">
        <v>2833</v>
      </c>
      <c r="AO22" s="141" t="s">
        <v>2834</v>
      </c>
      <c r="AP22" s="142" t="s">
        <v>3011</v>
      </c>
      <c r="AQ22" s="141" t="s">
        <v>3012</v>
      </c>
      <c r="AR22" s="318" t="s">
        <v>3013</v>
      </c>
      <c r="AS22" s="180" t="s">
        <v>3014</v>
      </c>
      <c r="AT22" s="318" t="s">
        <v>3015</v>
      </c>
      <c r="AU22" s="180" t="s">
        <v>3206</v>
      </c>
      <c r="AV22" s="142" t="s">
        <v>3207</v>
      </c>
      <c r="AW22" s="141" t="s">
        <v>3272</v>
      </c>
      <c r="AX22" s="163" t="s">
        <v>3273</v>
      </c>
      <c r="AY22" s="1079" t="e">
        <f t="shared" si="6"/>
        <v>#VALUE!</v>
      </c>
      <c r="AZ22" s="1079"/>
      <c r="BA22" s="1079"/>
      <c r="BB22" s="1079"/>
      <c r="BC22" s="1079"/>
      <c r="BD22" s="1079"/>
      <c r="BE22" s="1079"/>
      <c r="BF22" s="1079"/>
      <c r="BG22" s="1079"/>
      <c r="BH22" s="1079"/>
      <c r="BI22" s="1079"/>
      <c r="BJ22" s="884"/>
      <c r="BK22" s="884"/>
      <c r="BL22" s="884"/>
      <c r="BM22" s="884"/>
      <c r="BV22" s="884"/>
      <c r="BX22" s="885"/>
      <c r="CB22" s="2077" t="str">
        <f t="shared" si="7"/>
        <v xml:space="preserve">* El total de Reactivos NO DEBE ser superior al total de Procesados. </v>
      </c>
      <c r="CC22" s="2077" t="e">
        <f t="shared" si="8"/>
        <v>#VALUE!</v>
      </c>
      <c r="CD22" s="2077" t="e">
        <f t="shared" si="9"/>
        <v>#VALUE!</v>
      </c>
      <c r="CE22" s="2077" t="str">
        <f t="shared" si="10"/>
        <v xml:space="preserve">* La columna Pueblos Originarios NO DEBE ser superior al total de Procesados. </v>
      </c>
      <c r="CF22" s="2077" t="str">
        <f t="shared" si="11"/>
        <v xml:space="preserve">* La columna Migrantes NO DEBE ser superior al total de Procesados. </v>
      </c>
      <c r="CG22" s="2077" t="str">
        <f t="shared" si="12"/>
        <v>* El total de procesados debe ser mayor o igual al total de Reactivos en el grupo de edad Menor de 6 meses</v>
      </c>
      <c r="CH22" s="2077" t="str">
        <f t="shared" si="13"/>
        <v>* El total de procesados debe ser mayor o igual al total de Reactivos en el grupo de edad 6 a 11 meses</v>
      </c>
      <c r="CI22" s="2077" t="str">
        <f t="shared" si="14"/>
        <v>* El total de procesados debe ser mayor o igual al total de Reactivos en el grupo de edad 12-24 meses</v>
      </c>
      <c r="CJ22" s="2077" t="str">
        <f t="shared" si="15"/>
        <v>* El total de procesados debe ser mayor o igual al total de Reactivos en el grupo de edad 3 a 4</v>
      </c>
      <c r="CK22" s="2077" t="str">
        <f t="shared" si="16"/>
        <v>* El total de procesados debe ser mayor o igual al total de Reactivos en el grupo de edad 5 a 9</v>
      </c>
      <c r="CL22" s="2077" t="str">
        <f t="shared" si="17"/>
        <v>* El total de procesados debe ser mayor o igual al total de Reactivos en el grupo de edad 10 - 14</v>
      </c>
      <c r="CM22" s="2077" t="str">
        <f t="shared" si="18"/>
        <v>* El total de procesados debe ser mayor o igual al total de Reactivos en el grupo de edad 15 - 19</v>
      </c>
      <c r="CN22" s="2077" t="str">
        <f t="shared" si="19"/>
        <v>* El total de procesados debe ser mayor o igual al total de Reactivos en el grupo de edad 20 - 24</v>
      </c>
      <c r="CO22" s="2077" t="str">
        <f t="shared" si="20"/>
        <v>* El total de procesados debe ser mayor o igual al total de Reactivos en el grupo de edad 25 a 29</v>
      </c>
      <c r="CP22" s="2077" t="str">
        <f t="shared" si="21"/>
        <v>* El total de procesados debe ser mayor o igual al total de Reactivos en el grupo de edad 30 a 34</v>
      </c>
      <c r="CQ22" s="2077" t="str">
        <f t="shared" si="22"/>
        <v>* El total de procesados debe ser mayor o igual al total de Reactivos en el grupo de edad 35 a 39</v>
      </c>
      <c r="CR22" s="2077" t="str">
        <f t="shared" si="23"/>
        <v>* El total de procesados debe ser mayor o igual al total de Reactivos en el grupo de edad 40 a 44</v>
      </c>
      <c r="CS22" s="2077" t="str">
        <f t="shared" si="24"/>
        <v>* El total de procesados debe ser mayor o igual al total de Reactivos en el grupo de edad 45 a 49</v>
      </c>
      <c r="CT22" s="2077" t="str">
        <f t="shared" si="25"/>
        <v>* El total de procesados debe ser mayor o igual al total de Reactivos en el grupo de edad 50 a 54</v>
      </c>
      <c r="CU22" s="2077" t="str">
        <f t="shared" si="26"/>
        <v>* El total de procesados debe ser mayor o igual al total de Reactivos en el grupo de edad 55 a 59</v>
      </c>
      <c r="CV22" s="2077" t="str">
        <f t="shared" si="27"/>
        <v>* El total de procesados debe ser mayor o igual al total de Reactivos en el grupo de edad 60 a 64</v>
      </c>
      <c r="CW22" s="2077" t="str">
        <f t="shared" si="28"/>
        <v>* El total de procesados debe ser mayor o igual al total de Reactivos en el grupo de edad 65 a 69</v>
      </c>
      <c r="CX22" s="2077" t="str">
        <f t="shared" si="29"/>
        <v>* El total de procesados debe ser mayor o igual al total de Reactivos en el grupo de edad 70 a 74</v>
      </c>
      <c r="CY22" s="2077" t="str">
        <f t="shared" si="30"/>
        <v>* El total de procesados debe ser mayor o igual al total de Reactivos en el grupo de edad 75 a 79</v>
      </c>
      <c r="CZ22" s="2077" t="str">
        <f t="shared" si="31"/>
        <v>* El total de procesados debe ser mayor o igual al total de Reactivos en el grupo de edad 80 y más</v>
      </c>
      <c r="DA22" s="2077" t="str">
        <f t="shared" si="0"/>
        <v/>
      </c>
      <c r="DB22" s="1363">
        <f t="shared" si="1"/>
        <v>1</v>
      </c>
      <c r="DC22" s="1363" t="e">
        <f t="shared" si="2"/>
        <v>#VALUE!</v>
      </c>
      <c r="DD22" s="1363" t="e">
        <f t="shared" si="3"/>
        <v>#VALUE!</v>
      </c>
      <c r="DE22" s="1363">
        <f t="shared" si="4"/>
        <v>1</v>
      </c>
      <c r="DF22" s="1363">
        <f t="shared" si="5"/>
        <v>1</v>
      </c>
      <c r="DG22" s="1363">
        <f t="shared" si="32"/>
        <v>1</v>
      </c>
      <c r="DH22" s="1363">
        <f t="shared" si="33"/>
        <v>1</v>
      </c>
      <c r="DI22" s="1363">
        <f t="shared" si="34"/>
        <v>1</v>
      </c>
      <c r="DJ22" s="1363">
        <f t="shared" si="35"/>
        <v>1</v>
      </c>
      <c r="DK22" s="1363">
        <f t="shared" si="36"/>
        <v>1</v>
      </c>
      <c r="DL22" s="1363">
        <f t="shared" si="37"/>
        <v>1</v>
      </c>
      <c r="DM22" s="1363">
        <f t="shared" si="38"/>
        <v>1</v>
      </c>
      <c r="DN22" s="1363">
        <f t="shared" si="39"/>
        <v>1</v>
      </c>
      <c r="DO22" s="1363">
        <f t="shared" si="40"/>
        <v>1</v>
      </c>
      <c r="DP22" s="1363">
        <f t="shared" si="41"/>
        <v>1</v>
      </c>
      <c r="DQ22" s="1363">
        <f t="shared" si="42"/>
        <v>1</v>
      </c>
      <c r="DR22" s="1363">
        <f t="shared" si="43"/>
        <v>1</v>
      </c>
      <c r="DS22" s="1363">
        <f t="shared" si="44"/>
        <v>1</v>
      </c>
      <c r="DT22" s="1363">
        <f t="shared" si="45"/>
        <v>1</v>
      </c>
      <c r="DU22" s="1363">
        <f t="shared" si="46"/>
        <v>1</v>
      </c>
      <c r="DV22" s="1363">
        <f t="shared" si="47"/>
        <v>1</v>
      </c>
      <c r="DW22" s="1363">
        <f t="shared" si="48"/>
        <v>1</v>
      </c>
      <c r="DX22" s="1363">
        <f t="shared" si="49"/>
        <v>1</v>
      </c>
      <c r="DY22" s="1363">
        <f t="shared" si="50"/>
        <v>1</v>
      </c>
      <c r="DZ22" s="1363">
        <f t="shared" si="51"/>
        <v>1</v>
      </c>
      <c r="EA22" s="1363">
        <f t="shared" si="52"/>
        <v>0</v>
      </c>
    </row>
    <row r="23" spans="1:131" ht="15.95" customHeight="1" x14ac:dyDescent="0.25">
      <c r="A23" s="2458">
        <v>11051400</v>
      </c>
      <c r="B23" s="140" t="s">
        <v>2270</v>
      </c>
      <c r="C23" s="707" t="s">
        <v>2777</v>
      </c>
      <c r="D23" s="281" t="s">
        <v>2778</v>
      </c>
      <c r="E23" s="1703" t="s">
        <v>2779</v>
      </c>
      <c r="F23" s="1090" t="s">
        <v>2780</v>
      </c>
      <c r="G23" s="936" t="s">
        <v>2781</v>
      </c>
      <c r="H23" s="1090" t="s">
        <v>2782</v>
      </c>
      <c r="I23" s="936" t="s">
        <v>2783</v>
      </c>
      <c r="J23" s="937" t="s">
        <v>2784</v>
      </c>
      <c r="K23" s="1703" t="s">
        <v>2785</v>
      </c>
      <c r="L23" s="1703" t="s">
        <v>2786</v>
      </c>
      <c r="M23" s="936" t="s">
        <v>2787</v>
      </c>
      <c r="N23" s="937" t="s">
        <v>2788</v>
      </c>
      <c r="O23" s="180" t="s">
        <v>2789</v>
      </c>
      <c r="P23" s="142" t="s">
        <v>2790</v>
      </c>
      <c r="Q23" s="141" t="s">
        <v>2791</v>
      </c>
      <c r="R23" s="142" t="s">
        <v>2792</v>
      </c>
      <c r="S23" s="141" t="s">
        <v>2793</v>
      </c>
      <c r="T23" s="142" t="s">
        <v>2794</v>
      </c>
      <c r="U23" s="141" t="s">
        <v>2795</v>
      </c>
      <c r="V23" s="142" t="s">
        <v>2796</v>
      </c>
      <c r="W23" s="141" t="s">
        <v>2797</v>
      </c>
      <c r="X23" s="142" t="s">
        <v>2798</v>
      </c>
      <c r="Y23" s="141" t="s">
        <v>2799</v>
      </c>
      <c r="Z23" s="142" t="s">
        <v>2800</v>
      </c>
      <c r="AA23" s="141" t="s">
        <v>2801</v>
      </c>
      <c r="AB23" s="142" t="s">
        <v>2817</v>
      </c>
      <c r="AC23" s="141" t="s">
        <v>2818</v>
      </c>
      <c r="AD23" s="142" t="s">
        <v>2819</v>
      </c>
      <c r="AE23" s="141" t="s">
        <v>2821</v>
      </c>
      <c r="AF23" s="142" t="s">
        <v>2822</v>
      </c>
      <c r="AG23" s="141" t="s">
        <v>2823</v>
      </c>
      <c r="AH23" s="142" t="s">
        <v>2824</v>
      </c>
      <c r="AI23" s="141" t="s">
        <v>2825</v>
      </c>
      <c r="AJ23" s="142" t="s">
        <v>2826</v>
      </c>
      <c r="AK23" s="141" t="s">
        <v>2827</v>
      </c>
      <c r="AL23" s="142" t="s">
        <v>2831</v>
      </c>
      <c r="AM23" s="141" t="s">
        <v>2832</v>
      </c>
      <c r="AN23" s="142" t="s">
        <v>2833</v>
      </c>
      <c r="AO23" s="141" t="s">
        <v>2834</v>
      </c>
      <c r="AP23" s="163" t="s">
        <v>3011</v>
      </c>
      <c r="AQ23" s="141" t="s">
        <v>3012</v>
      </c>
      <c r="AR23" s="318" t="s">
        <v>3013</v>
      </c>
      <c r="AS23" s="180" t="s">
        <v>3014</v>
      </c>
      <c r="AT23" s="318" t="s">
        <v>3015</v>
      </c>
      <c r="AU23" s="180" t="s">
        <v>3206</v>
      </c>
      <c r="AV23" s="142" t="s">
        <v>3207</v>
      </c>
      <c r="AW23" s="141" t="s">
        <v>3272</v>
      </c>
      <c r="AX23" s="163" t="s">
        <v>3273</v>
      </c>
      <c r="AY23" s="1079" t="e">
        <f t="shared" si="6"/>
        <v>#VALUE!</v>
      </c>
      <c r="AZ23" s="1079"/>
      <c r="BA23" s="1079"/>
      <c r="BB23" s="1079"/>
      <c r="BC23" s="1079"/>
      <c r="BD23" s="1079"/>
      <c r="BE23" s="1079"/>
      <c r="BF23" s="1079"/>
      <c r="BG23" s="1079"/>
      <c r="BH23" s="1079"/>
      <c r="BI23" s="1079"/>
      <c r="BJ23" s="884"/>
      <c r="BK23" s="884"/>
      <c r="BL23" s="884"/>
      <c r="BM23" s="884"/>
      <c r="BV23" s="884"/>
      <c r="BX23" s="885"/>
      <c r="CB23" s="2077" t="str">
        <f t="shared" si="7"/>
        <v xml:space="preserve">* El total de Reactivos NO DEBE ser superior al total de Procesados. </v>
      </c>
      <c r="CC23" s="2077" t="e">
        <f t="shared" si="8"/>
        <v>#VALUE!</v>
      </c>
      <c r="CD23" s="2077" t="e">
        <f t="shared" si="9"/>
        <v>#VALUE!</v>
      </c>
      <c r="CE23" s="2077" t="str">
        <f t="shared" si="10"/>
        <v xml:space="preserve">* La columna Pueblos Originarios NO DEBE ser superior al total de Procesados. </v>
      </c>
      <c r="CF23" s="2077" t="str">
        <f t="shared" si="11"/>
        <v xml:space="preserve">* La columna Migrantes NO DEBE ser superior al total de Procesados. </v>
      </c>
      <c r="CG23" s="2077" t="str">
        <f t="shared" si="12"/>
        <v>* El total de procesados debe ser mayor o igual al total de Reactivos en el grupo de edad Menor de 6 meses</v>
      </c>
      <c r="CH23" s="2077" t="str">
        <f t="shared" si="13"/>
        <v>* El total de procesados debe ser mayor o igual al total de Reactivos en el grupo de edad 6 a 11 meses</v>
      </c>
      <c r="CI23" s="2077" t="str">
        <f t="shared" si="14"/>
        <v>* El total de procesados debe ser mayor o igual al total de Reactivos en el grupo de edad 12-24 meses</v>
      </c>
      <c r="CJ23" s="2077" t="str">
        <f t="shared" si="15"/>
        <v>* El total de procesados debe ser mayor o igual al total de Reactivos en el grupo de edad 3 a 4</v>
      </c>
      <c r="CK23" s="2077" t="str">
        <f t="shared" si="16"/>
        <v>* El total de procesados debe ser mayor o igual al total de Reactivos en el grupo de edad 5 a 9</v>
      </c>
      <c r="CL23" s="2077" t="str">
        <f t="shared" si="17"/>
        <v>* El total de procesados debe ser mayor o igual al total de Reactivos en el grupo de edad 10 - 14</v>
      </c>
      <c r="CM23" s="2077" t="str">
        <f t="shared" si="18"/>
        <v>* El total de procesados debe ser mayor o igual al total de Reactivos en el grupo de edad 15 - 19</v>
      </c>
      <c r="CN23" s="2077" t="str">
        <f t="shared" si="19"/>
        <v>* El total de procesados debe ser mayor o igual al total de Reactivos en el grupo de edad 20 - 24</v>
      </c>
      <c r="CO23" s="2077" t="str">
        <f t="shared" si="20"/>
        <v>* El total de procesados debe ser mayor o igual al total de Reactivos en el grupo de edad 25 a 29</v>
      </c>
      <c r="CP23" s="2077" t="str">
        <f t="shared" si="21"/>
        <v>* El total de procesados debe ser mayor o igual al total de Reactivos en el grupo de edad 30 a 34</v>
      </c>
      <c r="CQ23" s="2077" t="str">
        <f t="shared" si="22"/>
        <v>* El total de procesados debe ser mayor o igual al total de Reactivos en el grupo de edad 35 a 39</v>
      </c>
      <c r="CR23" s="2077" t="str">
        <f t="shared" si="23"/>
        <v>* El total de procesados debe ser mayor o igual al total de Reactivos en el grupo de edad 40 a 44</v>
      </c>
      <c r="CS23" s="2077" t="str">
        <f t="shared" si="24"/>
        <v>* El total de procesados debe ser mayor o igual al total de Reactivos en el grupo de edad 45 a 49</v>
      </c>
      <c r="CT23" s="2077" t="str">
        <f t="shared" si="25"/>
        <v>* El total de procesados debe ser mayor o igual al total de Reactivos en el grupo de edad 50 a 54</v>
      </c>
      <c r="CU23" s="2077" t="str">
        <f t="shared" si="26"/>
        <v>* El total de procesados debe ser mayor o igual al total de Reactivos en el grupo de edad 55 a 59</v>
      </c>
      <c r="CV23" s="2077" t="str">
        <f t="shared" si="27"/>
        <v>* El total de procesados debe ser mayor o igual al total de Reactivos en el grupo de edad 60 a 64</v>
      </c>
      <c r="CW23" s="2077" t="str">
        <f t="shared" si="28"/>
        <v>* El total de procesados debe ser mayor o igual al total de Reactivos en el grupo de edad 65 a 69</v>
      </c>
      <c r="CX23" s="2077" t="str">
        <f t="shared" si="29"/>
        <v>* El total de procesados debe ser mayor o igual al total de Reactivos en el grupo de edad 70 a 74</v>
      </c>
      <c r="CY23" s="2077" t="str">
        <f t="shared" si="30"/>
        <v>* El total de procesados debe ser mayor o igual al total de Reactivos en el grupo de edad 75 a 79</v>
      </c>
      <c r="CZ23" s="2077" t="str">
        <f t="shared" si="31"/>
        <v>* El total de procesados debe ser mayor o igual al total de Reactivos en el grupo de edad 80 y más</v>
      </c>
      <c r="DA23" s="2077" t="str">
        <f t="shared" si="0"/>
        <v/>
      </c>
      <c r="DB23" s="1363">
        <f t="shared" si="1"/>
        <v>1</v>
      </c>
      <c r="DC23" s="1363" t="e">
        <f t="shared" si="2"/>
        <v>#VALUE!</v>
      </c>
      <c r="DD23" s="1363" t="e">
        <f t="shared" si="3"/>
        <v>#VALUE!</v>
      </c>
      <c r="DE23" s="1363">
        <f t="shared" si="4"/>
        <v>1</v>
      </c>
      <c r="DF23" s="1363">
        <f t="shared" si="5"/>
        <v>1</v>
      </c>
      <c r="DG23" s="1363">
        <f t="shared" si="32"/>
        <v>1</v>
      </c>
      <c r="DH23" s="1363">
        <f t="shared" si="33"/>
        <v>1</v>
      </c>
      <c r="DI23" s="1363">
        <f t="shared" si="34"/>
        <v>1</v>
      </c>
      <c r="DJ23" s="1363">
        <f t="shared" si="35"/>
        <v>1</v>
      </c>
      <c r="DK23" s="1363">
        <f t="shared" si="36"/>
        <v>1</v>
      </c>
      <c r="DL23" s="1363">
        <f t="shared" si="37"/>
        <v>1</v>
      </c>
      <c r="DM23" s="1363">
        <f t="shared" si="38"/>
        <v>1</v>
      </c>
      <c r="DN23" s="1363">
        <f t="shared" si="39"/>
        <v>1</v>
      </c>
      <c r="DO23" s="1363">
        <f t="shared" si="40"/>
        <v>1</v>
      </c>
      <c r="DP23" s="1363">
        <f t="shared" si="41"/>
        <v>1</v>
      </c>
      <c r="DQ23" s="1363">
        <f t="shared" si="42"/>
        <v>1</v>
      </c>
      <c r="DR23" s="1363">
        <f t="shared" si="43"/>
        <v>1</v>
      </c>
      <c r="DS23" s="1363">
        <f t="shared" si="44"/>
        <v>1</v>
      </c>
      <c r="DT23" s="1363">
        <f t="shared" si="45"/>
        <v>1</v>
      </c>
      <c r="DU23" s="1363">
        <f t="shared" si="46"/>
        <v>1</v>
      </c>
      <c r="DV23" s="1363">
        <f t="shared" si="47"/>
        <v>1</v>
      </c>
      <c r="DW23" s="1363">
        <f t="shared" si="48"/>
        <v>1</v>
      </c>
      <c r="DX23" s="1363">
        <f t="shared" si="49"/>
        <v>1</v>
      </c>
      <c r="DY23" s="1363">
        <f t="shared" si="50"/>
        <v>1</v>
      </c>
      <c r="DZ23" s="1363">
        <f t="shared" si="51"/>
        <v>1</v>
      </c>
      <c r="EA23" s="1363">
        <f t="shared" si="52"/>
        <v>0</v>
      </c>
    </row>
    <row r="24" spans="1:131" ht="15.95" customHeight="1" x14ac:dyDescent="0.25">
      <c r="A24" s="2458">
        <v>11040300</v>
      </c>
      <c r="B24" s="140" t="s">
        <v>2271</v>
      </c>
      <c r="C24" s="707" t="s">
        <v>2777</v>
      </c>
      <c r="D24" s="281" t="s">
        <v>2778</v>
      </c>
      <c r="E24" s="180" t="s">
        <v>2779</v>
      </c>
      <c r="F24" s="142" t="s">
        <v>2780</v>
      </c>
      <c r="G24" s="141" t="s">
        <v>2781</v>
      </c>
      <c r="H24" s="142" t="s">
        <v>2782</v>
      </c>
      <c r="I24" s="141" t="s">
        <v>2783</v>
      </c>
      <c r="J24" s="163" t="s">
        <v>2784</v>
      </c>
      <c r="K24" s="180" t="s">
        <v>2785</v>
      </c>
      <c r="L24" s="180" t="s">
        <v>2786</v>
      </c>
      <c r="M24" s="141" t="s">
        <v>2787</v>
      </c>
      <c r="N24" s="163" t="s">
        <v>2788</v>
      </c>
      <c r="O24" s="180" t="s">
        <v>2789</v>
      </c>
      <c r="P24" s="142" t="s">
        <v>2790</v>
      </c>
      <c r="Q24" s="141" t="s">
        <v>2791</v>
      </c>
      <c r="R24" s="142" t="s">
        <v>2792</v>
      </c>
      <c r="S24" s="141" t="s">
        <v>2793</v>
      </c>
      <c r="T24" s="142" t="s">
        <v>2794</v>
      </c>
      <c r="U24" s="141" t="s">
        <v>2795</v>
      </c>
      <c r="V24" s="142" t="s">
        <v>2796</v>
      </c>
      <c r="W24" s="141" t="s">
        <v>2797</v>
      </c>
      <c r="X24" s="142" t="s">
        <v>2798</v>
      </c>
      <c r="Y24" s="141" t="s">
        <v>2799</v>
      </c>
      <c r="Z24" s="142" t="s">
        <v>2800</v>
      </c>
      <c r="AA24" s="141" t="s">
        <v>2801</v>
      </c>
      <c r="AB24" s="142" t="s">
        <v>2817</v>
      </c>
      <c r="AC24" s="141" t="s">
        <v>2818</v>
      </c>
      <c r="AD24" s="142" t="s">
        <v>2819</v>
      </c>
      <c r="AE24" s="141" t="s">
        <v>2821</v>
      </c>
      <c r="AF24" s="142" t="s">
        <v>2822</v>
      </c>
      <c r="AG24" s="141" t="s">
        <v>2823</v>
      </c>
      <c r="AH24" s="142" t="s">
        <v>2824</v>
      </c>
      <c r="AI24" s="141" t="s">
        <v>2825</v>
      </c>
      <c r="AJ24" s="142" t="s">
        <v>2826</v>
      </c>
      <c r="AK24" s="141" t="s">
        <v>2827</v>
      </c>
      <c r="AL24" s="142" t="s">
        <v>2831</v>
      </c>
      <c r="AM24" s="141" t="s">
        <v>2832</v>
      </c>
      <c r="AN24" s="142" t="s">
        <v>2833</v>
      </c>
      <c r="AO24" s="141" t="s">
        <v>2834</v>
      </c>
      <c r="AP24" s="142" t="s">
        <v>3011</v>
      </c>
      <c r="AQ24" s="141" t="s">
        <v>3012</v>
      </c>
      <c r="AR24" s="318" t="s">
        <v>3013</v>
      </c>
      <c r="AS24" s="180" t="s">
        <v>3014</v>
      </c>
      <c r="AT24" s="318" t="s">
        <v>3015</v>
      </c>
      <c r="AU24" s="180" t="s">
        <v>3206</v>
      </c>
      <c r="AV24" s="142" t="s">
        <v>3207</v>
      </c>
      <c r="AW24" s="141" t="s">
        <v>3272</v>
      </c>
      <c r="AX24" s="163" t="s">
        <v>3273</v>
      </c>
      <c r="AY24" s="1079" t="e">
        <f t="shared" si="6"/>
        <v>#VALUE!</v>
      </c>
      <c r="AZ24" s="1079"/>
      <c r="BA24" s="1079"/>
      <c r="BB24" s="1079"/>
      <c r="BC24" s="1079"/>
      <c r="BD24" s="1079"/>
      <c r="BE24" s="1079"/>
      <c r="BF24" s="1079"/>
      <c r="BG24" s="1079"/>
      <c r="BH24" s="1079"/>
      <c r="BI24" s="1079"/>
      <c r="BJ24" s="884"/>
      <c r="BK24" s="884"/>
      <c r="BL24" s="884"/>
      <c r="BM24" s="884"/>
      <c r="BV24" s="884"/>
      <c r="BX24" s="885"/>
      <c r="CB24" s="2077" t="str">
        <f t="shared" si="7"/>
        <v xml:space="preserve">* El total de Reactivos NO DEBE ser superior al total de Procesados. </v>
      </c>
      <c r="CC24" s="2077" t="e">
        <f t="shared" si="8"/>
        <v>#VALUE!</v>
      </c>
      <c r="CD24" s="2077" t="e">
        <f t="shared" si="9"/>
        <v>#VALUE!</v>
      </c>
      <c r="CE24" s="2077" t="str">
        <f t="shared" si="10"/>
        <v xml:space="preserve">* La columna Pueblos Originarios NO DEBE ser superior al total de Procesados. </v>
      </c>
      <c r="CF24" s="2077" t="str">
        <f t="shared" si="11"/>
        <v xml:space="preserve">* La columna Migrantes NO DEBE ser superior al total de Procesados. </v>
      </c>
      <c r="CG24" s="2077" t="str">
        <f t="shared" si="12"/>
        <v>* El total de procesados debe ser mayor o igual al total de Reactivos en el grupo de edad Menor de 6 meses</v>
      </c>
      <c r="CH24" s="2077" t="str">
        <f t="shared" si="13"/>
        <v>* El total de procesados debe ser mayor o igual al total de Reactivos en el grupo de edad 6 a 11 meses</v>
      </c>
      <c r="CI24" s="2077" t="str">
        <f t="shared" si="14"/>
        <v>* El total de procesados debe ser mayor o igual al total de Reactivos en el grupo de edad 12-24 meses</v>
      </c>
      <c r="CJ24" s="2077" t="str">
        <f t="shared" si="15"/>
        <v>* El total de procesados debe ser mayor o igual al total de Reactivos en el grupo de edad 3 a 4</v>
      </c>
      <c r="CK24" s="2077" t="str">
        <f t="shared" si="16"/>
        <v>* El total de procesados debe ser mayor o igual al total de Reactivos en el grupo de edad 5 a 9</v>
      </c>
      <c r="CL24" s="2077" t="str">
        <f t="shared" si="17"/>
        <v>* El total de procesados debe ser mayor o igual al total de Reactivos en el grupo de edad 10 - 14</v>
      </c>
      <c r="CM24" s="2077" t="str">
        <f t="shared" si="18"/>
        <v>* El total de procesados debe ser mayor o igual al total de Reactivos en el grupo de edad 15 - 19</v>
      </c>
      <c r="CN24" s="2077" t="str">
        <f t="shared" si="19"/>
        <v>* El total de procesados debe ser mayor o igual al total de Reactivos en el grupo de edad 20 - 24</v>
      </c>
      <c r="CO24" s="2077" t="str">
        <f t="shared" si="20"/>
        <v>* El total de procesados debe ser mayor o igual al total de Reactivos en el grupo de edad 25 a 29</v>
      </c>
      <c r="CP24" s="2077" t="str">
        <f t="shared" si="21"/>
        <v>* El total de procesados debe ser mayor o igual al total de Reactivos en el grupo de edad 30 a 34</v>
      </c>
      <c r="CQ24" s="2077" t="str">
        <f t="shared" si="22"/>
        <v>* El total de procesados debe ser mayor o igual al total de Reactivos en el grupo de edad 35 a 39</v>
      </c>
      <c r="CR24" s="2077" t="str">
        <f t="shared" si="23"/>
        <v>* El total de procesados debe ser mayor o igual al total de Reactivos en el grupo de edad 40 a 44</v>
      </c>
      <c r="CS24" s="2077" t="str">
        <f t="shared" si="24"/>
        <v>* El total de procesados debe ser mayor o igual al total de Reactivos en el grupo de edad 45 a 49</v>
      </c>
      <c r="CT24" s="2077" t="str">
        <f t="shared" si="25"/>
        <v>* El total de procesados debe ser mayor o igual al total de Reactivos en el grupo de edad 50 a 54</v>
      </c>
      <c r="CU24" s="2077" t="str">
        <f t="shared" si="26"/>
        <v>* El total de procesados debe ser mayor o igual al total de Reactivos en el grupo de edad 55 a 59</v>
      </c>
      <c r="CV24" s="2077" t="str">
        <f t="shared" si="27"/>
        <v>* El total de procesados debe ser mayor o igual al total de Reactivos en el grupo de edad 60 a 64</v>
      </c>
      <c r="CW24" s="2077" t="str">
        <f t="shared" si="28"/>
        <v>* El total de procesados debe ser mayor o igual al total de Reactivos en el grupo de edad 65 a 69</v>
      </c>
      <c r="CX24" s="2077" t="str">
        <f t="shared" si="29"/>
        <v>* El total de procesados debe ser mayor o igual al total de Reactivos en el grupo de edad 70 a 74</v>
      </c>
      <c r="CY24" s="2077" t="str">
        <f t="shared" si="30"/>
        <v>* El total de procesados debe ser mayor o igual al total de Reactivos en el grupo de edad 75 a 79</v>
      </c>
      <c r="CZ24" s="2077" t="str">
        <f t="shared" si="31"/>
        <v>* El total de procesados debe ser mayor o igual al total de Reactivos en el grupo de edad 80 y más</v>
      </c>
      <c r="DA24" s="2077" t="str">
        <f t="shared" si="0"/>
        <v/>
      </c>
      <c r="DB24" s="1363">
        <f t="shared" si="1"/>
        <v>1</v>
      </c>
      <c r="DC24" s="1363" t="e">
        <f t="shared" si="2"/>
        <v>#VALUE!</v>
      </c>
      <c r="DD24" s="1363" t="e">
        <f t="shared" si="3"/>
        <v>#VALUE!</v>
      </c>
      <c r="DE24" s="1363">
        <f t="shared" si="4"/>
        <v>1</v>
      </c>
      <c r="DF24" s="1363">
        <f t="shared" si="5"/>
        <v>1</v>
      </c>
      <c r="DG24" s="1363">
        <f t="shared" si="32"/>
        <v>1</v>
      </c>
      <c r="DH24" s="1363">
        <f t="shared" si="33"/>
        <v>1</v>
      </c>
      <c r="DI24" s="1363">
        <f t="shared" si="34"/>
        <v>1</v>
      </c>
      <c r="DJ24" s="1363">
        <f t="shared" si="35"/>
        <v>1</v>
      </c>
      <c r="DK24" s="1363">
        <f t="shared" si="36"/>
        <v>1</v>
      </c>
      <c r="DL24" s="1363">
        <f t="shared" si="37"/>
        <v>1</v>
      </c>
      <c r="DM24" s="1363">
        <f t="shared" si="38"/>
        <v>1</v>
      </c>
      <c r="DN24" s="1363">
        <f t="shared" si="39"/>
        <v>1</v>
      </c>
      <c r="DO24" s="1363">
        <f t="shared" si="40"/>
        <v>1</v>
      </c>
      <c r="DP24" s="1363">
        <f t="shared" si="41"/>
        <v>1</v>
      </c>
      <c r="DQ24" s="1363">
        <f t="shared" si="42"/>
        <v>1</v>
      </c>
      <c r="DR24" s="1363">
        <f t="shared" si="43"/>
        <v>1</v>
      </c>
      <c r="DS24" s="1363">
        <f t="shared" si="44"/>
        <v>1</v>
      </c>
      <c r="DT24" s="1363">
        <f t="shared" si="45"/>
        <v>1</v>
      </c>
      <c r="DU24" s="1363">
        <f t="shared" si="46"/>
        <v>1</v>
      </c>
      <c r="DV24" s="1363">
        <f t="shared" si="47"/>
        <v>1</v>
      </c>
      <c r="DW24" s="1363">
        <f t="shared" si="48"/>
        <v>1</v>
      </c>
      <c r="DX24" s="1363">
        <f t="shared" si="49"/>
        <v>1</v>
      </c>
      <c r="DY24" s="1363">
        <f t="shared" si="50"/>
        <v>1</v>
      </c>
      <c r="DZ24" s="1363">
        <f t="shared" si="51"/>
        <v>1</v>
      </c>
      <c r="EA24" s="1363">
        <f t="shared" si="52"/>
        <v>0</v>
      </c>
    </row>
    <row r="25" spans="1:131" ht="15.95" customHeight="1" x14ac:dyDescent="0.25">
      <c r="A25" s="2458">
        <v>11040600</v>
      </c>
      <c r="B25" s="140" t="s">
        <v>2272</v>
      </c>
      <c r="C25" s="707" t="s">
        <v>2777</v>
      </c>
      <c r="D25" s="281" t="s">
        <v>2778</v>
      </c>
      <c r="E25" s="161" t="s">
        <v>2779</v>
      </c>
      <c r="F25" s="145" t="s">
        <v>2780</v>
      </c>
      <c r="G25" s="173" t="s">
        <v>2781</v>
      </c>
      <c r="H25" s="145" t="s">
        <v>2782</v>
      </c>
      <c r="I25" s="173" t="s">
        <v>2783</v>
      </c>
      <c r="J25" s="145" t="s">
        <v>2784</v>
      </c>
      <c r="K25" s="173" t="s">
        <v>2785</v>
      </c>
      <c r="L25" s="145" t="s">
        <v>2786</v>
      </c>
      <c r="M25" s="173" t="s">
        <v>2787</v>
      </c>
      <c r="N25" s="162" t="s">
        <v>2788</v>
      </c>
      <c r="O25" s="161" t="s">
        <v>2789</v>
      </c>
      <c r="P25" s="145" t="s">
        <v>2790</v>
      </c>
      <c r="Q25" s="141" t="s">
        <v>2791</v>
      </c>
      <c r="R25" s="142" t="s">
        <v>2792</v>
      </c>
      <c r="S25" s="141" t="s">
        <v>2793</v>
      </c>
      <c r="T25" s="142" t="s">
        <v>2794</v>
      </c>
      <c r="U25" s="141" t="s">
        <v>2795</v>
      </c>
      <c r="V25" s="142" t="s">
        <v>2796</v>
      </c>
      <c r="W25" s="141" t="s">
        <v>2797</v>
      </c>
      <c r="X25" s="142" t="s">
        <v>2798</v>
      </c>
      <c r="Y25" s="141" t="s">
        <v>2799</v>
      </c>
      <c r="Z25" s="142" t="s">
        <v>2800</v>
      </c>
      <c r="AA25" s="141" t="s">
        <v>2801</v>
      </c>
      <c r="AB25" s="142" t="s">
        <v>2817</v>
      </c>
      <c r="AC25" s="141" t="s">
        <v>2818</v>
      </c>
      <c r="AD25" s="142" t="s">
        <v>2819</v>
      </c>
      <c r="AE25" s="141" t="s">
        <v>2821</v>
      </c>
      <c r="AF25" s="142" t="s">
        <v>2822</v>
      </c>
      <c r="AG25" s="141" t="s">
        <v>2823</v>
      </c>
      <c r="AH25" s="142" t="s">
        <v>2824</v>
      </c>
      <c r="AI25" s="141" t="s">
        <v>2825</v>
      </c>
      <c r="AJ25" s="142" t="s">
        <v>2826</v>
      </c>
      <c r="AK25" s="141" t="s">
        <v>2827</v>
      </c>
      <c r="AL25" s="142" t="s">
        <v>2831</v>
      </c>
      <c r="AM25" s="141" t="s">
        <v>2832</v>
      </c>
      <c r="AN25" s="142" t="s">
        <v>2833</v>
      </c>
      <c r="AO25" s="141" t="s">
        <v>2834</v>
      </c>
      <c r="AP25" s="142" t="s">
        <v>3011</v>
      </c>
      <c r="AQ25" s="141" t="s">
        <v>3012</v>
      </c>
      <c r="AR25" s="318" t="s">
        <v>3013</v>
      </c>
      <c r="AS25" s="180" t="s">
        <v>3014</v>
      </c>
      <c r="AT25" s="318" t="s">
        <v>3015</v>
      </c>
      <c r="AU25" s="180" t="s">
        <v>3206</v>
      </c>
      <c r="AV25" s="142" t="s">
        <v>3207</v>
      </c>
      <c r="AW25" s="141" t="s">
        <v>3272</v>
      </c>
      <c r="AX25" s="163" t="s">
        <v>3273</v>
      </c>
      <c r="AY25" s="1079" t="e">
        <f t="shared" si="6"/>
        <v>#VALUE!</v>
      </c>
      <c r="AZ25" s="1079"/>
      <c r="BA25" s="1079"/>
      <c r="BB25" s="1079"/>
      <c r="BC25" s="1079"/>
      <c r="BD25" s="1079"/>
      <c r="BE25" s="1079"/>
      <c r="BF25" s="1079"/>
      <c r="BG25" s="1079"/>
      <c r="BH25" s="1079"/>
      <c r="BI25" s="1079"/>
      <c r="BJ25" s="884"/>
      <c r="BK25" s="884"/>
      <c r="BL25" s="884"/>
      <c r="BM25" s="884"/>
      <c r="BV25" s="884"/>
      <c r="BX25" s="885"/>
      <c r="CB25" s="2077" t="str">
        <f t="shared" si="7"/>
        <v xml:space="preserve">* El total de Reactivos NO DEBE ser superior al total de Procesados. </v>
      </c>
      <c r="CC25" s="2077" t="e">
        <f t="shared" si="8"/>
        <v>#VALUE!</v>
      </c>
      <c r="CD25" s="2077" t="e">
        <f t="shared" si="9"/>
        <v>#VALUE!</v>
      </c>
      <c r="CE25" s="2077" t="str">
        <f t="shared" si="10"/>
        <v xml:space="preserve">* La columna Pueblos Originarios NO DEBE ser superior al total de Procesados. </v>
      </c>
      <c r="CF25" s="2077" t="str">
        <f t="shared" si="11"/>
        <v xml:space="preserve">* La columna Migrantes NO DEBE ser superior al total de Procesados. </v>
      </c>
      <c r="CG25" s="2077" t="str">
        <f t="shared" si="12"/>
        <v>* El total de procesados debe ser mayor o igual al total de Reactivos en el grupo de edad Menor de 6 meses</v>
      </c>
      <c r="CH25" s="2077" t="str">
        <f t="shared" si="13"/>
        <v>* El total de procesados debe ser mayor o igual al total de Reactivos en el grupo de edad 6 a 11 meses</v>
      </c>
      <c r="CI25" s="2077" t="str">
        <f t="shared" si="14"/>
        <v>* El total de procesados debe ser mayor o igual al total de Reactivos en el grupo de edad 12-24 meses</v>
      </c>
      <c r="CJ25" s="2077" t="str">
        <f t="shared" si="15"/>
        <v>* El total de procesados debe ser mayor o igual al total de Reactivos en el grupo de edad 3 a 4</v>
      </c>
      <c r="CK25" s="2077" t="str">
        <f t="shared" si="16"/>
        <v>* El total de procesados debe ser mayor o igual al total de Reactivos en el grupo de edad 5 a 9</v>
      </c>
      <c r="CL25" s="2077" t="str">
        <f t="shared" si="17"/>
        <v>* El total de procesados debe ser mayor o igual al total de Reactivos en el grupo de edad 10 - 14</v>
      </c>
      <c r="CM25" s="2077" t="str">
        <f t="shared" si="18"/>
        <v>* El total de procesados debe ser mayor o igual al total de Reactivos en el grupo de edad 15 - 19</v>
      </c>
      <c r="CN25" s="2077" t="str">
        <f t="shared" si="19"/>
        <v>* El total de procesados debe ser mayor o igual al total de Reactivos en el grupo de edad 20 - 24</v>
      </c>
      <c r="CO25" s="2077" t="str">
        <f t="shared" si="20"/>
        <v>* El total de procesados debe ser mayor o igual al total de Reactivos en el grupo de edad 25 a 29</v>
      </c>
      <c r="CP25" s="2077" t="str">
        <f t="shared" si="21"/>
        <v>* El total de procesados debe ser mayor o igual al total de Reactivos en el grupo de edad 30 a 34</v>
      </c>
      <c r="CQ25" s="2077" t="str">
        <f t="shared" si="22"/>
        <v>* El total de procesados debe ser mayor o igual al total de Reactivos en el grupo de edad 35 a 39</v>
      </c>
      <c r="CR25" s="2077" t="str">
        <f t="shared" si="23"/>
        <v>* El total de procesados debe ser mayor o igual al total de Reactivos en el grupo de edad 40 a 44</v>
      </c>
      <c r="CS25" s="2077" t="str">
        <f t="shared" si="24"/>
        <v>* El total de procesados debe ser mayor o igual al total de Reactivos en el grupo de edad 45 a 49</v>
      </c>
      <c r="CT25" s="2077" t="str">
        <f t="shared" si="25"/>
        <v>* El total de procesados debe ser mayor o igual al total de Reactivos en el grupo de edad 50 a 54</v>
      </c>
      <c r="CU25" s="2077" t="str">
        <f t="shared" si="26"/>
        <v>* El total de procesados debe ser mayor o igual al total de Reactivos en el grupo de edad 55 a 59</v>
      </c>
      <c r="CV25" s="2077" t="str">
        <f t="shared" si="27"/>
        <v>* El total de procesados debe ser mayor o igual al total de Reactivos en el grupo de edad 60 a 64</v>
      </c>
      <c r="CW25" s="2077" t="str">
        <f t="shared" si="28"/>
        <v>* El total de procesados debe ser mayor o igual al total de Reactivos en el grupo de edad 65 a 69</v>
      </c>
      <c r="CX25" s="2077" t="str">
        <f t="shared" si="29"/>
        <v>* El total de procesados debe ser mayor o igual al total de Reactivos en el grupo de edad 70 a 74</v>
      </c>
      <c r="CY25" s="2077" t="str">
        <f t="shared" si="30"/>
        <v>* El total de procesados debe ser mayor o igual al total de Reactivos en el grupo de edad 75 a 79</v>
      </c>
      <c r="CZ25" s="2077" t="str">
        <f t="shared" si="31"/>
        <v>* El total de procesados debe ser mayor o igual al total de Reactivos en el grupo de edad 80 y más</v>
      </c>
      <c r="DA25" s="2077" t="str">
        <f t="shared" si="0"/>
        <v/>
      </c>
      <c r="DB25" s="1363">
        <f t="shared" si="1"/>
        <v>1</v>
      </c>
      <c r="DC25" s="1363" t="e">
        <f t="shared" si="2"/>
        <v>#VALUE!</v>
      </c>
      <c r="DD25" s="1363" t="e">
        <f t="shared" si="3"/>
        <v>#VALUE!</v>
      </c>
      <c r="DE25" s="1363">
        <f t="shared" si="4"/>
        <v>1</v>
      </c>
      <c r="DF25" s="1363">
        <f t="shared" si="5"/>
        <v>1</v>
      </c>
      <c r="DG25" s="1363">
        <f t="shared" si="32"/>
        <v>1</v>
      </c>
      <c r="DH25" s="1363">
        <f t="shared" si="33"/>
        <v>1</v>
      </c>
      <c r="DI25" s="1363">
        <f t="shared" si="34"/>
        <v>1</v>
      </c>
      <c r="DJ25" s="1363">
        <f t="shared" si="35"/>
        <v>1</v>
      </c>
      <c r="DK25" s="1363">
        <f t="shared" si="36"/>
        <v>1</v>
      </c>
      <c r="DL25" s="1363">
        <f t="shared" si="37"/>
        <v>1</v>
      </c>
      <c r="DM25" s="1363">
        <f t="shared" si="38"/>
        <v>1</v>
      </c>
      <c r="DN25" s="1363">
        <f t="shared" si="39"/>
        <v>1</v>
      </c>
      <c r="DO25" s="1363">
        <f t="shared" si="40"/>
        <v>1</v>
      </c>
      <c r="DP25" s="1363">
        <f t="shared" si="41"/>
        <v>1</v>
      </c>
      <c r="DQ25" s="1363">
        <f t="shared" si="42"/>
        <v>1</v>
      </c>
      <c r="DR25" s="1363">
        <f t="shared" si="43"/>
        <v>1</v>
      </c>
      <c r="DS25" s="1363">
        <f t="shared" si="44"/>
        <v>1</v>
      </c>
      <c r="DT25" s="1363">
        <f t="shared" si="45"/>
        <v>1</v>
      </c>
      <c r="DU25" s="1363">
        <f t="shared" si="46"/>
        <v>1</v>
      </c>
      <c r="DV25" s="1363">
        <f t="shared" si="47"/>
        <v>1</v>
      </c>
      <c r="DW25" s="1363">
        <f t="shared" si="48"/>
        <v>1</v>
      </c>
      <c r="DX25" s="1363">
        <f t="shared" si="49"/>
        <v>1</v>
      </c>
      <c r="DY25" s="1363">
        <f t="shared" si="50"/>
        <v>1</v>
      </c>
      <c r="DZ25" s="1363">
        <f t="shared" si="51"/>
        <v>1</v>
      </c>
      <c r="EA25" s="1363">
        <f t="shared" si="52"/>
        <v>0</v>
      </c>
    </row>
    <row r="26" spans="1:131" ht="15.95" customHeight="1" x14ac:dyDescent="0.25">
      <c r="A26" s="2458">
        <v>11040500</v>
      </c>
      <c r="B26" s="140" t="s">
        <v>2273</v>
      </c>
      <c r="C26" s="707" t="s">
        <v>2777</v>
      </c>
      <c r="D26" s="281" t="s">
        <v>2778</v>
      </c>
      <c r="E26" s="161" t="s">
        <v>2779</v>
      </c>
      <c r="F26" s="145" t="s">
        <v>2780</v>
      </c>
      <c r="G26" s="173" t="s">
        <v>2781</v>
      </c>
      <c r="H26" s="145" t="s">
        <v>2782</v>
      </c>
      <c r="I26" s="173" t="s">
        <v>2783</v>
      </c>
      <c r="J26" s="145" t="s">
        <v>2784</v>
      </c>
      <c r="K26" s="173" t="s">
        <v>2785</v>
      </c>
      <c r="L26" s="145" t="s">
        <v>2786</v>
      </c>
      <c r="M26" s="173" t="s">
        <v>2787</v>
      </c>
      <c r="N26" s="162" t="s">
        <v>2788</v>
      </c>
      <c r="O26" s="161" t="s">
        <v>2789</v>
      </c>
      <c r="P26" s="145" t="s">
        <v>2790</v>
      </c>
      <c r="Q26" s="141" t="s">
        <v>2791</v>
      </c>
      <c r="R26" s="142" t="s">
        <v>2792</v>
      </c>
      <c r="S26" s="141" t="s">
        <v>2793</v>
      </c>
      <c r="T26" s="142" t="s">
        <v>2794</v>
      </c>
      <c r="U26" s="141" t="s">
        <v>2795</v>
      </c>
      <c r="V26" s="142" t="s">
        <v>2796</v>
      </c>
      <c r="W26" s="141" t="s">
        <v>2797</v>
      </c>
      <c r="X26" s="142" t="s">
        <v>2798</v>
      </c>
      <c r="Y26" s="141" t="s">
        <v>2799</v>
      </c>
      <c r="Z26" s="142" t="s">
        <v>2800</v>
      </c>
      <c r="AA26" s="141" t="s">
        <v>2801</v>
      </c>
      <c r="AB26" s="142" t="s">
        <v>2817</v>
      </c>
      <c r="AC26" s="141" t="s">
        <v>2818</v>
      </c>
      <c r="AD26" s="142" t="s">
        <v>2819</v>
      </c>
      <c r="AE26" s="141" t="s">
        <v>2821</v>
      </c>
      <c r="AF26" s="142" t="s">
        <v>2822</v>
      </c>
      <c r="AG26" s="141" t="s">
        <v>2823</v>
      </c>
      <c r="AH26" s="142" t="s">
        <v>2824</v>
      </c>
      <c r="AI26" s="141" t="s">
        <v>2825</v>
      </c>
      <c r="AJ26" s="142" t="s">
        <v>2826</v>
      </c>
      <c r="AK26" s="173" t="s">
        <v>2827</v>
      </c>
      <c r="AL26" s="145" t="s">
        <v>2831</v>
      </c>
      <c r="AM26" s="173" t="s">
        <v>2832</v>
      </c>
      <c r="AN26" s="145" t="s">
        <v>2833</v>
      </c>
      <c r="AO26" s="173" t="s">
        <v>2834</v>
      </c>
      <c r="AP26" s="145" t="s">
        <v>3011</v>
      </c>
      <c r="AQ26" s="173" t="s">
        <v>3012</v>
      </c>
      <c r="AR26" s="507" t="s">
        <v>3013</v>
      </c>
      <c r="AS26" s="180" t="s">
        <v>3014</v>
      </c>
      <c r="AT26" s="318" t="s">
        <v>3015</v>
      </c>
      <c r="AU26" s="180" t="s">
        <v>3206</v>
      </c>
      <c r="AV26" s="142" t="s">
        <v>3207</v>
      </c>
      <c r="AW26" s="141" t="s">
        <v>3272</v>
      </c>
      <c r="AX26" s="163" t="s">
        <v>3273</v>
      </c>
      <c r="AY26" s="1079" t="e">
        <f t="shared" si="6"/>
        <v>#VALUE!</v>
      </c>
      <c r="AZ26" s="1079"/>
      <c r="BA26" s="1079"/>
      <c r="BB26" s="1079"/>
      <c r="BC26" s="1079"/>
      <c r="BD26" s="1079"/>
      <c r="BE26" s="1079"/>
      <c r="BF26" s="1079"/>
      <c r="BG26" s="1079"/>
      <c r="BH26" s="1079"/>
      <c r="BI26" s="1079"/>
      <c r="BJ26" s="884"/>
      <c r="BK26" s="884"/>
      <c r="BL26" s="884"/>
      <c r="BM26" s="884"/>
      <c r="BV26" s="884"/>
      <c r="BX26" s="885"/>
      <c r="CB26" s="2077" t="str">
        <f t="shared" si="7"/>
        <v xml:space="preserve">* El total de Reactivos NO DEBE ser superior al total de Procesados. </v>
      </c>
      <c r="CC26" s="2077" t="e">
        <f t="shared" si="8"/>
        <v>#VALUE!</v>
      </c>
      <c r="CD26" s="2077" t="e">
        <f t="shared" si="9"/>
        <v>#VALUE!</v>
      </c>
      <c r="CE26" s="2077" t="str">
        <f t="shared" si="10"/>
        <v xml:space="preserve">* La columna Pueblos Originarios NO DEBE ser superior al total de Procesados. </v>
      </c>
      <c r="CF26" s="2077" t="str">
        <f t="shared" si="11"/>
        <v xml:space="preserve">* La columna Migrantes NO DEBE ser superior al total de Procesados. </v>
      </c>
      <c r="CG26" s="2077" t="str">
        <f t="shared" si="12"/>
        <v>* El total de procesados debe ser mayor o igual al total de Reactivos en el grupo de edad Menor de 6 meses</v>
      </c>
      <c r="CH26" s="2077" t="str">
        <f t="shared" si="13"/>
        <v>* El total de procesados debe ser mayor o igual al total de Reactivos en el grupo de edad 6 a 11 meses</v>
      </c>
      <c r="CI26" s="2077" t="str">
        <f t="shared" si="14"/>
        <v>* El total de procesados debe ser mayor o igual al total de Reactivos en el grupo de edad 12-24 meses</v>
      </c>
      <c r="CJ26" s="2077" t="str">
        <f t="shared" si="15"/>
        <v>* El total de procesados debe ser mayor o igual al total de Reactivos en el grupo de edad 3 a 4</v>
      </c>
      <c r="CK26" s="2077" t="str">
        <f t="shared" si="16"/>
        <v>* El total de procesados debe ser mayor o igual al total de Reactivos en el grupo de edad 5 a 9</v>
      </c>
      <c r="CL26" s="2077" t="str">
        <f t="shared" si="17"/>
        <v>* El total de procesados debe ser mayor o igual al total de Reactivos en el grupo de edad 10 - 14</v>
      </c>
      <c r="CM26" s="2077" t="str">
        <f t="shared" si="18"/>
        <v>* El total de procesados debe ser mayor o igual al total de Reactivos en el grupo de edad 15 - 19</v>
      </c>
      <c r="CN26" s="2077" t="str">
        <f t="shared" si="19"/>
        <v>* El total de procesados debe ser mayor o igual al total de Reactivos en el grupo de edad 20 - 24</v>
      </c>
      <c r="CO26" s="2077" t="str">
        <f t="shared" si="20"/>
        <v>* El total de procesados debe ser mayor o igual al total de Reactivos en el grupo de edad 25 a 29</v>
      </c>
      <c r="CP26" s="2077" t="str">
        <f t="shared" si="21"/>
        <v>* El total de procesados debe ser mayor o igual al total de Reactivos en el grupo de edad 30 a 34</v>
      </c>
      <c r="CQ26" s="2077" t="str">
        <f t="shared" si="22"/>
        <v>* El total de procesados debe ser mayor o igual al total de Reactivos en el grupo de edad 35 a 39</v>
      </c>
      <c r="CR26" s="2077" t="str">
        <f t="shared" si="23"/>
        <v>* El total de procesados debe ser mayor o igual al total de Reactivos en el grupo de edad 40 a 44</v>
      </c>
      <c r="CS26" s="2077" t="str">
        <f t="shared" si="24"/>
        <v>* El total de procesados debe ser mayor o igual al total de Reactivos en el grupo de edad 45 a 49</v>
      </c>
      <c r="CT26" s="2077" t="str">
        <f t="shared" si="25"/>
        <v>* El total de procesados debe ser mayor o igual al total de Reactivos en el grupo de edad 50 a 54</v>
      </c>
      <c r="CU26" s="2077" t="str">
        <f t="shared" si="26"/>
        <v>* El total de procesados debe ser mayor o igual al total de Reactivos en el grupo de edad 55 a 59</v>
      </c>
      <c r="CV26" s="2077" t="str">
        <f t="shared" si="27"/>
        <v>* El total de procesados debe ser mayor o igual al total de Reactivos en el grupo de edad 60 a 64</v>
      </c>
      <c r="CW26" s="2077" t="str">
        <f t="shared" si="28"/>
        <v>* El total de procesados debe ser mayor o igual al total de Reactivos en el grupo de edad 65 a 69</v>
      </c>
      <c r="CX26" s="2077" t="str">
        <f t="shared" si="29"/>
        <v>* El total de procesados debe ser mayor o igual al total de Reactivos en el grupo de edad 70 a 74</v>
      </c>
      <c r="CY26" s="2077" t="str">
        <f t="shared" si="30"/>
        <v>* El total de procesados debe ser mayor o igual al total de Reactivos en el grupo de edad 75 a 79</v>
      </c>
      <c r="CZ26" s="2077" t="str">
        <f t="shared" si="31"/>
        <v>* El total de procesados debe ser mayor o igual al total de Reactivos en el grupo de edad 80 y más</v>
      </c>
      <c r="DA26" s="2077" t="str">
        <f t="shared" si="0"/>
        <v/>
      </c>
      <c r="DB26" s="1363">
        <f t="shared" si="1"/>
        <v>1</v>
      </c>
      <c r="DC26" s="1363" t="e">
        <f t="shared" si="2"/>
        <v>#VALUE!</v>
      </c>
      <c r="DD26" s="1363" t="e">
        <f t="shared" si="3"/>
        <v>#VALUE!</v>
      </c>
      <c r="DE26" s="1363">
        <f t="shared" si="4"/>
        <v>1</v>
      </c>
      <c r="DF26" s="1363">
        <f t="shared" si="5"/>
        <v>1</v>
      </c>
      <c r="DG26" s="1363">
        <f t="shared" si="32"/>
        <v>1</v>
      </c>
      <c r="DH26" s="1363">
        <f t="shared" si="33"/>
        <v>1</v>
      </c>
      <c r="DI26" s="1363">
        <f t="shared" si="34"/>
        <v>1</v>
      </c>
      <c r="DJ26" s="1363">
        <f t="shared" si="35"/>
        <v>1</v>
      </c>
      <c r="DK26" s="1363">
        <f t="shared" si="36"/>
        <v>1</v>
      </c>
      <c r="DL26" s="1363">
        <f t="shared" si="37"/>
        <v>1</v>
      </c>
      <c r="DM26" s="1363">
        <f t="shared" si="38"/>
        <v>1</v>
      </c>
      <c r="DN26" s="1363">
        <f t="shared" si="39"/>
        <v>1</v>
      </c>
      <c r="DO26" s="1363">
        <f t="shared" si="40"/>
        <v>1</v>
      </c>
      <c r="DP26" s="1363">
        <f t="shared" si="41"/>
        <v>1</v>
      </c>
      <c r="DQ26" s="1363">
        <f t="shared" si="42"/>
        <v>1</v>
      </c>
      <c r="DR26" s="1363">
        <f t="shared" si="43"/>
        <v>1</v>
      </c>
      <c r="DS26" s="1363">
        <f t="shared" si="44"/>
        <v>1</v>
      </c>
      <c r="DT26" s="1363">
        <f t="shared" si="45"/>
        <v>1</v>
      </c>
      <c r="DU26" s="1363">
        <f t="shared" si="46"/>
        <v>1</v>
      </c>
      <c r="DV26" s="1363">
        <f t="shared" si="47"/>
        <v>1</v>
      </c>
      <c r="DW26" s="1363">
        <f t="shared" si="48"/>
        <v>1</v>
      </c>
      <c r="DX26" s="1363">
        <f t="shared" si="49"/>
        <v>1</v>
      </c>
      <c r="DY26" s="1363">
        <f t="shared" si="50"/>
        <v>1</v>
      </c>
      <c r="DZ26" s="1363">
        <f t="shared" si="51"/>
        <v>1</v>
      </c>
      <c r="EA26" s="1363">
        <f t="shared" si="52"/>
        <v>0</v>
      </c>
    </row>
    <row r="27" spans="1:131" ht="15.95" customHeight="1" x14ac:dyDescent="0.25">
      <c r="A27" s="2458">
        <v>11054100</v>
      </c>
      <c r="B27" s="140" t="s">
        <v>2274</v>
      </c>
      <c r="C27" s="707" t="s">
        <v>2777</v>
      </c>
      <c r="D27" s="281" t="s">
        <v>2778</v>
      </c>
      <c r="E27" s="180" t="s">
        <v>2779</v>
      </c>
      <c r="F27" s="142" t="s">
        <v>2780</v>
      </c>
      <c r="G27" s="141" t="s">
        <v>2781</v>
      </c>
      <c r="H27" s="142" t="s">
        <v>2782</v>
      </c>
      <c r="I27" s="141" t="s">
        <v>2783</v>
      </c>
      <c r="J27" s="163" t="s">
        <v>2784</v>
      </c>
      <c r="K27" s="180" t="s">
        <v>2785</v>
      </c>
      <c r="L27" s="180" t="s">
        <v>2786</v>
      </c>
      <c r="M27" s="141" t="s">
        <v>2787</v>
      </c>
      <c r="N27" s="163" t="s">
        <v>2788</v>
      </c>
      <c r="O27" s="180" t="s">
        <v>2789</v>
      </c>
      <c r="P27" s="142" t="s">
        <v>2790</v>
      </c>
      <c r="Q27" s="141" t="s">
        <v>2791</v>
      </c>
      <c r="R27" s="142" t="s">
        <v>2792</v>
      </c>
      <c r="S27" s="141" t="s">
        <v>2793</v>
      </c>
      <c r="T27" s="142" t="s">
        <v>2794</v>
      </c>
      <c r="U27" s="141" t="s">
        <v>2795</v>
      </c>
      <c r="V27" s="142" t="s">
        <v>2796</v>
      </c>
      <c r="W27" s="141" t="s">
        <v>2797</v>
      </c>
      <c r="X27" s="142" t="s">
        <v>2798</v>
      </c>
      <c r="Y27" s="141" t="s">
        <v>2799</v>
      </c>
      <c r="Z27" s="142" t="s">
        <v>2800</v>
      </c>
      <c r="AA27" s="141" t="s">
        <v>2801</v>
      </c>
      <c r="AB27" s="142" t="s">
        <v>2817</v>
      </c>
      <c r="AC27" s="141" t="s">
        <v>2818</v>
      </c>
      <c r="AD27" s="142" t="s">
        <v>2819</v>
      </c>
      <c r="AE27" s="141" t="s">
        <v>2821</v>
      </c>
      <c r="AF27" s="142" t="s">
        <v>2822</v>
      </c>
      <c r="AG27" s="141" t="s">
        <v>2823</v>
      </c>
      <c r="AH27" s="142" t="s">
        <v>2824</v>
      </c>
      <c r="AI27" s="141" t="s">
        <v>2825</v>
      </c>
      <c r="AJ27" s="142" t="s">
        <v>2826</v>
      </c>
      <c r="AK27" s="141" t="s">
        <v>2827</v>
      </c>
      <c r="AL27" s="142" t="s">
        <v>2831</v>
      </c>
      <c r="AM27" s="141" t="s">
        <v>2832</v>
      </c>
      <c r="AN27" s="142" t="s">
        <v>2833</v>
      </c>
      <c r="AO27" s="141" t="s">
        <v>2834</v>
      </c>
      <c r="AP27" s="142" t="s">
        <v>3011</v>
      </c>
      <c r="AQ27" s="141" t="s">
        <v>3012</v>
      </c>
      <c r="AR27" s="318" t="s">
        <v>3013</v>
      </c>
      <c r="AS27" s="180" t="s">
        <v>3014</v>
      </c>
      <c r="AT27" s="318" t="s">
        <v>3015</v>
      </c>
      <c r="AU27" s="180" t="s">
        <v>3206</v>
      </c>
      <c r="AV27" s="142" t="s">
        <v>3207</v>
      </c>
      <c r="AW27" s="141" t="s">
        <v>3272</v>
      </c>
      <c r="AX27" s="163" t="s">
        <v>3273</v>
      </c>
      <c r="AY27" s="1079" t="e">
        <f t="shared" si="6"/>
        <v>#VALUE!</v>
      </c>
      <c r="AZ27" s="1079"/>
      <c r="BA27" s="1079"/>
      <c r="BB27" s="1079"/>
      <c r="BC27" s="1079"/>
      <c r="BD27" s="1079"/>
      <c r="BE27" s="1079"/>
      <c r="BF27" s="1079"/>
      <c r="BG27" s="1079"/>
      <c r="BH27" s="1079"/>
      <c r="BI27" s="1079"/>
      <c r="BJ27" s="884"/>
      <c r="BK27" s="884"/>
      <c r="BL27" s="884"/>
      <c r="BM27" s="884"/>
      <c r="BV27" s="884"/>
      <c r="BX27" s="885"/>
      <c r="CB27" s="2077" t="str">
        <f t="shared" si="7"/>
        <v xml:space="preserve">* El total de Reactivos NO DEBE ser superior al total de Procesados. </v>
      </c>
      <c r="CC27" s="2077" t="e">
        <f t="shared" si="8"/>
        <v>#VALUE!</v>
      </c>
      <c r="CD27" s="2077" t="e">
        <f t="shared" si="9"/>
        <v>#VALUE!</v>
      </c>
      <c r="CE27" s="2077" t="str">
        <f t="shared" si="10"/>
        <v xml:space="preserve">* La columna Pueblos Originarios NO DEBE ser superior al total de Procesados. </v>
      </c>
      <c r="CF27" s="2077" t="str">
        <f t="shared" si="11"/>
        <v xml:space="preserve">* La columna Migrantes NO DEBE ser superior al total de Procesados. </v>
      </c>
      <c r="CG27" s="2077" t="str">
        <f t="shared" si="12"/>
        <v>* El total de procesados debe ser mayor o igual al total de Reactivos en el grupo de edad Menor de 6 meses</v>
      </c>
      <c r="CH27" s="2077" t="str">
        <f t="shared" si="13"/>
        <v>* El total de procesados debe ser mayor o igual al total de Reactivos en el grupo de edad 6 a 11 meses</v>
      </c>
      <c r="CI27" s="2077" t="str">
        <f t="shared" si="14"/>
        <v>* El total de procesados debe ser mayor o igual al total de Reactivos en el grupo de edad 12-24 meses</v>
      </c>
      <c r="CJ27" s="2077" t="str">
        <f t="shared" si="15"/>
        <v>* El total de procesados debe ser mayor o igual al total de Reactivos en el grupo de edad 3 a 4</v>
      </c>
      <c r="CK27" s="2077" t="str">
        <f t="shared" si="16"/>
        <v>* El total de procesados debe ser mayor o igual al total de Reactivos en el grupo de edad 5 a 9</v>
      </c>
      <c r="CL27" s="2077" t="str">
        <f t="shared" si="17"/>
        <v>* El total de procesados debe ser mayor o igual al total de Reactivos en el grupo de edad 10 - 14</v>
      </c>
      <c r="CM27" s="2077" t="str">
        <f t="shared" si="18"/>
        <v>* El total de procesados debe ser mayor o igual al total de Reactivos en el grupo de edad 15 - 19</v>
      </c>
      <c r="CN27" s="2077" t="str">
        <f t="shared" si="19"/>
        <v>* El total de procesados debe ser mayor o igual al total de Reactivos en el grupo de edad 20 - 24</v>
      </c>
      <c r="CO27" s="2077" t="str">
        <f t="shared" si="20"/>
        <v>* El total de procesados debe ser mayor o igual al total de Reactivos en el grupo de edad 25 a 29</v>
      </c>
      <c r="CP27" s="2077" t="str">
        <f t="shared" si="21"/>
        <v>* El total de procesados debe ser mayor o igual al total de Reactivos en el grupo de edad 30 a 34</v>
      </c>
      <c r="CQ27" s="2077" t="str">
        <f t="shared" si="22"/>
        <v>* El total de procesados debe ser mayor o igual al total de Reactivos en el grupo de edad 35 a 39</v>
      </c>
      <c r="CR27" s="2077" t="str">
        <f t="shared" si="23"/>
        <v>* El total de procesados debe ser mayor o igual al total de Reactivos en el grupo de edad 40 a 44</v>
      </c>
      <c r="CS27" s="2077" t="str">
        <f t="shared" si="24"/>
        <v>* El total de procesados debe ser mayor o igual al total de Reactivos en el grupo de edad 45 a 49</v>
      </c>
      <c r="CT27" s="2077" t="str">
        <f t="shared" si="25"/>
        <v>* El total de procesados debe ser mayor o igual al total de Reactivos en el grupo de edad 50 a 54</v>
      </c>
      <c r="CU27" s="2077" t="str">
        <f t="shared" si="26"/>
        <v>* El total de procesados debe ser mayor o igual al total de Reactivos en el grupo de edad 55 a 59</v>
      </c>
      <c r="CV27" s="2077" t="str">
        <f t="shared" si="27"/>
        <v>* El total de procesados debe ser mayor o igual al total de Reactivos en el grupo de edad 60 a 64</v>
      </c>
      <c r="CW27" s="2077" t="str">
        <f t="shared" si="28"/>
        <v>* El total de procesados debe ser mayor o igual al total de Reactivos en el grupo de edad 65 a 69</v>
      </c>
      <c r="CX27" s="2077" t="str">
        <f t="shared" si="29"/>
        <v>* El total de procesados debe ser mayor o igual al total de Reactivos en el grupo de edad 70 a 74</v>
      </c>
      <c r="CY27" s="2077" t="str">
        <f t="shared" si="30"/>
        <v>* El total de procesados debe ser mayor o igual al total de Reactivos en el grupo de edad 75 a 79</v>
      </c>
      <c r="CZ27" s="2077" t="str">
        <f t="shared" si="31"/>
        <v>* El total de procesados debe ser mayor o igual al total de Reactivos en el grupo de edad 80 y más</v>
      </c>
      <c r="DA27" s="2077" t="str">
        <f t="shared" si="0"/>
        <v/>
      </c>
      <c r="DB27" s="1363">
        <f t="shared" si="1"/>
        <v>1</v>
      </c>
      <c r="DC27" s="1363" t="e">
        <f t="shared" si="2"/>
        <v>#VALUE!</v>
      </c>
      <c r="DD27" s="1363" t="e">
        <f t="shared" si="3"/>
        <v>#VALUE!</v>
      </c>
      <c r="DE27" s="1363">
        <f t="shared" si="4"/>
        <v>1</v>
      </c>
      <c r="DF27" s="1363">
        <f t="shared" si="5"/>
        <v>1</v>
      </c>
      <c r="DG27" s="1363">
        <f t="shared" si="32"/>
        <v>1</v>
      </c>
      <c r="DH27" s="1363">
        <f t="shared" si="33"/>
        <v>1</v>
      </c>
      <c r="DI27" s="1363">
        <f t="shared" si="34"/>
        <v>1</v>
      </c>
      <c r="DJ27" s="1363">
        <f t="shared" si="35"/>
        <v>1</v>
      </c>
      <c r="DK27" s="1363">
        <f t="shared" si="36"/>
        <v>1</v>
      </c>
      <c r="DL27" s="1363">
        <f t="shared" si="37"/>
        <v>1</v>
      </c>
      <c r="DM27" s="1363">
        <f t="shared" si="38"/>
        <v>1</v>
      </c>
      <c r="DN27" s="1363">
        <f t="shared" si="39"/>
        <v>1</v>
      </c>
      <c r="DO27" s="1363">
        <f t="shared" si="40"/>
        <v>1</v>
      </c>
      <c r="DP27" s="1363">
        <f t="shared" si="41"/>
        <v>1</v>
      </c>
      <c r="DQ27" s="1363">
        <f t="shared" si="42"/>
        <v>1</v>
      </c>
      <c r="DR27" s="1363">
        <f t="shared" si="43"/>
        <v>1</v>
      </c>
      <c r="DS27" s="1363">
        <f t="shared" si="44"/>
        <v>1</v>
      </c>
      <c r="DT27" s="1363">
        <f t="shared" si="45"/>
        <v>1</v>
      </c>
      <c r="DU27" s="1363">
        <f t="shared" si="46"/>
        <v>1</v>
      </c>
      <c r="DV27" s="1363">
        <f t="shared" si="47"/>
        <v>1</v>
      </c>
      <c r="DW27" s="1363">
        <f t="shared" si="48"/>
        <v>1</v>
      </c>
      <c r="DX27" s="1363">
        <f t="shared" si="49"/>
        <v>1</v>
      </c>
      <c r="DY27" s="1363">
        <f t="shared" si="50"/>
        <v>1</v>
      </c>
      <c r="DZ27" s="1363">
        <f t="shared" si="51"/>
        <v>1</v>
      </c>
      <c r="EA27" s="1363">
        <f t="shared" si="52"/>
        <v>0</v>
      </c>
    </row>
    <row r="28" spans="1:131" ht="15.95" customHeight="1" x14ac:dyDescent="0.25">
      <c r="A28" s="2458">
        <v>11054200</v>
      </c>
      <c r="B28" s="140" t="s">
        <v>2275</v>
      </c>
      <c r="C28" s="707" t="s">
        <v>2777</v>
      </c>
      <c r="D28" s="281" t="s">
        <v>2778</v>
      </c>
      <c r="E28" s="180" t="s">
        <v>2779</v>
      </c>
      <c r="F28" s="142" t="s">
        <v>2780</v>
      </c>
      <c r="G28" s="141" t="s">
        <v>2781</v>
      </c>
      <c r="H28" s="142" t="s">
        <v>2782</v>
      </c>
      <c r="I28" s="141" t="s">
        <v>2783</v>
      </c>
      <c r="J28" s="163" t="s">
        <v>2784</v>
      </c>
      <c r="K28" s="180" t="s">
        <v>2785</v>
      </c>
      <c r="L28" s="180" t="s">
        <v>2786</v>
      </c>
      <c r="M28" s="141" t="s">
        <v>2787</v>
      </c>
      <c r="N28" s="163" t="s">
        <v>2788</v>
      </c>
      <c r="O28" s="180" t="s">
        <v>2789</v>
      </c>
      <c r="P28" s="142" t="s">
        <v>2790</v>
      </c>
      <c r="Q28" s="141" t="s">
        <v>2791</v>
      </c>
      <c r="R28" s="142" t="s">
        <v>2792</v>
      </c>
      <c r="S28" s="141" t="s">
        <v>2793</v>
      </c>
      <c r="T28" s="142" t="s">
        <v>2794</v>
      </c>
      <c r="U28" s="141" t="s">
        <v>2795</v>
      </c>
      <c r="V28" s="142" t="s">
        <v>2796</v>
      </c>
      <c r="W28" s="141" t="s">
        <v>2797</v>
      </c>
      <c r="X28" s="142" t="s">
        <v>2798</v>
      </c>
      <c r="Y28" s="141" t="s">
        <v>2799</v>
      </c>
      <c r="Z28" s="142" t="s">
        <v>2800</v>
      </c>
      <c r="AA28" s="141" t="s">
        <v>2801</v>
      </c>
      <c r="AB28" s="142" t="s">
        <v>2817</v>
      </c>
      <c r="AC28" s="141" t="s">
        <v>2818</v>
      </c>
      <c r="AD28" s="142" t="s">
        <v>2819</v>
      </c>
      <c r="AE28" s="141" t="s">
        <v>2821</v>
      </c>
      <c r="AF28" s="142" t="s">
        <v>2822</v>
      </c>
      <c r="AG28" s="141" t="s">
        <v>2823</v>
      </c>
      <c r="AH28" s="142" t="s">
        <v>2824</v>
      </c>
      <c r="AI28" s="141" t="s">
        <v>2825</v>
      </c>
      <c r="AJ28" s="142" t="s">
        <v>2826</v>
      </c>
      <c r="AK28" s="141" t="s">
        <v>2827</v>
      </c>
      <c r="AL28" s="142" t="s">
        <v>2831</v>
      </c>
      <c r="AM28" s="141" t="s">
        <v>2832</v>
      </c>
      <c r="AN28" s="142" t="s">
        <v>2833</v>
      </c>
      <c r="AO28" s="141" t="s">
        <v>2834</v>
      </c>
      <c r="AP28" s="142" t="s">
        <v>3011</v>
      </c>
      <c r="AQ28" s="141" t="s">
        <v>3012</v>
      </c>
      <c r="AR28" s="318" t="s">
        <v>3013</v>
      </c>
      <c r="AS28" s="180" t="s">
        <v>3014</v>
      </c>
      <c r="AT28" s="318" t="s">
        <v>3015</v>
      </c>
      <c r="AU28" s="180" t="s">
        <v>3206</v>
      </c>
      <c r="AV28" s="142" t="s">
        <v>3207</v>
      </c>
      <c r="AW28" s="141" t="s">
        <v>3272</v>
      </c>
      <c r="AX28" s="163" t="s">
        <v>3273</v>
      </c>
      <c r="AY28" s="1079" t="e">
        <f t="shared" si="6"/>
        <v>#VALUE!</v>
      </c>
      <c r="AZ28" s="1079"/>
      <c r="BA28" s="1079"/>
      <c r="BB28" s="1079"/>
      <c r="BC28" s="1079"/>
      <c r="BD28" s="1079"/>
      <c r="BE28" s="1079"/>
      <c r="BF28" s="1079"/>
      <c r="BG28" s="1079"/>
      <c r="BH28" s="1079"/>
      <c r="BI28" s="1079"/>
      <c r="BJ28" s="884"/>
      <c r="BK28" s="884"/>
      <c r="BL28" s="884"/>
      <c r="BM28" s="884"/>
      <c r="BV28" s="884"/>
      <c r="BX28" s="885"/>
      <c r="CB28" s="2077" t="str">
        <f t="shared" si="7"/>
        <v xml:space="preserve">* El total de Reactivos NO DEBE ser superior al total de Procesados. </v>
      </c>
      <c r="CC28" s="2077" t="e">
        <f t="shared" si="8"/>
        <v>#VALUE!</v>
      </c>
      <c r="CD28" s="2077" t="e">
        <f t="shared" si="9"/>
        <v>#VALUE!</v>
      </c>
      <c r="CE28" s="2077" t="str">
        <f t="shared" si="10"/>
        <v xml:space="preserve">* La columna Pueblos Originarios NO DEBE ser superior al total de Procesados. </v>
      </c>
      <c r="CF28" s="2077" t="str">
        <f t="shared" si="11"/>
        <v xml:space="preserve">* La columna Migrantes NO DEBE ser superior al total de Procesados. </v>
      </c>
      <c r="CG28" s="2077" t="str">
        <f t="shared" si="12"/>
        <v>* El total de procesados debe ser mayor o igual al total de Reactivos en el grupo de edad Menor de 6 meses</v>
      </c>
      <c r="CH28" s="2077" t="str">
        <f t="shared" si="13"/>
        <v>* El total de procesados debe ser mayor o igual al total de Reactivos en el grupo de edad 6 a 11 meses</v>
      </c>
      <c r="CI28" s="2077" t="str">
        <f t="shared" si="14"/>
        <v>* El total de procesados debe ser mayor o igual al total de Reactivos en el grupo de edad 12-24 meses</v>
      </c>
      <c r="CJ28" s="2077" t="str">
        <f t="shared" si="15"/>
        <v>* El total de procesados debe ser mayor o igual al total de Reactivos en el grupo de edad 3 a 4</v>
      </c>
      <c r="CK28" s="2077" t="str">
        <f t="shared" si="16"/>
        <v>* El total de procesados debe ser mayor o igual al total de Reactivos en el grupo de edad 5 a 9</v>
      </c>
      <c r="CL28" s="2077" t="str">
        <f t="shared" si="17"/>
        <v>* El total de procesados debe ser mayor o igual al total de Reactivos en el grupo de edad 10 - 14</v>
      </c>
      <c r="CM28" s="2077" t="str">
        <f t="shared" si="18"/>
        <v>* El total de procesados debe ser mayor o igual al total de Reactivos en el grupo de edad 15 - 19</v>
      </c>
      <c r="CN28" s="2077" t="str">
        <f t="shared" si="19"/>
        <v>* El total de procesados debe ser mayor o igual al total de Reactivos en el grupo de edad 20 - 24</v>
      </c>
      <c r="CO28" s="2077" t="str">
        <f t="shared" si="20"/>
        <v>* El total de procesados debe ser mayor o igual al total de Reactivos en el grupo de edad 25 a 29</v>
      </c>
      <c r="CP28" s="2077" t="str">
        <f t="shared" si="21"/>
        <v>* El total de procesados debe ser mayor o igual al total de Reactivos en el grupo de edad 30 a 34</v>
      </c>
      <c r="CQ28" s="2077" t="str">
        <f t="shared" si="22"/>
        <v>* El total de procesados debe ser mayor o igual al total de Reactivos en el grupo de edad 35 a 39</v>
      </c>
      <c r="CR28" s="2077" t="str">
        <f t="shared" si="23"/>
        <v>* El total de procesados debe ser mayor o igual al total de Reactivos en el grupo de edad 40 a 44</v>
      </c>
      <c r="CS28" s="2077" t="str">
        <f t="shared" si="24"/>
        <v>* El total de procesados debe ser mayor o igual al total de Reactivos en el grupo de edad 45 a 49</v>
      </c>
      <c r="CT28" s="2077" t="str">
        <f t="shared" si="25"/>
        <v>* El total de procesados debe ser mayor o igual al total de Reactivos en el grupo de edad 50 a 54</v>
      </c>
      <c r="CU28" s="2077" t="str">
        <f t="shared" si="26"/>
        <v>* El total de procesados debe ser mayor o igual al total de Reactivos en el grupo de edad 55 a 59</v>
      </c>
      <c r="CV28" s="2077" t="str">
        <f t="shared" si="27"/>
        <v>* El total de procesados debe ser mayor o igual al total de Reactivos en el grupo de edad 60 a 64</v>
      </c>
      <c r="CW28" s="2077" t="str">
        <f t="shared" si="28"/>
        <v>* El total de procesados debe ser mayor o igual al total de Reactivos en el grupo de edad 65 a 69</v>
      </c>
      <c r="CX28" s="2077" t="str">
        <f t="shared" si="29"/>
        <v>* El total de procesados debe ser mayor o igual al total de Reactivos en el grupo de edad 70 a 74</v>
      </c>
      <c r="CY28" s="2077" t="str">
        <f t="shared" si="30"/>
        <v>* El total de procesados debe ser mayor o igual al total de Reactivos en el grupo de edad 75 a 79</v>
      </c>
      <c r="CZ28" s="2077" t="str">
        <f t="shared" si="31"/>
        <v>* El total de procesados debe ser mayor o igual al total de Reactivos en el grupo de edad 80 y más</v>
      </c>
      <c r="DA28" s="2077" t="str">
        <f t="shared" si="0"/>
        <v/>
      </c>
      <c r="DB28" s="1363">
        <f t="shared" si="1"/>
        <v>1</v>
      </c>
      <c r="DC28" s="1363" t="e">
        <f t="shared" si="2"/>
        <v>#VALUE!</v>
      </c>
      <c r="DD28" s="1363" t="e">
        <f t="shared" si="3"/>
        <v>#VALUE!</v>
      </c>
      <c r="DE28" s="1363">
        <f t="shared" si="4"/>
        <v>1</v>
      </c>
      <c r="DF28" s="1363">
        <f t="shared" si="5"/>
        <v>1</v>
      </c>
      <c r="DG28" s="1363">
        <f t="shared" si="32"/>
        <v>1</v>
      </c>
      <c r="DH28" s="1363">
        <f t="shared" si="33"/>
        <v>1</v>
      </c>
      <c r="DI28" s="1363">
        <f t="shared" si="34"/>
        <v>1</v>
      </c>
      <c r="DJ28" s="1363">
        <f t="shared" si="35"/>
        <v>1</v>
      </c>
      <c r="DK28" s="1363">
        <f t="shared" si="36"/>
        <v>1</v>
      </c>
      <c r="DL28" s="1363">
        <f t="shared" si="37"/>
        <v>1</v>
      </c>
      <c r="DM28" s="1363">
        <f t="shared" si="38"/>
        <v>1</v>
      </c>
      <c r="DN28" s="1363">
        <f t="shared" si="39"/>
        <v>1</v>
      </c>
      <c r="DO28" s="1363">
        <f t="shared" si="40"/>
        <v>1</v>
      </c>
      <c r="DP28" s="1363">
        <f t="shared" si="41"/>
        <v>1</v>
      </c>
      <c r="DQ28" s="1363">
        <f t="shared" si="42"/>
        <v>1</v>
      </c>
      <c r="DR28" s="1363">
        <f t="shared" si="43"/>
        <v>1</v>
      </c>
      <c r="DS28" s="1363">
        <f t="shared" si="44"/>
        <v>1</v>
      </c>
      <c r="DT28" s="1363">
        <f t="shared" si="45"/>
        <v>1</v>
      </c>
      <c r="DU28" s="1363">
        <f t="shared" si="46"/>
        <v>1</v>
      </c>
      <c r="DV28" s="1363">
        <f t="shared" si="47"/>
        <v>1</v>
      </c>
      <c r="DW28" s="1363">
        <f t="shared" si="48"/>
        <v>1</v>
      </c>
      <c r="DX28" s="1363">
        <f t="shared" si="49"/>
        <v>1</v>
      </c>
      <c r="DY28" s="1363">
        <f t="shared" si="50"/>
        <v>1</v>
      </c>
      <c r="DZ28" s="1363">
        <f t="shared" si="51"/>
        <v>1</v>
      </c>
      <c r="EA28" s="1363">
        <f t="shared" si="52"/>
        <v>0</v>
      </c>
    </row>
    <row r="29" spans="1:131" ht="15.95" customHeight="1" x14ac:dyDescent="0.25">
      <c r="A29" s="3096">
        <v>11054201</v>
      </c>
      <c r="B29" s="100" t="s">
        <v>2276</v>
      </c>
      <c r="C29" s="587" t="s">
        <v>2777</v>
      </c>
      <c r="D29" s="1853" t="s">
        <v>2778</v>
      </c>
      <c r="E29" s="126" t="s">
        <v>2779</v>
      </c>
      <c r="F29" s="102" t="s">
        <v>2780</v>
      </c>
      <c r="G29" s="166" t="s">
        <v>2781</v>
      </c>
      <c r="H29" s="102" t="s">
        <v>2782</v>
      </c>
      <c r="I29" s="166" t="s">
        <v>2783</v>
      </c>
      <c r="J29" s="125" t="s">
        <v>2784</v>
      </c>
      <c r="K29" s="126" t="s">
        <v>2785</v>
      </c>
      <c r="L29" s="126" t="s">
        <v>2786</v>
      </c>
      <c r="M29" s="166" t="s">
        <v>2787</v>
      </c>
      <c r="N29" s="125" t="s">
        <v>2788</v>
      </c>
      <c r="O29" s="126" t="s">
        <v>2789</v>
      </c>
      <c r="P29" s="102" t="s">
        <v>2790</v>
      </c>
      <c r="Q29" s="166" t="s">
        <v>2791</v>
      </c>
      <c r="R29" s="102" t="s">
        <v>2792</v>
      </c>
      <c r="S29" s="166" t="s">
        <v>2793</v>
      </c>
      <c r="T29" s="102" t="s">
        <v>2794</v>
      </c>
      <c r="U29" s="166" t="s">
        <v>2795</v>
      </c>
      <c r="V29" s="102" t="s">
        <v>2796</v>
      </c>
      <c r="W29" s="166" t="s">
        <v>2797</v>
      </c>
      <c r="X29" s="102" t="s">
        <v>2798</v>
      </c>
      <c r="Y29" s="166" t="s">
        <v>2799</v>
      </c>
      <c r="Z29" s="102" t="s">
        <v>2800</v>
      </c>
      <c r="AA29" s="166" t="s">
        <v>2801</v>
      </c>
      <c r="AB29" s="102" t="s">
        <v>2817</v>
      </c>
      <c r="AC29" s="166" t="s">
        <v>2818</v>
      </c>
      <c r="AD29" s="102" t="s">
        <v>2819</v>
      </c>
      <c r="AE29" s="166" t="s">
        <v>2821</v>
      </c>
      <c r="AF29" s="102" t="s">
        <v>2822</v>
      </c>
      <c r="AG29" s="166" t="s">
        <v>2823</v>
      </c>
      <c r="AH29" s="102" t="s">
        <v>2824</v>
      </c>
      <c r="AI29" s="166" t="s">
        <v>2825</v>
      </c>
      <c r="AJ29" s="102" t="s">
        <v>2826</v>
      </c>
      <c r="AK29" s="166" t="s">
        <v>2827</v>
      </c>
      <c r="AL29" s="102" t="s">
        <v>2831</v>
      </c>
      <c r="AM29" s="166" t="s">
        <v>2832</v>
      </c>
      <c r="AN29" s="102" t="s">
        <v>2833</v>
      </c>
      <c r="AO29" s="166" t="s">
        <v>2834</v>
      </c>
      <c r="AP29" s="102" t="s">
        <v>3011</v>
      </c>
      <c r="AQ29" s="166" t="s">
        <v>3012</v>
      </c>
      <c r="AR29" s="319" t="s">
        <v>3013</v>
      </c>
      <c r="AS29" s="126" t="s">
        <v>3014</v>
      </c>
      <c r="AT29" s="319" t="s">
        <v>3015</v>
      </c>
      <c r="AU29" s="126" t="s">
        <v>3206</v>
      </c>
      <c r="AV29" s="102" t="s">
        <v>3207</v>
      </c>
      <c r="AW29" s="166" t="s">
        <v>3272</v>
      </c>
      <c r="AX29" s="125" t="s">
        <v>3273</v>
      </c>
      <c r="AY29" s="1079" t="e">
        <f t="shared" si="6"/>
        <v>#VALUE!</v>
      </c>
      <c r="AZ29" s="1079"/>
      <c r="BA29" s="1079"/>
      <c r="BB29" s="1079"/>
      <c r="BC29" s="1079"/>
      <c r="BD29" s="1079"/>
      <c r="BE29" s="1079"/>
      <c r="BF29" s="1079"/>
      <c r="BG29" s="1079"/>
      <c r="BH29" s="1079"/>
      <c r="BI29" s="1079"/>
      <c r="BJ29" s="884"/>
      <c r="BK29" s="884"/>
      <c r="BL29" s="884"/>
      <c r="BM29" s="884"/>
      <c r="BV29" s="884"/>
      <c r="BX29" s="885"/>
      <c r="CB29" s="2077" t="str">
        <f t="shared" si="7"/>
        <v xml:space="preserve">* El total de Reactivos NO DEBE ser superior al total de Procesados. </v>
      </c>
      <c r="CC29" s="2077" t="e">
        <f t="shared" si="8"/>
        <v>#VALUE!</v>
      </c>
      <c r="CD29" s="2077" t="e">
        <f t="shared" si="9"/>
        <v>#VALUE!</v>
      </c>
      <c r="CE29" s="2077" t="str">
        <f t="shared" si="10"/>
        <v xml:space="preserve">* La columna Pueblos Originarios NO DEBE ser superior al total de Procesados. </v>
      </c>
      <c r="CF29" s="2077" t="str">
        <f t="shared" si="11"/>
        <v xml:space="preserve">* La columna Migrantes NO DEBE ser superior al total de Procesados. </v>
      </c>
      <c r="CG29" s="2077" t="str">
        <f t="shared" si="12"/>
        <v>* El total de procesados debe ser mayor o igual al total de Reactivos en el grupo de edad Menor de 6 meses</v>
      </c>
      <c r="CH29" s="2077" t="str">
        <f t="shared" si="13"/>
        <v>* El total de procesados debe ser mayor o igual al total de Reactivos en el grupo de edad 6 a 11 meses</v>
      </c>
      <c r="CI29" s="2077" t="str">
        <f t="shared" si="14"/>
        <v>* El total de procesados debe ser mayor o igual al total de Reactivos en el grupo de edad 12-24 meses</v>
      </c>
      <c r="CJ29" s="2077" t="str">
        <f t="shared" si="15"/>
        <v>* El total de procesados debe ser mayor o igual al total de Reactivos en el grupo de edad 3 a 4</v>
      </c>
      <c r="CK29" s="2077" t="str">
        <f t="shared" si="16"/>
        <v>* El total de procesados debe ser mayor o igual al total de Reactivos en el grupo de edad 5 a 9</v>
      </c>
      <c r="CL29" s="2077" t="str">
        <f t="shared" si="17"/>
        <v>* El total de procesados debe ser mayor o igual al total de Reactivos en el grupo de edad 10 - 14</v>
      </c>
      <c r="CM29" s="2077" t="str">
        <f t="shared" si="18"/>
        <v>* El total de procesados debe ser mayor o igual al total de Reactivos en el grupo de edad 15 - 19</v>
      </c>
      <c r="CN29" s="2077" t="str">
        <f t="shared" si="19"/>
        <v>* El total de procesados debe ser mayor o igual al total de Reactivos en el grupo de edad 20 - 24</v>
      </c>
      <c r="CO29" s="2077" t="str">
        <f t="shared" si="20"/>
        <v>* El total de procesados debe ser mayor o igual al total de Reactivos en el grupo de edad 25 a 29</v>
      </c>
      <c r="CP29" s="2077" t="str">
        <f t="shared" si="21"/>
        <v>* El total de procesados debe ser mayor o igual al total de Reactivos en el grupo de edad 30 a 34</v>
      </c>
      <c r="CQ29" s="2077" t="str">
        <f t="shared" si="22"/>
        <v>* El total de procesados debe ser mayor o igual al total de Reactivos en el grupo de edad 35 a 39</v>
      </c>
      <c r="CR29" s="2077" t="str">
        <f t="shared" si="23"/>
        <v>* El total de procesados debe ser mayor o igual al total de Reactivos en el grupo de edad 40 a 44</v>
      </c>
      <c r="CS29" s="2077" t="str">
        <f t="shared" si="24"/>
        <v>* El total de procesados debe ser mayor o igual al total de Reactivos en el grupo de edad 45 a 49</v>
      </c>
      <c r="CT29" s="2077" t="str">
        <f t="shared" si="25"/>
        <v>* El total de procesados debe ser mayor o igual al total de Reactivos en el grupo de edad 50 a 54</v>
      </c>
      <c r="CU29" s="2077" t="str">
        <f t="shared" si="26"/>
        <v>* El total de procesados debe ser mayor o igual al total de Reactivos en el grupo de edad 55 a 59</v>
      </c>
      <c r="CV29" s="2077" t="str">
        <f t="shared" si="27"/>
        <v>* El total de procesados debe ser mayor o igual al total de Reactivos en el grupo de edad 60 a 64</v>
      </c>
      <c r="CW29" s="2077" t="str">
        <f t="shared" si="28"/>
        <v>* El total de procesados debe ser mayor o igual al total de Reactivos en el grupo de edad 65 a 69</v>
      </c>
      <c r="CX29" s="2077" t="str">
        <f t="shared" si="29"/>
        <v>* El total de procesados debe ser mayor o igual al total de Reactivos en el grupo de edad 70 a 74</v>
      </c>
      <c r="CY29" s="2077" t="str">
        <f t="shared" si="30"/>
        <v>* El total de procesados debe ser mayor o igual al total de Reactivos en el grupo de edad 75 a 79</v>
      </c>
      <c r="CZ29" s="2077" t="str">
        <f t="shared" si="31"/>
        <v>* El total de procesados debe ser mayor o igual al total de Reactivos en el grupo de edad 80 y más</v>
      </c>
      <c r="DA29" s="2077" t="str">
        <f t="shared" si="0"/>
        <v/>
      </c>
      <c r="DB29" s="1363">
        <f t="shared" si="1"/>
        <v>1</v>
      </c>
      <c r="DC29" s="1363" t="e">
        <f t="shared" si="2"/>
        <v>#VALUE!</v>
      </c>
      <c r="DD29" s="1363" t="e">
        <f t="shared" si="3"/>
        <v>#VALUE!</v>
      </c>
      <c r="DE29" s="1363">
        <f t="shared" si="4"/>
        <v>1</v>
      </c>
      <c r="DF29" s="1363">
        <f t="shared" si="5"/>
        <v>1</v>
      </c>
      <c r="DG29" s="1363">
        <f t="shared" si="32"/>
        <v>1</v>
      </c>
      <c r="DH29" s="1363">
        <f t="shared" si="33"/>
        <v>1</v>
      </c>
      <c r="DI29" s="1363">
        <f t="shared" si="34"/>
        <v>1</v>
      </c>
      <c r="DJ29" s="1363">
        <f t="shared" si="35"/>
        <v>1</v>
      </c>
      <c r="DK29" s="1363">
        <f t="shared" si="36"/>
        <v>1</v>
      </c>
      <c r="DL29" s="1363">
        <f t="shared" si="37"/>
        <v>1</v>
      </c>
      <c r="DM29" s="1363">
        <f t="shared" si="38"/>
        <v>1</v>
      </c>
      <c r="DN29" s="1363">
        <f t="shared" si="39"/>
        <v>1</v>
      </c>
      <c r="DO29" s="1363">
        <f t="shared" si="40"/>
        <v>1</v>
      </c>
      <c r="DP29" s="1363">
        <f t="shared" si="41"/>
        <v>1</v>
      </c>
      <c r="DQ29" s="1363">
        <f t="shared" si="42"/>
        <v>1</v>
      </c>
      <c r="DR29" s="1363">
        <f t="shared" si="43"/>
        <v>1</v>
      </c>
      <c r="DS29" s="1363">
        <f t="shared" si="44"/>
        <v>1</v>
      </c>
      <c r="DT29" s="1363">
        <f t="shared" si="45"/>
        <v>1</v>
      </c>
      <c r="DU29" s="1363">
        <f t="shared" si="46"/>
        <v>1</v>
      </c>
      <c r="DV29" s="1363">
        <f t="shared" si="47"/>
        <v>1</v>
      </c>
      <c r="DW29" s="1363">
        <f t="shared" si="48"/>
        <v>1</v>
      </c>
      <c r="DX29" s="1363">
        <f t="shared" si="49"/>
        <v>1</v>
      </c>
      <c r="DY29" s="1363">
        <f t="shared" si="50"/>
        <v>1</v>
      </c>
      <c r="DZ29" s="1363">
        <f t="shared" si="51"/>
        <v>1</v>
      </c>
      <c r="EA29" s="1363">
        <f t="shared" si="52"/>
        <v>0</v>
      </c>
    </row>
    <row r="30" spans="1:131" ht="32.1" customHeight="1" x14ac:dyDescent="0.25">
      <c r="B30" s="2034" t="s">
        <v>2277</v>
      </c>
      <c r="C30" s="2027"/>
      <c r="D30" s="2027"/>
      <c r="E30" s="2027"/>
      <c r="F30" s="2027"/>
      <c r="G30" s="2027"/>
      <c r="H30" s="2027"/>
      <c r="I30" s="177"/>
      <c r="J30" s="177"/>
      <c r="K30" s="139"/>
      <c r="L30" s="139"/>
      <c r="M30" s="139"/>
      <c r="N30" s="139"/>
      <c r="O30" s="139"/>
      <c r="P30" s="139"/>
      <c r="Q30" s="139"/>
      <c r="R30" s="190"/>
      <c r="AY30" s="2035"/>
      <c r="AZ30" s="2035"/>
      <c r="BA30" s="2035"/>
      <c r="BB30" s="884"/>
      <c r="BC30" s="884"/>
      <c r="BD30" s="884"/>
      <c r="BE30" s="884"/>
      <c r="BF30" s="884"/>
      <c r="BG30" s="884"/>
      <c r="BH30" s="884"/>
      <c r="BI30" s="884"/>
      <c r="BJ30" s="884"/>
      <c r="BK30" s="884"/>
      <c r="BL30" s="884"/>
      <c r="BM30" s="884"/>
      <c r="BN30" s="884"/>
      <c r="BU30" s="211"/>
      <c r="BV30" s="211"/>
      <c r="BW30" s="885"/>
      <c r="BX30" s="885"/>
    </row>
    <row r="31" spans="1:131" ht="32.1" customHeight="1" x14ac:dyDescent="0.25">
      <c r="B31" s="5158" t="s">
        <v>2255</v>
      </c>
      <c r="C31" s="6208" t="s">
        <v>42</v>
      </c>
      <c r="D31" s="6209"/>
      <c r="E31" s="5160" t="s">
        <v>425</v>
      </c>
      <c r="F31" s="5161"/>
      <c r="G31" s="5161"/>
      <c r="H31" s="5161"/>
      <c r="I31" s="5161"/>
      <c r="J31" s="5161"/>
      <c r="K31" s="5161"/>
      <c r="L31" s="5161"/>
      <c r="M31" s="5161"/>
      <c r="N31" s="5161"/>
      <c r="O31" s="5161"/>
      <c r="P31" s="5161"/>
      <c r="Q31" s="5161"/>
      <c r="R31" s="5161"/>
      <c r="S31" s="5161"/>
      <c r="T31" s="5161"/>
      <c r="U31" s="5161"/>
      <c r="V31" s="5161"/>
      <c r="W31" s="5161"/>
      <c r="X31" s="5161"/>
      <c r="Y31" s="5161"/>
      <c r="Z31" s="5161"/>
      <c r="AA31" s="5161"/>
      <c r="AB31" s="5161"/>
      <c r="AC31" s="5161"/>
      <c r="AD31" s="5161"/>
      <c r="AE31" s="5161"/>
      <c r="AF31" s="5161"/>
      <c r="AG31" s="5161"/>
      <c r="AH31" s="5161"/>
      <c r="AI31" s="5161"/>
      <c r="AJ31" s="5161"/>
      <c r="AK31" s="5161"/>
      <c r="AL31" s="5161"/>
      <c r="AM31" s="5161"/>
      <c r="AN31" s="5161"/>
      <c r="AO31" s="5161"/>
      <c r="AP31" s="5161"/>
      <c r="AQ31" s="5161"/>
      <c r="AR31" s="6212"/>
      <c r="AS31" s="5540" t="s">
        <v>2256</v>
      </c>
      <c r="AT31" s="6213"/>
      <c r="AU31" s="6214" t="s">
        <v>411</v>
      </c>
      <c r="AV31" s="6215"/>
      <c r="AW31" s="6218" t="s">
        <v>1359</v>
      </c>
      <c r="AX31" s="6219" t="s">
        <v>1358</v>
      </c>
      <c r="AY31" s="2035"/>
      <c r="AZ31" s="2035"/>
      <c r="BA31" s="884"/>
      <c r="BB31" s="884"/>
      <c r="BC31" s="884"/>
      <c r="BD31" s="884"/>
      <c r="BE31" s="884"/>
      <c r="BF31" s="884"/>
      <c r="BG31" s="884"/>
      <c r="BH31" s="884"/>
      <c r="BI31" s="884"/>
      <c r="BJ31" s="884"/>
      <c r="BK31" s="884"/>
      <c r="BL31" s="884"/>
      <c r="BM31" s="884"/>
      <c r="BV31" s="884"/>
      <c r="BW31" s="885"/>
      <c r="BX31" s="885"/>
    </row>
    <row r="32" spans="1:131" ht="16.350000000000001" customHeight="1" x14ac:dyDescent="0.25">
      <c r="B32" s="5113"/>
      <c r="C32" s="6210"/>
      <c r="D32" s="6211"/>
      <c r="E32" s="5165" t="s">
        <v>426</v>
      </c>
      <c r="F32" s="5540"/>
      <c r="G32" s="5165" t="s">
        <v>1382</v>
      </c>
      <c r="H32" s="5540"/>
      <c r="I32" s="5165" t="s">
        <v>1355</v>
      </c>
      <c r="J32" s="5167"/>
      <c r="K32" s="5540" t="s">
        <v>620</v>
      </c>
      <c r="L32" s="5540"/>
      <c r="M32" s="5165" t="s">
        <v>275</v>
      </c>
      <c r="N32" s="5540"/>
      <c r="O32" s="5165" t="s">
        <v>352</v>
      </c>
      <c r="P32" s="5540"/>
      <c r="Q32" s="5165" t="s">
        <v>319</v>
      </c>
      <c r="R32" s="5540"/>
      <c r="S32" s="5165" t="s">
        <v>10</v>
      </c>
      <c r="T32" s="5540"/>
      <c r="U32" s="5165" t="s">
        <v>151</v>
      </c>
      <c r="V32" s="5167"/>
      <c r="W32" s="5165" t="s">
        <v>152</v>
      </c>
      <c r="X32" s="5167"/>
      <c r="Y32" s="5165" t="s">
        <v>153</v>
      </c>
      <c r="Z32" s="5167"/>
      <c r="AA32" s="5165" t="s">
        <v>154</v>
      </c>
      <c r="AB32" s="5167"/>
      <c r="AC32" s="5165" t="s">
        <v>155</v>
      </c>
      <c r="AD32" s="5167"/>
      <c r="AE32" s="5165" t="s">
        <v>156</v>
      </c>
      <c r="AF32" s="5167"/>
      <c r="AG32" s="5165" t="s">
        <v>157</v>
      </c>
      <c r="AH32" s="5167"/>
      <c r="AI32" s="5165" t="s">
        <v>158</v>
      </c>
      <c r="AJ32" s="5167"/>
      <c r="AK32" s="5165" t="s">
        <v>159</v>
      </c>
      <c r="AL32" s="5167"/>
      <c r="AM32" s="5165" t="s">
        <v>160</v>
      </c>
      <c r="AN32" s="5167"/>
      <c r="AO32" s="5165" t="s">
        <v>161</v>
      </c>
      <c r="AP32" s="5167"/>
      <c r="AQ32" s="5165" t="s">
        <v>162</v>
      </c>
      <c r="AR32" s="6213"/>
      <c r="AS32" s="6220" t="s">
        <v>24</v>
      </c>
      <c r="AT32" s="6222" t="s">
        <v>25</v>
      </c>
      <c r="AU32" s="6216"/>
      <c r="AV32" s="6217"/>
      <c r="AW32" s="5121"/>
      <c r="AX32" s="5123"/>
      <c r="AY32" s="2035"/>
      <c r="AZ32" s="2035"/>
      <c r="BA32" s="884"/>
      <c r="BB32" s="884"/>
      <c r="BC32" s="884"/>
      <c r="BD32" s="884"/>
      <c r="BE32" s="884"/>
      <c r="BF32" s="884"/>
      <c r="BG32" s="884"/>
      <c r="BH32" s="884"/>
      <c r="BI32" s="884"/>
      <c r="BJ32" s="884"/>
      <c r="BK32" s="884"/>
      <c r="BL32" s="884"/>
      <c r="BM32" s="884"/>
      <c r="BV32" s="884"/>
      <c r="BW32" s="885"/>
      <c r="BX32" s="885"/>
    </row>
    <row r="33" spans="1:131" ht="16.350000000000001" customHeight="1" x14ac:dyDescent="0.25">
      <c r="B33" s="5159"/>
      <c r="C33" s="1749" t="s">
        <v>2257</v>
      </c>
      <c r="D33" s="2036" t="s">
        <v>2258</v>
      </c>
      <c r="E33" s="1597" t="s">
        <v>2257</v>
      </c>
      <c r="F33" s="1695" t="s">
        <v>2258</v>
      </c>
      <c r="G33" s="1597" t="s">
        <v>2257</v>
      </c>
      <c r="H33" s="1695" t="s">
        <v>2258</v>
      </c>
      <c r="I33" s="1597" t="s">
        <v>2257</v>
      </c>
      <c r="J33" s="2036" t="s">
        <v>2258</v>
      </c>
      <c r="K33" s="1749" t="s">
        <v>2257</v>
      </c>
      <c r="L33" s="1695" t="s">
        <v>2258</v>
      </c>
      <c r="M33" s="1597" t="s">
        <v>2257</v>
      </c>
      <c r="N33" s="1695" t="s">
        <v>2258</v>
      </c>
      <c r="O33" s="1597" t="s">
        <v>2257</v>
      </c>
      <c r="P33" s="1695" t="s">
        <v>2258</v>
      </c>
      <c r="Q33" s="1597" t="s">
        <v>2257</v>
      </c>
      <c r="R33" s="1695" t="s">
        <v>2258</v>
      </c>
      <c r="S33" s="1597" t="s">
        <v>2257</v>
      </c>
      <c r="T33" s="1695" t="s">
        <v>2258</v>
      </c>
      <c r="U33" s="1597" t="s">
        <v>2257</v>
      </c>
      <c r="V33" s="1695" t="s">
        <v>2258</v>
      </c>
      <c r="W33" s="1597" t="s">
        <v>2257</v>
      </c>
      <c r="X33" s="1695" t="s">
        <v>2258</v>
      </c>
      <c r="Y33" s="1597" t="s">
        <v>2257</v>
      </c>
      <c r="Z33" s="1695" t="s">
        <v>2258</v>
      </c>
      <c r="AA33" s="1597" t="s">
        <v>2257</v>
      </c>
      <c r="AB33" s="1695" t="s">
        <v>2258</v>
      </c>
      <c r="AC33" s="1597" t="s">
        <v>2257</v>
      </c>
      <c r="AD33" s="1695" t="s">
        <v>2258</v>
      </c>
      <c r="AE33" s="1597" t="s">
        <v>2257</v>
      </c>
      <c r="AF33" s="1695" t="s">
        <v>2258</v>
      </c>
      <c r="AG33" s="1597" t="s">
        <v>2257</v>
      </c>
      <c r="AH33" s="1695" t="s">
        <v>2258</v>
      </c>
      <c r="AI33" s="1597" t="s">
        <v>2257</v>
      </c>
      <c r="AJ33" s="1695" t="s">
        <v>2258</v>
      </c>
      <c r="AK33" s="1597" t="s">
        <v>2257</v>
      </c>
      <c r="AL33" s="1695" t="s">
        <v>2258</v>
      </c>
      <c r="AM33" s="1597" t="s">
        <v>2257</v>
      </c>
      <c r="AN33" s="1695" t="s">
        <v>2258</v>
      </c>
      <c r="AO33" s="1597" t="s">
        <v>2257</v>
      </c>
      <c r="AP33" s="1695" t="s">
        <v>2258</v>
      </c>
      <c r="AQ33" s="1597" t="s">
        <v>2257</v>
      </c>
      <c r="AR33" s="2030" t="s">
        <v>2258</v>
      </c>
      <c r="AS33" s="6221"/>
      <c r="AT33" s="6223"/>
      <c r="AU33" s="2031" t="s">
        <v>1350</v>
      </c>
      <c r="AV33" s="1901" t="s">
        <v>1351</v>
      </c>
      <c r="AW33" s="5799"/>
      <c r="AX33" s="5403"/>
      <c r="AY33" s="2035"/>
      <c r="AZ33" s="2035"/>
      <c r="BA33" s="884"/>
      <c r="BB33" s="884"/>
      <c r="BC33" s="884"/>
      <c r="BD33" s="884"/>
      <c r="BE33" s="884"/>
      <c r="BF33" s="884"/>
      <c r="BG33" s="884"/>
      <c r="BH33" s="884"/>
      <c r="BI33" s="884"/>
      <c r="BJ33" s="884"/>
      <c r="BK33" s="884"/>
      <c r="BL33" s="884"/>
      <c r="BM33" s="884"/>
      <c r="BV33" s="884"/>
      <c r="BW33" s="885"/>
      <c r="BX33" s="885"/>
    </row>
    <row r="34" spans="1:131" ht="16.350000000000001" customHeight="1" x14ac:dyDescent="0.25">
      <c r="A34" s="3097">
        <v>11054202</v>
      </c>
      <c r="B34" s="107" t="s">
        <v>2259</v>
      </c>
      <c r="C34" s="2032" t="s">
        <v>2777</v>
      </c>
      <c r="D34" s="1855" t="s">
        <v>2778</v>
      </c>
      <c r="E34" s="161" t="s">
        <v>2779</v>
      </c>
      <c r="F34" s="145" t="s">
        <v>2780</v>
      </c>
      <c r="G34" s="173" t="s">
        <v>2781</v>
      </c>
      <c r="H34" s="145" t="s">
        <v>2782</v>
      </c>
      <c r="I34" s="173" t="s">
        <v>2783</v>
      </c>
      <c r="J34" s="145" t="s">
        <v>2784</v>
      </c>
      <c r="K34" s="173" t="s">
        <v>2785</v>
      </c>
      <c r="L34" s="145" t="s">
        <v>2786</v>
      </c>
      <c r="M34" s="173" t="s">
        <v>2787</v>
      </c>
      <c r="N34" s="162" t="s">
        <v>2788</v>
      </c>
      <c r="O34" s="180" t="s">
        <v>2789</v>
      </c>
      <c r="P34" s="142" t="s">
        <v>2790</v>
      </c>
      <c r="Q34" s="141" t="s">
        <v>2791</v>
      </c>
      <c r="R34" s="142" t="s">
        <v>2792</v>
      </c>
      <c r="S34" s="141" t="s">
        <v>2793</v>
      </c>
      <c r="T34" s="142" t="s">
        <v>2794</v>
      </c>
      <c r="U34" s="141" t="s">
        <v>2795</v>
      </c>
      <c r="V34" s="142" t="s">
        <v>2796</v>
      </c>
      <c r="W34" s="141" t="s">
        <v>2797</v>
      </c>
      <c r="X34" s="142" t="s">
        <v>2798</v>
      </c>
      <c r="Y34" s="141" t="s">
        <v>2799</v>
      </c>
      <c r="Z34" s="142" t="s">
        <v>2800</v>
      </c>
      <c r="AA34" s="141" t="s">
        <v>2801</v>
      </c>
      <c r="AB34" s="142" t="s">
        <v>2817</v>
      </c>
      <c r="AC34" s="141" t="s">
        <v>2818</v>
      </c>
      <c r="AD34" s="142" t="s">
        <v>2819</v>
      </c>
      <c r="AE34" s="141" t="s">
        <v>2821</v>
      </c>
      <c r="AF34" s="142" t="s">
        <v>2822</v>
      </c>
      <c r="AG34" s="141" t="s">
        <v>2823</v>
      </c>
      <c r="AH34" s="142" t="s">
        <v>2824</v>
      </c>
      <c r="AI34" s="141" t="s">
        <v>2825</v>
      </c>
      <c r="AJ34" s="142" t="s">
        <v>2826</v>
      </c>
      <c r="AK34" s="141" t="s">
        <v>2827</v>
      </c>
      <c r="AL34" s="142" t="s">
        <v>2831</v>
      </c>
      <c r="AM34" s="141" t="s">
        <v>2832</v>
      </c>
      <c r="AN34" s="142" t="s">
        <v>2833</v>
      </c>
      <c r="AO34" s="141" t="s">
        <v>2834</v>
      </c>
      <c r="AP34" s="142" t="s">
        <v>3011</v>
      </c>
      <c r="AQ34" s="141" t="s">
        <v>3012</v>
      </c>
      <c r="AR34" s="318" t="s">
        <v>3013</v>
      </c>
      <c r="AS34" s="1703" t="s">
        <v>3014</v>
      </c>
      <c r="AT34" s="318" t="s">
        <v>3015</v>
      </c>
      <c r="AU34" s="180" t="s">
        <v>3206</v>
      </c>
      <c r="AV34" s="142" t="s">
        <v>3207</v>
      </c>
      <c r="AW34" s="141" t="s">
        <v>3272</v>
      </c>
      <c r="AX34" s="163" t="s">
        <v>3273</v>
      </c>
      <c r="AY34" s="1079" t="e">
        <f t="shared" ref="AY34:AY51" si="53">$CB34&amp;$CC34&amp;$CD34&amp;$CE34&amp;$CF34&amp;$CG34&amp;$CH34&amp;$CI34&amp;$CJ34&amp;$CK34&amp;$CL34&amp;$CM34&amp;$CN34&amp;$CO34&amp;$CP34&amp;$CQ34&amp;$CR34&amp;$CS34&amp;$CT34&amp;$CU34&amp;$CV34&amp;$CW34&amp;$CX34&amp;$CY34&amp;$CZ34&amp;$DA34</f>
        <v>#VALUE!</v>
      </c>
      <c r="AZ34" s="1079"/>
      <c r="BA34" s="1079"/>
      <c r="BB34" s="1079"/>
      <c r="BC34" s="1079"/>
      <c r="BD34" s="1079"/>
      <c r="BE34" s="1079"/>
      <c r="BF34" s="1079"/>
      <c r="BG34" s="1079"/>
      <c r="BH34" s="1079"/>
      <c r="BI34" s="1079"/>
      <c r="BJ34" s="884"/>
      <c r="BK34" s="884"/>
      <c r="BL34" s="884"/>
      <c r="BM34" s="884"/>
      <c r="BV34" s="885"/>
      <c r="BW34" s="885"/>
      <c r="BX34" s="885"/>
      <c r="CB34" s="2077" t="str">
        <f t="shared" ref="CB34:CB51" si="54">IF(C34&lt;D34,"* El total de Reactivos NO DEBE ser superior al total de Procesados. ","")</f>
        <v xml:space="preserve">* El total de Reactivos NO DEBE ser superior al total de Procesados. </v>
      </c>
      <c r="CC34" s="2077" t="e">
        <f t="shared" ref="CC34:CC51" si="55">IF(C34&lt;&gt;(AS34+ AT34),"* La suma de las columnas Sexo DEBE SER IGUAL a los Procesados. ","")</f>
        <v>#VALUE!</v>
      </c>
      <c r="CD34" s="2077" t="e">
        <f t="shared" ref="CD34:CD51" si="56">IF(C34&lt;(AU34+ AV34),"* La suma de las columna Trans NO DEBE ser superior al total de Procesados. ","")</f>
        <v>#VALUE!</v>
      </c>
      <c r="CE34" s="2077" t="str">
        <f t="shared" ref="CE34:CE51" si="57">IF(C34&lt;AW34,"* La columna Pueblos Originarios NO DEBE ser superior al total de Procesados. ","")</f>
        <v xml:space="preserve">* La columna Pueblos Originarios NO DEBE ser superior al total de Procesados. </v>
      </c>
      <c r="CF34" s="2077" t="str">
        <f t="shared" ref="CF34:CF51" si="58">IF(C34&lt;AX34,"* La columna Migrantes NO DEBE ser superior al total de Procesados. ","")</f>
        <v xml:space="preserve">* La columna Migrantes NO DEBE ser superior al total de Procesados. </v>
      </c>
      <c r="CG34" s="2077" t="str">
        <f>IF(E34&lt;F34,CONCATENATE("* El total de procesados debe ser mayor o igual al total de Reactivos en el grupo de edad ",$E$32),"")</f>
        <v>* El total de procesados debe ser mayor o igual al total de Reactivos en el grupo de edad Menor de 6 meses</v>
      </c>
      <c r="CH34" s="2077" t="str">
        <f>IF(G34&lt;H34,CONCATENATE("* El total de procesados debe ser mayor o igual al total de Reactivos en el grupo de edad ",$G$32),"")</f>
        <v>* El total de procesados debe ser mayor o igual al total de Reactivos en el grupo de edad 6 a 11 meses</v>
      </c>
      <c r="CI34" s="2077" t="str">
        <f>IF(I34&lt;J34,CONCATENATE("* El total de procesados debe ser mayor o igual al total de Reactivos en el grupo de edad ",$I$32),"")</f>
        <v>* El total de procesados debe ser mayor o igual al total de Reactivos en el grupo de edad 12-24 meses</v>
      </c>
      <c r="CJ34" s="2077" t="str">
        <f>IF(K34&lt;L34,CONCATENATE("* El total de procesados debe ser mayor o igual al total de Reactivos en el grupo de edad ",$K$32),"")</f>
        <v>* El total de procesados debe ser mayor o igual al total de Reactivos en el grupo de edad 3 a 4</v>
      </c>
      <c r="CK34" s="2077" t="str">
        <f>IF(M34&lt;N34,CONCATENATE("* El total de procesados debe ser mayor o igual al total de Reactivos en el grupo de edad ",$M$32),"")</f>
        <v>* El total de procesados debe ser mayor o igual al total de Reactivos en el grupo de edad 5 a 9</v>
      </c>
      <c r="CL34" s="2077" t="str">
        <f>IF(O34&lt;P34,CONCATENATE("* El total de procesados debe ser mayor o igual al total de Reactivos en el grupo de edad ",$O$32),"")</f>
        <v>* El total de procesados debe ser mayor o igual al total de Reactivos en el grupo de edad 10 - 14</v>
      </c>
      <c r="CM34" s="2077" t="str">
        <f>IF(Q34&lt;R34,CONCATENATE("* El total de procesados debe ser mayor o igual al total de Reactivos en el grupo de edad ",$Q$32),"")</f>
        <v>* El total de procesados debe ser mayor o igual al total de Reactivos en el grupo de edad 15 - 19</v>
      </c>
      <c r="CN34" s="2077" t="str">
        <f>IF(S34&lt;T34,CONCATENATE("* El total de procesados debe ser mayor o igual al total de Reactivos en el grupo de edad ",$S$32),"")</f>
        <v>* El total de procesados debe ser mayor o igual al total de Reactivos en el grupo de edad 20 - 24</v>
      </c>
      <c r="CO34" s="2077" t="str">
        <f>IF(U34&lt;V34,CONCATENATE("* El total de procesados debe ser mayor o igual al total de Reactivos en el grupo de edad ",$U$32),"")</f>
        <v>* El total de procesados debe ser mayor o igual al total de Reactivos en el grupo de edad 25 a 29</v>
      </c>
      <c r="CP34" s="2077" t="str">
        <f>IF(W34&lt;X34,CONCATENATE("* El total de procesados debe ser mayor o igual al total de Reactivos en el grupo de edad ",$W$32),"")</f>
        <v>* El total de procesados debe ser mayor o igual al total de Reactivos en el grupo de edad 30 a 34</v>
      </c>
      <c r="CQ34" s="2077" t="str">
        <f>IF(Y34&lt;Z34,CONCATENATE("* El total de procesados debe ser mayor o igual al total de Reactivos en el grupo de edad ",$Y$32),"")</f>
        <v>* El total de procesados debe ser mayor o igual al total de Reactivos en el grupo de edad 35 a 39</v>
      </c>
      <c r="CR34" s="2077" t="str">
        <f>IF(AA34&lt;AB34,CONCATENATE("* El total de procesados debe ser mayor o igual al total de Reactivos en el grupo de edad ",$AA$32),"")</f>
        <v>* El total de procesados debe ser mayor o igual al total de Reactivos en el grupo de edad 40 a 44</v>
      </c>
      <c r="CS34" s="2077" t="str">
        <f>IF(AC34&lt;AD34,CONCATENATE("* El total de procesados debe ser mayor o igual al total de Reactivos en el grupo de edad ",$AC$32),"")</f>
        <v>* El total de procesados debe ser mayor o igual al total de Reactivos en el grupo de edad 45 a 49</v>
      </c>
      <c r="CT34" s="2077" t="str">
        <f>IF(AE34&lt;AF34,CONCATENATE("* El total de procesados debe ser mayor o igual al total de Reactivos en el grupo de edad ",$AE$32),"")</f>
        <v>* El total de procesados debe ser mayor o igual al total de Reactivos en el grupo de edad 50 a 54</v>
      </c>
      <c r="CU34" s="2077" t="str">
        <f>IF(AG34&lt;AH34,CONCATENATE("* El total de procesados debe ser mayor o igual al total de Reactivos en el grupo de edad ",$AG$32),"")</f>
        <v>* El total de procesados debe ser mayor o igual al total de Reactivos en el grupo de edad 55 a 59</v>
      </c>
      <c r="CV34" s="2077" t="str">
        <f>IF(AI34&lt;AJ34,CONCATENATE("* El total de procesados debe ser mayor o igual al total de Reactivos en el grupo de edad ",$AI$32),"")</f>
        <v>* El total de procesados debe ser mayor o igual al total de Reactivos en el grupo de edad 60 a 64</v>
      </c>
      <c r="CW34" s="2077" t="str">
        <f>IF(AK34&lt;AL34,CONCATENATE("* El total de procesados debe ser mayor o igual al total de Reactivos en el grupo de edad ",$AK$32),"")</f>
        <v>* El total de procesados debe ser mayor o igual al total de Reactivos en el grupo de edad 65 a 69</v>
      </c>
      <c r="CX34" s="2077" t="str">
        <f>IF(AM34&lt;AN34,CONCATENATE("* El total de procesados debe ser mayor o igual al total de Reactivos en el grupo de edad ",$AM$32),"")</f>
        <v>* El total de procesados debe ser mayor o igual al total de Reactivos en el grupo de edad 70 a 74</v>
      </c>
      <c r="CY34" s="2077" t="str">
        <f>IF(AO34&lt;AP34,CONCATENATE("* El total de procesados debe ser mayor o igual al total de Reactivos en el grupo de edad ",$AO$32),"")</f>
        <v>* El total de procesados debe ser mayor o igual al total de Reactivos en el grupo de edad 75 a 79</v>
      </c>
      <c r="CZ34" s="2077" t="str">
        <f>IF(AQ34&lt;AR34,CONCATENATE("* El total de procesados debe ser mayor o igual al total de Reactivos en el grupo de edad ",$AQ$32),"")</f>
        <v>* El total de procesados debe ser mayor o igual al total de Reactivos en el grupo de edad 80 y más</v>
      </c>
      <c r="DA34" s="2077" t="str">
        <f>IF(AND(C34&lt;&gt;0,OR(AU34="",AV34="",AW34="",AX34="")),"* No olvide digitar la columna Trans y/o Pueblos Originarios y/o Migrantes (Digite Cero si no tiene). ","")</f>
        <v/>
      </c>
      <c r="DB34" s="1363">
        <f>IF(C34&lt;   D34,1,0)</f>
        <v>1</v>
      </c>
      <c r="DC34" s="1363" t="e">
        <f>IF(C34&lt;&gt; AS34+AT34,1,0)</f>
        <v>#VALUE!</v>
      </c>
      <c r="DD34" s="1363" t="e">
        <f>IF(C34&lt;  AU34+AV34,1,0)</f>
        <v>#VALUE!</v>
      </c>
      <c r="DE34" s="1363">
        <f>IF(C34&lt;  AW34,1,0)</f>
        <v>1</v>
      </c>
      <c r="DF34" s="1363">
        <f>IF(C34&lt;  AX34,1,0)</f>
        <v>1</v>
      </c>
      <c r="DG34" s="1363">
        <f t="shared" ref="DG34:DG51" si="59">IF(E34&lt;F34,1,0)</f>
        <v>1</v>
      </c>
      <c r="DH34" s="1363">
        <f t="shared" ref="DH34:DH51" si="60">IF(G34&lt;H34,1,0)</f>
        <v>1</v>
      </c>
      <c r="DI34" s="1363">
        <f t="shared" ref="DI34:DI51" si="61">IF(I34&lt;J34,1,0)</f>
        <v>1</v>
      </c>
      <c r="DJ34" s="1363">
        <f t="shared" ref="DJ34:DJ51" si="62">IF(K34&lt;L34,1,0)</f>
        <v>1</v>
      </c>
      <c r="DK34" s="1363">
        <f t="shared" ref="DK34:DK51" si="63">IF(M34&lt;N34,1,0)</f>
        <v>1</v>
      </c>
      <c r="DL34" s="1363">
        <f t="shared" ref="DL34:DL51" si="64">IF(O34&lt;P34,1,0)</f>
        <v>1</v>
      </c>
      <c r="DM34" s="1363">
        <f t="shared" ref="DM34:DM51" si="65">IF(Q34&lt;R34,1,0)</f>
        <v>1</v>
      </c>
      <c r="DN34" s="1363">
        <f t="shared" ref="DN34:DN51" si="66">IF(S34&lt;T34,1,0)</f>
        <v>1</v>
      </c>
      <c r="DO34" s="1363">
        <f t="shared" ref="DO34:DO51" si="67">IF(U34&lt;V34,1,0)</f>
        <v>1</v>
      </c>
      <c r="DP34" s="1363">
        <f t="shared" ref="DP34:DP51" si="68">IF(W34&lt;X34,1,0)</f>
        <v>1</v>
      </c>
      <c r="DQ34" s="1363">
        <f t="shared" ref="DQ34:DQ51" si="69">IF(Y34&lt;Z34,1,0)</f>
        <v>1</v>
      </c>
      <c r="DR34" s="1363">
        <f t="shared" ref="DR34:DR51" si="70">IF(AA34&lt;AB34,1,0)</f>
        <v>1</v>
      </c>
      <c r="DS34" s="1363">
        <f t="shared" ref="DS34:DS51" si="71">IF(AC34&lt;AD34,1,0)</f>
        <v>1</v>
      </c>
      <c r="DT34" s="1363">
        <f t="shared" ref="DT34:DT51" si="72">IF(AE34&lt;AF34,1,0)</f>
        <v>1</v>
      </c>
      <c r="DU34" s="1363">
        <f t="shared" ref="DU34:DU51" si="73">IF(AG34&lt;AH34,1,0)</f>
        <v>1</v>
      </c>
      <c r="DV34" s="1363">
        <f t="shared" ref="DV34:DV51" si="74">IF(AI34&lt;AJ34,1,0)</f>
        <v>1</v>
      </c>
      <c r="DW34" s="1363">
        <f t="shared" ref="DW34:DW51" si="75">IF(AK34&lt;AL34,1,0)</f>
        <v>1</v>
      </c>
      <c r="DX34" s="1363">
        <f t="shared" ref="DX34:DX51" si="76">IF(AM34&lt;AN34,1,0)</f>
        <v>1</v>
      </c>
      <c r="DY34" s="1363">
        <f t="shared" ref="DY34:DY51" si="77">IF(AO34&lt;AP34,1,0)</f>
        <v>1</v>
      </c>
      <c r="DZ34" s="1363">
        <f t="shared" ref="DZ34:DZ51" si="78">IF(AQ34&lt;AR34,1,0)</f>
        <v>1</v>
      </c>
      <c r="EA34" s="1363">
        <f t="shared" ref="EA34:EA51" si="79">IF(AND(C34&lt;&gt;0,OR(AU34="",AV34="",AW34="",AX34="")),1,0)</f>
        <v>0</v>
      </c>
    </row>
    <row r="35" spans="1:131" ht="16.350000000000001" customHeight="1" x14ac:dyDescent="0.25">
      <c r="A35" s="3097">
        <v>11054203</v>
      </c>
      <c r="B35" s="107" t="s">
        <v>2260</v>
      </c>
      <c r="C35" s="707" t="s">
        <v>2777</v>
      </c>
      <c r="D35" s="281" t="s">
        <v>2778</v>
      </c>
      <c r="E35" s="161" t="s">
        <v>2779</v>
      </c>
      <c r="F35" s="145" t="s">
        <v>2780</v>
      </c>
      <c r="G35" s="173" t="s">
        <v>2781</v>
      </c>
      <c r="H35" s="145" t="s">
        <v>2782</v>
      </c>
      <c r="I35" s="173" t="s">
        <v>2783</v>
      </c>
      <c r="J35" s="145" t="s">
        <v>2784</v>
      </c>
      <c r="K35" s="173" t="s">
        <v>2785</v>
      </c>
      <c r="L35" s="145" t="s">
        <v>2786</v>
      </c>
      <c r="M35" s="173" t="s">
        <v>2787</v>
      </c>
      <c r="N35" s="162" t="s">
        <v>2788</v>
      </c>
      <c r="O35" s="180" t="s">
        <v>2789</v>
      </c>
      <c r="P35" s="142" t="s">
        <v>2790</v>
      </c>
      <c r="Q35" s="141" t="s">
        <v>2791</v>
      </c>
      <c r="R35" s="142" t="s">
        <v>2792</v>
      </c>
      <c r="S35" s="141" t="s">
        <v>2793</v>
      </c>
      <c r="T35" s="142" t="s">
        <v>2794</v>
      </c>
      <c r="U35" s="141" t="s">
        <v>2795</v>
      </c>
      <c r="V35" s="142" t="s">
        <v>2796</v>
      </c>
      <c r="W35" s="141" t="s">
        <v>2797</v>
      </c>
      <c r="X35" s="142" t="s">
        <v>2798</v>
      </c>
      <c r="Y35" s="141" t="s">
        <v>2799</v>
      </c>
      <c r="Z35" s="142" t="s">
        <v>2800</v>
      </c>
      <c r="AA35" s="141" t="s">
        <v>2801</v>
      </c>
      <c r="AB35" s="142" t="s">
        <v>2817</v>
      </c>
      <c r="AC35" s="141" t="s">
        <v>2818</v>
      </c>
      <c r="AD35" s="142" t="s">
        <v>2819</v>
      </c>
      <c r="AE35" s="141" t="s">
        <v>2821</v>
      </c>
      <c r="AF35" s="142" t="s">
        <v>2822</v>
      </c>
      <c r="AG35" s="141" t="s">
        <v>2823</v>
      </c>
      <c r="AH35" s="142" t="s">
        <v>2824</v>
      </c>
      <c r="AI35" s="141" t="s">
        <v>2825</v>
      </c>
      <c r="AJ35" s="142" t="s">
        <v>2826</v>
      </c>
      <c r="AK35" s="141" t="s">
        <v>2827</v>
      </c>
      <c r="AL35" s="142" t="s">
        <v>2831</v>
      </c>
      <c r="AM35" s="141" t="s">
        <v>2832</v>
      </c>
      <c r="AN35" s="142" t="s">
        <v>2833</v>
      </c>
      <c r="AO35" s="141" t="s">
        <v>2834</v>
      </c>
      <c r="AP35" s="142" t="s">
        <v>3011</v>
      </c>
      <c r="AQ35" s="141" t="s">
        <v>3012</v>
      </c>
      <c r="AR35" s="318" t="s">
        <v>3013</v>
      </c>
      <c r="AS35" s="1703" t="s">
        <v>3014</v>
      </c>
      <c r="AT35" s="318" t="s">
        <v>3015</v>
      </c>
      <c r="AU35" s="180" t="s">
        <v>3206</v>
      </c>
      <c r="AV35" s="142" t="s">
        <v>3207</v>
      </c>
      <c r="AW35" s="141" t="s">
        <v>3272</v>
      </c>
      <c r="AX35" s="163" t="s">
        <v>3273</v>
      </c>
      <c r="AY35" s="1079" t="e">
        <f t="shared" si="53"/>
        <v>#VALUE!</v>
      </c>
      <c r="AZ35" s="1079"/>
      <c r="BA35" s="1079"/>
      <c r="BB35" s="1079"/>
      <c r="BC35" s="1079"/>
      <c r="BD35" s="1079"/>
      <c r="BE35" s="1079"/>
      <c r="BF35" s="1079"/>
      <c r="BG35" s="1079"/>
      <c r="BH35" s="1079"/>
      <c r="BI35" s="1079"/>
      <c r="BJ35" s="884"/>
      <c r="BK35" s="884"/>
      <c r="BL35" s="884"/>
      <c r="BM35" s="884"/>
      <c r="BV35" s="885"/>
      <c r="BW35" s="885"/>
      <c r="BX35" s="885"/>
      <c r="CB35" s="2077" t="str">
        <f t="shared" si="54"/>
        <v xml:space="preserve">* El total de Reactivos NO DEBE ser superior al total de Procesados. </v>
      </c>
      <c r="CC35" s="2077" t="e">
        <f t="shared" si="55"/>
        <v>#VALUE!</v>
      </c>
      <c r="CD35" s="2077" t="e">
        <f t="shared" si="56"/>
        <v>#VALUE!</v>
      </c>
      <c r="CE35" s="2077" t="str">
        <f t="shared" si="57"/>
        <v xml:space="preserve">* La columna Pueblos Originarios NO DEBE ser superior al total de Procesados. </v>
      </c>
      <c r="CF35" s="2077" t="str">
        <f t="shared" si="58"/>
        <v xml:space="preserve">* La columna Migrantes NO DEBE ser superior al total de Procesados. </v>
      </c>
      <c r="CG35" s="2077" t="str">
        <f t="shared" ref="CG35:CG51" si="80">IF(E35&lt;F35,CONCATENATE("* El total de procesados debe ser mayor o igual al total de Reactivos en el grupo de edad ",$E$32),"")</f>
        <v>* El total de procesados debe ser mayor o igual al total de Reactivos en el grupo de edad Menor de 6 meses</v>
      </c>
      <c r="CH35" s="2077" t="str">
        <f t="shared" ref="CH35:CH51" si="81">IF(G35&lt;H35,CONCATENATE("* El total de procesados debe ser mayor o igual al total de Reactivos en el grupo de edad ",$G$32),"")</f>
        <v>* El total de procesados debe ser mayor o igual al total de Reactivos en el grupo de edad 6 a 11 meses</v>
      </c>
      <c r="CI35" s="2077" t="str">
        <f t="shared" ref="CI35:CI51" si="82">IF(I35&lt;J35,CONCATENATE("* El total de procesados debe ser mayor o igual al total de Reactivos en el grupo de edad ",$I$32),"")</f>
        <v>* El total de procesados debe ser mayor o igual al total de Reactivos en el grupo de edad 12-24 meses</v>
      </c>
      <c r="CJ35" s="2077" t="str">
        <f t="shared" ref="CJ35:CJ51" si="83">IF(K35&lt;L35,CONCATENATE("* El total de procesados debe ser mayor o igual al total de Reactivos en el grupo de edad ",$K$32),"")</f>
        <v>* El total de procesados debe ser mayor o igual al total de Reactivos en el grupo de edad 3 a 4</v>
      </c>
      <c r="CK35" s="2077" t="str">
        <f t="shared" ref="CK35:CK51" si="84">IF(M35&lt;N35,CONCATENATE("* El total de procesados debe ser mayor o igual al total de Reactivos en el grupo de edad ",$M$32),"")</f>
        <v>* El total de procesados debe ser mayor o igual al total de Reactivos en el grupo de edad 5 a 9</v>
      </c>
      <c r="CL35" s="2077" t="str">
        <f t="shared" ref="CL35:CL51" si="85">IF(O35&lt;P35,CONCATENATE("* El total de procesados debe ser mayor o igual al total de Reactivos en el grupo de edad ",$O$32),"")</f>
        <v>* El total de procesados debe ser mayor o igual al total de Reactivos en el grupo de edad 10 - 14</v>
      </c>
      <c r="CM35" s="2077" t="str">
        <f t="shared" ref="CM35:CM51" si="86">IF(Q35&lt;R35,CONCATENATE("* El total de procesados debe ser mayor o igual al total de Reactivos en el grupo de edad ",$Q$32),"")</f>
        <v>* El total de procesados debe ser mayor o igual al total de Reactivos en el grupo de edad 15 - 19</v>
      </c>
      <c r="CN35" s="2077" t="str">
        <f t="shared" ref="CN35:CN51" si="87">IF(S35&lt;T35,CONCATENATE("* El total de procesados debe ser mayor o igual al total de Reactivos en el grupo de edad ",$S$32),"")</f>
        <v>* El total de procesados debe ser mayor o igual al total de Reactivos en el grupo de edad 20 - 24</v>
      </c>
      <c r="CO35" s="2077" t="str">
        <f t="shared" ref="CO35:CO51" si="88">IF(U35&lt;V35,CONCATENATE("* El total de procesados debe ser mayor o igual al total de Reactivos en el grupo de edad ",$U$32),"")</f>
        <v>* El total de procesados debe ser mayor o igual al total de Reactivos en el grupo de edad 25 a 29</v>
      </c>
      <c r="CP35" s="2077" t="str">
        <f t="shared" ref="CP35:CP51" si="89">IF(W35&lt;X35,CONCATENATE("* El total de procesados debe ser mayor o igual al total de Reactivos en el grupo de edad ",$W$32),"")</f>
        <v>* El total de procesados debe ser mayor o igual al total de Reactivos en el grupo de edad 30 a 34</v>
      </c>
      <c r="CQ35" s="2077" t="str">
        <f t="shared" ref="CQ35:CQ51" si="90">IF(Y35&lt;Z35,CONCATENATE("* El total de procesados debe ser mayor o igual al total de Reactivos en el grupo de edad ",$Y$32),"")</f>
        <v>* El total de procesados debe ser mayor o igual al total de Reactivos en el grupo de edad 35 a 39</v>
      </c>
      <c r="CR35" s="2077" t="str">
        <f t="shared" ref="CR35:CR51" si="91">IF(AA35&lt;AB35,CONCATENATE("* El total de procesados debe ser mayor o igual al total de Reactivos en el grupo de edad ",$AA$32),"")</f>
        <v>* El total de procesados debe ser mayor o igual al total de Reactivos en el grupo de edad 40 a 44</v>
      </c>
      <c r="CS35" s="2077" t="str">
        <f t="shared" ref="CS35:CS51" si="92">IF(AC35&lt;AD35,CONCATENATE("* El total de procesados debe ser mayor o igual al total de Reactivos en el grupo de edad ",$AC$32),"")</f>
        <v>* El total de procesados debe ser mayor o igual al total de Reactivos en el grupo de edad 45 a 49</v>
      </c>
      <c r="CT35" s="2077" t="str">
        <f t="shared" ref="CT35:CT51" si="93">IF(AE35&lt;AF35,CONCATENATE("* El total de procesados debe ser mayor o igual al total de Reactivos en el grupo de edad ",$AE$32),"")</f>
        <v>* El total de procesados debe ser mayor o igual al total de Reactivos en el grupo de edad 50 a 54</v>
      </c>
      <c r="CU35" s="2077" t="str">
        <f t="shared" ref="CU35:CU51" si="94">IF(AG35&lt;AH35,CONCATENATE("* El total de procesados debe ser mayor o igual al total de Reactivos en el grupo de edad ",$AG$32),"")</f>
        <v>* El total de procesados debe ser mayor o igual al total de Reactivos en el grupo de edad 55 a 59</v>
      </c>
      <c r="CV35" s="2077" t="str">
        <f t="shared" ref="CV35:CV51" si="95">IF(AI35&lt;AJ35,CONCATENATE("* El total de procesados debe ser mayor o igual al total de Reactivos en el grupo de edad ",$AI$32),"")</f>
        <v>* El total de procesados debe ser mayor o igual al total de Reactivos en el grupo de edad 60 a 64</v>
      </c>
      <c r="CW35" s="2077" t="str">
        <f t="shared" ref="CW35:CW51" si="96">IF(AK35&lt;AL35,CONCATENATE("* El total de procesados debe ser mayor o igual al total de Reactivos en el grupo de edad ",$AK$32),"")</f>
        <v>* El total de procesados debe ser mayor o igual al total de Reactivos en el grupo de edad 65 a 69</v>
      </c>
      <c r="CX35" s="2077" t="str">
        <f t="shared" ref="CX35:CX51" si="97">IF(AM35&lt;AN35,CONCATENATE("* El total de procesados debe ser mayor o igual al total de Reactivos en el grupo de edad ",$AM$32),"")</f>
        <v>* El total de procesados debe ser mayor o igual al total de Reactivos en el grupo de edad 70 a 74</v>
      </c>
      <c r="CY35" s="2077" t="str">
        <f t="shared" ref="CY35:CY51" si="98">IF(AO35&lt;AP35,CONCATENATE("* El total de procesados debe ser mayor o igual al total de Reactivos en el grupo de edad ",$AO$32),"")</f>
        <v>* El total de procesados debe ser mayor o igual al total de Reactivos en el grupo de edad 75 a 79</v>
      </c>
      <c r="CZ35" s="2077" t="str">
        <f t="shared" ref="CZ35:CZ51" si="99">IF(AQ35&lt;AR35,CONCATENATE("* El total de procesados debe ser mayor o igual al total de Reactivos en el grupo de edad ",$AQ$32),"")</f>
        <v>* El total de procesados debe ser mayor o igual al total de Reactivos en el grupo de edad 80 y más</v>
      </c>
      <c r="DA35" s="2077" t="str">
        <f t="shared" ref="DA35:DA51" si="100">IF(AND(C35&lt;&gt;0,OR(AU35="",AV35="",AW35="",AX35="")),"* No olvide digitar la columna Trans y/o Pueblos Originarios y/o Migrantes (Digite Cero si no tiene). ","")</f>
        <v/>
      </c>
      <c r="DB35" s="1363">
        <f t="shared" ref="DB35:DB51" si="101">IF(C35&lt;   D35,1,0)</f>
        <v>1</v>
      </c>
      <c r="DC35" s="1363" t="e">
        <f t="shared" ref="DC35:DC51" si="102">IF(C35&lt;&gt; AS35+AT35,1,0)</f>
        <v>#VALUE!</v>
      </c>
      <c r="DD35" s="1363" t="e">
        <f t="shared" ref="DD35:DD51" si="103">IF(C35&lt;  AU35+AV35,1,0)</f>
        <v>#VALUE!</v>
      </c>
      <c r="DE35" s="1363">
        <f t="shared" ref="DE35:DE51" si="104">IF(C35&lt;  AW35,1,0)</f>
        <v>1</v>
      </c>
      <c r="DF35" s="1363">
        <f t="shared" ref="DF35:DF51" si="105">IF(C35&lt;  AX35,1,0)</f>
        <v>1</v>
      </c>
      <c r="DG35" s="1363">
        <f t="shared" si="59"/>
        <v>1</v>
      </c>
      <c r="DH35" s="1363">
        <f t="shared" si="60"/>
        <v>1</v>
      </c>
      <c r="DI35" s="1363">
        <f t="shared" si="61"/>
        <v>1</v>
      </c>
      <c r="DJ35" s="1363">
        <f t="shared" si="62"/>
        <v>1</v>
      </c>
      <c r="DK35" s="1363">
        <f t="shared" si="63"/>
        <v>1</v>
      </c>
      <c r="DL35" s="1363">
        <f t="shared" si="64"/>
        <v>1</v>
      </c>
      <c r="DM35" s="1363">
        <f t="shared" si="65"/>
        <v>1</v>
      </c>
      <c r="DN35" s="1363">
        <f t="shared" si="66"/>
        <v>1</v>
      </c>
      <c r="DO35" s="1363">
        <f t="shared" si="67"/>
        <v>1</v>
      </c>
      <c r="DP35" s="1363">
        <f t="shared" si="68"/>
        <v>1</v>
      </c>
      <c r="DQ35" s="1363">
        <f t="shared" si="69"/>
        <v>1</v>
      </c>
      <c r="DR35" s="1363">
        <f t="shared" si="70"/>
        <v>1</v>
      </c>
      <c r="DS35" s="1363">
        <f t="shared" si="71"/>
        <v>1</v>
      </c>
      <c r="DT35" s="1363">
        <f t="shared" si="72"/>
        <v>1</v>
      </c>
      <c r="DU35" s="1363">
        <f t="shared" si="73"/>
        <v>1</v>
      </c>
      <c r="DV35" s="1363">
        <f t="shared" si="74"/>
        <v>1</v>
      </c>
      <c r="DW35" s="1363">
        <f t="shared" si="75"/>
        <v>1</v>
      </c>
      <c r="DX35" s="1363">
        <f t="shared" si="76"/>
        <v>1</v>
      </c>
      <c r="DY35" s="1363">
        <f t="shared" si="77"/>
        <v>1</v>
      </c>
      <c r="DZ35" s="1363">
        <f t="shared" si="78"/>
        <v>1</v>
      </c>
      <c r="EA35" s="1363">
        <f t="shared" si="79"/>
        <v>0</v>
      </c>
    </row>
    <row r="36" spans="1:131" ht="16.350000000000001" customHeight="1" x14ac:dyDescent="0.25">
      <c r="A36" s="3097">
        <v>11054204</v>
      </c>
      <c r="B36" s="107" t="s">
        <v>2261</v>
      </c>
      <c r="C36" s="707" t="s">
        <v>2777</v>
      </c>
      <c r="D36" s="281" t="s">
        <v>2778</v>
      </c>
      <c r="E36" s="161" t="s">
        <v>2779</v>
      </c>
      <c r="F36" s="145" t="s">
        <v>2780</v>
      </c>
      <c r="G36" s="173" t="s">
        <v>2781</v>
      </c>
      <c r="H36" s="145" t="s">
        <v>2782</v>
      </c>
      <c r="I36" s="173" t="s">
        <v>2783</v>
      </c>
      <c r="J36" s="145" t="s">
        <v>2784</v>
      </c>
      <c r="K36" s="173" t="s">
        <v>2785</v>
      </c>
      <c r="L36" s="145" t="s">
        <v>2786</v>
      </c>
      <c r="M36" s="173" t="s">
        <v>2787</v>
      </c>
      <c r="N36" s="162" t="s">
        <v>2788</v>
      </c>
      <c r="O36" s="180" t="s">
        <v>2789</v>
      </c>
      <c r="P36" s="142" t="s">
        <v>2790</v>
      </c>
      <c r="Q36" s="141" t="s">
        <v>2791</v>
      </c>
      <c r="R36" s="142" t="s">
        <v>2792</v>
      </c>
      <c r="S36" s="141" t="s">
        <v>2793</v>
      </c>
      <c r="T36" s="142" t="s">
        <v>2794</v>
      </c>
      <c r="U36" s="141" t="s">
        <v>2795</v>
      </c>
      <c r="V36" s="142" t="s">
        <v>2796</v>
      </c>
      <c r="W36" s="141" t="s">
        <v>2797</v>
      </c>
      <c r="X36" s="142" t="s">
        <v>2798</v>
      </c>
      <c r="Y36" s="141" t="s">
        <v>2799</v>
      </c>
      <c r="Z36" s="142" t="s">
        <v>2800</v>
      </c>
      <c r="AA36" s="141" t="s">
        <v>2801</v>
      </c>
      <c r="AB36" s="142" t="s">
        <v>2817</v>
      </c>
      <c r="AC36" s="141" t="s">
        <v>2818</v>
      </c>
      <c r="AD36" s="142" t="s">
        <v>2819</v>
      </c>
      <c r="AE36" s="141" t="s">
        <v>2821</v>
      </c>
      <c r="AF36" s="142" t="s">
        <v>2822</v>
      </c>
      <c r="AG36" s="141" t="s">
        <v>2823</v>
      </c>
      <c r="AH36" s="142" t="s">
        <v>2824</v>
      </c>
      <c r="AI36" s="141" t="s">
        <v>2825</v>
      </c>
      <c r="AJ36" s="142" t="s">
        <v>2826</v>
      </c>
      <c r="AK36" s="141" t="s">
        <v>2827</v>
      </c>
      <c r="AL36" s="142" t="s">
        <v>2831</v>
      </c>
      <c r="AM36" s="141" t="s">
        <v>2832</v>
      </c>
      <c r="AN36" s="142" t="s">
        <v>2833</v>
      </c>
      <c r="AO36" s="141" t="s">
        <v>2834</v>
      </c>
      <c r="AP36" s="142" t="s">
        <v>3011</v>
      </c>
      <c r="AQ36" s="141" t="s">
        <v>3012</v>
      </c>
      <c r="AR36" s="318" t="s">
        <v>3013</v>
      </c>
      <c r="AS36" s="1703" t="s">
        <v>3014</v>
      </c>
      <c r="AT36" s="318" t="s">
        <v>3015</v>
      </c>
      <c r="AU36" s="180" t="s">
        <v>3206</v>
      </c>
      <c r="AV36" s="142" t="s">
        <v>3207</v>
      </c>
      <c r="AW36" s="141" t="s">
        <v>3272</v>
      </c>
      <c r="AX36" s="163" t="s">
        <v>3273</v>
      </c>
      <c r="AY36" s="1079" t="e">
        <f t="shared" si="53"/>
        <v>#VALUE!</v>
      </c>
      <c r="AZ36" s="1079"/>
      <c r="BA36" s="1079"/>
      <c r="BB36" s="1079"/>
      <c r="BC36" s="1079"/>
      <c r="BD36" s="1079"/>
      <c r="BE36" s="1079"/>
      <c r="BF36" s="1079"/>
      <c r="BG36" s="1079"/>
      <c r="BH36" s="1079"/>
      <c r="BI36" s="1079"/>
      <c r="BJ36" s="884"/>
      <c r="BK36" s="884"/>
      <c r="BL36" s="884"/>
      <c r="BM36" s="884"/>
      <c r="BV36" s="885"/>
      <c r="BW36" s="885"/>
      <c r="BX36" s="885"/>
      <c r="CB36" s="2077" t="str">
        <f t="shared" si="54"/>
        <v xml:space="preserve">* El total de Reactivos NO DEBE ser superior al total de Procesados. </v>
      </c>
      <c r="CC36" s="2077" t="e">
        <f t="shared" si="55"/>
        <v>#VALUE!</v>
      </c>
      <c r="CD36" s="2077" t="e">
        <f t="shared" si="56"/>
        <v>#VALUE!</v>
      </c>
      <c r="CE36" s="2077" t="str">
        <f t="shared" si="57"/>
        <v xml:space="preserve">* La columna Pueblos Originarios NO DEBE ser superior al total de Procesados. </v>
      </c>
      <c r="CF36" s="2077" t="str">
        <f t="shared" si="58"/>
        <v xml:space="preserve">* La columna Migrantes NO DEBE ser superior al total de Procesados. </v>
      </c>
      <c r="CG36" s="2077" t="str">
        <f t="shared" si="80"/>
        <v>* El total de procesados debe ser mayor o igual al total de Reactivos en el grupo de edad Menor de 6 meses</v>
      </c>
      <c r="CH36" s="2077" t="str">
        <f t="shared" si="81"/>
        <v>* El total de procesados debe ser mayor o igual al total de Reactivos en el grupo de edad 6 a 11 meses</v>
      </c>
      <c r="CI36" s="2077" t="str">
        <f t="shared" si="82"/>
        <v>* El total de procesados debe ser mayor o igual al total de Reactivos en el grupo de edad 12-24 meses</v>
      </c>
      <c r="CJ36" s="2077" t="str">
        <f t="shared" si="83"/>
        <v>* El total de procesados debe ser mayor o igual al total de Reactivos en el grupo de edad 3 a 4</v>
      </c>
      <c r="CK36" s="2077" t="str">
        <f t="shared" si="84"/>
        <v>* El total de procesados debe ser mayor o igual al total de Reactivos en el grupo de edad 5 a 9</v>
      </c>
      <c r="CL36" s="2077" t="str">
        <f t="shared" si="85"/>
        <v>* El total de procesados debe ser mayor o igual al total de Reactivos en el grupo de edad 10 - 14</v>
      </c>
      <c r="CM36" s="2077" t="str">
        <f t="shared" si="86"/>
        <v>* El total de procesados debe ser mayor o igual al total de Reactivos en el grupo de edad 15 - 19</v>
      </c>
      <c r="CN36" s="2077" t="str">
        <f t="shared" si="87"/>
        <v>* El total de procesados debe ser mayor o igual al total de Reactivos en el grupo de edad 20 - 24</v>
      </c>
      <c r="CO36" s="2077" t="str">
        <f t="shared" si="88"/>
        <v>* El total de procesados debe ser mayor o igual al total de Reactivos en el grupo de edad 25 a 29</v>
      </c>
      <c r="CP36" s="2077" t="str">
        <f t="shared" si="89"/>
        <v>* El total de procesados debe ser mayor o igual al total de Reactivos en el grupo de edad 30 a 34</v>
      </c>
      <c r="CQ36" s="2077" t="str">
        <f t="shared" si="90"/>
        <v>* El total de procesados debe ser mayor o igual al total de Reactivos en el grupo de edad 35 a 39</v>
      </c>
      <c r="CR36" s="2077" t="str">
        <f t="shared" si="91"/>
        <v>* El total de procesados debe ser mayor o igual al total de Reactivos en el grupo de edad 40 a 44</v>
      </c>
      <c r="CS36" s="2077" t="str">
        <f t="shared" si="92"/>
        <v>* El total de procesados debe ser mayor o igual al total de Reactivos en el grupo de edad 45 a 49</v>
      </c>
      <c r="CT36" s="2077" t="str">
        <f t="shared" si="93"/>
        <v>* El total de procesados debe ser mayor o igual al total de Reactivos en el grupo de edad 50 a 54</v>
      </c>
      <c r="CU36" s="2077" t="str">
        <f t="shared" si="94"/>
        <v>* El total de procesados debe ser mayor o igual al total de Reactivos en el grupo de edad 55 a 59</v>
      </c>
      <c r="CV36" s="2077" t="str">
        <f t="shared" si="95"/>
        <v>* El total de procesados debe ser mayor o igual al total de Reactivos en el grupo de edad 60 a 64</v>
      </c>
      <c r="CW36" s="2077" t="str">
        <f t="shared" si="96"/>
        <v>* El total de procesados debe ser mayor o igual al total de Reactivos en el grupo de edad 65 a 69</v>
      </c>
      <c r="CX36" s="2077" t="str">
        <f t="shared" si="97"/>
        <v>* El total de procesados debe ser mayor o igual al total de Reactivos en el grupo de edad 70 a 74</v>
      </c>
      <c r="CY36" s="2077" t="str">
        <f t="shared" si="98"/>
        <v>* El total de procesados debe ser mayor o igual al total de Reactivos en el grupo de edad 75 a 79</v>
      </c>
      <c r="CZ36" s="2077" t="str">
        <f t="shared" si="99"/>
        <v>* El total de procesados debe ser mayor o igual al total de Reactivos en el grupo de edad 80 y más</v>
      </c>
      <c r="DA36" s="2077" t="str">
        <f t="shared" si="100"/>
        <v/>
      </c>
      <c r="DB36" s="1363">
        <f t="shared" si="101"/>
        <v>1</v>
      </c>
      <c r="DC36" s="1363" t="e">
        <f t="shared" si="102"/>
        <v>#VALUE!</v>
      </c>
      <c r="DD36" s="1363" t="e">
        <f t="shared" si="103"/>
        <v>#VALUE!</v>
      </c>
      <c r="DE36" s="1363">
        <f t="shared" si="104"/>
        <v>1</v>
      </c>
      <c r="DF36" s="1363">
        <f t="shared" si="105"/>
        <v>1</v>
      </c>
      <c r="DG36" s="1363">
        <f t="shared" si="59"/>
        <v>1</v>
      </c>
      <c r="DH36" s="1363">
        <f t="shared" si="60"/>
        <v>1</v>
      </c>
      <c r="DI36" s="1363">
        <f t="shared" si="61"/>
        <v>1</v>
      </c>
      <c r="DJ36" s="1363">
        <f t="shared" si="62"/>
        <v>1</v>
      </c>
      <c r="DK36" s="1363">
        <f t="shared" si="63"/>
        <v>1</v>
      </c>
      <c r="DL36" s="1363">
        <f t="shared" si="64"/>
        <v>1</v>
      </c>
      <c r="DM36" s="1363">
        <f t="shared" si="65"/>
        <v>1</v>
      </c>
      <c r="DN36" s="1363">
        <f t="shared" si="66"/>
        <v>1</v>
      </c>
      <c r="DO36" s="1363">
        <f t="shared" si="67"/>
        <v>1</v>
      </c>
      <c r="DP36" s="1363">
        <f t="shared" si="68"/>
        <v>1</v>
      </c>
      <c r="DQ36" s="1363">
        <f t="shared" si="69"/>
        <v>1</v>
      </c>
      <c r="DR36" s="1363">
        <f t="shared" si="70"/>
        <v>1</v>
      </c>
      <c r="DS36" s="1363">
        <f t="shared" si="71"/>
        <v>1</v>
      </c>
      <c r="DT36" s="1363">
        <f t="shared" si="72"/>
        <v>1</v>
      </c>
      <c r="DU36" s="1363">
        <f t="shared" si="73"/>
        <v>1</v>
      </c>
      <c r="DV36" s="1363">
        <f t="shared" si="74"/>
        <v>1</v>
      </c>
      <c r="DW36" s="1363">
        <f t="shared" si="75"/>
        <v>1</v>
      </c>
      <c r="DX36" s="1363">
        <f t="shared" si="76"/>
        <v>1</v>
      </c>
      <c r="DY36" s="1363">
        <f t="shared" si="77"/>
        <v>1</v>
      </c>
      <c r="DZ36" s="1363">
        <f t="shared" si="78"/>
        <v>1</v>
      </c>
      <c r="EA36" s="1363">
        <f t="shared" si="79"/>
        <v>0</v>
      </c>
    </row>
    <row r="37" spans="1:131" ht="16.350000000000001" customHeight="1" x14ac:dyDescent="0.25">
      <c r="A37" s="3097">
        <v>11054205</v>
      </c>
      <c r="B37" s="107" t="s">
        <v>2262</v>
      </c>
      <c r="C37" s="707" t="s">
        <v>2777</v>
      </c>
      <c r="D37" s="281" t="s">
        <v>2778</v>
      </c>
      <c r="E37" s="161" t="s">
        <v>2779</v>
      </c>
      <c r="F37" s="145" t="s">
        <v>2780</v>
      </c>
      <c r="G37" s="173" t="s">
        <v>2781</v>
      </c>
      <c r="H37" s="145" t="s">
        <v>2782</v>
      </c>
      <c r="I37" s="173" t="s">
        <v>2783</v>
      </c>
      <c r="J37" s="145" t="s">
        <v>2784</v>
      </c>
      <c r="K37" s="173" t="s">
        <v>2785</v>
      </c>
      <c r="L37" s="145" t="s">
        <v>2786</v>
      </c>
      <c r="M37" s="173" t="s">
        <v>2787</v>
      </c>
      <c r="N37" s="162" t="s">
        <v>2788</v>
      </c>
      <c r="O37" s="180" t="s">
        <v>2789</v>
      </c>
      <c r="P37" s="142" t="s">
        <v>2790</v>
      </c>
      <c r="Q37" s="141" t="s">
        <v>2791</v>
      </c>
      <c r="R37" s="142" t="s">
        <v>2792</v>
      </c>
      <c r="S37" s="141" t="s">
        <v>2793</v>
      </c>
      <c r="T37" s="142" t="s">
        <v>2794</v>
      </c>
      <c r="U37" s="141" t="s">
        <v>2795</v>
      </c>
      <c r="V37" s="142" t="s">
        <v>2796</v>
      </c>
      <c r="W37" s="141" t="s">
        <v>2797</v>
      </c>
      <c r="X37" s="142" t="s">
        <v>2798</v>
      </c>
      <c r="Y37" s="141" t="s">
        <v>2799</v>
      </c>
      <c r="Z37" s="142" t="s">
        <v>2800</v>
      </c>
      <c r="AA37" s="141" t="s">
        <v>2801</v>
      </c>
      <c r="AB37" s="142" t="s">
        <v>2817</v>
      </c>
      <c r="AC37" s="141" t="s">
        <v>2818</v>
      </c>
      <c r="AD37" s="142" t="s">
        <v>2819</v>
      </c>
      <c r="AE37" s="141" t="s">
        <v>2821</v>
      </c>
      <c r="AF37" s="142" t="s">
        <v>2822</v>
      </c>
      <c r="AG37" s="141" t="s">
        <v>2823</v>
      </c>
      <c r="AH37" s="142" t="s">
        <v>2824</v>
      </c>
      <c r="AI37" s="141" t="s">
        <v>2825</v>
      </c>
      <c r="AJ37" s="142" t="s">
        <v>2826</v>
      </c>
      <c r="AK37" s="141" t="s">
        <v>2827</v>
      </c>
      <c r="AL37" s="142" t="s">
        <v>2831</v>
      </c>
      <c r="AM37" s="141" t="s">
        <v>2832</v>
      </c>
      <c r="AN37" s="142" t="s">
        <v>2833</v>
      </c>
      <c r="AO37" s="141" t="s">
        <v>2834</v>
      </c>
      <c r="AP37" s="142" t="s">
        <v>3011</v>
      </c>
      <c r="AQ37" s="141" t="s">
        <v>3012</v>
      </c>
      <c r="AR37" s="318" t="s">
        <v>3013</v>
      </c>
      <c r="AS37" s="1703" t="s">
        <v>3014</v>
      </c>
      <c r="AT37" s="318" t="s">
        <v>3015</v>
      </c>
      <c r="AU37" s="180" t="s">
        <v>3206</v>
      </c>
      <c r="AV37" s="142" t="s">
        <v>3207</v>
      </c>
      <c r="AW37" s="141" t="s">
        <v>3272</v>
      </c>
      <c r="AX37" s="163" t="s">
        <v>3273</v>
      </c>
      <c r="AY37" s="1079" t="e">
        <f t="shared" si="53"/>
        <v>#VALUE!</v>
      </c>
      <c r="AZ37" s="1079"/>
      <c r="BA37" s="1079"/>
      <c r="BB37" s="1079"/>
      <c r="BC37" s="1079"/>
      <c r="BD37" s="1079"/>
      <c r="BE37" s="1079"/>
      <c r="BF37" s="1079"/>
      <c r="BG37" s="1079"/>
      <c r="BH37" s="1079"/>
      <c r="BI37" s="1079"/>
      <c r="BJ37" s="884"/>
      <c r="BK37" s="884"/>
      <c r="BL37" s="884"/>
      <c r="BM37" s="884"/>
      <c r="BV37" s="885"/>
      <c r="BW37" s="885"/>
      <c r="BX37" s="885"/>
      <c r="CB37" s="2077" t="str">
        <f t="shared" si="54"/>
        <v xml:space="preserve">* El total de Reactivos NO DEBE ser superior al total de Procesados. </v>
      </c>
      <c r="CC37" s="2077" t="e">
        <f t="shared" si="55"/>
        <v>#VALUE!</v>
      </c>
      <c r="CD37" s="2077" t="e">
        <f t="shared" si="56"/>
        <v>#VALUE!</v>
      </c>
      <c r="CE37" s="2077" t="str">
        <f t="shared" si="57"/>
        <v xml:space="preserve">* La columna Pueblos Originarios NO DEBE ser superior al total de Procesados. </v>
      </c>
      <c r="CF37" s="2077" t="str">
        <f t="shared" si="58"/>
        <v xml:space="preserve">* La columna Migrantes NO DEBE ser superior al total de Procesados. </v>
      </c>
      <c r="CG37" s="2077" t="str">
        <f t="shared" si="80"/>
        <v>* El total de procesados debe ser mayor o igual al total de Reactivos en el grupo de edad Menor de 6 meses</v>
      </c>
      <c r="CH37" s="2077" t="str">
        <f t="shared" si="81"/>
        <v>* El total de procesados debe ser mayor o igual al total de Reactivos en el grupo de edad 6 a 11 meses</v>
      </c>
      <c r="CI37" s="2077" t="str">
        <f t="shared" si="82"/>
        <v>* El total de procesados debe ser mayor o igual al total de Reactivos en el grupo de edad 12-24 meses</v>
      </c>
      <c r="CJ37" s="2077" t="str">
        <f t="shared" si="83"/>
        <v>* El total de procesados debe ser mayor o igual al total de Reactivos en el grupo de edad 3 a 4</v>
      </c>
      <c r="CK37" s="2077" t="str">
        <f t="shared" si="84"/>
        <v>* El total de procesados debe ser mayor o igual al total de Reactivos en el grupo de edad 5 a 9</v>
      </c>
      <c r="CL37" s="2077" t="str">
        <f t="shared" si="85"/>
        <v>* El total de procesados debe ser mayor o igual al total de Reactivos en el grupo de edad 10 - 14</v>
      </c>
      <c r="CM37" s="2077" t="str">
        <f t="shared" si="86"/>
        <v>* El total de procesados debe ser mayor o igual al total de Reactivos en el grupo de edad 15 - 19</v>
      </c>
      <c r="CN37" s="2077" t="str">
        <f t="shared" si="87"/>
        <v>* El total de procesados debe ser mayor o igual al total de Reactivos en el grupo de edad 20 - 24</v>
      </c>
      <c r="CO37" s="2077" t="str">
        <f t="shared" si="88"/>
        <v>* El total de procesados debe ser mayor o igual al total de Reactivos en el grupo de edad 25 a 29</v>
      </c>
      <c r="CP37" s="2077" t="str">
        <f t="shared" si="89"/>
        <v>* El total de procesados debe ser mayor o igual al total de Reactivos en el grupo de edad 30 a 34</v>
      </c>
      <c r="CQ37" s="2077" t="str">
        <f t="shared" si="90"/>
        <v>* El total de procesados debe ser mayor o igual al total de Reactivos en el grupo de edad 35 a 39</v>
      </c>
      <c r="CR37" s="2077" t="str">
        <f t="shared" si="91"/>
        <v>* El total de procesados debe ser mayor o igual al total de Reactivos en el grupo de edad 40 a 44</v>
      </c>
      <c r="CS37" s="2077" t="str">
        <f t="shared" si="92"/>
        <v>* El total de procesados debe ser mayor o igual al total de Reactivos en el grupo de edad 45 a 49</v>
      </c>
      <c r="CT37" s="2077" t="str">
        <f t="shared" si="93"/>
        <v>* El total de procesados debe ser mayor o igual al total de Reactivos en el grupo de edad 50 a 54</v>
      </c>
      <c r="CU37" s="2077" t="str">
        <f t="shared" si="94"/>
        <v>* El total de procesados debe ser mayor o igual al total de Reactivos en el grupo de edad 55 a 59</v>
      </c>
      <c r="CV37" s="2077" t="str">
        <f t="shared" si="95"/>
        <v>* El total de procesados debe ser mayor o igual al total de Reactivos en el grupo de edad 60 a 64</v>
      </c>
      <c r="CW37" s="2077" t="str">
        <f t="shared" si="96"/>
        <v>* El total de procesados debe ser mayor o igual al total de Reactivos en el grupo de edad 65 a 69</v>
      </c>
      <c r="CX37" s="2077" t="str">
        <f t="shared" si="97"/>
        <v>* El total de procesados debe ser mayor o igual al total de Reactivos en el grupo de edad 70 a 74</v>
      </c>
      <c r="CY37" s="2077" t="str">
        <f t="shared" si="98"/>
        <v>* El total de procesados debe ser mayor o igual al total de Reactivos en el grupo de edad 75 a 79</v>
      </c>
      <c r="CZ37" s="2077" t="str">
        <f t="shared" si="99"/>
        <v>* El total de procesados debe ser mayor o igual al total de Reactivos en el grupo de edad 80 y más</v>
      </c>
      <c r="DA37" s="2077" t="str">
        <f t="shared" si="100"/>
        <v/>
      </c>
      <c r="DB37" s="1363">
        <f t="shared" si="101"/>
        <v>1</v>
      </c>
      <c r="DC37" s="1363" t="e">
        <f t="shared" si="102"/>
        <v>#VALUE!</v>
      </c>
      <c r="DD37" s="1363" t="e">
        <f t="shared" si="103"/>
        <v>#VALUE!</v>
      </c>
      <c r="DE37" s="1363">
        <f t="shared" si="104"/>
        <v>1</v>
      </c>
      <c r="DF37" s="1363">
        <f t="shared" si="105"/>
        <v>1</v>
      </c>
      <c r="DG37" s="1363">
        <f t="shared" si="59"/>
        <v>1</v>
      </c>
      <c r="DH37" s="1363">
        <f t="shared" si="60"/>
        <v>1</v>
      </c>
      <c r="DI37" s="1363">
        <f t="shared" si="61"/>
        <v>1</v>
      </c>
      <c r="DJ37" s="1363">
        <f t="shared" si="62"/>
        <v>1</v>
      </c>
      <c r="DK37" s="1363">
        <f t="shared" si="63"/>
        <v>1</v>
      </c>
      <c r="DL37" s="1363">
        <f t="shared" si="64"/>
        <v>1</v>
      </c>
      <c r="DM37" s="1363">
        <f t="shared" si="65"/>
        <v>1</v>
      </c>
      <c r="DN37" s="1363">
        <f t="shared" si="66"/>
        <v>1</v>
      </c>
      <c r="DO37" s="1363">
        <f t="shared" si="67"/>
        <v>1</v>
      </c>
      <c r="DP37" s="1363">
        <f t="shared" si="68"/>
        <v>1</v>
      </c>
      <c r="DQ37" s="1363">
        <f t="shared" si="69"/>
        <v>1</v>
      </c>
      <c r="DR37" s="1363">
        <f t="shared" si="70"/>
        <v>1</v>
      </c>
      <c r="DS37" s="1363">
        <f t="shared" si="71"/>
        <v>1</v>
      </c>
      <c r="DT37" s="1363">
        <f t="shared" si="72"/>
        <v>1</v>
      </c>
      <c r="DU37" s="1363">
        <f t="shared" si="73"/>
        <v>1</v>
      </c>
      <c r="DV37" s="1363">
        <f t="shared" si="74"/>
        <v>1</v>
      </c>
      <c r="DW37" s="1363">
        <f t="shared" si="75"/>
        <v>1</v>
      </c>
      <c r="DX37" s="1363">
        <f t="shared" si="76"/>
        <v>1</v>
      </c>
      <c r="DY37" s="1363">
        <f t="shared" si="77"/>
        <v>1</v>
      </c>
      <c r="DZ37" s="1363">
        <f t="shared" si="78"/>
        <v>1</v>
      </c>
      <c r="EA37" s="1363">
        <f t="shared" si="79"/>
        <v>0</v>
      </c>
    </row>
    <row r="38" spans="1:131" ht="16.350000000000001" customHeight="1" x14ac:dyDescent="0.25">
      <c r="A38" s="3097">
        <v>11054206</v>
      </c>
      <c r="B38" s="371" t="s">
        <v>2263</v>
      </c>
      <c r="C38" s="707" t="s">
        <v>2777</v>
      </c>
      <c r="D38" s="281" t="s">
        <v>2778</v>
      </c>
      <c r="E38" s="161" t="s">
        <v>2779</v>
      </c>
      <c r="F38" s="145" t="s">
        <v>2780</v>
      </c>
      <c r="G38" s="173" t="s">
        <v>2781</v>
      </c>
      <c r="H38" s="145" t="s">
        <v>2782</v>
      </c>
      <c r="I38" s="173" t="s">
        <v>2783</v>
      </c>
      <c r="J38" s="145" t="s">
        <v>2784</v>
      </c>
      <c r="K38" s="173" t="s">
        <v>2785</v>
      </c>
      <c r="L38" s="145" t="s">
        <v>2786</v>
      </c>
      <c r="M38" s="173" t="s">
        <v>2787</v>
      </c>
      <c r="N38" s="162" t="s">
        <v>2788</v>
      </c>
      <c r="O38" s="180" t="s">
        <v>2789</v>
      </c>
      <c r="P38" s="142" t="s">
        <v>2790</v>
      </c>
      <c r="Q38" s="141" t="s">
        <v>2791</v>
      </c>
      <c r="R38" s="142" t="s">
        <v>2792</v>
      </c>
      <c r="S38" s="141" t="s">
        <v>2793</v>
      </c>
      <c r="T38" s="142" t="s">
        <v>2794</v>
      </c>
      <c r="U38" s="141" t="s">
        <v>2795</v>
      </c>
      <c r="V38" s="142" t="s">
        <v>2796</v>
      </c>
      <c r="W38" s="141" t="s">
        <v>2797</v>
      </c>
      <c r="X38" s="142" t="s">
        <v>2798</v>
      </c>
      <c r="Y38" s="141" t="s">
        <v>2799</v>
      </c>
      <c r="Z38" s="142" t="s">
        <v>2800</v>
      </c>
      <c r="AA38" s="141" t="s">
        <v>2801</v>
      </c>
      <c r="AB38" s="142" t="s">
        <v>2817</v>
      </c>
      <c r="AC38" s="141" t="s">
        <v>2818</v>
      </c>
      <c r="AD38" s="142" t="s">
        <v>2819</v>
      </c>
      <c r="AE38" s="141" t="s">
        <v>2821</v>
      </c>
      <c r="AF38" s="142" t="s">
        <v>2822</v>
      </c>
      <c r="AG38" s="141" t="s">
        <v>2823</v>
      </c>
      <c r="AH38" s="142" t="s">
        <v>2824</v>
      </c>
      <c r="AI38" s="141" t="s">
        <v>2825</v>
      </c>
      <c r="AJ38" s="142" t="s">
        <v>2826</v>
      </c>
      <c r="AK38" s="141" t="s">
        <v>2827</v>
      </c>
      <c r="AL38" s="142" t="s">
        <v>2831</v>
      </c>
      <c r="AM38" s="141" t="s">
        <v>2832</v>
      </c>
      <c r="AN38" s="142" t="s">
        <v>2833</v>
      </c>
      <c r="AO38" s="141" t="s">
        <v>2834</v>
      </c>
      <c r="AP38" s="142" t="s">
        <v>3011</v>
      </c>
      <c r="AQ38" s="141" t="s">
        <v>3012</v>
      </c>
      <c r="AR38" s="318" t="s">
        <v>3013</v>
      </c>
      <c r="AS38" s="1703" t="s">
        <v>3014</v>
      </c>
      <c r="AT38" s="318" t="s">
        <v>3015</v>
      </c>
      <c r="AU38" s="180" t="s">
        <v>3206</v>
      </c>
      <c r="AV38" s="142" t="s">
        <v>3207</v>
      </c>
      <c r="AW38" s="141" t="s">
        <v>3272</v>
      </c>
      <c r="AX38" s="163" t="s">
        <v>3273</v>
      </c>
      <c r="AY38" s="1079" t="e">
        <f t="shared" si="53"/>
        <v>#VALUE!</v>
      </c>
      <c r="AZ38" s="1079"/>
      <c r="BA38" s="1079"/>
      <c r="BB38" s="1079"/>
      <c r="BC38" s="1079"/>
      <c r="BD38" s="1079"/>
      <c r="BE38" s="1079"/>
      <c r="BF38" s="1079"/>
      <c r="BG38" s="1079"/>
      <c r="BH38" s="1079"/>
      <c r="BI38" s="1079"/>
      <c r="BJ38" s="884"/>
      <c r="BK38" s="884"/>
      <c r="BL38" s="884"/>
      <c r="BM38" s="884"/>
      <c r="BV38" s="885"/>
      <c r="BW38" s="885"/>
      <c r="BX38" s="885"/>
      <c r="CB38" s="2077" t="str">
        <f t="shared" si="54"/>
        <v xml:space="preserve">* El total de Reactivos NO DEBE ser superior al total de Procesados. </v>
      </c>
      <c r="CC38" s="2077" t="e">
        <f t="shared" si="55"/>
        <v>#VALUE!</v>
      </c>
      <c r="CD38" s="2077" t="e">
        <f t="shared" si="56"/>
        <v>#VALUE!</v>
      </c>
      <c r="CE38" s="2077" t="str">
        <f t="shared" si="57"/>
        <v xml:space="preserve">* La columna Pueblos Originarios NO DEBE ser superior al total de Procesados. </v>
      </c>
      <c r="CF38" s="2077" t="str">
        <f t="shared" si="58"/>
        <v xml:space="preserve">* La columna Migrantes NO DEBE ser superior al total de Procesados. </v>
      </c>
      <c r="CG38" s="2077" t="str">
        <f t="shared" si="80"/>
        <v>* El total de procesados debe ser mayor o igual al total de Reactivos en el grupo de edad Menor de 6 meses</v>
      </c>
      <c r="CH38" s="2077" t="str">
        <f t="shared" si="81"/>
        <v>* El total de procesados debe ser mayor o igual al total de Reactivos en el grupo de edad 6 a 11 meses</v>
      </c>
      <c r="CI38" s="2077" t="str">
        <f t="shared" si="82"/>
        <v>* El total de procesados debe ser mayor o igual al total de Reactivos en el grupo de edad 12-24 meses</v>
      </c>
      <c r="CJ38" s="2077" t="str">
        <f t="shared" si="83"/>
        <v>* El total de procesados debe ser mayor o igual al total de Reactivos en el grupo de edad 3 a 4</v>
      </c>
      <c r="CK38" s="2077" t="str">
        <f t="shared" si="84"/>
        <v>* El total de procesados debe ser mayor o igual al total de Reactivos en el grupo de edad 5 a 9</v>
      </c>
      <c r="CL38" s="2077" t="str">
        <f t="shared" si="85"/>
        <v>* El total de procesados debe ser mayor o igual al total de Reactivos en el grupo de edad 10 - 14</v>
      </c>
      <c r="CM38" s="2077" t="str">
        <f t="shared" si="86"/>
        <v>* El total de procesados debe ser mayor o igual al total de Reactivos en el grupo de edad 15 - 19</v>
      </c>
      <c r="CN38" s="2077" t="str">
        <f t="shared" si="87"/>
        <v>* El total de procesados debe ser mayor o igual al total de Reactivos en el grupo de edad 20 - 24</v>
      </c>
      <c r="CO38" s="2077" t="str">
        <f t="shared" si="88"/>
        <v>* El total de procesados debe ser mayor o igual al total de Reactivos en el grupo de edad 25 a 29</v>
      </c>
      <c r="CP38" s="2077" t="str">
        <f t="shared" si="89"/>
        <v>* El total de procesados debe ser mayor o igual al total de Reactivos en el grupo de edad 30 a 34</v>
      </c>
      <c r="CQ38" s="2077" t="str">
        <f t="shared" si="90"/>
        <v>* El total de procesados debe ser mayor o igual al total de Reactivos en el grupo de edad 35 a 39</v>
      </c>
      <c r="CR38" s="2077" t="str">
        <f t="shared" si="91"/>
        <v>* El total de procesados debe ser mayor o igual al total de Reactivos en el grupo de edad 40 a 44</v>
      </c>
      <c r="CS38" s="2077" t="str">
        <f t="shared" si="92"/>
        <v>* El total de procesados debe ser mayor o igual al total de Reactivos en el grupo de edad 45 a 49</v>
      </c>
      <c r="CT38" s="2077" t="str">
        <f t="shared" si="93"/>
        <v>* El total de procesados debe ser mayor o igual al total de Reactivos en el grupo de edad 50 a 54</v>
      </c>
      <c r="CU38" s="2077" t="str">
        <f t="shared" si="94"/>
        <v>* El total de procesados debe ser mayor o igual al total de Reactivos en el grupo de edad 55 a 59</v>
      </c>
      <c r="CV38" s="2077" t="str">
        <f t="shared" si="95"/>
        <v>* El total de procesados debe ser mayor o igual al total de Reactivos en el grupo de edad 60 a 64</v>
      </c>
      <c r="CW38" s="2077" t="str">
        <f t="shared" si="96"/>
        <v>* El total de procesados debe ser mayor o igual al total de Reactivos en el grupo de edad 65 a 69</v>
      </c>
      <c r="CX38" s="2077" t="str">
        <f t="shared" si="97"/>
        <v>* El total de procesados debe ser mayor o igual al total de Reactivos en el grupo de edad 70 a 74</v>
      </c>
      <c r="CY38" s="2077" t="str">
        <f t="shared" si="98"/>
        <v>* El total de procesados debe ser mayor o igual al total de Reactivos en el grupo de edad 75 a 79</v>
      </c>
      <c r="CZ38" s="2077" t="str">
        <f t="shared" si="99"/>
        <v>* El total de procesados debe ser mayor o igual al total de Reactivos en el grupo de edad 80 y más</v>
      </c>
      <c r="DA38" s="2077" t="str">
        <f t="shared" si="100"/>
        <v/>
      </c>
      <c r="DB38" s="1363">
        <f t="shared" si="101"/>
        <v>1</v>
      </c>
      <c r="DC38" s="1363" t="e">
        <f t="shared" si="102"/>
        <v>#VALUE!</v>
      </c>
      <c r="DD38" s="1363" t="e">
        <f t="shared" si="103"/>
        <v>#VALUE!</v>
      </c>
      <c r="DE38" s="1363">
        <f t="shared" si="104"/>
        <v>1</v>
      </c>
      <c r="DF38" s="1363">
        <f t="shared" si="105"/>
        <v>1</v>
      </c>
      <c r="DG38" s="1363">
        <f t="shared" si="59"/>
        <v>1</v>
      </c>
      <c r="DH38" s="1363">
        <f t="shared" si="60"/>
        <v>1</v>
      </c>
      <c r="DI38" s="1363">
        <f t="shared" si="61"/>
        <v>1</v>
      </c>
      <c r="DJ38" s="1363">
        <f t="shared" si="62"/>
        <v>1</v>
      </c>
      <c r="DK38" s="1363">
        <f t="shared" si="63"/>
        <v>1</v>
      </c>
      <c r="DL38" s="1363">
        <f t="shared" si="64"/>
        <v>1</v>
      </c>
      <c r="DM38" s="1363">
        <f t="shared" si="65"/>
        <v>1</v>
      </c>
      <c r="DN38" s="1363">
        <f t="shared" si="66"/>
        <v>1</v>
      </c>
      <c r="DO38" s="1363">
        <f t="shared" si="67"/>
        <v>1</v>
      </c>
      <c r="DP38" s="1363">
        <f t="shared" si="68"/>
        <v>1</v>
      </c>
      <c r="DQ38" s="1363">
        <f t="shared" si="69"/>
        <v>1</v>
      </c>
      <c r="DR38" s="1363">
        <f t="shared" si="70"/>
        <v>1</v>
      </c>
      <c r="DS38" s="1363">
        <f t="shared" si="71"/>
        <v>1</v>
      </c>
      <c r="DT38" s="1363">
        <f t="shared" si="72"/>
        <v>1</v>
      </c>
      <c r="DU38" s="1363">
        <f t="shared" si="73"/>
        <v>1</v>
      </c>
      <c r="DV38" s="1363">
        <f t="shared" si="74"/>
        <v>1</v>
      </c>
      <c r="DW38" s="1363">
        <f t="shared" si="75"/>
        <v>1</v>
      </c>
      <c r="DX38" s="1363">
        <f t="shared" si="76"/>
        <v>1</v>
      </c>
      <c r="DY38" s="1363">
        <f t="shared" si="77"/>
        <v>1</v>
      </c>
      <c r="DZ38" s="1363">
        <f t="shared" si="78"/>
        <v>1</v>
      </c>
      <c r="EA38" s="1363">
        <f t="shared" si="79"/>
        <v>0</v>
      </c>
    </row>
    <row r="39" spans="1:131" ht="15.95" customHeight="1" x14ac:dyDescent="0.25">
      <c r="A39" s="3097">
        <v>11054207</v>
      </c>
      <c r="B39" s="371" t="s">
        <v>2264</v>
      </c>
      <c r="C39" s="707" t="s">
        <v>2777</v>
      </c>
      <c r="D39" s="281" t="s">
        <v>2778</v>
      </c>
      <c r="E39" s="161" t="s">
        <v>2779</v>
      </c>
      <c r="F39" s="145" t="s">
        <v>2780</v>
      </c>
      <c r="G39" s="173" t="s">
        <v>2781</v>
      </c>
      <c r="H39" s="145" t="s">
        <v>2782</v>
      </c>
      <c r="I39" s="173" t="s">
        <v>2783</v>
      </c>
      <c r="J39" s="145" t="s">
        <v>2784</v>
      </c>
      <c r="K39" s="173" t="s">
        <v>2785</v>
      </c>
      <c r="L39" s="145" t="s">
        <v>2786</v>
      </c>
      <c r="M39" s="173" t="s">
        <v>2787</v>
      </c>
      <c r="N39" s="162" t="s">
        <v>2788</v>
      </c>
      <c r="O39" s="180" t="s">
        <v>2789</v>
      </c>
      <c r="P39" s="142" t="s">
        <v>2790</v>
      </c>
      <c r="Q39" s="141" t="s">
        <v>2791</v>
      </c>
      <c r="R39" s="142" t="s">
        <v>2792</v>
      </c>
      <c r="S39" s="141" t="s">
        <v>2793</v>
      </c>
      <c r="T39" s="142" t="s">
        <v>2794</v>
      </c>
      <c r="U39" s="141" t="s">
        <v>2795</v>
      </c>
      <c r="V39" s="142" t="s">
        <v>2796</v>
      </c>
      <c r="W39" s="141" t="s">
        <v>2797</v>
      </c>
      <c r="X39" s="142" t="s">
        <v>2798</v>
      </c>
      <c r="Y39" s="141" t="s">
        <v>2799</v>
      </c>
      <c r="Z39" s="142" t="s">
        <v>2800</v>
      </c>
      <c r="AA39" s="141" t="s">
        <v>2801</v>
      </c>
      <c r="AB39" s="142" t="s">
        <v>2817</v>
      </c>
      <c r="AC39" s="141" t="s">
        <v>2818</v>
      </c>
      <c r="AD39" s="142" t="s">
        <v>2819</v>
      </c>
      <c r="AE39" s="141" t="s">
        <v>2821</v>
      </c>
      <c r="AF39" s="142" t="s">
        <v>2822</v>
      </c>
      <c r="AG39" s="141" t="s">
        <v>2823</v>
      </c>
      <c r="AH39" s="142" t="s">
        <v>2824</v>
      </c>
      <c r="AI39" s="141" t="s">
        <v>2825</v>
      </c>
      <c r="AJ39" s="142" t="s">
        <v>2826</v>
      </c>
      <c r="AK39" s="141" t="s">
        <v>2827</v>
      </c>
      <c r="AL39" s="142" t="s">
        <v>2831</v>
      </c>
      <c r="AM39" s="141" t="s">
        <v>2832</v>
      </c>
      <c r="AN39" s="142" t="s">
        <v>2833</v>
      </c>
      <c r="AO39" s="141" t="s">
        <v>2834</v>
      </c>
      <c r="AP39" s="142" t="s">
        <v>3011</v>
      </c>
      <c r="AQ39" s="141" t="s">
        <v>3012</v>
      </c>
      <c r="AR39" s="318" t="s">
        <v>3013</v>
      </c>
      <c r="AS39" s="180" t="s">
        <v>3014</v>
      </c>
      <c r="AT39" s="318" t="s">
        <v>3015</v>
      </c>
      <c r="AU39" s="180" t="s">
        <v>3206</v>
      </c>
      <c r="AV39" s="142" t="s">
        <v>3207</v>
      </c>
      <c r="AW39" s="141" t="s">
        <v>3272</v>
      </c>
      <c r="AX39" s="163" t="s">
        <v>3273</v>
      </c>
      <c r="AY39" s="1079" t="e">
        <f t="shared" si="53"/>
        <v>#VALUE!</v>
      </c>
      <c r="AZ39" s="1079"/>
      <c r="BA39" s="1079"/>
      <c r="BB39" s="1079"/>
      <c r="BC39" s="1079"/>
      <c r="BD39" s="1079"/>
      <c r="BE39" s="1079"/>
      <c r="BF39" s="1079"/>
      <c r="BG39" s="1079"/>
      <c r="BH39" s="1079"/>
      <c r="BI39" s="1079"/>
      <c r="BJ39" s="884"/>
      <c r="BK39" s="884"/>
      <c r="BL39" s="884"/>
      <c r="BM39" s="884"/>
      <c r="BV39" s="885"/>
      <c r="BW39" s="885"/>
      <c r="BX39" s="885"/>
      <c r="CB39" s="2077" t="str">
        <f t="shared" si="54"/>
        <v xml:space="preserve">* El total de Reactivos NO DEBE ser superior al total de Procesados. </v>
      </c>
      <c r="CC39" s="2077" t="e">
        <f t="shared" si="55"/>
        <v>#VALUE!</v>
      </c>
      <c r="CD39" s="2077" t="e">
        <f t="shared" si="56"/>
        <v>#VALUE!</v>
      </c>
      <c r="CE39" s="2077" t="str">
        <f t="shared" si="57"/>
        <v xml:space="preserve">* La columna Pueblos Originarios NO DEBE ser superior al total de Procesados. </v>
      </c>
      <c r="CF39" s="2077" t="str">
        <f t="shared" si="58"/>
        <v xml:space="preserve">* La columna Migrantes NO DEBE ser superior al total de Procesados. </v>
      </c>
      <c r="CG39" s="2077" t="str">
        <f t="shared" si="80"/>
        <v>* El total de procesados debe ser mayor o igual al total de Reactivos en el grupo de edad Menor de 6 meses</v>
      </c>
      <c r="CH39" s="2077" t="str">
        <f t="shared" si="81"/>
        <v>* El total de procesados debe ser mayor o igual al total de Reactivos en el grupo de edad 6 a 11 meses</v>
      </c>
      <c r="CI39" s="2077" t="str">
        <f t="shared" si="82"/>
        <v>* El total de procesados debe ser mayor o igual al total de Reactivos en el grupo de edad 12-24 meses</v>
      </c>
      <c r="CJ39" s="2077" t="str">
        <f t="shared" si="83"/>
        <v>* El total de procesados debe ser mayor o igual al total de Reactivos en el grupo de edad 3 a 4</v>
      </c>
      <c r="CK39" s="2077" t="str">
        <f t="shared" si="84"/>
        <v>* El total de procesados debe ser mayor o igual al total de Reactivos en el grupo de edad 5 a 9</v>
      </c>
      <c r="CL39" s="2077" t="str">
        <f t="shared" si="85"/>
        <v>* El total de procesados debe ser mayor o igual al total de Reactivos en el grupo de edad 10 - 14</v>
      </c>
      <c r="CM39" s="2077" t="str">
        <f t="shared" si="86"/>
        <v>* El total de procesados debe ser mayor o igual al total de Reactivos en el grupo de edad 15 - 19</v>
      </c>
      <c r="CN39" s="2077" t="str">
        <f t="shared" si="87"/>
        <v>* El total de procesados debe ser mayor o igual al total de Reactivos en el grupo de edad 20 - 24</v>
      </c>
      <c r="CO39" s="2077" t="str">
        <f t="shared" si="88"/>
        <v>* El total de procesados debe ser mayor o igual al total de Reactivos en el grupo de edad 25 a 29</v>
      </c>
      <c r="CP39" s="2077" t="str">
        <f t="shared" si="89"/>
        <v>* El total de procesados debe ser mayor o igual al total de Reactivos en el grupo de edad 30 a 34</v>
      </c>
      <c r="CQ39" s="2077" t="str">
        <f t="shared" si="90"/>
        <v>* El total de procesados debe ser mayor o igual al total de Reactivos en el grupo de edad 35 a 39</v>
      </c>
      <c r="CR39" s="2077" t="str">
        <f t="shared" si="91"/>
        <v>* El total de procesados debe ser mayor o igual al total de Reactivos en el grupo de edad 40 a 44</v>
      </c>
      <c r="CS39" s="2077" t="str">
        <f t="shared" si="92"/>
        <v>* El total de procesados debe ser mayor o igual al total de Reactivos en el grupo de edad 45 a 49</v>
      </c>
      <c r="CT39" s="2077" t="str">
        <f t="shared" si="93"/>
        <v>* El total de procesados debe ser mayor o igual al total de Reactivos en el grupo de edad 50 a 54</v>
      </c>
      <c r="CU39" s="2077" t="str">
        <f t="shared" si="94"/>
        <v>* El total de procesados debe ser mayor o igual al total de Reactivos en el grupo de edad 55 a 59</v>
      </c>
      <c r="CV39" s="2077" t="str">
        <f t="shared" si="95"/>
        <v>* El total de procesados debe ser mayor o igual al total de Reactivos en el grupo de edad 60 a 64</v>
      </c>
      <c r="CW39" s="2077" t="str">
        <f t="shared" si="96"/>
        <v>* El total de procesados debe ser mayor o igual al total de Reactivos en el grupo de edad 65 a 69</v>
      </c>
      <c r="CX39" s="2077" t="str">
        <f t="shared" si="97"/>
        <v>* El total de procesados debe ser mayor o igual al total de Reactivos en el grupo de edad 70 a 74</v>
      </c>
      <c r="CY39" s="2077" t="str">
        <f t="shared" si="98"/>
        <v>* El total de procesados debe ser mayor o igual al total de Reactivos en el grupo de edad 75 a 79</v>
      </c>
      <c r="CZ39" s="2077" t="str">
        <f t="shared" si="99"/>
        <v>* El total de procesados debe ser mayor o igual al total de Reactivos en el grupo de edad 80 y más</v>
      </c>
      <c r="DA39" s="2077" t="str">
        <f t="shared" si="100"/>
        <v/>
      </c>
      <c r="DB39" s="1363">
        <f t="shared" si="101"/>
        <v>1</v>
      </c>
      <c r="DC39" s="1363" t="e">
        <f t="shared" si="102"/>
        <v>#VALUE!</v>
      </c>
      <c r="DD39" s="1363" t="e">
        <f t="shared" si="103"/>
        <v>#VALUE!</v>
      </c>
      <c r="DE39" s="1363">
        <f t="shared" si="104"/>
        <v>1</v>
      </c>
      <c r="DF39" s="1363">
        <f t="shared" si="105"/>
        <v>1</v>
      </c>
      <c r="DG39" s="1363">
        <f t="shared" si="59"/>
        <v>1</v>
      </c>
      <c r="DH39" s="1363">
        <f t="shared" si="60"/>
        <v>1</v>
      </c>
      <c r="DI39" s="1363">
        <f t="shared" si="61"/>
        <v>1</v>
      </c>
      <c r="DJ39" s="1363">
        <f t="shared" si="62"/>
        <v>1</v>
      </c>
      <c r="DK39" s="1363">
        <f t="shared" si="63"/>
        <v>1</v>
      </c>
      <c r="DL39" s="1363">
        <f t="shared" si="64"/>
        <v>1</v>
      </c>
      <c r="DM39" s="1363">
        <f t="shared" si="65"/>
        <v>1</v>
      </c>
      <c r="DN39" s="1363">
        <f t="shared" si="66"/>
        <v>1</v>
      </c>
      <c r="DO39" s="1363">
        <f t="shared" si="67"/>
        <v>1</v>
      </c>
      <c r="DP39" s="1363">
        <f t="shared" si="68"/>
        <v>1</v>
      </c>
      <c r="DQ39" s="1363">
        <f t="shared" si="69"/>
        <v>1</v>
      </c>
      <c r="DR39" s="1363">
        <f t="shared" si="70"/>
        <v>1</v>
      </c>
      <c r="DS39" s="1363">
        <f t="shared" si="71"/>
        <v>1</v>
      </c>
      <c r="DT39" s="1363">
        <f t="shared" si="72"/>
        <v>1</v>
      </c>
      <c r="DU39" s="1363">
        <f t="shared" si="73"/>
        <v>1</v>
      </c>
      <c r="DV39" s="1363">
        <f t="shared" si="74"/>
        <v>1</v>
      </c>
      <c r="DW39" s="1363">
        <f t="shared" si="75"/>
        <v>1</v>
      </c>
      <c r="DX39" s="1363">
        <f t="shared" si="76"/>
        <v>1</v>
      </c>
      <c r="DY39" s="1363">
        <f t="shared" si="77"/>
        <v>1</v>
      </c>
      <c r="DZ39" s="1363">
        <f t="shared" si="78"/>
        <v>1</v>
      </c>
      <c r="EA39" s="1363">
        <f t="shared" si="79"/>
        <v>0</v>
      </c>
    </row>
    <row r="40" spans="1:131" ht="24.75" customHeight="1" x14ac:dyDescent="0.25">
      <c r="A40" s="3097">
        <v>11054208</v>
      </c>
      <c r="B40" s="3095" t="s">
        <v>2265</v>
      </c>
      <c r="C40" s="707" t="s">
        <v>2777</v>
      </c>
      <c r="D40" s="281" t="s">
        <v>2778</v>
      </c>
      <c r="E40" s="161" t="s">
        <v>2779</v>
      </c>
      <c r="F40" s="145" t="s">
        <v>2780</v>
      </c>
      <c r="G40" s="173" t="s">
        <v>2781</v>
      </c>
      <c r="H40" s="145" t="s">
        <v>2782</v>
      </c>
      <c r="I40" s="173" t="s">
        <v>2783</v>
      </c>
      <c r="J40" s="145" t="s">
        <v>2784</v>
      </c>
      <c r="K40" s="173" t="s">
        <v>2785</v>
      </c>
      <c r="L40" s="145" t="s">
        <v>2786</v>
      </c>
      <c r="M40" s="173" t="s">
        <v>2787</v>
      </c>
      <c r="N40" s="162" t="s">
        <v>2788</v>
      </c>
      <c r="O40" s="180" t="s">
        <v>2789</v>
      </c>
      <c r="P40" s="142" t="s">
        <v>2790</v>
      </c>
      <c r="Q40" s="141" t="s">
        <v>2791</v>
      </c>
      <c r="R40" s="142" t="s">
        <v>2792</v>
      </c>
      <c r="S40" s="141" t="s">
        <v>2793</v>
      </c>
      <c r="T40" s="142" t="s">
        <v>2794</v>
      </c>
      <c r="U40" s="141" t="s">
        <v>2795</v>
      </c>
      <c r="V40" s="142" t="s">
        <v>2796</v>
      </c>
      <c r="W40" s="141" t="s">
        <v>2797</v>
      </c>
      <c r="X40" s="142" t="s">
        <v>2798</v>
      </c>
      <c r="Y40" s="141" t="s">
        <v>2799</v>
      </c>
      <c r="Z40" s="142" t="s">
        <v>2800</v>
      </c>
      <c r="AA40" s="141" t="s">
        <v>2801</v>
      </c>
      <c r="AB40" s="142" t="s">
        <v>2817</v>
      </c>
      <c r="AC40" s="141" t="s">
        <v>2818</v>
      </c>
      <c r="AD40" s="142" t="s">
        <v>2819</v>
      </c>
      <c r="AE40" s="141" t="s">
        <v>2821</v>
      </c>
      <c r="AF40" s="142" t="s">
        <v>2822</v>
      </c>
      <c r="AG40" s="141" t="s">
        <v>2823</v>
      </c>
      <c r="AH40" s="142" t="s">
        <v>2824</v>
      </c>
      <c r="AI40" s="141" t="s">
        <v>2825</v>
      </c>
      <c r="AJ40" s="142" t="s">
        <v>2826</v>
      </c>
      <c r="AK40" s="141" t="s">
        <v>2827</v>
      </c>
      <c r="AL40" s="142" t="s">
        <v>2831</v>
      </c>
      <c r="AM40" s="141" t="s">
        <v>2832</v>
      </c>
      <c r="AN40" s="142" t="s">
        <v>2833</v>
      </c>
      <c r="AO40" s="141" t="s">
        <v>2834</v>
      </c>
      <c r="AP40" s="142" t="s">
        <v>3011</v>
      </c>
      <c r="AQ40" s="141" t="s">
        <v>3012</v>
      </c>
      <c r="AR40" s="318" t="s">
        <v>3013</v>
      </c>
      <c r="AS40" s="1703" t="s">
        <v>3014</v>
      </c>
      <c r="AT40" s="318" t="s">
        <v>3015</v>
      </c>
      <c r="AU40" s="180" t="s">
        <v>3206</v>
      </c>
      <c r="AV40" s="142" t="s">
        <v>3207</v>
      </c>
      <c r="AW40" s="141" t="s">
        <v>3272</v>
      </c>
      <c r="AX40" s="163" t="s">
        <v>3273</v>
      </c>
      <c r="AY40" s="1079" t="e">
        <f t="shared" si="53"/>
        <v>#VALUE!</v>
      </c>
      <c r="AZ40" s="1079"/>
      <c r="BA40" s="1079"/>
      <c r="BB40" s="1079"/>
      <c r="BC40" s="1079"/>
      <c r="BD40" s="1079"/>
      <c r="BE40" s="1079"/>
      <c r="BF40" s="1079"/>
      <c r="BG40" s="1079"/>
      <c r="BH40" s="1079"/>
      <c r="BI40" s="1079"/>
      <c r="BJ40" s="884"/>
      <c r="BK40" s="884"/>
      <c r="BL40" s="884"/>
      <c r="BM40" s="884"/>
      <c r="BV40" s="885"/>
      <c r="BW40" s="885"/>
      <c r="BX40" s="885"/>
      <c r="CB40" s="2077" t="str">
        <f t="shared" si="54"/>
        <v xml:space="preserve">* El total de Reactivos NO DEBE ser superior al total de Procesados. </v>
      </c>
      <c r="CC40" s="2077" t="e">
        <f t="shared" si="55"/>
        <v>#VALUE!</v>
      </c>
      <c r="CD40" s="2077" t="e">
        <f t="shared" si="56"/>
        <v>#VALUE!</v>
      </c>
      <c r="CE40" s="2077" t="str">
        <f t="shared" si="57"/>
        <v xml:space="preserve">* La columna Pueblos Originarios NO DEBE ser superior al total de Procesados. </v>
      </c>
      <c r="CF40" s="2077" t="str">
        <f t="shared" si="58"/>
        <v xml:space="preserve">* La columna Migrantes NO DEBE ser superior al total de Procesados. </v>
      </c>
      <c r="CG40" s="2077" t="str">
        <f t="shared" si="80"/>
        <v>* El total de procesados debe ser mayor o igual al total de Reactivos en el grupo de edad Menor de 6 meses</v>
      </c>
      <c r="CH40" s="2077" t="str">
        <f t="shared" si="81"/>
        <v>* El total de procesados debe ser mayor o igual al total de Reactivos en el grupo de edad 6 a 11 meses</v>
      </c>
      <c r="CI40" s="2077" t="str">
        <f t="shared" si="82"/>
        <v>* El total de procesados debe ser mayor o igual al total de Reactivos en el grupo de edad 12-24 meses</v>
      </c>
      <c r="CJ40" s="2077" t="str">
        <f t="shared" si="83"/>
        <v>* El total de procesados debe ser mayor o igual al total de Reactivos en el grupo de edad 3 a 4</v>
      </c>
      <c r="CK40" s="2077" t="str">
        <f t="shared" si="84"/>
        <v>* El total de procesados debe ser mayor o igual al total de Reactivos en el grupo de edad 5 a 9</v>
      </c>
      <c r="CL40" s="2077" t="str">
        <f t="shared" si="85"/>
        <v>* El total de procesados debe ser mayor o igual al total de Reactivos en el grupo de edad 10 - 14</v>
      </c>
      <c r="CM40" s="2077" t="str">
        <f t="shared" si="86"/>
        <v>* El total de procesados debe ser mayor o igual al total de Reactivos en el grupo de edad 15 - 19</v>
      </c>
      <c r="CN40" s="2077" t="str">
        <f t="shared" si="87"/>
        <v>* El total de procesados debe ser mayor o igual al total de Reactivos en el grupo de edad 20 - 24</v>
      </c>
      <c r="CO40" s="2077" t="str">
        <f t="shared" si="88"/>
        <v>* El total de procesados debe ser mayor o igual al total de Reactivos en el grupo de edad 25 a 29</v>
      </c>
      <c r="CP40" s="2077" t="str">
        <f t="shared" si="89"/>
        <v>* El total de procesados debe ser mayor o igual al total de Reactivos en el grupo de edad 30 a 34</v>
      </c>
      <c r="CQ40" s="2077" t="str">
        <f t="shared" si="90"/>
        <v>* El total de procesados debe ser mayor o igual al total de Reactivos en el grupo de edad 35 a 39</v>
      </c>
      <c r="CR40" s="2077" t="str">
        <f t="shared" si="91"/>
        <v>* El total de procesados debe ser mayor o igual al total de Reactivos en el grupo de edad 40 a 44</v>
      </c>
      <c r="CS40" s="2077" t="str">
        <f t="shared" si="92"/>
        <v>* El total de procesados debe ser mayor o igual al total de Reactivos en el grupo de edad 45 a 49</v>
      </c>
      <c r="CT40" s="2077" t="str">
        <f t="shared" si="93"/>
        <v>* El total de procesados debe ser mayor o igual al total de Reactivos en el grupo de edad 50 a 54</v>
      </c>
      <c r="CU40" s="2077" t="str">
        <f t="shared" si="94"/>
        <v>* El total de procesados debe ser mayor o igual al total de Reactivos en el grupo de edad 55 a 59</v>
      </c>
      <c r="CV40" s="2077" t="str">
        <f t="shared" si="95"/>
        <v>* El total de procesados debe ser mayor o igual al total de Reactivos en el grupo de edad 60 a 64</v>
      </c>
      <c r="CW40" s="2077" t="str">
        <f t="shared" si="96"/>
        <v>* El total de procesados debe ser mayor o igual al total de Reactivos en el grupo de edad 65 a 69</v>
      </c>
      <c r="CX40" s="2077" t="str">
        <f t="shared" si="97"/>
        <v>* El total de procesados debe ser mayor o igual al total de Reactivos en el grupo de edad 70 a 74</v>
      </c>
      <c r="CY40" s="2077" t="str">
        <f t="shared" si="98"/>
        <v>* El total de procesados debe ser mayor o igual al total de Reactivos en el grupo de edad 75 a 79</v>
      </c>
      <c r="CZ40" s="2077" t="str">
        <f t="shared" si="99"/>
        <v>* El total de procesados debe ser mayor o igual al total de Reactivos en el grupo de edad 80 y más</v>
      </c>
      <c r="DA40" s="2077" t="str">
        <f t="shared" si="100"/>
        <v/>
      </c>
      <c r="DB40" s="1363">
        <f t="shared" si="101"/>
        <v>1</v>
      </c>
      <c r="DC40" s="1363" t="e">
        <f t="shared" si="102"/>
        <v>#VALUE!</v>
      </c>
      <c r="DD40" s="1363" t="e">
        <f t="shared" si="103"/>
        <v>#VALUE!</v>
      </c>
      <c r="DE40" s="1363">
        <f t="shared" si="104"/>
        <v>1</v>
      </c>
      <c r="DF40" s="1363">
        <f t="shared" si="105"/>
        <v>1</v>
      </c>
      <c r="DG40" s="1363">
        <f t="shared" si="59"/>
        <v>1</v>
      </c>
      <c r="DH40" s="1363">
        <f t="shared" si="60"/>
        <v>1</v>
      </c>
      <c r="DI40" s="1363">
        <f t="shared" si="61"/>
        <v>1</v>
      </c>
      <c r="DJ40" s="1363">
        <f t="shared" si="62"/>
        <v>1</v>
      </c>
      <c r="DK40" s="1363">
        <f t="shared" si="63"/>
        <v>1</v>
      </c>
      <c r="DL40" s="1363">
        <f t="shared" si="64"/>
        <v>1</v>
      </c>
      <c r="DM40" s="1363">
        <f t="shared" si="65"/>
        <v>1</v>
      </c>
      <c r="DN40" s="1363">
        <f t="shared" si="66"/>
        <v>1</v>
      </c>
      <c r="DO40" s="1363">
        <f t="shared" si="67"/>
        <v>1</v>
      </c>
      <c r="DP40" s="1363">
        <f t="shared" si="68"/>
        <v>1</v>
      </c>
      <c r="DQ40" s="1363">
        <f t="shared" si="69"/>
        <v>1</v>
      </c>
      <c r="DR40" s="1363">
        <f t="shared" si="70"/>
        <v>1</v>
      </c>
      <c r="DS40" s="1363">
        <f t="shared" si="71"/>
        <v>1</v>
      </c>
      <c r="DT40" s="1363">
        <f t="shared" si="72"/>
        <v>1</v>
      </c>
      <c r="DU40" s="1363">
        <f t="shared" si="73"/>
        <v>1</v>
      </c>
      <c r="DV40" s="1363">
        <f t="shared" si="74"/>
        <v>1</v>
      </c>
      <c r="DW40" s="1363">
        <f t="shared" si="75"/>
        <v>1</v>
      </c>
      <c r="DX40" s="1363">
        <f t="shared" si="76"/>
        <v>1</v>
      </c>
      <c r="DY40" s="1363">
        <f t="shared" si="77"/>
        <v>1</v>
      </c>
      <c r="DZ40" s="1363">
        <f t="shared" si="78"/>
        <v>1</v>
      </c>
      <c r="EA40" s="1363">
        <f t="shared" si="79"/>
        <v>0</v>
      </c>
    </row>
    <row r="41" spans="1:131" ht="16.350000000000001" customHeight="1" x14ac:dyDescent="0.25">
      <c r="A41" s="3097">
        <v>11054209</v>
      </c>
      <c r="B41" s="140" t="s">
        <v>2266</v>
      </c>
      <c r="C41" s="707" t="s">
        <v>2777</v>
      </c>
      <c r="D41" s="281" t="s">
        <v>2778</v>
      </c>
      <c r="E41" s="161" t="s">
        <v>2779</v>
      </c>
      <c r="F41" s="145" t="s">
        <v>2780</v>
      </c>
      <c r="G41" s="173" t="s">
        <v>2781</v>
      </c>
      <c r="H41" s="145" t="s">
        <v>2782</v>
      </c>
      <c r="I41" s="173" t="s">
        <v>2783</v>
      </c>
      <c r="J41" s="145" t="s">
        <v>2784</v>
      </c>
      <c r="K41" s="173" t="s">
        <v>2785</v>
      </c>
      <c r="L41" s="145" t="s">
        <v>2786</v>
      </c>
      <c r="M41" s="173" t="s">
        <v>2787</v>
      </c>
      <c r="N41" s="162" t="s">
        <v>2788</v>
      </c>
      <c r="O41" s="180" t="s">
        <v>2789</v>
      </c>
      <c r="P41" s="142" t="s">
        <v>2790</v>
      </c>
      <c r="Q41" s="141" t="s">
        <v>2791</v>
      </c>
      <c r="R41" s="142" t="s">
        <v>2792</v>
      </c>
      <c r="S41" s="141" t="s">
        <v>2793</v>
      </c>
      <c r="T41" s="142" t="s">
        <v>2794</v>
      </c>
      <c r="U41" s="141" t="s">
        <v>2795</v>
      </c>
      <c r="V41" s="142" t="s">
        <v>2796</v>
      </c>
      <c r="W41" s="141" t="s">
        <v>2797</v>
      </c>
      <c r="X41" s="142" t="s">
        <v>2798</v>
      </c>
      <c r="Y41" s="141" t="s">
        <v>2799</v>
      </c>
      <c r="Z41" s="142" t="s">
        <v>2800</v>
      </c>
      <c r="AA41" s="141" t="s">
        <v>2801</v>
      </c>
      <c r="AB41" s="142" t="s">
        <v>2817</v>
      </c>
      <c r="AC41" s="141" t="s">
        <v>2818</v>
      </c>
      <c r="AD41" s="142" t="s">
        <v>2819</v>
      </c>
      <c r="AE41" s="141" t="s">
        <v>2821</v>
      </c>
      <c r="AF41" s="142" t="s">
        <v>2822</v>
      </c>
      <c r="AG41" s="141" t="s">
        <v>2823</v>
      </c>
      <c r="AH41" s="142" t="s">
        <v>2824</v>
      </c>
      <c r="AI41" s="141" t="s">
        <v>2825</v>
      </c>
      <c r="AJ41" s="142" t="s">
        <v>2826</v>
      </c>
      <c r="AK41" s="141" t="s">
        <v>2827</v>
      </c>
      <c r="AL41" s="142" t="s">
        <v>2831</v>
      </c>
      <c r="AM41" s="141" t="s">
        <v>2832</v>
      </c>
      <c r="AN41" s="142" t="s">
        <v>2833</v>
      </c>
      <c r="AO41" s="141" t="s">
        <v>2834</v>
      </c>
      <c r="AP41" s="142" t="s">
        <v>3011</v>
      </c>
      <c r="AQ41" s="141" t="s">
        <v>3012</v>
      </c>
      <c r="AR41" s="318" t="s">
        <v>3013</v>
      </c>
      <c r="AS41" s="1703" t="s">
        <v>3014</v>
      </c>
      <c r="AT41" s="318" t="s">
        <v>3015</v>
      </c>
      <c r="AU41" s="180" t="s">
        <v>3206</v>
      </c>
      <c r="AV41" s="142" t="s">
        <v>3207</v>
      </c>
      <c r="AW41" s="141" t="s">
        <v>3272</v>
      </c>
      <c r="AX41" s="163" t="s">
        <v>3273</v>
      </c>
      <c r="AY41" s="1079" t="e">
        <f t="shared" si="53"/>
        <v>#VALUE!</v>
      </c>
      <c r="AZ41" s="1079"/>
      <c r="BA41" s="1079"/>
      <c r="BB41" s="1079"/>
      <c r="BC41" s="1079"/>
      <c r="BD41" s="1079"/>
      <c r="BE41" s="1079"/>
      <c r="BF41" s="1079"/>
      <c r="BG41" s="1079"/>
      <c r="BH41" s="1079"/>
      <c r="BI41" s="1079"/>
      <c r="BJ41" s="884"/>
      <c r="BK41" s="884"/>
      <c r="BL41" s="884"/>
      <c r="BM41" s="884"/>
      <c r="BV41" s="885"/>
      <c r="BW41" s="885"/>
      <c r="BX41" s="885"/>
      <c r="CB41" s="2077" t="str">
        <f t="shared" si="54"/>
        <v xml:space="preserve">* El total de Reactivos NO DEBE ser superior al total de Procesados. </v>
      </c>
      <c r="CC41" s="2077" t="e">
        <f t="shared" si="55"/>
        <v>#VALUE!</v>
      </c>
      <c r="CD41" s="2077" t="e">
        <f t="shared" si="56"/>
        <v>#VALUE!</v>
      </c>
      <c r="CE41" s="2077" t="str">
        <f t="shared" si="57"/>
        <v xml:space="preserve">* La columna Pueblos Originarios NO DEBE ser superior al total de Procesados. </v>
      </c>
      <c r="CF41" s="2077" t="str">
        <f t="shared" si="58"/>
        <v xml:space="preserve">* La columna Migrantes NO DEBE ser superior al total de Procesados. </v>
      </c>
      <c r="CG41" s="2077" t="str">
        <f t="shared" si="80"/>
        <v>* El total de procesados debe ser mayor o igual al total de Reactivos en el grupo de edad Menor de 6 meses</v>
      </c>
      <c r="CH41" s="2077" t="str">
        <f t="shared" si="81"/>
        <v>* El total de procesados debe ser mayor o igual al total de Reactivos en el grupo de edad 6 a 11 meses</v>
      </c>
      <c r="CI41" s="2077" t="str">
        <f t="shared" si="82"/>
        <v>* El total de procesados debe ser mayor o igual al total de Reactivos en el grupo de edad 12-24 meses</v>
      </c>
      <c r="CJ41" s="2077" t="str">
        <f t="shared" si="83"/>
        <v>* El total de procesados debe ser mayor o igual al total de Reactivos en el grupo de edad 3 a 4</v>
      </c>
      <c r="CK41" s="2077" t="str">
        <f t="shared" si="84"/>
        <v>* El total de procesados debe ser mayor o igual al total de Reactivos en el grupo de edad 5 a 9</v>
      </c>
      <c r="CL41" s="2077" t="str">
        <f t="shared" si="85"/>
        <v>* El total de procesados debe ser mayor o igual al total de Reactivos en el grupo de edad 10 - 14</v>
      </c>
      <c r="CM41" s="2077" t="str">
        <f t="shared" si="86"/>
        <v>* El total de procesados debe ser mayor o igual al total de Reactivos en el grupo de edad 15 - 19</v>
      </c>
      <c r="CN41" s="2077" t="str">
        <f t="shared" si="87"/>
        <v>* El total de procesados debe ser mayor o igual al total de Reactivos en el grupo de edad 20 - 24</v>
      </c>
      <c r="CO41" s="2077" t="str">
        <f t="shared" si="88"/>
        <v>* El total de procesados debe ser mayor o igual al total de Reactivos en el grupo de edad 25 a 29</v>
      </c>
      <c r="CP41" s="2077" t="str">
        <f t="shared" si="89"/>
        <v>* El total de procesados debe ser mayor o igual al total de Reactivos en el grupo de edad 30 a 34</v>
      </c>
      <c r="CQ41" s="2077" t="str">
        <f t="shared" si="90"/>
        <v>* El total de procesados debe ser mayor o igual al total de Reactivos en el grupo de edad 35 a 39</v>
      </c>
      <c r="CR41" s="2077" t="str">
        <f t="shared" si="91"/>
        <v>* El total de procesados debe ser mayor o igual al total de Reactivos en el grupo de edad 40 a 44</v>
      </c>
      <c r="CS41" s="2077" t="str">
        <f t="shared" si="92"/>
        <v>* El total de procesados debe ser mayor o igual al total de Reactivos en el grupo de edad 45 a 49</v>
      </c>
      <c r="CT41" s="2077" t="str">
        <f t="shared" si="93"/>
        <v>* El total de procesados debe ser mayor o igual al total de Reactivos en el grupo de edad 50 a 54</v>
      </c>
      <c r="CU41" s="2077" t="str">
        <f t="shared" si="94"/>
        <v>* El total de procesados debe ser mayor o igual al total de Reactivos en el grupo de edad 55 a 59</v>
      </c>
      <c r="CV41" s="2077" t="str">
        <f t="shared" si="95"/>
        <v>* El total de procesados debe ser mayor o igual al total de Reactivos en el grupo de edad 60 a 64</v>
      </c>
      <c r="CW41" s="2077" t="str">
        <f t="shared" si="96"/>
        <v>* El total de procesados debe ser mayor o igual al total de Reactivos en el grupo de edad 65 a 69</v>
      </c>
      <c r="CX41" s="2077" t="str">
        <f t="shared" si="97"/>
        <v>* El total de procesados debe ser mayor o igual al total de Reactivos en el grupo de edad 70 a 74</v>
      </c>
      <c r="CY41" s="2077" t="str">
        <f t="shared" si="98"/>
        <v>* El total de procesados debe ser mayor o igual al total de Reactivos en el grupo de edad 75 a 79</v>
      </c>
      <c r="CZ41" s="2077" t="str">
        <f t="shared" si="99"/>
        <v>* El total de procesados debe ser mayor o igual al total de Reactivos en el grupo de edad 80 y más</v>
      </c>
      <c r="DA41" s="2077" t="str">
        <f t="shared" si="100"/>
        <v/>
      </c>
      <c r="DB41" s="1363">
        <f t="shared" si="101"/>
        <v>1</v>
      </c>
      <c r="DC41" s="1363" t="e">
        <f t="shared" si="102"/>
        <v>#VALUE!</v>
      </c>
      <c r="DD41" s="1363" t="e">
        <f t="shared" si="103"/>
        <v>#VALUE!</v>
      </c>
      <c r="DE41" s="1363">
        <f t="shared" si="104"/>
        <v>1</v>
      </c>
      <c r="DF41" s="1363">
        <f t="shared" si="105"/>
        <v>1</v>
      </c>
      <c r="DG41" s="1363">
        <f t="shared" si="59"/>
        <v>1</v>
      </c>
      <c r="DH41" s="1363">
        <f t="shared" si="60"/>
        <v>1</v>
      </c>
      <c r="DI41" s="1363">
        <f t="shared" si="61"/>
        <v>1</v>
      </c>
      <c r="DJ41" s="1363">
        <f t="shared" si="62"/>
        <v>1</v>
      </c>
      <c r="DK41" s="1363">
        <f t="shared" si="63"/>
        <v>1</v>
      </c>
      <c r="DL41" s="1363">
        <f t="shared" si="64"/>
        <v>1</v>
      </c>
      <c r="DM41" s="1363">
        <f t="shared" si="65"/>
        <v>1</v>
      </c>
      <c r="DN41" s="1363">
        <f t="shared" si="66"/>
        <v>1</v>
      </c>
      <c r="DO41" s="1363">
        <f t="shared" si="67"/>
        <v>1</v>
      </c>
      <c r="DP41" s="1363">
        <f t="shared" si="68"/>
        <v>1</v>
      </c>
      <c r="DQ41" s="1363">
        <f t="shared" si="69"/>
        <v>1</v>
      </c>
      <c r="DR41" s="1363">
        <f t="shared" si="70"/>
        <v>1</v>
      </c>
      <c r="DS41" s="1363">
        <f t="shared" si="71"/>
        <v>1</v>
      </c>
      <c r="DT41" s="1363">
        <f t="shared" si="72"/>
        <v>1</v>
      </c>
      <c r="DU41" s="1363">
        <f t="shared" si="73"/>
        <v>1</v>
      </c>
      <c r="DV41" s="1363">
        <f t="shared" si="74"/>
        <v>1</v>
      </c>
      <c r="DW41" s="1363">
        <f t="shared" si="75"/>
        <v>1</v>
      </c>
      <c r="DX41" s="1363">
        <f t="shared" si="76"/>
        <v>1</v>
      </c>
      <c r="DY41" s="1363">
        <f t="shared" si="77"/>
        <v>1</v>
      </c>
      <c r="DZ41" s="1363">
        <f t="shared" si="78"/>
        <v>1</v>
      </c>
      <c r="EA41" s="1363">
        <f t="shared" si="79"/>
        <v>0</v>
      </c>
    </row>
    <row r="42" spans="1:131" ht="16.350000000000001" customHeight="1" x14ac:dyDescent="0.25">
      <c r="A42" s="3097">
        <v>11054210</v>
      </c>
      <c r="B42" s="140" t="s">
        <v>2267</v>
      </c>
      <c r="C42" s="707" t="s">
        <v>2777</v>
      </c>
      <c r="D42" s="281" t="s">
        <v>2778</v>
      </c>
      <c r="E42" s="180" t="s">
        <v>2779</v>
      </c>
      <c r="F42" s="142" t="s">
        <v>2780</v>
      </c>
      <c r="G42" s="141" t="s">
        <v>2781</v>
      </c>
      <c r="H42" s="142" t="s">
        <v>2782</v>
      </c>
      <c r="I42" s="141" t="s">
        <v>2783</v>
      </c>
      <c r="J42" s="163" t="s">
        <v>2784</v>
      </c>
      <c r="K42" s="180" t="s">
        <v>2785</v>
      </c>
      <c r="L42" s="180" t="s">
        <v>2786</v>
      </c>
      <c r="M42" s="141" t="s">
        <v>2787</v>
      </c>
      <c r="N42" s="163" t="s">
        <v>2788</v>
      </c>
      <c r="O42" s="180" t="s">
        <v>2789</v>
      </c>
      <c r="P42" s="142" t="s">
        <v>2790</v>
      </c>
      <c r="Q42" s="141" t="s">
        <v>2791</v>
      </c>
      <c r="R42" s="142" t="s">
        <v>2792</v>
      </c>
      <c r="S42" s="141" t="s">
        <v>2793</v>
      </c>
      <c r="T42" s="142" t="s">
        <v>2794</v>
      </c>
      <c r="U42" s="141" t="s">
        <v>2795</v>
      </c>
      <c r="V42" s="142" t="s">
        <v>2796</v>
      </c>
      <c r="W42" s="141" t="s">
        <v>2797</v>
      </c>
      <c r="X42" s="142" t="s">
        <v>2798</v>
      </c>
      <c r="Y42" s="141" t="s">
        <v>2799</v>
      </c>
      <c r="Z42" s="142" t="s">
        <v>2800</v>
      </c>
      <c r="AA42" s="141" t="s">
        <v>2801</v>
      </c>
      <c r="AB42" s="142" t="s">
        <v>2817</v>
      </c>
      <c r="AC42" s="141" t="s">
        <v>2818</v>
      </c>
      <c r="AD42" s="142" t="s">
        <v>2819</v>
      </c>
      <c r="AE42" s="141" t="s">
        <v>2821</v>
      </c>
      <c r="AF42" s="142" t="s">
        <v>2822</v>
      </c>
      <c r="AG42" s="141" t="s">
        <v>2823</v>
      </c>
      <c r="AH42" s="142" t="s">
        <v>2824</v>
      </c>
      <c r="AI42" s="141" t="s">
        <v>2825</v>
      </c>
      <c r="AJ42" s="142" t="s">
        <v>2826</v>
      </c>
      <c r="AK42" s="141" t="s">
        <v>2827</v>
      </c>
      <c r="AL42" s="142" t="s">
        <v>2831</v>
      </c>
      <c r="AM42" s="141" t="s">
        <v>2832</v>
      </c>
      <c r="AN42" s="142" t="s">
        <v>2833</v>
      </c>
      <c r="AO42" s="141" t="s">
        <v>2834</v>
      </c>
      <c r="AP42" s="142" t="s">
        <v>3011</v>
      </c>
      <c r="AQ42" s="141" t="s">
        <v>3012</v>
      </c>
      <c r="AR42" s="318" t="s">
        <v>3013</v>
      </c>
      <c r="AS42" s="1703" t="s">
        <v>3014</v>
      </c>
      <c r="AT42" s="318" t="s">
        <v>3015</v>
      </c>
      <c r="AU42" s="180" t="s">
        <v>3206</v>
      </c>
      <c r="AV42" s="142" t="s">
        <v>3207</v>
      </c>
      <c r="AW42" s="141" t="s">
        <v>3272</v>
      </c>
      <c r="AX42" s="163" t="s">
        <v>3273</v>
      </c>
      <c r="AY42" s="1079" t="e">
        <f t="shared" si="53"/>
        <v>#VALUE!</v>
      </c>
      <c r="AZ42" s="1079"/>
      <c r="BA42" s="1079"/>
      <c r="BB42" s="1079"/>
      <c r="BC42" s="1079"/>
      <c r="BD42" s="1079"/>
      <c r="BE42" s="1079"/>
      <c r="BF42" s="1079"/>
      <c r="BG42" s="1079"/>
      <c r="BH42" s="1079"/>
      <c r="BI42" s="1079"/>
      <c r="BJ42" s="884"/>
      <c r="BK42" s="884"/>
      <c r="BL42" s="884"/>
      <c r="BM42" s="884"/>
      <c r="BV42" s="885"/>
      <c r="BW42" s="885"/>
      <c r="BX42" s="885"/>
      <c r="CB42" s="2077" t="str">
        <f t="shared" si="54"/>
        <v xml:space="preserve">* El total de Reactivos NO DEBE ser superior al total de Procesados. </v>
      </c>
      <c r="CC42" s="2077" t="e">
        <f t="shared" si="55"/>
        <v>#VALUE!</v>
      </c>
      <c r="CD42" s="2077" t="e">
        <f t="shared" si="56"/>
        <v>#VALUE!</v>
      </c>
      <c r="CE42" s="2077" t="str">
        <f t="shared" si="57"/>
        <v xml:space="preserve">* La columna Pueblos Originarios NO DEBE ser superior al total de Procesados. </v>
      </c>
      <c r="CF42" s="2077" t="str">
        <f t="shared" si="58"/>
        <v xml:space="preserve">* La columna Migrantes NO DEBE ser superior al total de Procesados. </v>
      </c>
      <c r="CG42" s="2077" t="str">
        <f t="shared" si="80"/>
        <v>* El total de procesados debe ser mayor o igual al total de Reactivos en el grupo de edad Menor de 6 meses</v>
      </c>
      <c r="CH42" s="2077" t="str">
        <f t="shared" si="81"/>
        <v>* El total de procesados debe ser mayor o igual al total de Reactivos en el grupo de edad 6 a 11 meses</v>
      </c>
      <c r="CI42" s="2077" t="str">
        <f t="shared" si="82"/>
        <v>* El total de procesados debe ser mayor o igual al total de Reactivos en el grupo de edad 12-24 meses</v>
      </c>
      <c r="CJ42" s="2077" t="str">
        <f t="shared" si="83"/>
        <v>* El total de procesados debe ser mayor o igual al total de Reactivos en el grupo de edad 3 a 4</v>
      </c>
      <c r="CK42" s="2077" t="str">
        <f t="shared" si="84"/>
        <v>* El total de procesados debe ser mayor o igual al total de Reactivos en el grupo de edad 5 a 9</v>
      </c>
      <c r="CL42" s="2077" t="str">
        <f t="shared" si="85"/>
        <v>* El total de procesados debe ser mayor o igual al total de Reactivos en el grupo de edad 10 - 14</v>
      </c>
      <c r="CM42" s="2077" t="str">
        <f t="shared" si="86"/>
        <v>* El total de procesados debe ser mayor o igual al total de Reactivos en el grupo de edad 15 - 19</v>
      </c>
      <c r="CN42" s="2077" t="str">
        <f t="shared" si="87"/>
        <v>* El total de procesados debe ser mayor o igual al total de Reactivos en el grupo de edad 20 - 24</v>
      </c>
      <c r="CO42" s="2077" t="str">
        <f t="shared" si="88"/>
        <v>* El total de procesados debe ser mayor o igual al total de Reactivos en el grupo de edad 25 a 29</v>
      </c>
      <c r="CP42" s="2077" t="str">
        <f t="shared" si="89"/>
        <v>* El total de procesados debe ser mayor o igual al total de Reactivos en el grupo de edad 30 a 34</v>
      </c>
      <c r="CQ42" s="2077" t="str">
        <f t="shared" si="90"/>
        <v>* El total de procesados debe ser mayor o igual al total de Reactivos en el grupo de edad 35 a 39</v>
      </c>
      <c r="CR42" s="2077" t="str">
        <f t="shared" si="91"/>
        <v>* El total de procesados debe ser mayor o igual al total de Reactivos en el grupo de edad 40 a 44</v>
      </c>
      <c r="CS42" s="2077" t="str">
        <f t="shared" si="92"/>
        <v>* El total de procesados debe ser mayor o igual al total de Reactivos en el grupo de edad 45 a 49</v>
      </c>
      <c r="CT42" s="2077" t="str">
        <f t="shared" si="93"/>
        <v>* El total de procesados debe ser mayor o igual al total de Reactivos en el grupo de edad 50 a 54</v>
      </c>
      <c r="CU42" s="2077" t="str">
        <f t="shared" si="94"/>
        <v>* El total de procesados debe ser mayor o igual al total de Reactivos en el grupo de edad 55 a 59</v>
      </c>
      <c r="CV42" s="2077" t="str">
        <f t="shared" si="95"/>
        <v>* El total de procesados debe ser mayor o igual al total de Reactivos en el grupo de edad 60 a 64</v>
      </c>
      <c r="CW42" s="2077" t="str">
        <f t="shared" si="96"/>
        <v>* El total de procesados debe ser mayor o igual al total de Reactivos en el grupo de edad 65 a 69</v>
      </c>
      <c r="CX42" s="2077" t="str">
        <f t="shared" si="97"/>
        <v>* El total de procesados debe ser mayor o igual al total de Reactivos en el grupo de edad 70 a 74</v>
      </c>
      <c r="CY42" s="2077" t="str">
        <f t="shared" si="98"/>
        <v>* El total de procesados debe ser mayor o igual al total de Reactivos en el grupo de edad 75 a 79</v>
      </c>
      <c r="CZ42" s="2077" t="str">
        <f t="shared" si="99"/>
        <v>* El total de procesados debe ser mayor o igual al total de Reactivos en el grupo de edad 80 y más</v>
      </c>
      <c r="DA42" s="2077" t="str">
        <f t="shared" si="100"/>
        <v/>
      </c>
      <c r="DB42" s="1363">
        <f t="shared" si="101"/>
        <v>1</v>
      </c>
      <c r="DC42" s="1363" t="e">
        <f t="shared" si="102"/>
        <v>#VALUE!</v>
      </c>
      <c r="DD42" s="1363" t="e">
        <f t="shared" si="103"/>
        <v>#VALUE!</v>
      </c>
      <c r="DE42" s="1363">
        <f t="shared" si="104"/>
        <v>1</v>
      </c>
      <c r="DF42" s="1363">
        <f t="shared" si="105"/>
        <v>1</v>
      </c>
      <c r="DG42" s="1363">
        <f t="shared" si="59"/>
        <v>1</v>
      </c>
      <c r="DH42" s="1363">
        <f t="shared" si="60"/>
        <v>1</v>
      </c>
      <c r="DI42" s="1363">
        <f t="shared" si="61"/>
        <v>1</v>
      </c>
      <c r="DJ42" s="1363">
        <f t="shared" si="62"/>
        <v>1</v>
      </c>
      <c r="DK42" s="1363">
        <f t="shared" si="63"/>
        <v>1</v>
      </c>
      <c r="DL42" s="1363">
        <f t="shared" si="64"/>
        <v>1</v>
      </c>
      <c r="DM42" s="1363">
        <f t="shared" si="65"/>
        <v>1</v>
      </c>
      <c r="DN42" s="1363">
        <f t="shared" si="66"/>
        <v>1</v>
      </c>
      <c r="DO42" s="1363">
        <f t="shared" si="67"/>
        <v>1</v>
      </c>
      <c r="DP42" s="1363">
        <f t="shared" si="68"/>
        <v>1</v>
      </c>
      <c r="DQ42" s="1363">
        <f t="shared" si="69"/>
        <v>1</v>
      </c>
      <c r="DR42" s="1363">
        <f t="shared" si="70"/>
        <v>1</v>
      </c>
      <c r="DS42" s="1363">
        <f t="shared" si="71"/>
        <v>1</v>
      </c>
      <c r="DT42" s="1363">
        <f t="shared" si="72"/>
        <v>1</v>
      </c>
      <c r="DU42" s="1363">
        <f t="shared" si="73"/>
        <v>1</v>
      </c>
      <c r="DV42" s="1363">
        <f t="shared" si="74"/>
        <v>1</v>
      </c>
      <c r="DW42" s="1363">
        <f t="shared" si="75"/>
        <v>1</v>
      </c>
      <c r="DX42" s="1363">
        <f t="shared" si="76"/>
        <v>1</v>
      </c>
      <c r="DY42" s="1363">
        <f t="shared" si="77"/>
        <v>1</v>
      </c>
      <c r="DZ42" s="1363">
        <f t="shared" si="78"/>
        <v>1</v>
      </c>
      <c r="EA42" s="1363">
        <f t="shared" si="79"/>
        <v>0</v>
      </c>
    </row>
    <row r="43" spans="1:131" ht="24" customHeight="1" x14ac:dyDescent="0.25">
      <c r="A43" s="3097">
        <v>11054211</v>
      </c>
      <c r="B43" s="3095" t="s">
        <v>2268</v>
      </c>
      <c r="C43" s="707" t="s">
        <v>2777</v>
      </c>
      <c r="D43" s="281" t="s">
        <v>2778</v>
      </c>
      <c r="E43" s="180" t="s">
        <v>2779</v>
      </c>
      <c r="F43" s="142" t="s">
        <v>2780</v>
      </c>
      <c r="G43" s="141" t="s">
        <v>2781</v>
      </c>
      <c r="H43" s="142" t="s">
        <v>2782</v>
      </c>
      <c r="I43" s="141" t="s">
        <v>2783</v>
      </c>
      <c r="J43" s="163" t="s">
        <v>2784</v>
      </c>
      <c r="K43" s="936" t="s">
        <v>2785</v>
      </c>
      <c r="L43" s="1090" t="s">
        <v>2786</v>
      </c>
      <c r="M43" s="936" t="s">
        <v>2787</v>
      </c>
      <c r="N43" s="1090" t="s">
        <v>2788</v>
      </c>
      <c r="O43" s="936" t="s">
        <v>2789</v>
      </c>
      <c r="P43" s="1090" t="s">
        <v>2790</v>
      </c>
      <c r="Q43" s="936" t="s">
        <v>2791</v>
      </c>
      <c r="R43" s="1090" t="s">
        <v>2792</v>
      </c>
      <c r="S43" s="936" t="s">
        <v>2793</v>
      </c>
      <c r="T43" s="1090" t="s">
        <v>2794</v>
      </c>
      <c r="U43" s="936" t="s">
        <v>2795</v>
      </c>
      <c r="V43" s="1090" t="s">
        <v>2796</v>
      </c>
      <c r="W43" s="936" t="s">
        <v>2797</v>
      </c>
      <c r="X43" s="1090" t="s">
        <v>2798</v>
      </c>
      <c r="Y43" s="936" t="s">
        <v>2799</v>
      </c>
      <c r="Z43" s="1090" t="s">
        <v>2800</v>
      </c>
      <c r="AA43" s="936" t="s">
        <v>2801</v>
      </c>
      <c r="AB43" s="1090" t="s">
        <v>2817</v>
      </c>
      <c r="AC43" s="936" t="s">
        <v>2818</v>
      </c>
      <c r="AD43" s="1090" t="s">
        <v>2819</v>
      </c>
      <c r="AE43" s="936" t="s">
        <v>2821</v>
      </c>
      <c r="AF43" s="1090" t="s">
        <v>2822</v>
      </c>
      <c r="AG43" s="936" t="s">
        <v>2823</v>
      </c>
      <c r="AH43" s="1090" t="s">
        <v>2824</v>
      </c>
      <c r="AI43" s="936" t="s">
        <v>2825</v>
      </c>
      <c r="AJ43" s="1090" t="s">
        <v>2826</v>
      </c>
      <c r="AK43" s="936" t="s">
        <v>2827</v>
      </c>
      <c r="AL43" s="1090" t="s">
        <v>2831</v>
      </c>
      <c r="AM43" s="936" t="s">
        <v>2832</v>
      </c>
      <c r="AN43" s="1090" t="s">
        <v>2833</v>
      </c>
      <c r="AO43" s="936" t="s">
        <v>2834</v>
      </c>
      <c r="AP43" s="1090" t="s">
        <v>3011</v>
      </c>
      <c r="AQ43" s="936" t="s">
        <v>3012</v>
      </c>
      <c r="AR43" s="2033" t="s">
        <v>3013</v>
      </c>
      <c r="AS43" s="180" t="s">
        <v>3014</v>
      </c>
      <c r="AT43" s="318" t="s">
        <v>3015</v>
      </c>
      <c r="AU43" s="180" t="s">
        <v>3206</v>
      </c>
      <c r="AV43" s="142" t="s">
        <v>3207</v>
      </c>
      <c r="AW43" s="141" t="s">
        <v>3272</v>
      </c>
      <c r="AX43" s="163" t="s">
        <v>3273</v>
      </c>
      <c r="AY43" s="1079" t="e">
        <f t="shared" si="53"/>
        <v>#VALUE!</v>
      </c>
      <c r="AZ43" s="1079"/>
      <c r="BA43" s="1079"/>
      <c r="BB43" s="1079"/>
      <c r="BC43" s="1079"/>
      <c r="BD43" s="1079"/>
      <c r="BE43" s="1079"/>
      <c r="BF43" s="1079"/>
      <c r="BG43" s="1079"/>
      <c r="BH43" s="1079"/>
      <c r="BI43" s="1079"/>
      <c r="BJ43" s="884"/>
      <c r="BK43" s="884"/>
      <c r="BL43" s="884"/>
      <c r="BM43" s="884"/>
      <c r="BV43" s="885"/>
      <c r="BW43" s="885"/>
      <c r="BX43" s="885"/>
      <c r="CB43" s="2077" t="str">
        <f t="shared" si="54"/>
        <v xml:space="preserve">* El total de Reactivos NO DEBE ser superior al total de Procesados. </v>
      </c>
      <c r="CC43" s="2077" t="e">
        <f t="shared" si="55"/>
        <v>#VALUE!</v>
      </c>
      <c r="CD43" s="2077" t="e">
        <f t="shared" si="56"/>
        <v>#VALUE!</v>
      </c>
      <c r="CE43" s="2077" t="str">
        <f t="shared" si="57"/>
        <v xml:space="preserve">* La columna Pueblos Originarios NO DEBE ser superior al total de Procesados. </v>
      </c>
      <c r="CF43" s="2077" t="str">
        <f t="shared" si="58"/>
        <v xml:space="preserve">* La columna Migrantes NO DEBE ser superior al total de Procesados. </v>
      </c>
      <c r="CG43" s="2077" t="str">
        <f t="shared" si="80"/>
        <v>* El total de procesados debe ser mayor o igual al total de Reactivos en el grupo de edad Menor de 6 meses</v>
      </c>
      <c r="CH43" s="2077" t="str">
        <f t="shared" si="81"/>
        <v>* El total de procesados debe ser mayor o igual al total de Reactivos en el grupo de edad 6 a 11 meses</v>
      </c>
      <c r="CI43" s="2077" t="str">
        <f t="shared" si="82"/>
        <v>* El total de procesados debe ser mayor o igual al total de Reactivos en el grupo de edad 12-24 meses</v>
      </c>
      <c r="CJ43" s="2077" t="str">
        <f t="shared" si="83"/>
        <v>* El total de procesados debe ser mayor o igual al total de Reactivos en el grupo de edad 3 a 4</v>
      </c>
      <c r="CK43" s="2077" t="str">
        <f t="shared" si="84"/>
        <v>* El total de procesados debe ser mayor o igual al total de Reactivos en el grupo de edad 5 a 9</v>
      </c>
      <c r="CL43" s="2077" t="str">
        <f t="shared" si="85"/>
        <v>* El total de procesados debe ser mayor o igual al total de Reactivos en el grupo de edad 10 - 14</v>
      </c>
      <c r="CM43" s="2077" t="str">
        <f t="shared" si="86"/>
        <v>* El total de procesados debe ser mayor o igual al total de Reactivos en el grupo de edad 15 - 19</v>
      </c>
      <c r="CN43" s="2077" t="str">
        <f t="shared" si="87"/>
        <v>* El total de procesados debe ser mayor o igual al total de Reactivos en el grupo de edad 20 - 24</v>
      </c>
      <c r="CO43" s="2077" t="str">
        <f t="shared" si="88"/>
        <v>* El total de procesados debe ser mayor o igual al total de Reactivos en el grupo de edad 25 a 29</v>
      </c>
      <c r="CP43" s="2077" t="str">
        <f t="shared" si="89"/>
        <v>* El total de procesados debe ser mayor o igual al total de Reactivos en el grupo de edad 30 a 34</v>
      </c>
      <c r="CQ43" s="2077" t="str">
        <f t="shared" si="90"/>
        <v>* El total de procesados debe ser mayor o igual al total de Reactivos en el grupo de edad 35 a 39</v>
      </c>
      <c r="CR43" s="2077" t="str">
        <f t="shared" si="91"/>
        <v>* El total de procesados debe ser mayor o igual al total de Reactivos en el grupo de edad 40 a 44</v>
      </c>
      <c r="CS43" s="2077" t="str">
        <f t="shared" si="92"/>
        <v>* El total de procesados debe ser mayor o igual al total de Reactivos en el grupo de edad 45 a 49</v>
      </c>
      <c r="CT43" s="2077" t="str">
        <f t="shared" si="93"/>
        <v>* El total de procesados debe ser mayor o igual al total de Reactivos en el grupo de edad 50 a 54</v>
      </c>
      <c r="CU43" s="2077" t="str">
        <f t="shared" si="94"/>
        <v>* El total de procesados debe ser mayor o igual al total de Reactivos en el grupo de edad 55 a 59</v>
      </c>
      <c r="CV43" s="2077" t="str">
        <f t="shared" si="95"/>
        <v>* El total de procesados debe ser mayor o igual al total de Reactivos en el grupo de edad 60 a 64</v>
      </c>
      <c r="CW43" s="2077" t="str">
        <f t="shared" si="96"/>
        <v>* El total de procesados debe ser mayor o igual al total de Reactivos en el grupo de edad 65 a 69</v>
      </c>
      <c r="CX43" s="2077" t="str">
        <f t="shared" si="97"/>
        <v>* El total de procesados debe ser mayor o igual al total de Reactivos en el grupo de edad 70 a 74</v>
      </c>
      <c r="CY43" s="2077" t="str">
        <f t="shared" si="98"/>
        <v>* El total de procesados debe ser mayor o igual al total de Reactivos en el grupo de edad 75 a 79</v>
      </c>
      <c r="CZ43" s="2077" t="str">
        <f t="shared" si="99"/>
        <v>* El total de procesados debe ser mayor o igual al total de Reactivos en el grupo de edad 80 y más</v>
      </c>
      <c r="DA43" s="2077" t="str">
        <f t="shared" si="100"/>
        <v/>
      </c>
      <c r="DB43" s="1363">
        <f t="shared" si="101"/>
        <v>1</v>
      </c>
      <c r="DC43" s="1363" t="e">
        <f t="shared" si="102"/>
        <v>#VALUE!</v>
      </c>
      <c r="DD43" s="1363" t="e">
        <f t="shared" si="103"/>
        <v>#VALUE!</v>
      </c>
      <c r="DE43" s="1363">
        <f t="shared" si="104"/>
        <v>1</v>
      </c>
      <c r="DF43" s="1363">
        <f t="shared" si="105"/>
        <v>1</v>
      </c>
      <c r="DG43" s="1363">
        <f t="shared" si="59"/>
        <v>1</v>
      </c>
      <c r="DH43" s="1363">
        <f t="shared" si="60"/>
        <v>1</v>
      </c>
      <c r="DI43" s="1363">
        <f t="shared" si="61"/>
        <v>1</v>
      </c>
      <c r="DJ43" s="1363">
        <f t="shared" si="62"/>
        <v>1</v>
      </c>
      <c r="DK43" s="1363">
        <f t="shared" si="63"/>
        <v>1</v>
      </c>
      <c r="DL43" s="1363">
        <f t="shared" si="64"/>
        <v>1</v>
      </c>
      <c r="DM43" s="1363">
        <f t="shared" si="65"/>
        <v>1</v>
      </c>
      <c r="DN43" s="1363">
        <f t="shared" si="66"/>
        <v>1</v>
      </c>
      <c r="DO43" s="1363">
        <f t="shared" si="67"/>
        <v>1</v>
      </c>
      <c r="DP43" s="1363">
        <f t="shared" si="68"/>
        <v>1</v>
      </c>
      <c r="DQ43" s="1363">
        <f t="shared" si="69"/>
        <v>1</v>
      </c>
      <c r="DR43" s="1363">
        <f t="shared" si="70"/>
        <v>1</v>
      </c>
      <c r="DS43" s="1363">
        <f t="shared" si="71"/>
        <v>1</v>
      </c>
      <c r="DT43" s="1363">
        <f t="shared" si="72"/>
        <v>1</v>
      </c>
      <c r="DU43" s="1363">
        <f t="shared" si="73"/>
        <v>1</v>
      </c>
      <c r="DV43" s="1363">
        <f t="shared" si="74"/>
        <v>1</v>
      </c>
      <c r="DW43" s="1363">
        <f t="shared" si="75"/>
        <v>1</v>
      </c>
      <c r="DX43" s="1363">
        <f t="shared" si="76"/>
        <v>1</v>
      </c>
      <c r="DY43" s="1363">
        <f t="shared" si="77"/>
        <v>1</v>
      </c>
      <c r="DZ43" s="1363">
        <f t="shared" si="78"/>
        <v>1</v>
      </c>
      <c r="EA43" s="1363">
        <f t="shared" si="79"/>
        <v>0</v>
      </c>
    </row>
    <row r="44" spans="1:131" ht="15.95" customHeight="1" x14ac:dyDescent="0.25">
      <c r="A44" s="3097">
        <v>11054212</v>
      </c>
      <c r="B44" s="371" t="s">
        <v>2269</v>
      </c>
      <c r="C44" s="707" t="s">
        <v>2777</v>
      </c>
      <c r="D44" s="281" t="s">
        <v>2778</v>
      </c>
      <c r="E44" s="161" t="s">
        <v>2779</v>
      </c>
      <c r="F44" s="145" t="s">
        <v>2780</v>
      </c>
      <c r="G44" s="173" t="s">
        <v>2781</v>
      </c>
      <c r="H44" s="145" t="s">
        <v>2782</v>
      </c>
      <c r="I44" s="173" t="s">
        <v>2783</v>
      </c>
      <c r="J44" s="145" t="s">
        <v>2784</v>
      </c>
      <c r="K44" s="173" t="s">
        <v>2785</v>
      </c>
      <c r="L44" s="145" t="s">
        <v>2786</v>
      </c>
      <c r="M44" s="173" t="s">
        <v>2787</v>
      </c>
      <c r="N44" s="162" t="s">
        <v>2788</v>
      </c>
      <c r="O44" s="161" t="s">
        <v>2789</v>
      </c>
      <c r="P44" s="145" t="s">
        <v>2790</v>
      </c>
      <c r="Q44" s="141" t="s">
        <v>2791</v>
      </c>
      <c r="R44" s="142" t="s">
        <v>2792</v>
      </c>
      <c r="S44" s="141" t="s">
        <v>2793</v>
      </c>
      <c r="T44" s="142" t="s">
        <v>2794</v>
      </c>
      <c r="U44" s="141" t="s">
        <v>2795</v>
      </c>
      <c r="V44" s="142" t="s">
        <v>2796</v>
      </c>
      <c r="W44" s="141" t="s">
        <v>2797</v>
      </c>
      <c r="X44" s="142" t="s">
        <v>2798</v>
      </c>
      <c r="Y44" s="141" t="s">
        <v>2799</v>
      </c>
      <c r="Z44" s="142" t="s">
        <v>2800</v>
      </c>
      <c r="AA44" s="141" t="s">
        <v>2801</v>
      </c>
      <c r="AB44" s="142" t="s">
        <v>2817</v>
      </c>
      <c r="AC44" s="141" t="s">
        <v>2818</v>
      </c>
      <c r="AD44" s="142" t="s">
        <v>2819</v>
      </c>
      <c r="AE44" s="141" t="s">
        <v>2821</v>
      </c>
      <c r="AF44" s="142" t="s">
        <v>2822</v>
      </c>
      <c r="AG44" s="141" t="s">
        <v>2823</v>
      </c>
      <c r="AH44" s="142" t="s">
        <v>2824</v>
      </c>
      <c r="AI44" s="141" t="s">
        <v>2825</v>
      </c>
      <c r="AJ44" s="142" t="s">
        <v>2826</v>
      </c>
      <c r="AK44" s="141" t="s">
        <v>2827</v>
      </c>
      <c r="AL44" s="142" t="s">
        <v>2831</v>
      </c>
      <c r="AM44" s="141" t="s">
        <v>2832</v>
      </c>
      <c r="AN44" s="142" t="s">
        <v>2833</v>
      </c>
      <c r="AO44" s="141" t="s">
        <v>2834</v>
      </c>
      <c r="AP44" s="142" t="s">
        <v>3011</v>
      </c>
      <c r="AQ44" s="141" t="s">
        <v>3012</v>
      </c>
      <c r="AR44" s="318" t="s">
        <v>3013</v>
      </c>
      <c r="AS44" s="180" t="s">
        <v>3014</v>
      </c>
      <c r="AT44" s="318" t="s">
        <v>3015</v>
      </c>
      <c r="AU44" s="180" t="s">
        <v>3206</v>
      </c>
      <c r="AV44" s="142" t="s">
        <v>3207</v>
      </c>
      <c r="AW44" s="141" t="s">
        <v>3272</v>
      </c>
      <c r="AX44" s="163" t="s">
        <v>3273</v>
      </c>
      <c r="AY44" s="1079" t="e">
        <f t="shared" si="53"/>
        <v>#VALUE!</v>
      </c>
      <c r="AZ44" s="1079"/>
      <c r="BA44" s="1079"/>
      <c r="BB44" s="1079"/>
      <c r="BC44" s="1079"/>
      <c r="BD44" s="1079"/>
      <c r="BE44" s="1079"/>
      <c r="BF44" s="1079"/>
      <c r="BG44" s="1079"/>
      <c r="BH44" s="1079"/>
      <c r="BI44" s="1079"/>
      <c r="BJ44" s="884"/>
      <c r="BK44" s="884"/>
      <c r="BL44" s="884"/>
      <c r="BM44" s="884"/>
      <c r="BV44" s="885"/>
      <c r="BW44" s="885"/>
      <c r="BX44" s="885"/>
      <c r="CB44" s="2077" t="str">
        <f t="shared" si="54"/>
        <v xml:space="preserve">* El total de Reactivos NO DEBE ser superior al total de Procesados. </v>
      </c>
      <c r="CC44" s="2077" t="e">
        <f t="shared" si="55"/>
        <v>#VALUE!</v>
      </c>
      <c r="CD44" s="2077" t="e">
        <f t="shared" si="56"/>
        <v>#VALUE!</v>
      </c>
      <c r="CE44" s="2077" t="str">
        <f t="shared" si="57"/>
        <v xml:space="preserve">* La columna Pueblos Originarios NO DEBE ser superior al total de Procesados. </v>
      </c>
      <c r="CF44" s="2077" t="str">
        <f t="shared" si="58"/>
        <v xml:space="preserve">* La columna Migrantes NO DEBE ser superior al total de Procesados. </v>
      </c>
      <c r="CG44" s="2077" t="str">
        <f t="shared" si="80"/>
        <v>* El total de procesados debe ser mayor o igual al total de Reactivos en el grupo de edad Menor de 6 meses</v>
      </c>
      <c r="CH44" s="2077" t="str">
        <f t="shared" si="81"/>
        <v>* El total de procesados debe ser mayor o igual al total de Reactivos en el grupo de edad 6 a 11 meses</v>
      </c>
      <c r="CI44" s="2077" t="str">
        <f t="shared" si="82"/>
        <v>* El total de procesados debe ser mayor o igual al total de Reactivos en el grupo de edad 12-24 meses</v>
      </c>
      <c r="CJ44" s="2077" t="str">
        <f t="shared" si="83"/>
        <v>* El total de procesados debe ser mayor o igual al total de Reactivos en el grupo de edad 3 a 4</v>
      </c>
      <c r="CK44" s="2077" t="str">
        <f t="shared" si="84"/>
        <v>* El total de procesados debe ser mayor o igual al total de Reactivos en el grupo de edad 5 a 9</v>
      </c>
      <c r="CL44" s="2077" t="str">
        <f t="shared" si="85"/>
        <v>* El total de procesados debe ser mayor o igual al total de Reactivos en el grupo de edad 10 - 14</v>
      </c>
      <c r="CM44" s="2077" t="str">
        <f t="shared" si="86"/>
        <v>* El total de procesados debe ser mayor o igual al total de Reactivos en el grupo de edad 15 - 19</v>
      </c>
      <c r="CN44" s="2077" t="str">
        <f t="shared" si="87"/>
        <v>* El total de procesados debe ser mayor o igual al total de Reactivos en el grupo de edad 20 - 24</v>
      </c>
      <c r="CO44" s="2077" t="str">
        <f t="shared" si="88"/>
        <v>* El total de procesados debe ser mayor o igual al total de Reactivos en el grupo de edad 25 a 29</v>
      </c>
      <c r="CP44" s="2077" t="str">
        <f t="shared" si="89"/>
        <v>* El total de procesados debe ser mayor o igual al total de Reactivos en el grupo de edad 30 a 34</v>
      </c>
      <c r="CQ44" s="2077" t="str">
        <f t="shared" si="90"/>
        <v>* El total de procesados debe ser mayor o igual al total de Reactivos en el grupo de edad 35 a 39</v>
      </c>
      <c r="CR44" s="2077" t="str">
        <f t="shared" si="91"/>
        <v>* El total de procesados debe ser mayor o igual al total de Reactivos en el grupo de edad 40 a 44</v>
      </c>
      <c r="CS44" s="2077" t="str">
        <f t="shared" si="92"/>
        <v>* El total de procesados debe ser mayor o igual al total de Reactivos en el grupo de edad 45 a 49</v>
      </c>
      <c r="CT44" s="2077" t="str">
        <f t="shared" si="93"/>
        <v>* El total de procesados debe ser mayor o igual al total de Reactivos en el grupo de edad 50 a 54</v>
      </c>
      <c r="CU44" s="2077" t="str">
        <f t="shared" si="94"/>
        <v>* El total de procesados debe ser mayor o igual al total de Reactivos en el grupo de edad 55 a 59</v>
      </c>
      <c r="CV44" s="2077" t="str">
        <f t="shared" si="95"/>
        <v>* El total de procesados debe ser mayor o igual al total de Reactivos en el grupo de edad 60 a 64</v>
      </c>
      <c r="CW44" s="2077" t="str">
        <f t="shared" si="96"/>
        <v>* El total de procesados debe ser mayor o igual al total de Reactivos en el grupo de edad 65 a 69</v>
      </c>
      <c r="CX44" s="2077" t="str">
        <f t="shared" si="97"/>
        <v>* El total de procesados debe ser mayor o igual al total de Reactivos en el grupo de edad 70 a 74</v>
      </c>
      <c r="CY44" s="2077" t="str">
        <f t="shared" si="98"/>
        <v>* El total de procesados debe ser mayor o igual al total de Reactivos en el grupo de edad 75 a 79</v>
      </c>
      <c r="CZ44" s="2077" t="str">
        <f t="shared" si="99"/>
        <v>* El total de procesados debe ser mayor o igual al total de Reactivos en el grupo de edad 80 y más</v>
      </c>
      <c r="DA44" s="2077" t="str">
        <f t="shared" si="100"/>
        <v/>
      </c>
      <c r="DB44" s="1363">
        <f t="shared" si="101"/>
        <v>1</v>
      </c>
      <c r="DC44" s="1363" t="e">
        <f t="shared" si="102"/>
        <v>#VALUE!</v>
      </c>
      <c r="DD44" s="1363" t="e">
        <f t="shared" si="103"/>
        <v>#VALUE!</v>
      </c>
      <c r="DE44" s="1363">
        <f t="shared" si="104"/>
        <v>1</v>
      </c>
      <c r="DF44" s="1363">
        <f t="shared" si="105"/>
        <v>1</v>
      </c>
      <c r="DG44" s="1363">
        <f t="shared" si="59"/>
        <v>1</v>
      </c>
      <c r="DH44" s="1363">
        <f t="shared" si="60"/>
        <v>1</v>
      </c>
      <c r="DI44" s="1363">
        <f t="shared" si="61"/>
        <v>1</v>
      </c>
      <c r="DJ44" s="1363">
        <f t="shared" si="62"/>
        <v>1</v>
      </c>
      <c r="DK44" s="1363">
        <f t="shared" si="63"/>
        <v>1</v>
      </c>
      <c r="DL44" s="1363">
        <f t="shared" si="64"/>
        <v>1</v>
      </c>
      <c r="DM44" s="1363">
        <f t="shared" si="65"/>
        <v>1</v>
      </c>
      <c r="DN44" s="1363">
        <f t="shared" si="66"/>
        <v>1</v>
      </c>
      <c r="DO44" s="1363">
        <f t="shared" si="67"/>
        <v>1</v>
      </c>
      <c r="DP44" s="1363">
        <f t="shared" si="68"/>
        <v>1</v>
      </c>
      <c r="DQ44" s="1363">
        <f t="shared" si="69"/>
        <v>1</v>
      </c>
      <c r="DR44" s="1363">
        <f t="shared" si="70"/>
        <v>1</v>
      </c>
      <c r="DS44" s="1363">
        <f t="shared" si="71"/>
        <v>1</v>
      </c>
      <c r="DT44" s="1363">
        <f t="shared" si="72"/>
        <v>1</v>
      </c>
      <c r="DU44" s="1363">
        <f t="shared" si="73"/>
        <v>1</v>
      </c>
      <c r="DV44" s="1363">
        <f t="shared" si="74"/>
        <v>1</v>
      </c>
      <c r="DW44" s="1363">
        <f t="shared" si="75"/>
        <v>1</v>
      </c>
      <c r="DX44" s="1363">
        <f t="shared" si="76"/>
        <v>1</v>
      </c>
      <c r="DY44" s="1363">
        <f t="shared" si="77"/>
        <v>1</v>
      </c>
      <c r="DZ44" s="1363">
        <f t="shared" si="78"/>
        <v>1</v>
      </c>
      <c r="EA44" s="1363">
        <f t="shared" si="79"/>
        <v>0</v>
      </c>
    </row>
    <row r="45" spans="1:131" ht="16.350000000000001" customHeight="1" x14ac:dyDescent="0.25">
      <c r="A45" s="3097">
        <v>11054213</v>
      </c>
      <c r="B45" s="140" t="s">
        <v>2270</v>
      </c>
      <c r="C45" s="707" t="s">
        <v>2777</v>
      </c>
      <c r="D45" s="281" t="s">
        <v>2778</v>
      </c>
      <c r="E45" s="1703" t="s">
        <v>2779</v>
      </c>
      <c r="F45" s="1090" t="s">
        <v>2780</v>
      </c>
      <c r="G45" s="936" t="s">
        <v>2781</v>
      </c>
      <c r="H45" s="1090" t="s">
        <v>2782</v>
      </c>
      <c r="I45" s="936" t="s">
        <v>2783</v>
      </c>
      <c r="J45" s="937" t="s">
        <v>2784</v>
      </c>
      <c r="K45" s="1703" t="s">
        <v>2785</v>
      </c>
      <c r="L45" s="1703" t="s">
        <v>2786</v>
      </c>
      <c r="M45" s="936" t="s">
        <v>2787</v>
      </c>
      <c r="N45" s="937" t="s">
        <v>2788</v>
      </c>
      <c r="O45" s="180" t="s">
        <v>2789</v>
      </c>
      <c r="P45" s="142" t="s">
        <v>2790</v>
      </c>
      <c r="Q45" s="141" t="s">
        <v>2791</v>
      </c>
      <c r="R45" s="142" t="s">
        <v>2792</v>
      </c>
      <c r="S45" s="141" t="s">
        <v>2793</v>
      </c>
      <c r="T45" s="142" t="s">
        <v>2794</v>
      </c>
      <c r="U45" s="141" t="s">
        <v>2795</v>
      </c>
      <c r="V45" s="142" t="s">
        <v>2796</v>
      </c>
      <c r="W45" s="141" t="s">
        <v>2797</v>
      </c>
      <c r="X45" s="142" t="s">
        <v>2798</v>
      </c>
      <c r="Y45" s="141" t="s">
        <v>2799</v>
      </c>
      <c r="Z45" s="142" t="s">
        <v>2800</v>
      </c>
      <c r="AA45" s="141" t="s">
        <v>2801</v>
      </c>
      <c r="AB45" s="142" t="s">
        <v>2817</v>
      </c>
      <c r="AC45" s="141" t="s">
        <v>2818</v>
      </c>
      <c r="AD45" s="142" t="s">
        <v>2819</v>
      </c>
      <c r="AE45" s="141" t="s">
        <v>2821</v>
      </c>
      <c r="AF45" s="142" t="s">
        <v>2822</v>
      </c>
      <c r="AG45" s="141" t="s">
        <v>2823</v>
      </c>
      <c r="AH45" s="142" t="s">
        <v>2824</v>
      </c>
      <c r="AI45" s="141" t="s">
        <v>2825</v>
      </c>
      <c r="AJ45" s="142" t="s">
        <v>2826</v>
      </c>
      <c r="AK45" s="141" t="s">
        <v>2827</v>
      </c>
      <c r="AL45" s="142" t="s">
        <v>2831</v>
      </c>
      <c r="AM45" s="141" t="s">
        <v>2832</v>
      </c>
      <c r="AN45" s="142" t="s">
        <v>2833</v>
      </c>
      <c r="AO45" s="141" t="s">
        <v>2834</v>
      </c>
      <c r="AP45" s="142" t="s">
        <v>3011</v>
      </c>
      <c r="AQ45" s="141" t="s">
        <v>3012</v>
      </c>
      <c r="AR45" s="318" t="s">
        <v>3013</v>
      </c>
      <c r="AS45" s="180" t="s">
        <v>3014</v>
      </c>
      <c r="AT45" s="318" t="s">
        <v>3015</v>
      </c>
      <c r="AU45" s="180" t="s">
        <v>3206</v>
      </c>
      <c r="AV45" s="142" t="s">
        <v>3207</v>
      </c>
      <c r="AW45" s="141" t="s">
        <v>3272</v>
      </c>
      <c r="AX45" s="163" t="s">
        <v>3273</v>
      </c>
      <c r="AY45" s="1079" t="e">
        <f t="shared" si="53"/>
        <v>#VALUE!</v>
      </c>
      <c r="AZ45" s="1079"/>
      <c r="BA45" s="1079"/>
      <c r="BB45" s="1079"/>
      <c r="BC45" s="1079"/>
      <c r="BD45" s="1079"/>
      <c r="BE45" s="1079"/>
      <c r="BF45" s="1079"/>
      <c r="BG45" s="1079"/>
      <c r="BH45" s="1079"/>
      <c r="BI45" s="1079"/>
      <c r="BJ45" s="884"/>
      <c r="BK45" s="884"/>
      <c r="BL45" s="884"/>
      <c r="BM45" s="884"/>
      <c r="BV45" s="885"/>
      <c r="BW45" s="885"/>
      <c r="BX45" s="885"/>
      <c r="CB45" s="2077" t="str">
        <f t="shared" si="54"/>
        <v xml:space="preserve">* El total de Reactivos NO DEBE ser superior al total de Procesados. </v>
      </c>
      <c r="CC45" s="2077" t="e">
        <f t="shared" si="55"/>
        <v>#VALUE!</v>
      </c>
      <c r="CD45" s="2077" t="e">
        <f t="shared" si="56"/>
        <v>#VALUE!</v>
      </c>
      <c r="CE45" s="2077" t="str">
        <f t="shared" si="57"/>
        <v xml:space="preserve">* La columna Pueblos Originarios NO DEBE ser superior al total de Procesados. </v>
      </c>
      <c r="CF45" s="2077" t="str">
        <f t="shared" si="58"/>
        <v xml:space="preserve">* La columna Migrantes NO DEBE ser superior al total de Procesados. </v>
      </c>
      <c r="CG45" s="2077" t="str">
        <f t="shared" si="80"/>
        <v>* El total de procesados debe ser mayor o igual al total de Reactivos en el grupo de edad Menor de 6 meses</v>
      </c>
      <c r="CH45" s="2077" t="str">
        <f t="shared" si="81"/>
        <v>* El total de procesados debe ser mayor o igual al total de Reactivos en el grupo de edad 6 a 11 meses</v>
      </c>
      <c r="CI45" s="2077" t="str">
        <f t="shared" si="82"/>
        <v>* El total de procesados debe ser mayor o igual al total de Reactivos en el grupo de edad 12-24 meses</v>
      </c>
      <c r="CJ45" s="2077" t="str">
        <f t="shared" si="83"/>
        <v>* El total de procesados debe ser mayor o igual al total de Reactivos en el grupo de edad 3 a 4</v>
      </c>
      <c r="CK45" s="2077" t="str">
        <f t="shared" si="84"/>
        <v>* El total de procesados debe ser mayor o igual al total de Reactivos en el grupo de edad 5 a 9</v>
      </c>
      <c r="CL45" s="2077" t="str">
        <f t="shared" si="85"/>
        <v>* El total de procesados debe ser mayor o igual al total de Reactivos en el grupo de edad 10 - 14</v>
      </c>
      <c r="CM45" s="2077" t="str">
        <f t="shared" si="86"/>
        <v>* El total de procesados debe ser mayor o igual al total de Reactivos en el grupo de edad 15 - 19</v>
      </c>
      <c r="CN45" s="2077" t="str">
        <f t="shared" si="87"/>
        <v>* El total de procesados debe ser mayor o igual al total de Reactivos en el grupo de edad 20 - 24</v>
      </c>
      <c r="CO45" s="2077" t="str">
        <f t="shared" si="88"/>
        <v>* El total de procesados debe ser mayor o igual al total de Reactivos en el grupo de edad 25 a 29</v>
      </c>
      <c r="CP45" s="2077" t="str">
        <f t="shared" si="89"/>
        <v>* El total de procesados debe ser mayor o igual al total de Reactivos en el grupo de edad 30 a 34</v>
      </c>
      <c r="CQ45" s="2077" t="str">
        <f t="shared" si="90"/>
        <v>* El total de procesados debe ser mayor o igual al total de Reactivos en el grupo de edad 35 a 39</v>
      </c>
      <c r="CR45" s="2077" t="str">
        <f t="shared" si="91"/>
        <v>* El total de procesados debe ser mayor o igual al total de Reactivos en el grupo de edad 40 a 44</v>
      </c>
      <c r="CS45" s="2077" t="str">
        <f t="shared" si="92"/>
        <v>* El total de procesados debe ser mayor o igual al total de Reactivos en el grupo de edad 45 a 49</v>
      </c>
      <c r="CT45" s="2077" t="str">
        <f t="shared" si="93"/>
        <v>* El total de procesados debe ser mayor o igual al total de Reactivos en el grupo de edad 50 a 54</v>
      </c>
      <c r="CU45" s="2077" t="str">
        <f t="shared" si="94"/>
        <v>* El total de procesados debe ser mayor o igual al total de Reactivos en el grupo de edad 55 a 59</v>
      </c>
      <c r="CV45" s="2077" t="str">
        <f t="shared" si="95"/>
        <v>* El total de procesados debe ser mayor o igual al total de Reactivos en el grupo de edad 60 a 64</v>
      </c>
      <c r="CW45" s="2077" t="str">
        <f t="shared" si="96"/>
        <v>* El total de procesados debe ser mayor o igual al total de Reactivos en el grupo de edad 65 a 69</v>
      </c>
      <c r="CX45" s="2077" t="str">
        <f t="shared" si="97"/>
        <v>* El total de procesados debe ser mayor o igual al total de Reactivos en el grupo de edad 70 a 74</v>
      </c>
      <c r="CY45" s="2077" t="str">
        <f t="shared" si="98"/>
        <v>* El total de procesados debe ser mayor o igual al total de Reactivos en el grupo de edad 75 a 79</v>
      </c>
      <c r="CZ45" s="2077" t="str">
        <f t="shared" si="99"/>
        <v>* El total de procesados debe ser mayor o igual al total de Reactivos en el grupo de edad 80 y más</v>
      </c>
      <c r="DA45" s="2077" t="str">
        <f t="shared" si="100"/>
        <v/>
      </c>
      <c r="DB45" s="1363">
        <f t="shared" si="101"/>
        <v>1</v>
      </c>
      <c r="DC45" s="1363" t="e">
        <f t="shared" si="102"/>
        <v>#VALUE!</v>
      </c>
      <c r="DD45" s="1363" t="e">
        <f t="shared" si="103"/>
        <v>#VALUE!</v>
      </c>
      <c r="DE45" s="1363">
        <f t="shared" si="104"/>
        <v>1</v>
      </c>
      <c r="DF45" s="1363">
        <f t="shared" si="105"/>
        <v>1</v>
      </c>
      <c r="DG45" s="1363">
        <f t="shared" si="59"/>
        <v>1</v>
      </c>
      <c r="DH45" s="1363">
        <f t="shared" si="60"/>
        <v>1</v>
      </c>
      <c r="DI45" s="1363">
        <f t="shared" si="61"/>
        <v>1</v>
      </c>
      <c r="DJ45" s="1363">
        <f t="shared" si="62"/>
        <v>1</v>
      </c>
      <c r="DK45" s="1363">
        <f t="shared" si="63"/>
        <v>1</v>
      </c>
      <c r="DL45" s="1363">
        <f t="shared" si="64"/>
        <v>1</v>
      </c>
      <c r="DM45" s="1363">
        <f t="shared" si="65"/>
        <v>1</v>
      </c>
      <c r="DN45" s="1363">
        <f t="shared" si="66"/>
        <v>1</v>
      </c>
      <c r="DO45" s="1363">
        <f t="shared" si="67"/>
        <v>1</v>
      </c>
      <c r="DP45" s="1363">
        <f t="shared" si="68"/>
        <v>1</v>
      </c>
      <c r="DQ45" s="1363">
        <f t="shared" si="69"/>
        <v>1</v>
      </c>
      <c r="DR45" s="1363">
        <f t="shared" si="70"/>
        <v>1</v>
      </c>
      <c r="DS45" s="1363">
        <f t="shared" si="71"/>
        <v>1</v>
      </c>
      <c r="DT45" s="1363">
        <f t="shared" si="72"/>
        <v>1</v>
      </c>
      <c r="DU45" s="1363">
        <f t="shared" si="73"/>
        <v>1</v>
      </c>
      <c r="DV45" s="1363">
        <f t="shared" si="74"/>
        <v>1</v>
      </c>
      <c r="DW45" s="1363">
        <f t="shared" si="75"/>
        <v>1</v>
      </c>
      <c r="DX45" s="1363">
        <f t="shared" si="76"/>
        <v>1</v>
      </c>
      <c r="DY45" s="1363">
        <f t="shared" si="77"/>
        <v>1</v>
      </c>
      <c r="DZ45" s="1363">
        <f t="shared" si="78"/>
        <v>1</v>
      </c>
      <c r="EA45" s="1363">
        <f t="shared" si="79"/>
        <v>0</v>
      </c>
    </row>
    <row r="46" spans="1:131" ht="16.350000000000001" customHeight="1" x14ac:dyDescent="0.25">
      <c r="A46" s="3097">
        <v>11054214</v>
      </c>
      <c r="B46" s="140" t="s">
        <v>2271</v>
      </c>
      <c r="C46" s="707" t="s">
        <v>2777</v>
      </c>
      <c r="D46" s="281" t="s">
        <v>2778</v>
      </c>
      <c r="E46" s="180" t="s">
        <v>2779</v>
      </c>
      <c r="F46" s="142" t="s">
        <v>2780</v>
      </c>
      <c r="G46" s="141" t="s">
        <v>2781</v>
      </c>
      <c r="H46" s="142" t="s">
        <v>2782</v>
      </c>
      <c r="I46" s="141" t="s">
        <v>2783</v>
      </c>
      <c r="J46" s="163" t="s">
        <v>2784</v>
      </c>
      <c r="K46" s="180" t="s">
        <v>2785</v>
      </c>
      <c r="L46" s="180" t="s">
        <v>2786</v>
      </c>
      <c r="M46" s="141" t="s">
        <v>2787</v>
      </c>
      <c r="N46" s="163" t="s">
        <v>2788</v>
      </c>
      <c r="O46" s="180" t="s">
        <v>2789</v>
      </c>
      <c r="P46" s="142" t="s">
        <v>2790</v>
      </c>
      <c r="Q46" s="141" t="s">
        <v>2791</v>
      </c>
      <c r="R46" s="142" t="s">
        <v>2792</v>
      </c>
      <c r="S46" s="141" t="s">
        <v>2793</v>
      </c>
      <c r="T46" s="142" t="s">
        <v>2794</v>
      </c>
      <c r="U46" s="141" t="s">
        <v>2795</v>
      </c>
      <c r="V46" s="142" t="s">
        <v>2796</v>
      </c>
      <c r="W46" s="141" t="s">
        <v>2797</v>
      </c>
      <c r="X46" s="142" t="s">
        <v>2798</v>
      </c>
      <c r="Y46" s="141" t="s">
        <v>2799</v>
      </c>
      <c r="Z46" s="142" t="s">
        <v>2800</v>
      </c>
      <c r="AA46" s="141" t="s">
        <v>2801</v>
      </c>
      <c r="AB46" s="142" t="s">
        <v>2817</v>
      </c>
      <c r="AC46" s="141" t="s">
        <v>2818</v>
      </c>
      <c r="AD46" s="142" t="s">
        <v>2819</v>
      </c>
      <c r="AE46" s="141" t="s">
        <v>2821</v>
      </c>
      <c r="AF46" s="142" t="s">
        <v>2822</v>
      </c>
      <c r="AG46" s="141" t="s">
        <v>2823</v>
      </c>
      <c r="AH46" s="142" t="s">
        <v>2824</v>
      </c>
      <c r="AI46" s="141" t="s">
        <v>2825</v>
      </c>
      <c r="AJ46" s="142" t="s">
        <v>2826</v>
      </c>
      <c r="AK46" s="141" t="s">
        <v>2827</v>
      </c>
      <c r="AL46" s="142" t="s">
        <v>2831</v>
      </c>
      <c r="AM46" s="141" t="s">
        <v>2832</v>
      </c>
      <c r="AN46" s="142" t="s">
        <v>2833</v>
      </c>
      <c r="AO46" s="141" t="s">
        <v>2834</v>
      </c>
      <c r="AP46" s="142" t="s">
        <v>3011</v>
      </c>
      <c r="AQ46" s="141" t="s">
        <v>3012</v>
      </c>
      <c r="AR46" s="318" t="s">
        <v>3013</v>
      </c>
      <c r="AS46" s="180" t="s">
        <v>3014</v>
      </c>
      <c r="AT46" s="318" t="s">
        <v>3015</v>
      </c>
      <c r="AU46" s="180" t="s">
        <v>3206</v>
      </c>
      <c r="AV46" s="142" t="s">
        <v>3207</v>
      </c>
      <c r="AW46" s="141" t="s">
        <v>3272</v>
      </c>
      <c r="AX46" s="163" t="s">
        <v>3273</v>
      </c>
      <c r="AY46" s="1079" t="e">
        <f t="shared" si="53"/>
        <v>#VALUE!</v>
      </c>
      <c r="AZ46" s="1079"/>
      <c r="BA46" s="1079"/>
      <c r="BB46" s="1079"/>
      <c r="BC46" s="1079"/>
      <c r="BD46" s="1079"/>
      <c r="BE46" s="1079"/>
      <c r="BF46" s="1079"/>
      <c r="BG46" s="1079"/>
      <c r="BH46" s="1079"/>
      <c r="BI46" s="1079"/>
      <c r="BJ46" s="884"/>
      <c r="BK46" s="884"/>
      <c r="BL46" s="884"/>
      <c r="BM46" s="884"/>
      <c r="BV46" s="885"/>
      <c r="BW46" s="885"/>
      <c r="BX46" s="885"/>
      <c r="CB46" s="2077" t="str">
        <f t="shared" si="54"/>
        <v xml:space="preserve">* El total de Reactivos NO DEBE ser superior al total de Procesados. </v>
      </c>
      <c r="CC46" s="2077" t="e">
        <f t="shared" si="55"/>
        <v>#VALUE!</v>
      </c>
      <c r="CD46" s="2077" t="e">
        <f t="shared" si="56"/>
        <v>#VALUE!</v>
      </c>
      <c r="CE46" s="2077" t="str">
        <f t="shared" si="57"/>
        <v xml:space="preserve">* La columna Pueblos Originarios NO DEBE ser superior al total de Procesados. </v>
      </c>
      <c r="CF46" s="2077" t="str">
        <f t="shared" si="58"/>
        <v xml:space="preserve">* La columna Migrantes NO DEBE ser superior al total de Procesados. </v>
      </c>
      <c r="CG46" s="2077" t="str">
        <f t="shared" si="80"/>
        <v>* El total de procesados debe ser mayor o igual al total de Reactivos en el grupo de edad Menor de 6 meses</v>
      </c>
      <c r="CH46" s="2077" t="str">
        <f t="shared" si="81"/>
        <v>* El total de procesados debe ser mayor o igual al total de Reactivos en el grupo de edad 6 a 11 meses</v>
      </c>
      <c r="CI46" s="2077" t="str">
        <f t="shared" si="82"/>
        <v>* El total de procesados debe ser mayor o igual al total de Reactivos en el grupo de edad 12-24 meses</v>
      </c>
      <c r="CJ46" s="2077" t="str">
        <f t="shared" si="83"/>
        <v>* El total de procesados debe ser mayor o igual al total de Reactivos en el grupo de edad 3 a 4</v>
      </c>
      <c r="CK46" s="2077" t="str">
        <f t="shared" si="84"/>
        <v>* El total de procesados debe ser mayor o igual al total de Reactivos en el grupo de edad 5 a 9</v>
      </c>
      <c r="CL46" s="2077" t="str">
        <f t="shared" si="85"/>
        <v>* El total de procesados debe ser mayor o igual al total de Reactivos en el grupo de edad 10 - 14</v>
      </c>
      <c r="CM46" s="2077" t="str">
        <f t="shared" si="86"/>
        <v>* El total de procesados debe ser mayor o igual al total de Reactivos en el grupo de edad 15 - 19</v>
      </c>
      <c r="CN46" s="2077" t="str">
        <f t="shared" si="87"/>
        <v>* El total de procesados debe ser mayor o igual al total de Reactivos en el grupo de edad 20 - 24</v>
      </c>
      <c r="CO46" s="2077" t="str">
        <f t="shared" si="88"/>
        <v>* El total de procesados debe ser mayor o igual al total de Reactivos en el grupo de edad 25 a 29</v>
      </c>
      <c r="CP46" s="2077" t="str">
        <f t="shared" si="89"/>
        <v>* El total de procesados debe ser mayor o igual al total de Reactivos en el grupo de edad 30 a 34</v>
      </c>
      <c r="CQ46" s="2077" t="str">
        <f t="shared" si="90"/>
        <v>* El total de procesados debe ser mayor o igual al total de Reactivos en el grupo de edad 35 a 39</v>
      </c>
      <c r="CR46" s="2077" t="str">
        <f t="shared" si="91"/>
        <v>* El total de procesados debe ser mayor o igual al total de Reactivos en el grupo de edad 40 a 44</v>
      </c>
      <c r="CS46" s="2077" t="str">
        <f t="shared" si="92"/>
        <v>* El total de procesados debe ser mayor o igual al total de Reactivos en el grupo de edad 45 a 49</v>
      </c>
      <c r="CT46" s="2077" t="str">
        <f t="shared" si="93"/>
        <v>* El total de procesados debe ser mayor o igual al total de Reactivos en el grupo de edad 50 a 54</v>
      </c>
      <c r="CU46" s="2077" t="str">
        <f t="shared" si="94"/>
        <v>* El total de procesados debe ser mayor o igual al total de Reactivos en el grupo de edad 55 a 59</v>
      </c>
      <c r="CV46" s="2077" t="str">
        <f t="shared" si="95"/>
        <v>* El total de procesados debe ser mayor o igual al total de Reactivos en el grupo de edad 60 a 64</v>
      </c>
      <c r="CW46" s="2077" t="str">
        <f t="shared" si="96"/>
        <v>* El total de procesados debe ser mayor o igual al total de Reactivos en el grupo de edad 65 a 69</v>
      </c>
      <c r="CX46" s="2077" t="str">
        <f t="shared" si="97"/>
        <v>* El total de procesados debe ser mayor o igual al total de Reactivos en el grupo de edad 70 a 74</v>
      </c>
      <c r="CY46" s="2077" t="str">
        <f t="shared" si="98"/>
        <v>* El total de procesados debe ser mayor o igual al total de Reactivos en el grupo de edad 75 a 79</v>
      </c>
      <c r="CZ46" s="2077" t="str">
        <f t="shared" si="99"/>
        <v>* El total de procesados debe ser mayor o igual al total de Reactivos en el grupo de edad 80 y más</v>
      </c>
      <c r="DA46" s="2077" t="str">
        <f t="shared" si="100"/>
        <v/>
      </c>
      <c r="DB46" s="1363">
        <f t="shared" si="101"/>
        <v>1</v>
      </c>
      <c r="DC46" s="1363" t="e">
        <f t="shared" si="102"/>
        <v>#VALUE!</v>
      </c>
      <c r="DD46" s="1363" t="e">
        <f t="shared" si="103"/>
        <v>#VALUE!</v>
      </c>
      <c r="DE46" s="1363">
        <f t="shared" si="104"/>
        <v>1</v>
      </c>
      <c r="DF46" s="1363">
        <f t="shared" si="105"/>
        <v>1</v>
      </c>
      <c r="DG46" s="1363">
        <f t="shared" si="59"/>
        <v>1</v>
      </c>
      <c r="DH46" s="1363">
        <f t="shared" si="60"/>
        <v>1</v>
      </c>
      <c r="DI46" s="1363">
        <f t="shared" si="61"/>
        <v>1</v>
      </c>
      <c r="DJ46" s="1363">
        <f t="shared" si="62"/>
        <v>1</v>
      </c>
      <c r="DK46" s="1363">
        <f t="shared" si="63"/>
        <v>1</v>
      </c>
      <c r="DL46" s="1363">
        <f t="shared" si="64"/>
        <v>1</v>
      </c>
      <c r="DM46" s="1363">
        <f t="shared" si="65"/>
        <v>1</v>
      </c>
      <c r="DN46" s="1363">
        <f t="shared" si="66"/>
        <v>1</v>
      </c>
      <c r="DO46" s="1363">
        <f t="shared" si="67"/>
        <v>1</v>
      </c>
      <c r="DP46" s="1363">
        <f t="shared" si="68"/>
        <v>1</v>
      </c>
      <c r="DQ46" s="1363">
        <f t="shared" si="69"/>
        <v>1</v>
      </c>
      <c r="DR46" s="1363">
        <f t="shared" si="70"/>
        <v>1</v>
      </c>
      <c r="DS46" s="1363">
        <f t="shared" si="71"/>
        <v>1</v>
      </c>
      <c r="DT46" s="1363">
        <f t="shared" si="72"/>
        <v>1</v>
      </c>
      <c r="DU46" s="1363">
        <f t="shared" si="73"/>
        <v>1</v>
      </c>
      <c r="DV46" s="1363">
        <f t="shared" si="74"/>
        <v>1</v>
      </c>
      <c r="DW46" s="1363">
        <f t="shared" si="75"/>
        <v>1</v>
      </c>
      <c r="DX46" s="1363">
        <f t="shared" si="76"/>
        <v>1</v>
      </c>
      <c r="DY46" s="1363">
        <f t="shared" si="77"/>
        <v>1</v>
      </c>
      <c r="DZ46" s="1363">
        <f t="shared" si="78"/>
        <v>1</v>
      </c>
      <c r="EA46" s="1363">
        <f t="shared" si="79"/>
        <v>0</v>
      </c>
    </row>
    <row r="47" spans="1:131" ht="16.350000000000001" customHeight="1" x14ac:dyDescent="0.25">
      <c r="A47" s="3097">
        <v>11054215</v>
      </c>
      <c r="B47" s="140" t="s">
        <v>2272</v>
      </c>
      <c r="C47" s="707" t="s">
        <v>2777</v>
      </c>
      <c r="D47" s="281" t="s">
        <v>2778</v>
      </c>
      <c r="E47" s="161" t="s">
        <v>2779</v>
      </c>
      <c r="F47" s="145" t="s">
        <v>2780</v>
      </c>
      <c r="G47" s="173" t="s">
        <v>2781</v>
      </c>
      <c r="H47" s="145" t="s">
        <v>2782</v>
      </c>
      <c r="I47" s="173" t="s">
        <v>2783</v>
      </c>
      <c r="J47" s="145" t="s">
        <v>2784</v>
      </c>
      <c r="K47" s="173" t="s">
        <v>2785</v>
      </c>
      <c r="L47" s="145" t="s">
        <v>2786</v>
      </c>
      <c r="M47" s="173" t="s">
        <v>2787</v>
      </c>
      <c r="N47" s="162" t="s">
        <v>2788</v>
      </c>
      <c r="O47" s="161" t="s">
        <v>2789</v>
      </c>
      <c r="P47" s="145" t="s">
        <v>2790</v>
      </c>
      <c r="Q47" s="141" t="s">
        <v>2791</v>
      </c>
      <c r="R47" s="142" t="s">
        <v>2792</v>
      </c>
      <c r="S47" s="141" t="s">
        <v>2793</v>
      </c>
      <c r="T47" s="142" t="s">
        <v>2794</v>
      </c>
      <c r="U47" s="141" t="s">
        <v>2795</v>
      </c>
      <c r="V47" s="142" t="s">
        <v>2796</v>
      </c>
      <c r="W47" s="141" t="s">
        <v>2797</v>
      </c>
      <c r="X47" s="142" t="s">
        <v>2798</v>
      </c>
      <c r="Y47" s="141" t="s">
        <v>2799</v>
      </c>
      <c r="Z47" s="142" t="s">
        <v>2800</v>
      </c>
      <c r="AA47" s="141" t="s">
        <v>2801</v>
      </c>
      <c r="AB47" s="142" t="s">
        <v>2817</v>
      </c>
      <c r="AC47" s="141" t="s">
        <v>2818</v>
      </c>
      <c r="AD47" s="142" t="s">
        <v>2819</v>
      </c>
      <c r="AE47" s="141" t="s">
        <v>2821</v>
      </c>
      <c r="AF47" s="142" t="s">
        <v>2822</v>
      </c>
      <c r="AG47" s="141" t="s">
        <v>2823</v>
      </c>
      <c r="AH47" s="142" t="s">
        <v>2824</v>
      </c>
      <c r="AI47" s="141" t="s">
        <v>2825</v>
      </c>
      <c r="AJ47" s="142" t="s">
        <v>2826</v>
      </c>
      <c r="AK47" s="141" t="s">
        <v>2827</v>
      </c>
      <c r="AL47" s="142" t="s">
        <v>2831</v>
      </c>
      <c r="AM47" s="141" t="s">
        <v>2832</v>
      </c>
      <c r="AN47" s="142" t="s">
        <v>2833</v>
      </c>
      <c r="AO47" s="141" t="s">
        <v>2834</v>
      </c>
      <c r="AP47" s="142" t="s">
        <v>3011</v>
      </c>
      <c r="AQ47" s="141" t="s">
        <v>3012</v>
      </c>
      <c r="AR47" s="318" t="s">
        <v>3013</v>
      </c>
      <c r="AS47" s="180" t="s">
        <v>3014</v>
      </c>
      <c r="AT47" s="318" t="s">
        <v>3015</v>
      </c>
      <c r="AU47" s="180" t="s">
        <v>3206</v>
      </c>
      <c r="AV47" s="142" t="s">
        <v>3207</v>
      </c>
      <c r="AW47" s="141" t="s">
        <v>3272</v>
      </c>
      <c r="AX47" s="163" t="s">
        <v>3273</v>
      </c>
      <c r="AY47" s="1079" t="e">
        <f t="shared" si="53"/>
        <v>#VALUE!</v>
      </c>
      <c r="AZ47" s="1079"/>
      <c r="BA47" s="1079"/>
      <c r="BB47" s="1079"/>
      <c r="BC47" s="1079"/>
      <c r="BD47" s="1079"/>
      <c r="BE47" s="1079"/>
      <c r="BF47" s="1079"/>
      <c r="BG47" s="1079"/>
      <c r="BH47" s="1079"/>
      <c r="BI47" s="1079"/>
      <c r="BJ47" s="884"/>
      <c r="BK47" s="884"/>
      <c r="BL47" s="884"/>
      <c r="BM47" s="884"/>
      <c r="BV47" s="885"/>
      <c r="BW47" s="885"/>
      <c r="BX47" s="885"/>
      <c r="CB47" s="2077" t="str">
        <f t="shared" si="54"/>
        <v xml:space="preserve">* El total de Reactivos NO DEBE ser superior al total de Procesados. </v>
      </c>
      <c r="CC47" s="2077" t="e">
        <f t="shared" si="55"/>
        <v>#VALUE!</v>
      </c>
      <c r="CD47" s="2077" t="e">
        <f t="shared" si="56"/>
        <v>#VALUE!</v>
      </c>
      <c r="CE47" s="2077" t="str">
        <f t="shared" si="57"/>
        <v xml:space="preserve">* La columna Pueblos Originarios NO DEBE ser superior al total de Procesados. </v>
      </c>
      <c r="CF47" s="2077" t="str">
        <f t="shared" si="58"/>
        <v xml:space="preserve">* La columna Migrantes NO DEBE ser superior al total de Procesados. </v>
      </c>
      <c r="CG47" s="2077" t="str">
        <f t="shared" si="80"/>
        <v>* El total de procesados debe ser mayor o igual al total de Reactivos en el grupo de edad Menor de 6 meses</v>
      </c>
      <c r="CH47" s="2077" t="str">
        <f t="shared" si="81"/>
        <v>* El total de procesados debe ser mayor o igual al total de Reactivos en el grupo de edad 6 a 11 meses</v>
      </c>
      <c r="CI47" s="2077" t="str">
        <f t="shared" si="82"/>
        <v>* El total de procesados debe ser mayor o igual al total de Reactivos en el grupo de edad 12-24 meses</v>
      </c>
      <c r="CJ47" s="2077" t="str">
        <f t="shared" si="83"/>
        <v>* El total de procesados debe ser mayor o igual al total de Reactivos en el grupo de edad 3 a 4</v>
      </c>
      <c r="CK47" s="2077" t="str">
        <f t="shared" si="84"/>
        <v>* El total de procesados debe ser mayor o igual al total de Reactivos en el grupo de edad 5 a 9</v>
      </c>
      <c r="CL47" s="2077" t="str">
        <f t="shared" si="85"/>
        <v>* El total de procesados debe ser mayor o igual al total de Reactivos en el grupo de edad 10 - 14</v>
      </c>
      <c r="CM47" s="2077" t="str">
        <f t="shared" si="86"/>
        <v>* El total de procesados debe ser mayor o igual al total de Reactivos en el grupo de edad 15 - 19</v>
      </c>
      <c r="CN47" s="2077" t="str">
        <f t="shared" si="87"/>
        <v>* El total de procesados debe ser mayor o igual al total de Reactivos en el grupo de edad 20 - 24</v>
      </c>
      <c r="CO47" s="2077" t="str">
        <f t="shared" si="88"/>
        <v>* El total de procesados debe ser mayor o igual al total de Reactivos en el grupo de edad 25 a 29</v>
      </c>
      <c r="CP47" s="2077" t="str">
        <f t="shared" si="89"/>
        <v>* El total de procesados debe ser mayor o igual al total de Reactivos en el grupo de edad 30 a 34</v>
      </c>
      <c r="CQ47" s="2077" t="str">
        <f t="shared" si="90"/>
        <v>* El total de procesados debe ser mayor o igual al total de Reactivos en el grupo de edad 35 a 39</v>
      </c>
      <c r="CR47" s="2077" t="str">
        <f t="shared" si="91"/>
        <v>* El total de procesados debe ser mayor o igual al total de Reactivos en el grupo de edad 40 a 44</v>
      </c>
      <c r="CS47" s="2077" t="str">
        <f t="shared" si="92"/>
        <v>* El total de procesados debe ser mayor o igual al total de Reactivos en el grupo de edad 45 a 49</v>
      </c>
      <c r="CT47" s="2077" t="str">
        <f t="shared" si="93"/>
        <v>* El total de procesados debe ser mayor o igual al total de Reactivos en el grupo de edad 50 a 54</v>
      </c>
      <c r="CU47" s="2077" t="str">
        <f t="shared" si="94"/>
        <v>* El total de procesados debe ser mayor o igual al total de Reactivos en el grupo de edad 55 a 59</v>
      </c>
      <c r="CV47" s="2077" t="str">
        <f t="shared" si="95"/>
        <v>* El total de procesados debe ser mayor o igual al total de Reactivos en el grupo de edad 60 a 64</v>
      </c>
      <c r="CW47" s="2077" t="str">
        <f t="shared" si="96"/>
        <v>* El total de procesados debe ser mayor o igual al total de Reactivos en el grupo de edad 65 a 69</v>
      </c>
      <c r="CX47" s="2077" t="str">
        <f t="shared" si="97"/>
        <v>* El total de procesados debe ser mayor o igual al total de Reactivos en el grupo de edad 70 a 74</v>
      </c>
      <c r="CY47" s="2077" t="str">
        <f t="shared" si="98"/>
        <v>* El total de procesados debe ser mayor o igual al total de Reactivos en el grupo de edad 75 a 79</v>
      </c>
      <c r="CZ47" s="2077" t="str">
        <f t="shared" si="99"/>
        <v>* El total de procesados debe ser mayor o igual al total de Reactivos en el grupo de edad 80 y más</v>
      </c>
      <c r="DA47" s="2077" t="str">
        <f t="shared" si="100"/>
        <v/>
      </c>
      <c r="DB47" s="1363">
        <f t="shared" si="101"/>
        <v>1</v>
      </c>
      <c r="DC47" s="1363" t="e">
        <f t="shared" si="102"/>
        <v>#VALUE!</v>
      </c>
      <c r="DD47" s="1363" t="e">
        <f t="shared" si="103"/>
        <v>#VALUE!</v>
      </c>
      <c r="DE47" s="1363">
        <f t="shared" si="104"/>
        <v>1</v>
      </c>
      <c r="DF47" s="1363">
        <f t="shared" si="105"/>
        <v>1</v>
      </c>
      <c r="DG47" s="1363">
        <f t="shared" si="59"/>
        <v>1</v>
      </c>
      <c r="DH47" s="1363">
        <f t="shared" si="60"/>
        <v>1</v>
      </c>
      <c r="DI47" s="1363">
        <f t="shared" si="61"/>
        <v>1</v>
      </c>
      <c r="DJ47" s="1363">
        <f t="shared" si="62"/>
        <v>1</v>
      </c>
      <c r="DK47" s="1363">
        <f t="shared" si="63"/>
        <v>1</v>
      </c>
      <c r="DL47" s="1363">
        <f t="shared" si="64"/>
        <v>1</v>
      </c>
      <c r="DM47" s="1363">
        <f t="shared" si="65"/>
        <v>1</v>
      </c>
      <c r="DN47" s="1363">
        <f t="shared" si="66"/>
        <v>1</v>
      </c>
      <c r="DO47" s="1363">
        <f t="shared" si="67"/>
        <v>1</v>
      </c>
      <c r="DP47" s="1363">
        <f t="shared" si="68"/>
        <v>1</v>
      </c>
      <c r="DQ47" s="1363">
        <f t="shared" si="69"/>
        <v>1</v>
      </c>
      <c r="DR47" s="1363">
        <f t="shared" si="70"/>
        <v>1</v>
      </c>
      <c r="DS47" s="1363">
        <f t="shared" si="71"/>
        <v>1</v>
      </c>
      <c r="DT47" s="1363">
        <f t="shared" si="72"/>
        <v>1</v>
      </c>
      <c r="DU47" s="1363">
        <f t="shared" si="73"/>
        <v>1</v>
      </c>
      <c r="DV47" s="1363">
        <f t="shared" si="74"/>
        <v>1</v>
      </c>
      <c r="DW47" s="1363">
        <f t="shared" si="75"/>
        <v>1</v>
      </c>
      <c r="DX47" s="1363">
        <f t="shared" si="76"/>
        <v>1</v>
      </c>
      <c r="DY47" s="1363">
        <f t="shared" si="77"/>
        <v>1</v>
      </c>
      <c r="DZ47" s="1363">
        <f t="shared" si="78"/>
        <v>1</v>
      </c>
      <c r="EA47" s="1363">
        <f t="shared" si="79"/>
        <v>0</v>
      </c>
    </row>
    <row r="48" spans="1:131" ht="16.350000000000001" customHeight="1" x14ac:dyDescent="0.25">
      <c r="A48" s="3097">
        <v>11054216</v>
      </c>
      <c r="B48" s="140" t="s">
        <v>2273</v>
      </c>
      <c r="C48" s="707" t="s">
        <v>2777</v>
      </c>
      <c r="D48" s="281" t="s">
        <v>2778</v>
      </c>
      <c r="E48" s="161" t="s">
        <v>2779</v>
      </c>
      <c r="F48" s="145" t="s">
        <v>2780</v>
      </c>
      <c r="G48" s="173" t="s">
        <v>2781</v>
      </c>
      <c r="H48" s="145" t="s">
        <v>2782</v>
      </c>
      <c r="I48" s="173" t="s">
        <v>2783</v>
      </c>
      <c r="J48" s="145" t="s">
        <v>2784</v>
      </c>
      <c r="K48" s="173" t="s">
        <v>2785</v>
      </c>
      <c r="L48" s="145" t="s">
        <v>2786</v>
      </c>
      <c r="M48" s="173" t="s">
        <v>2787</v>
      </c>
      <c r="N48" s="162" t="s">
        <v>2788</v>
      </c>
      <c r="O48" s="161" t="s">
        <v>2789</v>
      </c>
      <c r="P48" s="145" t="s">
        <v>2790</v>
      </c>
      <c r="Q48" s="141" t="s">
        <v>2791</v>
      </c>
      <c r="R48" s="142" t="s">
        <v>2792</v>
      </c>
      <c r="S48" s="141" t="s">
        <v>2793</v>
      </c>
      <c r="T48" s="142" t="s">
        <v>2794</v>
      </c>
      <c r="U48" s="141" t="s">
        <v>2795</v>
      </c>
      <c r="V48" s="142" t="s">
        <v>2796</v>
      </c>
      <c r="W48" s="141" t="s">
        <v>2797</v>
      </c>
      <c r="X48" s="142" t="s">
        <v>2798</v>
      </c>
      <c r="Y48" s="141" t="s">
        <v>2799</v>
      </c>
      <c r="Z48" s="142" t="s">
        <v>2800</v>
      </c>
      <c r="AA48" s="141" t="s">
        <v>2801</v>
      </c>
      <c r="AB48" s="142" t="s">
        <v>2817</v>
      </c>
      <c r="AC48" s="141" t="s">
        <v>2818</v>
      </c>
      <c r="AD48" s="142" t="s">
        <v>2819</v>
      </c>
      <c r="AE48" s="141" t="s">
        <v>2821</v>
      </c>
      <c r="AF48" s="142" t="s">
        <v>2822</v>
      </c>
      <c r="AG48" s="141" t="s">
        <v>2823</v>
      </c>
      <c r="AH48" s="142" t="s">
        <v>2824</v>
      </c>
      <c r="AI48" s="141" t="s">
        <v>2825</v>
      </c>
      <c r="AJ48" s="142" t="s">
        <v>2826</v>
      </c>
      <c r="AK48" s="173" t="s">
        <v>2827</v>
      </c>
      <c r="AL48" s="145" t="s">
        <v>2831</v>
      </c>
      <c r="AM48" s="173" t="s">
        <v>2832</v>
      </c>
      <c r="AN48" s="145" t="s">
        <v>2833</v>
      </c>
      <c r="AO48" s="173" t="s">
        <v>2834</v>
      </c>
      <c r="AP48" s="145" t="s">
        <v>3011</v>
      </c>
      <c r="AQ48" s="173" t="s">
        <v>3012</v>
      </c>
      <c r="AR48" s="507" t="s">
        <v>3013</v>
      </c>
      <c r="AS48" s="180" t="s">
        <v>3014</v>
      </c>
      <c r="AT48" s="318" t="s">
        <v>3015</v>
      </c>
      <c r="AU48" s="180" t="s">
        <v>3206</v>
      </c>
      <c r="AV48" s="142" t="s">
        <v>3207</v>
      </c>
      <c r="AW48" s="141" t="s">
        <v>3272</v>
      </c>
      <c r="AX48" s="163" t="s">
        <v>3273</v>
      </c>
      <c r="AY48" s="1079" t="e">
        <f t="shared" si="53"/>
        <v>#VALUE!</v>
      </c>
      <c r="AZ48" s="1079"/>
      <c r="BA48" s="1079"/>
      <c r="BB48" s="1079"/>
      <c r="BC48" s="1079"/>
      <c r="BD48" s="1079"/>
      <c r="BE48" s="1079"/>
      <c r="BF48" s="1079"/>
      <c r="BG48" s="1079"/>
      <c r="BH48" s="1079"/>
      <c r="BI48" s="1079"/>
      <c r="BJ48" s="884"/>
      <c r="BK48" s="884"/>
      <c r="BL48" s="884"/>
      <c r="BM48" s="884"/>
      <c r="BV48" s="885"/>
      <c r="BW48" s="885"/>
      <c r="BX48" s="885"/>
      <c r="CB48" s="2077" t="str">
        <f t="shared" si="54"/>
        <v xml:space="preserve">* El total de Reactivos NO DEBE ser superior al total de Procesados. </v>
      </c>
      <c r="CC48" s="2077" t="e">
        <f t="shared" si="55"/>
        <v>#VALUE!</v>
      </c>
      <c r="CD48" s="2077" t="e">
        <f t="shared" si="56"/>
        <v>#VALUE!</v>
      </c>
      <c r="CE48" s="2077" t="str">
        <f t="shared" si="57"/>
        <v xml:space="preserve">* La columna Pueblos Originarios NO DEBE ser superior al total de Procesados. </v>
      </c>
      <c r="CF48" s="2077" t="str">
        <f t="shared" si="58"/>
        <v xml:space="preserve">* La columna Migrantes NO DEBE ser superior al total de Procesados. </v>
      </c>
      <c r="CG48" s="2077" t="str">
        <f t="shared" si="80"/>
        <v>* El total de procesados debe ser mayor o igual al total de Reactivos en el grupo de edad Menor de 6 meses</v>
      </c>
      <c r="CH48" s="2077" t="str">
        <f t="shared" si="81"/>
        <v>* El total de procesados debe ser mayor o igual al total de Reactivos en el grupo de edad 6 a 11 meses</v>
      </c>
      <c r="CI48" s="2077" t="str">
        <f t="shared" si="82"/>
        <v>* El total de procesados debe ser mayor o igual al total de Reactivos en el grupo de edad 12-24 meses</v>
      </c>
      <c r="CJ48" s="2077" t="str">
        <f t="shared" si="83"/>
        <v>* El total de procesados debe ser mayor o igual al total de Reactivos en el grupo de edad 3 a 4</v>
      </c>
      <c r="CK48" s="2077" t="str">
        <f t="shared" si="84"/>
        <v>* El total de procesados debe ser mayor o igual al total de Reactivos en el grupo de edad 5 a 9</v>
      </c>
      <c r="CL48" s="2077" t="str">
        <f t="shared" si="85"/>
        <v>* El total de procesados debe ser mayor o igual al total de Reactivos en el grupo de edad 10 - 14</v>
      </c>
      <c r="CM48" s="2077" t="str">
        <f t="shared" si="86"/>
        <v>* El total de procesados debe ser mayor o igual al total de Reactivos en el grupo de edad 15 - 19</v>
      </c>
      <c r="CN48" s="2077" t="str">
        <f t="shared" si="87"/>
        <v>* El total de procesados debe ser mayor o igual al total de Reactivos en el grupo de edad 20 - 24</v>
      </c>
      <c r="CO48" s="2077" t="str">
        <f t="shared" si="88"/>
        <v>* El total de procesados debe ser mayor o igual al total de Reactivos en el grupo de edad 25 a 29</v>
      </c>
      <c r="CP48" s="2077" t="str">
        <f t="shared" si="89"/>
        <v>* El total de procesados debe ser mayor o igual al total de Reactivos en el grupo de edad 30 a 34</v>
      </c>
      <c r="CQ48" s="2077" t="str">
        <f t="shared" si="90"/>
        <v>* El total de procesados debe ser mayor o igual al total de Reactivos en el grupo de edad 35 a 39</v>
      </c>
      <c r="CR48" s="2077" t="str">
        <f t="shared" si="91"/>
        <v>* El total de procesados debe ser mayor o igual al total de Reactivos en el grupo de edad 40 a 44</v>
      </c>
      <c r="CS48" s="2077" t="str">
        <f t="shared" si="92"/>
        <v>* El total de procesados debe ser mayor o igual al total de Reactivos en el grupo de edad 45 a 49</v>
      </c>
      <c r="CT48" s="2077" t="str">
        <f t="shared" si="93"/>
        <v>* El total de procesados debe ser mayor o igual al total de Reactivos en el grupo de edad 50 a 54</v>
      </c>
      <c r="CU48" s="2077" t="str">
        <f t="shared" si="94"/>
        <v>* El total de procesados debe ser mayor o igual al total de Reactivos en el grupo de edad 55 a 59</v>
      </c>
      <c r="CV48" s="2077" t="str">
        <f t="shared" si="95"/>
        <v>* El total de procesados debe ser mayor o igual al total de Reactivos en el grupo de edad 60 a 64</v>
      </c>
      <c r="CW48" s="2077" t="str">
        <f t="shared" si="96"/>
        <v>* El total de procesados debe ser mayor o igual al total de Reactivos en el grupo de edad 65 a 69</v>
      </c>
      <c r="CX48" s="2077" t="str">
        <f t="shared" si="97"/>
        <v>* El total de procesados debe ser mayor o igual al total de Reactivos en el grupo de edad 70 a 74</v>
      </c>
      <c r="CY48" s="2077" t="str">
        <f t="shared" si="98"/>
        <v>* El total de procesados debe ser mayor o igual al total de Reactivos en el grupo de edad 75 a 79</v>
      </c>
      <c r="CZ48" s="2077" t="str">
        <f t="shared" si="99"/>
        <v>* El total de procesados debe ser mayor o igual al total de Reactivos en el grupo de edad 80 y más</v>
      </c>
      <c r="DA48" s="2077" t="str">
        <f t="shared" si="100"/>
        <v/>
      </c>
      <c r="DB48" s="1363">
        <f t="shared" si="101"/>
        <v>1</v>
      </c>
      <c r="DC48" s="1363" t="e">
        <f t="shared" si="102"/>
        <v>#VALUE!</v>
      </c>
      <c r="DD48" s="1363" t="e">
        <f t="shared" si="103"/>
        <v>#VALUE!</v>
      </c>
      <c r="DE48" s="1363">
        <f t="shared" si="104"/>
        <v>1</v>
      </c>
      <c r="DF48" s="1363">
        <f t="shared" si="105"/>
        <v>1</v>
      </c>
      <c r="DG48" s="1363">
        <f t="shared" si="59"/>
        <v>1</v>
      </c>
      <c r="DH48" s="1363">
        <f t="shared" si="60"/>
        <v>1</v>
      </c>
      <c r="DI48" s="1363">
        <f t="shared" si="61"/>
        <v>1</v>
      </c>
      <c r="DJ48" s="1363">
        <f t="shared" si="62"/>
        <v>1</v>
      </c>
      <c r="DK48" s="1363">
        <f t="shared" si="63"/>
        <v>1</v>
      </c>
      <c r="DL48" s="1363">
        <f t="shared" si="64"/>
        <v>1</v>
      </c>
      <c r="DM48" s="1363">
        <f t="shared" si="65"/>
        <v>1</v>
      </c>
      <c r="DN48" s="1363">
        <f t="shared" si="66"/>
        <v>1</v>
      </c>
      <c r="DO48" s="1363">
        <f t="shared" si="67"/>
        <v>1</v>
      </c>
      <c r="DP48" s="1363">
        <f t="shared" si="68"/>
        <v>1</v>
      </c>
      <c r="DQ48" s="1363">
        <f t="shared" si="69"/>
        <v>1</v>
      </c>
      <c r="DR48" s="1363">
        <f t="shared" si="70"/>
        <v>1</v>
      </c>
      <c r="DS48" s="1363">
        <f t="shared" si="71"/>
        <v>1</v>
      </c>
      <c r="DT48" s="1363">
        <f t="shared" si="72"/>
        <v>1</v>
      </c>
      <c r="DU48" s="1363">
        <f t="shared" si="73"/>
        <v>1</v>
      </c>
      <c r="DV48" s="1363">
        <f t="shared" si="74"/>
        <v>1</v>
      </c>
      <c r="DW48" s="1363">
        <f t="shared" si="75"/>
        <v>1</v>
      </c>
      <c r="DX48" s="1363">
        <f t="shared" si="76"/>
        <v>1</v>
      </c>
      <c r="DY48" s="1363">
        <f t="shared" si="77"/>
        <v>1</v>
      </c>
      <c r="DZ48" s="1363">
        <f t="shared" si="78"/>
        <v>1</v>
      </c>
      <c r="EA48" s="1363">
        <f t="shared" si="79"/>
        <v>0</v>
      </c>
    </row>
    <row r="49" spans="1:131" ht="16.350000000000001" customHeight="1" x14ac:dyDescent="0.25">
      <c r="A49" s="3097">
        <v>11054217</v>
      </c>
      <c r="B49" s="140" t="s">
        <v>2274</v>
      </c>
      <c r="C49" s="707" t="s">
        <v>2777</v>
      </c>
      <c r="D49" s="281" t="s">
        <v>2778</v>
      </c>
      <c r="E49" s="180" t="s">
        <v>2779</v>
      </c>
      <c r="F49" s="142" t="s">
        <v>2780</v>
      </c>
      <c r="G49" s="141" t="s">
        <v>2781</v>
      </c>
      <c r="H49" s="142" t="s">
        <v>2782</v>
      </c>
      <c r="I49" s="141" t="s">
        <v>2783</v>
      </c>
      <c r="J49" s="163" t="s">
        <v>2784</v>
      </c>
      <c r="K49" s="180" t="s">
        <v>2785</v>
      </c>
      <c r="L49" s="180" t="s">
        <v>2786</v>
      </c>
      <c r="M49" s="141" t="s">
        <v>2787</v>
      </c>
      <c r="N49" s="163" t="s">
        <v>2788</v>
      </c>
      <c r="O49" s="180" t="s">
        <v>2789</v>
      </c>
      <c r="P49" s="142" t="s">
        <v>2790</v>
      </c>
      <c r="Q49" s="141" t="s">
        <v>2791</v>
      </c>
      <c r="R49" s="142" t="s">
        <v>2792</v>
      </c>
      <c r="S49" s="141" t="s">
        <v>2793</v>
      </c>
      <c r="T49" s="142" t="s">
        <v>2794</v>
      </c>
      <c r="U49" s="141" t="s">
        <v>2795</v>
      </c>
      <c r="V49" s="142" t="s">
        <v>2796</v>
      </c>
      <c r="W49" s="141" t="s">
        <v>2797</v>
      </c>
      <c r="X49" s="142" t="s">
        <v>2798</v>
      </c>
      <c r="Y49" s="141" t="s">
        <v>2799</v>
      </c>
      <c r="Z49" s="142" t="s">
        <v>2800</v>
      </c>
      <c r="AA49" s="141" t="s">
        <v>2801</v>
      </c>
      <c r="AB49" s="142" t="s">
        <v>2817</v>
      </c>
      <c r="AC49" s="141" t="s">
        <v>2818</v>
      </c>
      <c r="AD49" s="142" t="s">
        <v>2819</v>
      </c>
      <c r="AE49" s="141" t="s">
        <v>2821</v>
      </c>
      <c r="AF49" s="142" t="s">
        <v>2822</v>
      </c>
      <c r="AG49" s="141" t="s">
        <v>2823</v>
      </c>
      <c r="AH49" s="142" t="s">
        <v>2824</v>
      </c>
      <c r="AI49" s="141" t="s">
        <v>2825</v>
      </c>
      <c r="AJ49" s="142" t="s">
        <v>2826</v>
      </c>
      <c r="AK49" s="141" t="s">
        <v>2827</v>
      </c>
      <c r="AL49" s="142" t="s">
        <v>2831</v>
      </c>
      <c r="AM49" s="141" t="s">
        <v>2832</v>
      </c>
      <c r="AN49" s="142" t="s">
        <v>2833</v>
      </c>
      <c r="AO49" s="141" t="s">
        <v>2834</v>
      </c>
      <c r="AP49" s="142" t="s">
        <v>3011</v>
      </c>
      <c r="AQ49" s="141" t="s">
        <v>3012</v>
      </c>
      <c r="AR49" s="318" t="s">
        <v>3013</v>
      </c>
      <c r="AS49" s="180" t="s">
        <v>3014</v>
      </c>
      <c r="AT49" s="318" t="s">
        <v>3015</v>
      </c>
      <c r="AU49" s="180" t="s">
        <v>3206</v>
      </c>
      <c r="AV49" s="142" t="s">
        <v>3207</v>
      </c>
      <c r="AW49" s="141" t="s">
        <v>3272</v>
      </c>
      <c r="AX49" s="163" t="s">
        <v>3273</v>
      </c>
      <c r="AY49" s="1079" t="e">
        <f t="shared" si="53"/>
        <v>#VALUE!</v>
      </c>
      <c r="AZ49" s="1079"/>
      <c r="BA49" s="1079"/>
      <c r="BB49" s="1079"/>
      <c r="BC49" s="1079"/>
      <c r="BD49" s="1079"/>
      <c r="BE49" s="1079"/>
      <c r="BF49" s="1079"/>
      <c r="BG49" s="1079"/>
      <c r="BH49" s="1079"/>
      <c r="BI49" s="1079"/>
      <c r="BJ49" s="884"/>
      <c r="BK49" s="884"/>
      <c r="BL49" s="884"/>
      <c r="BM49" s="884"/>
      <c r="BV49" s="885"/>
      <c r="BW49" s="885"/>
      <c r="BX49" s="885"/>
      <c r="CB49" s="2077" t="str">
        <f t="shared" si="54"/>
        <v xml:space="preserve">* El total de Reactivos NO DEBE ser superior al total de Procesados. </v>
      </c>
      <c r="CC49" s="2077" t="e">
        <f t="shared" si="55"/>
        <v>#VALUE!</v>
      </c>
      <c r="CD49" s="2077" t="e">
        <f t="shared" si="56"/>
        <v>#VALUE!</v>
      </c>
      <c r="CE49" s="2077" t="str">
        <f t="shared" si="57"/>
        <v xml:space="preserve">* La columna Pueblos Originarios NO DEBE ser superior al total de Procesados. </v>
      </c>
      <c r="CF49" s="2077" t="str">
        <f t="shared" si="58"/>
        <v xml:space="preserve">* La columna Migrantes NO DEBE ser superior al total de Procesados. </v>
      </c>
      <c r="CG49" s="2077" t="str">
        <f t="shared" si="80"/>
        <v>* El total de procesados debe ser mayor o igual al total de Reactivos en el grupo de edad Menor de 6 meses</v>
      </c>
      <c r="CH49" s="2077" t="str">
        <f t="shared" si="81"/>
        <v>* El total de procesados debe ser mayor o igual al total de Reactivos en el grupo de edad 6 a 11 meses</v>
      </c>
      <c r="CI49" s="2077" t="str">
        <f t="shared" si="82"/>
        <v>* El total de procesados debe ser mayor o igual al total de Reactivos en el grupo de edad 12-24 meses</v>
      </c>
      <c r="CJ49" s="2077" t="str">
        <f t="shared" si="83"/>
        <v>* El total de procesados debe ser mayor o igual al total de Reactivos en el grupo de edad 3 a 4</v>
      </c>
      <c r="CK49" s="2077" t="str">
        <f t="shared" si="84"/>
        <v>* El total de procesados debe ser mayor o igual al total de Reactivos en el grupo de edad 5 a 9</v>
      </c>
      <c r="CL49" s="2077" t="str">
        <f t="shared" si="85"/>
        <v>* El total de procesados debe ser mayor o igual al total de Reactivos en el grupo de edad 10 - 14</v>
      </c>
      <c r="CM49" s="2077" t="str">
        <f t="shared" si="86"/>
        <v>* El total de procesados debe ser mayor o igual al total de Reactivos en el grupo de edad 15 - 19</v>
      </c>
      <c r="CN49" s="2077" t="str">
        <f t="shared" si="87"/>
        <v>* El total de procesados debe ser mayor o igual al total de Reactivos en el grupo de edad 20 - 24</v>
      </c>
      <c r="CO49" s="2077" t="str">
        <f t="shared" si="88"/>
        <v>* El total de procesados debe ser mayor o igual al total de Reactivos en el grupo de edad 25 a 29</v>
      </c>
      <c r="CP49" s="2077" t="str">
        <f t="shared" si="89"/>
        <v>* El total de procesados debe ser mayor o igual al total de Reactivos en el grupo de edad 30 a 34</v>
      </c>
      <c r="CQ49" s="2077" t="str">
        <f t="shared" si="90"/>
        <v>* El total de procesados debe ser mayor o igual al total de Reactivos en el grupo de edad 35 a 39</v>
      </c>
      <c r="CR49" s="2077" t="str">
        <f t="shared" si="91"/>
        <v>* El total de procesados debe ser mayor o igual al total de Reactivos en el grupo de edad 40 a 44</v>
      </c>
      <c r="CS49" s="2077" t="str">
        <f t="shared" si="92"/>
        <v>* El total de procesados debe ser mayor o igual al total de Reactivos en el grupo de edad 45 a 49</v>
      </c>
      <c r="CT49" s="2077" t="str">
        <f t="shared" si="93"/>
        <v>* El total de procesados debe ser mayor o igual al total de Reactivos en el grupo de edad 50 a 54</v>
      </c>
      <c r="CU49" s="2077" t="str">
        <f t="shared" si="94"/>
        <v>* El total de procesados debe ser mayor o igual al total de Reactivos en el grupo de edad 55 a 59</v>
      </c>
      <c r="CV49" s="2077" t="str">
        <f t="shared" si="95"/>
        <v>* El total de procesados debe ser mayor o igual al total de Reactivos en el grupo de edad 60 a 64</v>
      </c>
      <c r="CW49" s="2077" t="str">
        <f t="shared" si="96"/>
        <v>* El total de procesados debe ser mayor o igual al total de Reactivos en el grupo de edad 65 a 69</v>
      </c>
      <c r="CX49" s="2077" t="str">
        <f t="shared" si="97"/>
        <v>* El total de procesados debe ser mayor o igual al total de Reactivos en el grupo de edad 70 a 74</v>
      </c>
      <c r="CY49" s="2077" t="str">
        <f t="shared" si="98"/>
        <v>* El total de procesados debe ser mayor o igual al total de Reactivos en el grupo de edad 75 a 79</v>
      </c>
      <c r="CZ49" s="2077" t="str">
        <f t="shared" si="99"/>
        <v>* El total de procesados debe ser mayor o igual al total de Reactivos en el grupo de edad 80 y más</v>
      </c>
      <c r="DA49" s="2077" t="str">
        <f t="shared" si="100"/>
        <v/>
      </c>
      <c r="DB49" s="1363">
        <f t="shared" si="101"/>
        <v>1</v>
      </c>
      <c r="DC49" s="1363" t="e">
        <f t="shared" si="102"/>
        <v>#VALUE!</v>
      </c>
      <c r="DD49" s="1363" t="e">
        <f t="shared" si="103"/>
        <v>#VALUE!</v>
      </c>
      <c r="DE49" s="1363">
        <f t="shared" si="104"/>
        <v>1</v>
      </c>
      <c r="DF49" s="1363">
        <f t="shared" si="105"/>
        <v>1</v>
      </c>
      <c r="DG49" s="1363">
        <f t="shared" si="59"/>
        <v>1</v>
      </c>
      <c r="DH49" s="1363">
        <f t="shared" si="60"/>
        <v>1</v>
      </c>
      <c r="DI49" s="1363">
        <f t="shared" si="61"/>
        <v>1</v>
      </c>
      <c r="DJ49" s="1363">
        <f t="shared" si="62"/>
        <v>1</v>
      </c>
      <c r="DK49" s="1363">
        <f t="shared" si="63"/>
        <v>1</v>
      </c>
      <c r="DL49" s="1363">
        <f t="shared" si="64"/>
        <v>1</v>
      </c>
      <c r="DM49" s="1363">
        <f t="shared" si="65"/>
        <v>1</v>
      </c>
      <c r="DN49" s="1363">
        <f t="shared" si="66"/>
        <v>1</v>
      </c>
      <c r="DO49" s="1363">
        <f t="shared" si="67"/>
        <v>1</v>
      </c>
      <c r="DP49" s="1363">
        <f t="shared" si="68"/>
        <v>1</v>
      </c>
      <c r="DQ49" s="1363">
        <f t="shared" si="69"/>
        <v>1</v>
      </c>
      <c r="DR49" s="1363">
        <f t="shared" si="70"/>
        <v>1</v>
      </c>
      <c r="DS49" s="1363">
        <f t="shared" si="71"/>
        <v>1</v>
      </c>
      <c r="DT49" s="1363">
        <f t="shared" si="72"/>
        <v>1</v>
      </c>
      <c r="DU49" s="1363">
        <f t="shared" si="73"/>
        <v>1</v>
      </c>
      <c r="DV49" s="1363">
        <f t="shared" si="74"/>
        <v>1</v>
      </c>
      <c r="DW49" s="1363">
        <f t="shared" si="75"/>
        <v>1</v>
      </c>
      <c r="DX49" s="1363">
        <f t="shared" si="76"/>
        <v>1</v>
      </c>
      <c r="DY49" s="1363">
        <f t="shared" si="77"/>
        <v>1</v>
      </c>
      <c r="DZ49" s="1363">
        <f t="shared" si="78"/>
        <v>1</v>
      </c>
      <c r="EA49" s="1363">
        <f t="shared" si="79"/>
        <v>0</v>
      </c>
    </row>
    <row r="50" spans="1:131" ht="16.350000000000001" customHeight="1" x14ac:dyDescent="0.25">
      <c r="A50" s="3097">
        <v>11054218</v>
      </c>
      <c r="B50" s="140" t="s">
        <v>2275</v>
      </c>
      <c r="C50" s="707" t="s">
        <v>2777</v>
      </c>
      <c r="D50" s="281" t="s">
        <v>2778</v>
      </c>
      <c r="E50" s="180" t="s">
        <v>2779</v>
      </c>
      <c r="F50" s="142" t="s">
        <v>2780</v>
      </c>
      <c r="G50" s="141" t="s">
        <v>2781</v>
      </c>
      <c r="H50" s="142" t="s">
        <v>2782</v>
      </c>
      <c r="I50" s="141" t="s">
        <v>2783</v>
      </c>
      <c r="J50" s="163" t="s">
        <v>2784</v>
      </c>
      <c r="K50" s="180" t="s">
        <v>2785</v>
      </c>
      <c r="L50" s="180" t="s">
        <v>2786</v>
      </c>
      <c r="M50" s="141" t="s">
        <v>2787</v>
      </c>
      <c r="N50" s="163" t="s">
        <v>2788</v>
      </c>
      <c r="O50" s="180" t="s">
        <v>2789</v>
      </c>
      <c r="P50" s="142" t="s">
        <v>2790</v>
      </c>
      <c r="Q50" s="141" t="s">
        <v>2791</v>
      </c>
      <c r="R50" s="142" t="s">
        <v>2792</v>
      </c>
      <c r="S50" s="141" t="s">
        <v>2793</v>
      </c>
      <c r="T50" s="142" t="s">
        <v>2794</v>
      </c>
      <c r="U50" s="141" t="s">
        <v>2795</v>
      </c>
      <c r="V50" s="142" t="s">
        <v>2796</v>
      </c>
      <c r="W50" s="141" t="s">
        <v>2797</v>
      </c>
      <c r="X50" s="142" t="s">
        <v>2798</v>
      </c>
      <c r="Y50" s="141" t="s">
        <v>2799</v>
      </c>
      <c r="Z50" s="142" t="s">
        <v>2800</v>
      </c>
      <c r="AA50" s="141" t="s">
        <v>2801</v>
      </c>
      <c r="AB50" s="142" t="s">
        <v>2817</v>
      </c>
      <c r="AC50" s="141" t="s">
        <v>2818</v>
      </c>
      <c r="AD50" s="142" t="s">
        <v>2819</v>
      </c>
      <c r="AE50" s="141" t="s">
        <v>2821</v>
      </c>
      <c r="AF50" s="142" t="s">
        <v>2822</v>
      </c>
      <c r="AG50" s="141" t="s">
        <v>2823</v>
      </c>
      <c r="AH50" s="142" t="s">
        <v>2824</v>
      </c>
      <c r="AI50" s="141" t="s">
        <v>2825</v>
      </c>
      <c r="AJ50" s="142" t="s">
        <v>2826</v>
      </c>
      <c r="AK50" s="141" t="s">
        <v>2827</v>
      </c>
      <c r="AL50" s="142" t="s">
        <v>2831</v>
      </c>
      <c r="AM50" s="141" t="s">
        <v>2832</v>
      </c>
      <c r="AN50" s="142" t="s">
        <v>2833</v>
      </c>
      <c r="AO50" s="141" t="s">
        <v>2834</v>
      </c>
      <c r="AP50" s="142" t="s">
        <v>3011</v>
      </c>
      <c r="AQ50" s="141" t="s">
        <v>3012</v>
      </c>
      <c r="AR50" s="318" t="s">
        <v>3013</v>
      </c>
      <c r="AS50" s="180" t="s">
        <v>3014</v>
      </c>
      <c r="AT50" s="318" t="s">
        <v>3015</v>
      </c>
      <c r="AU50" s="180" t="s">
        <v>3206</v>
      </c>
      <c r="AV50" s="142" t="s">
        <v>3207</v>
      </c>
      <c r="AW50" s="141" t="s">
        <v>3272</v>
      </c>
      <c r="AX50" s="163" t="s">
        <v>3273</v>
      </c>
      <c r="AY50" s="1079" t="e">
        <f t="shared" si="53"/>
        <v>#VALUE!</v>
      </c>
      <c r="AZ50" s="1079"/>
      <c r="BA50" s="1079"/>
      <c r="BB50" s="1079"/>
      <c r="BC50" s="1079"/>
      <c r="BD50" s="1079"/>
      <c r="BE50" s="1079"/>
      <c r="BF50" s="1079"/>
      <c r="BG50" s="1079"/>
      <c r="BH50" s="1079"/>
      <c r="BI50" s="1079"/>
      <c r="BJ50" s="884"/>
      <c r="BK50" s="884"/>
      <c r="BL50" s="884"/>
      <c r="BM50" s="884"/>
      <c r="BV50" s="885"/>
      <c r="BW50" s="885"/>
      <c r="BX50" s="885"/>
      <c r="CB50" s="2077" t="str">
        <f t="shared" si="54"/>
        <v xml:space="preserve">* El total de Reactivos NO DEBE ser superior al total de Procesados. </v>
      </c>
      <c r="CC50" s="2077" t="e">
        <f t="shared" si="55"/>
        <v>#VALUE!</v>
      </c>
      <c r="CD50" s="2077" t="e">
        <f t="shared" si="56"/>
        <v>#VALUE!</v>
      </c>
      <c r="CE50" s="2077" t="str">
        <f t="shared" si="57"/>
        <v xml:space="preserve">* La columna Pueblos Originarios NO DEBE ser superior al total de Procesados. </v>
      </c>
      <c r="CF50" s="2077" t="str">
        <f t="shared" si="58"/>
        <v xml:space="preserve">* La columna Migrantes NO DEBE ser superior al total de Procesados. </v>
      </c>
      <c r="CG50" s="2077" t="str">
        <f t="shared" si="80"/>
        <v>* El total de procesados debe ser mayor o igual al total de Reactivos en el grupo de edad Menor de 6 meses</v>
      </c>
      <c r="CH50" s="2077" t="str">
        <f t="shared" si="81"/>
        <v>* El total de procesados debe ser mayor o igual al total de Reactivos en el grupo de edad 6 a 11 meses</v>
      </c>
      <c r="CI50" s="2077" t="str">
        <f t="shared" si="82"/>
        <v>* El total de procesados debe ser mayor o igual al total de Reactivos en el grupo de edad 12-24 meses</v>
      </c>
      <c r="CJ50" s="2077" t="str">
        <f t="shared" si="83"/>
        <v>* El total de procesados debe ser mayor o igual al total de Reactivos en el grupo de edad 3 a 4</v>
      </c>
      <c r="CK50" s="2077" t="str">
        <f t="shared" si="84"/>
        <v>* El total de procesados debe ser mayor o igual al total de Reactivos en el grupo de edad 5 a 9</v>
      </c>
      <c r="CL50" s="2077" t="str">
        <f t="shared" si="85"/>
        <v>* El total de procesados debe ser mayor o igual al total de Reactivos en el grupo de edad 10 - 14</v>
      </c>
      <c r="CM50" s="2077" t="str">
        <f t="shared" si="86"/>
        <v>* El total de procesados debe ser mayor o igual al total de Reactivos en el grupo de edad 15 - 19</v>
      </c>
      <c r="CN50" s="2077" t="str">
        <f t="shared" si="87"/>
        <v>* El total de procesados debe ser mayor o igual al total de Reactivos en el grupo de edad 20 - 24</v>
      </c>
      <c r="CO50" s="2077" t="str">
        <f t="shared" si="88"/>
        <v>* El total de procesados debe ser mayor o igual al total de Reactivos en el grupo de edad 25 a 29</v>
      </c>
      <c r="CP50" s="2077" t="str">
        <f t="shared" si="89"/>
        <v>* El total de procesados debe ser mayor o igual al total de Reactivos en el grupo de edad 30 a 34</v>
      </c>
      <c r="CQ50" s="2077" t="str">
        <f t="shared" si="90"/>
        <v>* El total de procesados debe ser mayor o igual al total de Reactivos en el grupo de edad 35 a 39</v>
      </c>
      <c r="CR50" s="2077" t="str">
        <f t="shared" si="91"/>
        <v>* El total de procesados debe ser mayor o igual al total de Reactivos en el grupo de edad 40 a 44</v>
      </c>
      <c r="CS50" s="2077" t="str">
        <f t="shared" si="92"/>
        <v>* El total de procesados debe ser mayor o igual al total de Reactivos en el grupo de edad 45 a 49</v>
      </c>
      <c r="CT50" s="2077" t="str">
        <f t="shared" si="93"/>
        <v>* El total de procesados debe ser mayor o igual al total de Reactivos en el grupo de edad 50 a 54</v>
      </c>
      <c r="CU50" s="2077" t="str">
        <f t="shared" si="94"/>
        <v>* El total de procesados debe ser mayor o igual al total de Reactivos en el grupo de edad 55 a 59</v>
      </c>
      <c r="CV50" s="2077" t="str">
        <f t="shared" si="95"/>
        <v>* El total de procesados debe ser mayor o igual al total de Reactivos en el grupo de edad 60 a 64</v>
      </c>
      <c r="CW50" s="2077" t="str">
        <f t="shared" si="96"/>
        <v>* El total de procesados debe ser mayor o igual al total de Reactivos en el grupo de edad 65 a 69</v>
      </c>
      <c r="CX50" s="2077" t="str">
        <f t="shared" si="97"/>
        <v>* El total de procesados debe ser mayor o igual al total de Reactivos en el grupo de edad 70 a 74</v>
      </c>
      <c r="CY50" s="2077" t="str">
        <f t="shared" si="98"/>
        <v>* El total de procesados debe ser mayor o igual al total de Reactivos en el grupo de edad 75 a 79</v>
      </c>
      <c r="CZ50" s="2077" t="str">
        <f t="shared" si="99"/>
        <v>* El total de procesados debe ser mayor o igual al total de Reactivos en el grupo de edad 80 y más</v>
      </c>
      <c r="DA50" s="2077" t="str">
        <f t="shared" si="100"/>
        <v/>
      </c>
      <c r="DB50" s="1363">
        <f t="shared" si="101"/>
        <v>1</v>
      </c>
      <c r="DC50" s="1363" t="e">
        <f t="shared" si="102"/>
        <v>#VALUE!</v>
      </c>
      <c r="DD50" s="1363" t="e">
        <f t="shared" si="103"/>
        <v>#VALUE!</v>
      </c>
      <c r="DE50" s="1363">
        <f t="shared" si="104"/>
        <v>1</v>
      </c>
      <c r="DF50" s="1363">
        <f t="shared" si="105"/>
        <v>1</v>
      </c>
      <c r="DG50" s="1363">
        <f t="shared" si="59"/>
        <v>1</v>
      </c>
      <c r="DH50" s="1363">
        <f t="shared" si="60"/>
        <v>1</v>
      </c>
      <c r="DI50" s="1363">
        <f t="shared" si="61"/>
        <v>1</v>
      </c>
      <c r="DJ50" s="1363">
        <f t="shared" si="62"/>
        <v>1</v>
      </c>
      <c r="DK50" s="1363">
        <f t="shared" si="63"/>
        <v>1</v>
      </c>
      <c r="DL50" s="1363">
        <f t="shared" si="64"/>
        <v>1</v>
      </c>
      <c r="DM50" s="1363">
        <f t="shared" si="65"/>
        <v>1</v>
      </c>
      <c r="DN50" s="1363">
        <f t="shared" si="66"/>
        <v>1</v>
      </c>
      <c r="DO50" s="1363">
        <f t="shared" si="67"/>
        <v>1</v>
      </c>
      <c r="DP50" s="1363">
        <f t="shared" si="68"/>
        <v>1</v>
      </c>
      <c r="DQ50" s="1363">
        <f t="shared" si="69"/>
        <v>1</v>
      </c>
      <c r="DR50" s="1363">
        <f t="shared" si="70"/>
        <v>1</v>
      </c>
      <c r="DS50" s="1363">
        <f t="shared" si="71"/>
        <v>1</v>
      </c>
      <c r="DT50" s="1363">
        <f t="shared" si="72"/>
        <v>1</v>
      </c>
      <c r="DU50" s="1363">
        <f t="shared" si="73"/>
        <v>1</v>
      </c>
      <c r="DV50" s="1363">
        <f t="shared" si="74"/>
        <v>1</v>
      </c>
      <c r="DW50" s="1363">
        <f t="shared" si="75"/>
        <v>1</v>
      </c>
      <c r="DX50" s="1363">
        <f t="shared" si="76"/>
        <v>1</v>
      </c>
      <c r="DY50" s="1363">
        <f t="shared" si="77"/>
        <v>1</v>
      </c>
      <c r="DZ50" s="1363">
        <f t="shared" si="78"/>
        <v>1</v>
      </c>
      <c r="EA50" s="1363">
        <f t="shared" si="79"/>
        <v>0</v>
      </c>
    </row>
    <row r="51" spans="1:131" ht="16.350000000000001" customHeight="1" x14ac:dyDescent="0.25">
      <c r="A51" s="3096">
        <v>11054219</v>
      </c>
      <c r="B51" s="100" t="s">
        <v>2276</v>
      </c>
      <c r="C51" s="587" t="s">
        <v>2777</v>
      </c>
      <c r="D51" s="1853" t="s">
        <v>2778</v>
      </c>
      <c r="E51" s="126" t="s">
        <v>2779</v>
      </c>
      <c r="F51" s="102" t="s">
        <v>2780</v>
      </c>
      <c r="G51" s="166" t="s">
        <v>2781</v>
      </c>
      <c r="H51" s="102" t="s">
        <v>2782</v>
      </c>
      <c r="I51" s="166" t="s">
        <v>2783</v>
      </c>
      <c r="J51" s="125" t="s">
        <v>2784</v>
      </c>
      <c r="K51" s="126" t="s">
        <v>2785</v>
      </c>
      <c r="L51" s="126" t="s">
        <v>2786</v>
      </c>
      <c r="M51" s="166" t="s">
        <v>2787</v>
      </c>
      <c r="N51" s="125" t="s">
        <v>2788</v>
      </c>
      <c r="O51" s="126" t="s">
        <v>2789</v>
      </c>
      <c r="P51" s="102" t="s">
        <v>2790</v>
      </c>
      <c r="Q51" s="166" t="s">
        <v>2791</v>
      </c>
      <c r="R51" s="102" t="s">
        <v>2792</v>
      </c>
      <c r="S51" s="166" t="s">
        <v>2793</v>
      </c>
      <c r="T51" s="102" t="s">
        <v>2794</v>
      </c>
      <c r="U51" s="166" t="s">
        <v>2795</v>
      </c>
      <c r="V51" s="102" t="s">
        <v>2796</v>
      </c>
      <c r="W51" s="166" t="s">
        <v>2797</v>
      </c>
      <c r="X51" s="102" t="s">
        <v>2798</v>
      </c>
      <c r="Y51" s="166" t="s">
        <v>2799</v>
      </c>
      <c r="Z51" s="102" t="s">
        <v>2800</v>
      </c>
      <c r="AA51" s="166" t="s">
        <v>2801</v>
      </c>
      <c r="AB51" s="102" t="s">
        <v>2817</v>
      </c>
      <c r="AC51" s="166" t="s">
        <v>2818</v>
      </c>
      <c r="AD51" s="102" t="s">
        <v>2819</v>
      </c>
      <c r="AE51" s="166" t="s">
        <v>2821</v>
      </c>
      <c r="AF51" s="102" t="s">
        <v>2822</v>
      </c>
      <c r="AG51" s="166" t="s">
        <v>2823</v>
      </c>
      <c r="AH51" s="102" t="s">
        <v>2824</v>
      </c>
      <c r="AI51" s="166" t="s">
        <v>2825</v>
      </c>
      <c r="AJ51" s="102" t="s">
        <v>2826</v>
      </c>
      <c r="AK51" s="166" t="s">
        <v>2827</v>
      </c>
      <c r="AL51" s="102" t="s">
        <v>2831</v>
      </c>
      <c r="AM51" s="166" t="s">
        <v>2832</v>
      </c>
      <c r="AN51" s="102" t="s">
        <v>2833</v>
      </c>
      <c r="AO51" s="166" t="s">
        <v>2834</v>
      </c>
      <c r="AP51" s="102" t="s">
        <v>3011</v>
      </c>
      <c r="AQ51" s="166" t="s">
        <v>3012</v>
      </c>
      <c r="AR51" s="319" t="s">
        <v>3013</v>
      </c>
      <c r="AS51" s="126" t="s">
        <v>3014</v>
      </c>
      <c r="AT51" s="319" t="s">
        <v>3015</v>
      </c>
      <c r="AU51" s="126" t="s">
        <v>3206</v>
      </c>
      <c r="AV51" s="102" t="s">
        <v>3207</v>
      </c>
      <c r="AW51" s="166" t="s">
        <v>3272</v>
      </c>
      <c r="AX51" s="125" t="s">
        <v>3273</v>
      </c>
      <c r="AY51" s="1079" t="e">
        <f t="shared" si="53"/>
        <v>#VALUE!</v>
      </c>
      <c r="AZ51" s="1079"/>
      <c r="BA51" s="1079"/>
      <c r="BB51" s="1079"/>
      <c r="BC51" s="1079"/>
      <c r="BD51" s="1079"/>
      <c r="BE51" s="1079"/>
      <c r="BF51" s="1079"/>
      <c r="BG51" s="1079"/>
      <c r="BH51" s="1079"/>
      <c r="BI51" s="1079"/>
      <c r="BJ51" s="884"/>
      <c r="BK51" s="884"/>
      <c r="BL51" s="884"/>
      <c r="BM51" s="884"/>
      <c r="BV51" s="885"/>
      <c r="BW51" s="885"/>
      <c r="BX51" s="885"/>
      <c r="CB51" s="2077" t="str">
        <f t="shared" si="54"/>
        <v xml:space="preserve">* El total de Reactivos NO DEBE ser superior al total de Procesados. </v>
      </c>
      <c r="CC51" s="2077" t="e">
        <f t="shared" si="55"/>
        <v>#VALUE!</v>
      </c>
      <c r="CD51" s="2077" t="e">
        <f t="shared" si="56"/>
        <v>#VALUE!</v>
      </c>
      <c r="CE51" s="2077" t="str">
        <f t="shared" si="57"/>
        <v xml:space="preserve">* La columna Pueblos Originarios NO DEBE ser superior al total de Procesados. </v>
      </c>
      <c r="CF51" s="2077" t="str">
        <f t="shared" si="58"/>
        <v xml:space="preserve">* La columna Migrantes NO DEBE ser superior al total de Procesados. </v>
      </c>
      <c r="CG51" s="2077" t="str">
        <f t="shared" si="80"/>
        <v>* El total de procesados debe ser mayor o igual al total de Reactivos en el grupo de edad Menor de 6 meses</v>
      </c>
      <c r="CH51" s="2077" t="str">
        <f t="shared" si="81"/>
        <v>* El total de procesados debe ser mayor o igual al total de Reactivos en el grupo de edad 6 a 11 meses</v>
      </c>
      <c r="CI51" s="2077" t="str">
        <f t="shared" si="82"/>
        <v>* El total de procesados debe ser mayor o igual al total de Reactivos en el grupo de edad 12-24 meses</v>
      </c>
      <c r="CJ51" s="2077" t="str">
        <f t="shared" si="83"/>
        <v>* El total de procesados debe ser mayor o igual al total de Reactivos en el grupo de edad 3 a 4</v>
      </c>
      <c r="CK51" s="2077" t="str">
        <f t="shared" si="84"/>
        <v>* El total de procesados debe ser mayor o igual al total de Reactivos en el grupo de edad 5 a 9</v>
      </c>
      <c r="CL51" s="2077" t="str">
        <f t="shared" si="85"/>
        <v>* El total de procesados debe ser mayor o igual al total de Reactivos en el grupo de edad 10 - 14</v>
      </c>
      <c r="CM51" s="2077" t="str">
        <f t="shared" si="86"/>
        <v>* El total de procesados debe ser mayor o igual al total de Reactivos en el grupo de edad 15 - 19</v>
      </c>
      <c r="CN51" s="2077" t="str">
        <f t="shared" si="87"/>
        <v>* El total de procesados debe ser mayor o igual al total de Reactivos en el grupo de edad 20 - 24</v>
      </c>
      <c r="CO51" s="2077" t="str">
        <f t="shared" si="88"/>
        <v>* El total de procesados debe ser mayor o igual al total de Reactivos en el grupo de edad 25 a 29</v>
      </c>
      <c r="CP51" s="2077" t="str">
        <f t="shared" si="89"/>
        <v>* El total de procesados debe ser mayor o igual al total de Reactivos en el grupo de edad 30 a 34</v>
      </c>
      <c r="CQ51" s="2077" t="str">
        <f t="shared" si="90"/>
        <v>* El total de procesados debe ser mayor o igual al total de Reactivos en el grupo de edad 35 a 39</v>
      </c>
      <c r="CR51" s="2077" t="str">
        <f t="shared" si="91"/>
        <v>* El total de procesados debe ser mayor o igual al total de Reactivos en el grupo de edad 40 a 44</v>
      </c>
      <c r="CS51" s="2077" t="str">
        <f t="shared" si="92"/>
        <v>* El total de procesados debe ser mayor o igual al total de Reactivos en el grupo de edad 45 a 49</v>
      </c>
      <c r="CT51" s="2077" t="str">
        <f t="shared" si="93"/>
        <v>* El total de procesados debe ser mayor o igual al total de Reactivos en el grupo de edad 50 a 54</v>
      </c>
      <c r="CU51" s="2077" t="str">
        <f t="shared" si="94"/>
        <v>* El total de procesados debe ser mayor o igual al total de Reactivos en el grupo de edad 55 a 59</v>
      </c>
      <c r="CV51" s="2077" t="str">
        <f t="shared" si="95"/>
        <v>* El total de procesados debe ser mayor o igual al total de Reactivos en el grupo de edad 60 a 64</v>
      </c>
      <c r="CW51" s="2077" t="str">
        <f t="shared" si="96"/>
        <v>* El total de procesados debe ser mayor o igual al total de Reactivos en el grupo de edad 65 a 69</v>
      </c>
      <c r="CX51" s="2077" t="str">
        <f t="shared" si="97"/>
        <v>* El total de procesados debe ser mayor o igual al total de Reactivos en el grupo de edad 70 a 74</v>
      </c>
      <c r="CY51" s="2077" t="str">
        <f t="shared" si="98"/>
        <v>* El total de procesados debe ser mayor o igual al total de Reactivos en el grupo de edad 75 a 79</v>
      </c>
      <c r="CZ51" s="2077" t="str">
        <f t="shared" si="99"/>
        <v>* El total de procesados debe ser mayor o igual al total de Reactivos en el grupo de edad 80 y más</v>
      </c>
      <c r="DA51" s="2077" t="str">
        <f t="shared" si="100"/>
        <v/>
      </c>
      <c r="DB51" s="1363">
        <f t="shared" si="101"/>
        <v>1</v>
      </c>
      <c r="DC51" s="1363" t="e">
        <f t="shared" si="102"/>
        <v>#VALUE!</v>
      </c>
      <c r="DD51" s="1363" t="e">
        <f t="shared" si="103"/>
        <v>#VALUE!</v>
      </c>
      <c r="DE51" s="1363">
        <f t="shared" si="104"/>
        <v>1</v>
      </c>
      <c r="DF51" s="1363">
        <f t="shared" si="105"/>
        <v>1</v>
      </c>
      <c r="DG51" s="1363">
        <f t="shared" si="59"/>
        <v>1</v>
      </c>
      <c r="DH51" s="1363">
        <f t="shared" si="60"/>
        <v>1</v>
      </c>
      <c r="DI51" s="1363">
        <f t="shared" si="61"/>
        <v>1</v>
      </c>
      <c r="DJ51" s="1363">
        <f t="shared" si="62"/>
        <v>1</v>
      </c>
      <c r="DK51" s="1363">
        <f t="shared" si="63"/>
        <v>1</v>
      </c>
      <c r="DL51" s="1363">
        <f t="shared" si="64"/>
        <v>1</v>
      </c>
      <c r="DM51" s="1363">
        <f t="shared" si="65"/>
        <v>1</v>
      </c>
      <c r="DN51" s="1363">
        <f t="shared" si="66"/>
        <v>1</v>
      </c>
      <c r="DO51" s="1363">
        <f t="shared" si="67"/>
        <v>1</v>
      </c>
      <c r="DP51" s="1363">
        <f t="shared" si="68"/>
        <v>1</v>
      </c>
      <c r="DQ51" s="1363">
        <f t="shared" si="69"/>
        <v>1</v>
      </c>
      <c r="DR51" s="1363">
        <f t="shared" si="70"/>
        <v>1</v>
      </c>
      <c r="DS51" s="1363">
        <f t="shared" si="71"/>
        <v>1</v>
      </c>
      <c r="DT51" s="1363">
        <f t="shared" si="72"/>
        <v>1</v>
      </c>
      <c r="DU51" s="1363">
        <f t="shared" si="73"/>
        <v>1</v>
      </c>
      <c r="DV51" s="1363">
        <f t="shared" si="74"/>
        <v>1</v>
      </c>
      <c r="DW51" s="1363">
        <f t="shared" si="75"/>
        <v>1</v>
      </c>
      <c r="DX51" s="1363">
        <f t="shared" si="76"/>
        <v>1</v>
      </c>
      <c r="DY51" s="1363">
        <f t="shared" si="77"/>
        <v>1</v>
      </c>
      <c r="DZ51" s="1363">
        <f t="shared" si="78"/>
        <v>1</v>
      </c>
      <c r="EA51" s="1363">
        <f t="shared" si="79"/>
        <v>0</v>
      </c>
    </row>
    <row r="52" spans="1:131" ht="32.1" customHeight="1" x14ac:dyDescent="0.25">
      <c r="B52" s="2026" t="s">
        <v>2278</v>
      </c>
      <c r="C52" s="2027"/>
      <c r="D52" s="2027"/>
      <c r="E52" s="177"/>
      <c r="F52" s="177"/>
      <c r="G52" s="177"/>
      <c r="H52" s="177"/>
      <c r="J52" s="177"/>
      <c r="K52" s="139"/>
      <c r="L52" s="139"/>
      <c r="M52" s="139"/>
      <c r="N52" s="139"/>
      <c r="O52" s="139"/>
      <c r="P52" s="139"/>
      <c r="Q52" s="139"/>
      <c r="R52" s="190"/>
      <c r="AY52" s="2035"/>
      <c r="AZ52" s="2035"/>
      <c r="BA52" s="2035"/>
      <c r="BB52" s="884"/>
      <c r="BC52" s="884"/>
      <c r="BD52" s="884"/>
      <c r="BE52" s="884"/>
      <c r="BF52" s="884"/>
      <c r="BG52" s="884"/>
      <c r="BH52" s="884"/>
      <c r="BI52" s="884"/>
      <c r="BJ52" s="884"/>
      <c r="BK52" s="884"/>
      <c r="BL52" s="884"/>
      <c r="BM52" s="884"/>
      <c r="BN52" s="884"/>
      <c r="BU52" s="211"/>
      <c r="BV52" s="211"/>
      <c r="BW52" s="885"/>
      <c r="BX52" s="885"/>
    </row>
    <row r="53" spans="1:131" ht="32.1" customHeight="1" x14ac:dyDescent="0.25">
      <c r="B53" s="5158" t="s">
        <v>2255</v>
      </c>
      <c r="C53" s="6208" t="s">
        <v>42</v>
      </c>
      <c r="D53" s="6209"/>
      <c r="E53" s="5160" t="s">
        <v>425</v>
      </c>
      <c r="F53" s="5161"/>
      <c r="G53" s="5161"/>
      <c r="H53" s="5161"/>
      <c r="I53" s="5161"/>
      <c r="J53" s="5161"/>
      <c r="K53" s="5161"/>
      <c r="L53" s="5161"/>
      <c r="M53" s="5161"/>
      <c r="N53" s="5161"/>
      <c r="O53" s="5161"/>
      <c r="P53" s="5161"/>
      <c r="Q53" s="5161"/>
      <c r="R53" s="5161"/>
      <c r="S53" s="5161"/>
      <c r="T53" s="5161"/>
      <c r="U53" s="5161"/>
      <c r="V53" s="5161"/>
      <c r="W53" s="5161"/>
      <c r="X53" s="5161"/>
      <c r="Y53" s="5161"/>
      <c r="Z53" s="5161"/>
      <c r="AA53" s="5161"/>
      <c r="AB53" s="5161"/>
      <c r="AC53" s="5161"/>
      <c r="AD53" s="5161"/>
      <c r="AE53" s="5161"/>
      <c r="AF53" s="5161"/>
      <c r="AG53" s="5161"/>
      <c r="AH53" s="5161"/>
      <c r="AI53" s="5161"/>
      <c r="AJ53" s="5161"/>
      <c r="AK53" s="5161"/>
      <c r="AL53" s="5161"/>
      <c r="AM53" s="5161"/>
      <c r="AN53" s="5161"/>
      <c r="AO53" s="5161"/>
      <c r="AP53" s="5161"/>
      <c r="AQ53" s="5161"/>
      <c r="AR53" s="6212"/>
      <c r="AS53" s="5540" t="s">
        <v>2256</v>
      </c>
      <c r="AT53" s="6213"/>
      <c r="AU53" s="6214" t="s">
        <v>411</v>
      </c>
      <c r="AV53" s="6215"/>
      <c r="AW53" s="6218" t="s">
        <v>1359</v>
      </c>
      <c r="AX53" s="6219" t="s">
        <v>1358</v>
      </c>
      <c r="AY53" s="2035"/>
      <c r="AZ53" s="2035"/>
      <c r="BA53" s="884"/>
      <c r="BB53" s="884"/>
      <c r="BC53" s="884"/>
      <c r="BD53" s="884"/>
      <c r="BE53" s="884"/>
      <c r="BF53" s="884"/>
      <c r="BG53" s="884"/>
      <c r="BH53" s="884"/>
      <c r="BI53" s="884"/>
      <c r="BJ53" s="884"/>
      <c r="BK53" s="884"/>
      <c r="BL53" s="884"/>
      <c r="BM53" s="884"/>
      <c r="BV53" s="884"/>
      <c r="BW53" s="885"/>
      <c r="BX53" s="885"/>
    </row>
    <row r="54" spans="1:131" ht="16.350000000000001" customHeight="1" x14ac:dyDescent="0.25">
      <c r="B54" s="5113"/>
      <c r="C54" s="6210"/>
      <c r="D54" s="6211"/>
      <c r="E54" s="5165" t="s">
        <v>426</v>
      </c>
      <c r="F54" s="5540"/>
      <c r="G54" s="5165" t="s">
        <v>1382</v>
      </c>
      <c r="H54" s="5540"/>
      <c r="I54" s="5165" t="s">
        <v>1355</v>
      </c>
      <c r="J54" s="5167"/>
      <c r="K54" s="5540" t="s">
        <v>620</v>
      </c>
      <c r="L54" s="5540"/>
      <c r="M54" s="5165" t="s">
        <v>275</v>
      </c>
      <c r="N54" s="5540"/>
      <c r="O54" s="5165" t="s">
        <v>352</v>
      </c>
      <c r="P54" s="5540"/>
      <c r="Q54" s="5165" t="s">
        <v>319</v>
      </c>
      <c r="R54" s="5540"/>
      <c r="S54" s="5165" t="s">
        <v>10</v>
      </c>
      <c r="T54" s="5540"/>
      <c r="U54" s="5165" t="s">
        <v>151</v>
      </c>
      <c r="V54" s="5167"/>
      <c r="W54" s="5165" t="s">
        <v>152</v>
      </c>
      <c r="X54" s="5167"/>
      <c r="Y54" s="5165" t="s">
        <v>153</v>
      </c>
      <c r="Z54" s="5167"/>
      <c r="AA54" s="5165" t="s">
        <v>154</v>
      </c>
      <c r="AB54" s="5167"/>
      <c r="AC54" s="5165" t="s">
        <v>155</v>
      </c>
      <c r="AD54" s="5167"/>
      <c r="AE54" s="5165" t="s">
        <v>156</v>
      </c>
      <c r="AF54" s="5167"/>
      <c r="AG54" s="5165" t="s">
        <v>157</v>
      </c>
      <c r="AH54" s="5167"/>
      <c r="AI54" s="5165" t="s">
        <v>158</v>
      </c>
      <c r="AJ54" s="5167"/>
      <c r="AK54" s="5165" t="s">
        <v>159</v>
      </c>
      <c r="AL54" s="5167"/>
      <c r="AM54" s="5165" t="s">
        <v>160</v>
      </c>
      <c r="AN54" s="5167"/>
      <c r="AO54" s="5165" t="s">
        <v>161</v>
      </c>
      <c r="AP54" s="5167"/>
      <c r="AQ54" s="5165" t="s">
        <v>162</v>
      </c>
      <c r="AR54" s="6213"/>
      <c r="AS54" s="6220" t="s">
        <v>24</v>
      </c>
      <c r="AT54" s="6222" t="s">
        <v>25</v>
      </c>
      <c r="AU54" s="6216"/>
      <c r="AV54" s="6217"/>
      <c r="AW54" s="5121"/>
      <c r="AX54" s="5123"/>
      <c r="AY54" s="2035"/>
      <c r="AZ54" s="2035"/>
      <c r="BA54" s="884"/>
      <c r="BB54" s="884"/>
      <c r="BC54" s="884"/>
      <c r="BD54" s="884"/>
      <c r="BE54" s="884"/>
      <c r="BF54" s="884"/>
      <c r="BG54" s="884"/>
      <c r="BH54" s="884"/>
      <c r="BI54" s="884"/>
      <c r="BJ54" s="884"/>
      <c r="BK54" s="884"/>
      <c r="BL54" s="884"/>
      <c r="BM54" s="884"/>
      <c r="BV54" s="884"/>
    </row>
    <row r="55" spans="1:131" ht="16.350000000000001" customHeight="1" x14ac:dyDescent="0.25">
      <c r="B55" s="5159"/>
      <c r="C55" s="1749" t="s">
        <v>2257</v>
      </c>
      <c r="D55" s="2036" t="s">
        <v>2258</v>
      </c>
      <c r="E55" s="1597" t="s">
        <v>2257</v>
      </c>
      <c r="F55" s="1695" t="s">
        <v>2258</v>
      </c>
      <c r="G55" s="1597" t="s">
        <v>2257</v>
      </c>
      <c r="H55" s="1695" t="s">
        <v>2258</v>
      </c>
      <c r="I55" s="1597" t="s">
        <v>2257</v>
      </c>
      <c r="J55" s="2036" t="s">
        <v>2258</v>
      </c>
      <c r="K55" s="1749" t="s">
        <v>2257</v>
      </c>
      <c r="L55" s="1695" t="s">
        <v>2258</v>
      </c>
      <c r="M55" s="1597" t="s">
        <v>2257</v>
      </c>
      <c r="N55" s="1695" t="s">
        <v>2258</v>
      </c>
      <c r="O55" s="1597" t="s">
        <v>2257</v>
      </c>
      <c r="P55" s="1695" t="s">
        <v>2258</v>
      </c>
      <c r="Q55" s="1597" t="s">
        <v>2257</v>
      </c>
      <c r="R55" s="1695" t="s">
        <v>2258</v>
      </c>
      <c r="S55" s="1597" t="s">
        <v>2257</v>
      </c>
      <c r="T55" s="1695" t="s">
        <v>2258</v>
      </c>
      <c r="U55" s="1597" t="s">
        <v>2257</v>
      </c>
      <c r="V55" s="1695" t="s">
        <v>2258</v>
      </c>
      <c r="W55" s="1597" t="s">
        <v>2257</v>
      </c>
      <c r="X55" s="1695" t="s">
        <v>2258</v>
      </c>
      <c r="Y55" s="1597" t="s">
        <v>2257</v>
      </c>
      <c r="Z55" s="1695" t="s">
        <v>2258</v>
      </c>
      <c r="AA55" s="1597" t="s">
        <v>2257</v>
      </c>
      <c r="AB55" s="1695" t="s">
        <v>2258</v>
      </c>
      <c r="AC55" s="1597" t="s">
        <v>2257</v>
      </c>
      <c r="AD55" s="1695" t="s">
        <v>2258</v>
      </c>
      <c r="AE55" s="1597" t="s">
        <v>2257</v>
      </c>
      <c r="AF55" s="1695" t="s">
        <v>2258</v>
      </c>
      <c r="AG55" s="1597" t="s">
        <v>2257</v>
      </c>
      <c r="AH55" s="1695" t="s">
        <v>2258</v>
      </c>
      <c r="AI55" s="1597" t="s">
        <v>2257</v>
      </c>
      <c r="AJ55" s="1695" t="s">
        <v>2258</v>
      </c>
      <c r="AK55" s="1597" t="s">
        <v>2257</v>
      </c>
      <c r="AL55" s="1695" t="s">
        <v>2258</v>
      </c>
      <c r="AM55" s="1597" t="s">
        <v>2257</v>
      </c>
      <c r="AN55" s="1695" t="s">
        <v>2258</v>
      </c>
      <c r="AO55" s="1597" t="s">
        <v>2257</v>
      </c>
      <c r="AP55" s="1695" t="s">
        <v>2258</v>
      </c>
      <c r="AQ55" s="1597" t="s">
        <v>2257</v>
      </c>
      <c r="AR55" s="2030" t="s">
        <v>2258</v>
      </c>
      <c r="AS55" s="6221"/>
      <c r="AT55" s="6223"/>
      <c r="AU55" s="2031" t="s">
        <v>1350</v>
      </c>
      <c r="AV55" s="1901" t="s">
        <v>1351</v>
      </c>
      <c r="AW55" s="5799"/>
      <c r="AX55" s="5403"/>
      <c r="AY55" s="2035"/>
      <c r="AZ55" s="2035"/>
      <c r="BA55" s="884"/>
      <c r="BB55" s="884"/>
      <c r="BC55" s="884"/>
      <c r="BD55" s="884"/>
      <c r="BE55" s="884"/>
      <c r="BF55" s="884"/>
      <c r="BG55" s="884"/>
      <c r="BH55" s="884"/>
      <c r="BI55" s="884"/>
      <c r="BJ55" s="884"/>
      <c r="BK55" s="884"/>
      <c r="BL55" s="884"/>
      <c r="BM55" s="884"/>
      <c r="BV55" s="884"/>
    </row>
    <row r="56" spans="1:131" ht="16.350000000000001" customHeight="1" x14ac:dyDescent="0.25">
      <c r="A56" s="2458">
        <v>11056400</v>
      </c>
      <c r="B56" s="107" t="s">
        <v>2259</v>
      </c>
      <c r="C56" s="2032" t="s">
        <v>2777</v>
      </c>
      <c r="D56" s="1855" t="s">
        <v>2778</v>
      </c>
      <c r="E56" s="161" t="s">
        <v>2779</v>
      </c>
      <c r="F56" s="145" t="s">
        <v>2780</v>
      </c>
      <c r="G56" s="173" t="s">
        <v>2781</v>
      </c>
      <c r="H56" s="145" t="s">
        <v>2782</v>
      </c>
      <c r="I56" s="173" t="s">
        <v>2783</v>
      </c>
      <c r="J56" s="145" t="s">
        <v>2784</v>
      </c>
      <c r="K56" s="173" t="s">
        <v>2785</v>
      </c>
      <c r="L56" s="145" t="s">
        <v>2786</v>
      </c>
      <c r="M56" s="173" t="s">
        <v>2787</v>
      </c>
      <c r="N56" s="162" t="s">
        <v>2788</v>
      </c>
      <c r="O56" s="180" t="s">
        <v>2789</v>
      </c>
      <c r="P56" s="142" t="s">
        <v>2790</v>
      </c>
      <c r="Q56" s="141" t="s">
        <v>2791</v>
      </c>
      <c r="R56" s="142" t="s">
        <v>2792</v>
      </c>
      <c r="S56" s="141" t="s">
        <v>2793</v>
      </c>
      <c r="T56" s="142" t="s">
        <v>2794</v>
      </c>
      <c r="U56" s="141" t="s">
        <v>2795</v>
      </c>
      <c r="V56" s="142" t="s">
        <v>2796</v>
      </c>
      <c r="W56" s="141" t="s">
        <v>2797</v>
      </c>
      <c r="X56" s="142" t="s">
        <v>2798</v>
      </c>
      <c r="Y56" s="141" t="s">
        <v>2799</v>
      </c>
      <c r="Z56" s="142" t="s">
        <v>2800</v>
      </c>
      <c r="AA56" s="141" t="s">
        <v>2801</v>
      </c>
      <c r="AB56" s="142" t="s">
        <v>2817</v>
      </c>
      <c r="AC56" s="141" t="s">
        <v>2818</v>
      </c>
      <c r="AD56" s="142" t="s">
        <v>2819</v>
      </c>
      <c r="AE56" s="141" t="s">
        <v>2821</v>
      </c>
      <c r="AF56" s="142" t="s">
        <v>2822</v>
      </c>
      <c r="AG56" s="141" t="s">
        <v>2823</v>
      </c>
      <c r="AH56" s="142" t="s">
        <v>2824</v>
      </c>
      <c r="AI56" s="141" t="s">
        <v>2825</v>
      </c>
      <c r="AJ56" s="142" t="s">
        <v>2826</v>
      </c>
      <c r="AK56" s="141" t="s">
        <v>2827</v>
      </c>
      <c r="AL56" s="142" t="s">
        <v>2831</v>
      </c>
      <c r="AM56" s="141" t="s">
        <v>2832</v>
      </c>
      <c r="AN56" s="142" t="s">
        <v>2833</v>
      </c>
      <c r="AO56" s="141" t="s">
        <v>2834</v>
      </c>
      <c r="AP56" s="142" t="s">
        <v>3011</v>
      </c>
      <c r="AQ56" s="141" t="s">
        <v>3012</v>
      </c>
      <c r="AR56" s="318" t="s">
        <v>3013</v>
      </c>
      <c r="AS56" s="1703" t="s">
        <v>3014</v>
      </c>
      <c r="AT56" s="318" t="s">
        <v>3015</v>
      </c>
      <c r="AU56" s="180" t="s">
        <v>3206</v>
      </c>
      <c r="AV56" s="142" t="s">
        <v>3207</v>
      </c>
      <c r="AW56" s="141" t="s">
        <v>3272</v>
      </c>
      <c r="AX56" s="163" t="s">
        <v>3273</v>
      </c>
      <c r="AY56" s="1079" t="e">
        <f t="shared" ref="AY56:AY73" si="106">$CB56&amp;$CC56&amp;$CD56&amp;$CE56&amp;$CF56&amp;$CG56&amp;$CH56&amp;$CI56&amp;$CJ56&amp;$CK56&amp;$CL56&amp;$CM56&amp;$CN56&amp;$CO56&amp;$CP56&amp;$CQ56&amp;$CR56&amp;$CS56&amp;$CT56&amp;$CU56&amp;$CV56&amp;$CW56&amp;$CX56&amp;$CY56&amp;$CZ56&amp;$DA56</f>
        <v>#VALUE!</v>
      </c>
      <c r="AZ56" s="1079"/>
      <c r="BA56" s="1079"/>
      <c r="BB56" s="1079"/>
      <c r="BC56" s="1079"/>
      <c r="BD56" s="1079"/>
      <c r="BE56" s="1079"/>
      <c r="BF56" s="1079"/>
      <c r="BG56" s="1079"/>
      <c r="BH56" s="1079"/>
      <c r="BI56" s="1079"/>
      <c r="BJ56" s="884"/>
      <c r="BK56" s="884"/>
      <c r="BL56" s="884"/>
      <c r="BM56" s="884"/>
      <c r="BV56" s="884"/>
      <c r="BX56" s="885"/>
      <c r="CB56" s="2077" t="str">
        <f t="shared" ref="CB56:CB73" si="107">IF(C56&lt;D56,"* El total de Reactivos NO DEBE ser superior al total de Procesados. ","")</f>
        <v xml:space="preserve">* El total de Reactivos NO DEBE ser superior al total de Procesados. </v>
      </c>
      <c r="CC56" s="2077" t="e">
        <f t="shared" ref="CC56:CC73" si="108">IF(C56&lt;&gt;(AS56+ AT56),"* La suma de las columnas Sexo DEBE SER IGUAL a los Procesados. ","")</f>
        <v>#VALUE!</v>
      </c>
      <c r="CD56" s="2077" t="e">
        <f t="shared" ref="CD56:CD73" si="109">IF(C56&lt;(AU56+ AV56),"* La suma de las columna Trans NO DEBE ser superior al total de Procesados. ","")</f>
        <v>#VALUE!</v>
      </c>
      <c r="CE56" s="2077" t="str">
        <f t="shared" ref="CE56:CE73" si="110">IF(C56&lt;AW56,"* La columna Pueblos Originarios NO DEBE ser superior al total de Procesados. ","")</f>
        <v xml:space="preserve">* La columna Pueblos Originarios NO DEBE ser superior al total de Procesados. </v>
      </c>
      <c r="CF56" s="2077" t="str">
        <f t="shared" ref="CF56:CF73" si="111">IF(C56&lt;AX56,"* La columna Migrantes NO DEBE ser superior al total de Procesados. ","")</f>
        <v xml:space="preserve">* La columna Migrantes NO DEBE ser superior al total de Procesados. </v>
      </c>
      <c r="CG56" s="2077" t="str">
        <f>IF(E56&lt;F56,CONCATENATE("* El total de procesados debe ser mayor o igual al total de Reactivos en el grupo de edad ",$E$54),"")</f>
        <v>* El total de procesados debe ser mayor o igual al total de Reactivos en el grupo de edad Menor de 6 meses</v>
      </c>
      <c r="CH56" s="2077" t="str">
        <f>IF(G56&lt;H56,CONCATENATE("* El total de procesados debe ser mayor o igual al total de Reactivos en el grupo de edad ",$G$54),"")</f>
        <v>* El total de procesados debe ser mayor o igual al total de Reactivos en el grupo de edad 6 a 11 meses</v>
      </c>
      <c r="CI56" s="2077" t="str">
        <f>IF(I56&lt;J56,CONCATENATE("* El total de procesados debe ser mayor o igual al total de Reactivos en el grupo de edad ",$I$54),"")</f>
        <v>* El total de procesados debe ser mayor o igual al total de Reactivos en el grupo de edad 12-24 meses</v>
      </c>
      <c r="CJ56" s="2077" t="str">
        <f>IF(K56&lt;L56,CONCATENATE("* El total de procesados debe ser mayor o igual al total de Reactivos en el grupo de edad ",$K$54),"")</f>
        <v>* El total de procesados debe ser mayor o igual al total de Reactivos en el grupo de edad 3 a 4</v>
      </c>
      <c r="CK56" s="2077" t="str">
        <f>IF(M56&lt;N56,CONCATENATE("* El total de procesados debe ser mayor o igual al total de Reactivos en el grupo de edad ",$M$54),"")</f>
        <v>* El total de procesados debe ser mayor o igual al total de Reactivos en el grupo de edad 5 a 9</v>
      </c>
      <c r="CL56" s="2077" t="str">
        <f>IF(O56&lt;P56,CONCATENATE("* El total de procesados debe ser mayor o igual al total de Reactivos en el grupo de edad ",$O$54),"")</f>
        <v>* El total de procesados debe ser mayor o igual al total de Reactivos en el grupo de edad 10 - 14</v>
      </c>
      <c r="CM56" s="2077" t="str">
        <f>IF(Q56&lt;R56,CONCATENATE("* El total de procesados debe ser mayor o igual al total de Reactivos en el grupo de edad ",$Q$54),"")</f>
        <v>* El total de procesados debe ser mayor o igual al total de Reactivos en el grupo de edad 15 - 19</v>
      </c>
      <c r="CN56" s="2077" t="str">
        <f>IF(S56&lt;T56,CONCATENATE("* El total de procesados debe ser mayor o igual al total de Reactivos en el grupo de edad ",$S$54),"")</f>
        <v>* El total de procesados debe ser mayor o igual al total de Reactivos en el grupo de edad 20 - 24</v>
      </c>
      <c r="CO56" s="2077" t="str">
        <f>IF(U56&lt;V56,CONCATENATE("* El total de procesados debe ser mayor o igual al total de Reactivos en el grupo de edad ",$U$54),"")</f>
        <v>* El total de procesados debe ser mayor o igual al total de Reactivos en el grupo de edad 25 a 29</v>
      </c>
      <c r="CP56" s="2077" t="str">
        <f>IF(W56&lt;X56,CONCATENATE("* El total de procesados debe ser mayor o igual al total de Reactivos en el grupo de edad ",$W$54),"")</f>
        <v>* El total de procesados debe ser mayor o igual al total de Reactivos en el grupo de edad 30 a 34</v>
      </c>
      <c r="CQ56" s="2077" t="str">
        <f>IF(Y56&lt;Z56,CONCATENATE("* El total de procesados debe ser mayor o igual al total de Reactivos en el grupo de edad ",$Y$54),"")</f>
        <v>* El total de procesados debe ser mayor o igual al total de Reactivos en el grupo de edad 35 a 39</v>
      </c>
      <c r="CR56" s="2077" t="str">
        <f>IF(AA56&lt;AB56,CONCATENATE("* El total de procesados debe ser mayor o igual al total de Reactivos en el grupo de edad ",$AA$54),"")</f>
        <v>* El total de procesados debe ser mayor o igual al total de Reactivos en el grupo de edad 40 a 44</v>
      </c>
      <c r="CS56" s="2077" t="str">
        <f>IF(AC56&lt;AD56,CONCATENATE("* El total de procesados debe ser mayor o igual al total de Reactivos en el grupo de edad ",$AC$54),"")</f>
        <v>* El total de procesados debe ser mayor o igual al total de Reactivos en el grupo de edad 45 a 49</v>
      </c>
      <c r="CT56" s="2077" t="str">
        <f>IF(AE56&lt;AF56,CONCATENATE("* El total de procesados debe ser mayor o igual al total de Reactivos en el grupo de edad ",$AE$54),"")</f>
        <v>* El total de procesados debe ser mayor o igual al total de Reactivos en el grupo de edad 50 a 54</v>
      </c>
      <c r="CU56" s="2077" t="str">
        <f>IF(AG56&lt;AH56,CONCATENATE("* El total de procesados debe ser mayor o igual al total de Reactivos en el grupo de edad ",$AG$54),"")</f>
        <v>* El total de procesados debe ser mayor o igual al total de Reactivos en el grupo de edad 55 a 59</v>
      </c>
      <c r="CV56" s="2077" t="str">
        <f>IF(AI56&lt;AJ56,CONCATENATE("* El total de procesados debe ser mayor o igual al total de Reactivos en el grupo de edad ",$AI$54),"")</f>
        <v>* El total de procesados debe ser mayor o igual al total de Reactivos en el grupo de edad 60 a 64</v>
      </c>
      <c r="CW56" s="2077" t="str">
        <f>IF(AK56&lt;AL56,CONCATENATE("* El total de procesados debe ser mayor o igual al total de Reactivos en el grupo de edad ",$AK$54),"")</f>
        <v>* El total de procesados debe ser mayor o igual al total de Reactivos en el grupo de edad 65 a 69</v>
      </c>
      <c r="CX56" s="2077" t="str">
        <f>IF(AM56&lt;AN56,CONCATENATE("* El total de procesados debe ser mayor o igual al total de Reactivos en el grupo de edad ",$AM$54),"")</f>
        <v>* El total de procesados debe ser mayor o igual al total de Reactivos en el grupo de edad 70 a 74</v>
      </c>
      <c r="CY56" s="2077" t="str">
        <f>IF(AO56&lt;AP56,CONCATENATE("* El total de procesados debe ser mayor o igual al total de Reactivos en el grupo de edad ",$AO$54),"")</f>
        <v>* El total de procesados debe ser mayor o igual al total de Reactivos en el grupo de edad 75 a 79</v>
      </c>
      <c r="CZ56" s="2077" t="str">
        <f>IF(AQ56&lt;AR56,CONCATENATE("* El total de procesados debe ser mayor o igual al total de Reactivos en el grupo de edad ",$AQ$54),"")</f>
        <v>* El total de procesados debe ser mayor o igual al total de Reactivos en el grupo de edad 80 y más</v>
      </c>
      <c r="DA56" s="2077" t="str">
        <f t="shared" ref="DA56:DA73" si="112">IF(AND(C56&lt;&gt;0,OR(AU56="",AV56="",AW56="",AX56="")),"* No olvide digitar la columna Trans y/o Pueblos Originarios y/o Migrantes (Digite Cero si no tiene). ","")</f>
        <v/>
      </c>
      <c r="DB56" s="1363">
        <f t="shared" ref="DB56:DB73" si="113">IF(C56&lt;   D56,1,0)</f>
        <v>1</v>
      </c>
      <c r="DC56" s="1363" t="e">
        <f t="shared" ref="DC56:DC73" si="114">IF(C56&lt;&gt; AS56+AT56,1,0)</f>
        <v>#VALUE!</v>
      </c>
      <c r="DD56" s="1363" t="e">
        <f t="shared" ref="DD56:DD73" si="115">IF(C56&lt;  AU56+AV56,1,0)</f>
        <v>#VALUE!</v>
      </c>
      <c r="DE56" s="1363">
        <f t="shared" ref="DE56:DE73" si="116">IF(C56&lt;  AW56,1,0)</f>
        <v>1</v>
      </c>
      <c r="DF56" s="1363">
        <f t="shared" ref="DF56:DF73" si="117">IF(C56&lt;  AX56,1,0)</f>
        <v>1</v>
      </c>
      <c r="DG56" s="1363">
        <f t="shared" ref="DG56:DG73" si="118">IF(E56&lt;F56,1,0)</f>
        <v>1</v>
      </c>
      <c r="DH56" s="1363">
        <f t="shared" ref="DH56:DH73" si="119">IF(G56&lt;H56,1,0)</f>
        <v>1</v>
      </c>
      <c r="DI56" s="1363">
        <f t="shared" ref="DI56:DI73" si="120">IF(I56&lt;J56,1,0)</f>
        <v>1</v>
      </c>
      <c r="DJ56" s="1363">
        <f t="shared" ref="DJ56:DJ73" si="121">IF(K56&lt;L56,1,0)</f>
        <v>1</v>
      </c>
      <c r="DK56" s="1363">
        <f t="shared" ref="DK56:DK73" si="122">IF(M56&lt;N56,1,0)</f>
        <v>1</v>
      </c>
      <c r="DL56" s="1363">
        <f t="shared" ref="DL56:DL73" si="123">IF(O56&lt;P56,1,0)</f>
        <v>1</v>
      </c>
      <c r="DM56" s="1363">
        <f t="shared" ref="DM56:DM73" si="124">IF(Q56&lt;R56,1,0)</f>
        <v>1</v>
      </c>
      <c r="DN56" s="1363">
        <f t="shared" ref="DN56:DN73" si="125">IF(S56&lt;T56,1,0)</f>
        <v>1</v>
      </c>
      <c r="DO56" s="1363">
        <f t="shared" ref="DO56:DO73" si="126">IF(U56&lt;V56,1,0)</f>
        <v>1</v>
      </c>
      <c r="DP56" s="1363">
        <f t="shared" ref="DP56:DP73" si="127">IF(W56&lt;X56,1,0)</f>
        <v>1</v>
      </c>
      <c r="DQ56" s="1363">
        <f t="shared" ref="DQ56:DQ73" si="128">IF(Y56&lt;Z56,1,0)</f>
        <v>1</v>
      </c>
      <c r="DR56" s="1363">
        <f t="shared" ref="DR56:DR73" si="129">IF(AA56&lt;AB56,1,0)</f>
        <v>1</v>
      </c>
      <c r="DS56" s="1363">
        <f t="shared" ref="DS56:DS73" si="130">IF(AC56&lt;AD56,1,0)</f>
        <v>1</v>
      </c>
      <c r="DT56" s="1363">
        <f t="shared" ref="DT56:DT73" si="131">IF(AE56&lt;AF56,1,0)</f>
        <v>1</v>
      </c>
      <c r="DU56" s="1363">
        <f t="shared" ref="DU56:DU73" si="132">IF(AG56&lt;AH56,1,0)</f>
        <v>1</v>
      </c>
      <c r="DV56" s="1363">
        <f t="shared" ref="DV56:DV73" si="133">IF(AI56&lt;AJ56,1,0)</f>
        <v>1</v>
      </c>
      <c r="DW56" s="1363">
        <f t="shared" ref="DW56:DW73" si="134">IF(AK56&lt;AL56,1,0)</f>
        <v>1</v>
      </c>
      <c r="DX56" s="1363">
        <f t="shared" ref="DX56:DX73" si="135">IF(AM56&lt;AN56,1,0)</f>
        <v>1</v>
      </c>
      <c r="DY56" s="1363">
        <f t="shared" ref="DY56:DY73" si="136">IF(AO56&lt;AP56,1,0)</f>
        <v>1</v>
      </c>
      <c r="DZ56" s="1363">
        <f t="shared" ref="DZ56:DZ73" si="137">IF(AQ56&lt;AR56,1,0)</f>
        <v>1</v>
      </c>
      <c r="EA56" s="1363">
        <f t="shared" ref="EA56:EA73" si="138">IF(AND(C56&lt;&gt;0,OR(AU56="",AV56="",AW56="",AX56="")),1,0)</f>
        <v>0</v>
      </c>
    </row>
    <row r="57" spans="1:131" ht="16.350000000000001" customHeight="1" x14ac:dyDescent="0.25">
      <c r="A57" s="2458">
        <v>11056401</v>
      </c>
      <c r="B57" s="107" t="s">
        <v>2260</v>
      </c>
      <c r="C57" s="707" t="s">
        <v>2777</v>
      </c>
      <c r="D57" s="281" t="s">
        <v>2778</v>
      </c>
      <c r="E57" s="161" t="s">
        <v>2779</v>
      </c>
      <c r="F57" s="145" t="s">
        <v>2780</v>
      </c>
      <c r="G57" s="173" t="s">
        <v>2781</v>
      </c>
      <c r="H57" s="145" t="s">
        <v>2782</v>
      </c>
      <c r="I57" s="173" t="s">
        <v>2783</v>
      </c>
      <c r="J57" s="145" t="s">
        <v>2784</v>
      </c>
      <c r="K57" s="173" t="s">
        <v>2785</v>
      </c>
      <c r="L57" s="145" t="s">
        <v>2786</v>
      </c>
      <c r="M57" s="173" t="s">
        <v>2787</v>
      </c>
      <c r="N57" s="162" t="s">
        <v>2788</v>
      </c>
      <c r="O57" s="180" t="s">
        <v>2789</v>
      </c>
      <c r="P57" s="142" t="s">
        <v>2790</v>
      </c>
      <c r="Q57" s="141" t="s">
        <v>2791</v>
      </c>
      <c r="R57" s="142" t="s">
        <v>2792</v>
      </c>
      <c r="S57" s="141" t="s">
        <v>2793</v>
      </c>
      <c r="T57" s="142" t="s">
        <v>2794</v>
      </c>
      <c r="U57" s="141" t="s">
        <v>2795</v>
      </c>
      <c r="V57" s="142" t="s">
        <v>2796</v>
      </c>
      <c r="W57" s="141" t="s">
        <v>2797</v>
      </c>
      <c r="X57" s="142" t="s">
        <v>2798</v>
      </c>
      <c r="Y57" s="141" t="s">
        <v>2799</v>
      </c>
      <c r="Z57" s="142" t="s">
        <v>2800</v>
      </c>
      <c r="AA57" s="141" t="s">
        <v>2801</v>
      </c>
      <c r="AB57" s="142" t="s">
        <v>2817</v>
      </c>
      <c r="AC57" s="141" t="s">
        <v>2818</v>
      </c>
      <c r="AD57" s="142" t="s">
        <v>2819</v>
      </c>
      <c r="AE57" s="141" t="s">
        <v>2821</v>
      </c>
      <c r="AF57" s="142" t="s">
        <v>2822</v>
      </c>
      <c r="AG57" s="141" t="s">
        <v>2823</v>
      </c>
      <c r="AH57" s="142" t="s">
        <v>2824</v>
      </c>
      <c r="AI57" s="141" t="s">
        <v>2825</v>
      </c>
      <c r="AJ57" s="142" t="s">
        <v>2826</v>
      </c>
      <c r="AK57" s="141" t="s">
        <v>2827</v>
      </c>
      <c r="AL57" s="142" t="s">
        <v>2831</v>
      </c>
      <c r="AM57" s="141" t="s">
        <v>2832</v>
      </c>
      <c r="AN57" s="142" t="s">
        <v>2833</v>
      </c>
      <c r="AO57" s="141" t="s">
        <v>2834</v>
      </c>
      <c r="AP57" s="142" t="s">
        <v>3011</v>
      </c>
      <c r="AQ57" s="141" t="s">
        <v>3012</v>
      </c>
      <c r="AR57" s="318" t="s">
        <v>3013</v>
      </c>
      <c r="AS57" s="1703" t="s">
        <v>3014</v>
      </c>
      <c r="AT57" s="318" t="s">
        <v>3015</v>
      </c>
      <c r="AU57" s="180" t="s">
        <v>3206</v>
      </c>
      <c r="AV57" s="142" t="s">
        <v>3207</v>
      </c>
      <c r="AW57" s="141" t="s">
        <v>3272</v>
      </c>
      <c r="AX57" s="163" t="s">
        <v>3273</v>
      </c>
      <c r="AY57" s="1079" t="e">
        <f t="shared" si="106"/>
        <v>#VALUE!</v>
      </c>
      <c r="AZ57" s="1079"/>
      <c r="BA57" s="1079"/>
      <c r="BB57" s="1079"/>
      <c r="BC57" s="1079"/>
      <c r="BD57" s="1079"/>
      <c r="BE57" s="1079"/>
      <c r="BF57" s="1079"/>
      <c r="BG57" s="1079"/>
      <c r="BH57" s="1079"/>
      <c r="BI57" s="1079"/>
      <c r="BJ57" s="884"/>
      <c r="BK57" s="884"/>
      <c r="BL57" s="884"/>
      <c r="BM57" s="884"/>
      <c r="BV57" s="884"/>
      <c r="BX57" s="885"/>
      <c r="CB57" s="2077" t="str">
        <f t="shared" si="107"/>
        <v xml:space="preserve">* El total de Reactivos NO DEBE ser superior al total de Procesados. </v>
      </c>
      <c r="CC57" s="2077" t="e">
        <f t="shared" si="108"/>
        <v>#VALUE!</v>
      </c>
      <c r="CD57" s="2077" t="e">
        <f t="shared" si="109"/>
        <v>#VALUE!</v>
      </c>
      <c r="CE57" s="2077" t="str">
        <f t="shared" si="110"/>
        <v xml:space="preserve">* La columna Pueblos Originarios NO DEBE ser superior al total de Procesados. </v>
      </c>
      <c r="CF57" s="2077" t="str">
        <f t="shared" si="111"/>
        <v xml:space="preserve">* La columna Migrantes NO DEBE ser superior al total de Procesados. </v>
      </c>
      <c r="CG57" s="2077" t="str">
        <f t="shared" ref="CG57:CG73" si="139">IF(E57&lt;F57,CONCATENATE("* El total de procesados debe ser mayor o igual al total de Reactivos en el grupo de edad ",$E$54),"")</f>
        <v>* El total de procesados debe ser mayor o igual al total de Reactivos en el grupo de edad Menor de 6 meses</v>
      </c>
      <c r="CH57" s="2077" t="str">
        <f t="shared" ref="CH57:CH73" si="140">IF(G57&lt;H57,CONCATENATE("* El total de procesados debe ser mayor o igual al total de Reactivos en el grupo de edad ",$G$54),"")</f>
        <v>* El total de procesados debe ser mayor o igual al total de Reactivos en el grupo de edad 6 a 11 meses</v>
      </c>
      <c r="CI57" s="2077" t="str">
        <f t="shared" ref="CI57:CI73" si="141">IF(I57&lt;J57,CONCATENATE("* El total de procesados debe ser mayor o igual al total de Reactivos en el grupo de edad ",$I$54),"")</f>
        <v>* El total de procesados debe ser mayor o igual al total de Reactivos en el grupo de edad 12-24 meses</v>
      </c>
      <c r="CJ57" s="2077" t="str">
        <f t="shared" ref="CJ57:CJ73" si="142">IF(K57&lt;L57,CONCATENATE("* El total de procesados debe ser mayor o igual al total de Reactivos en el grupo de edad ",$K$54),"")</f>
        <v>* El total de procesados debe ser mayor o igual al total de Reactivos en el grupo de edad 3 a 4</v>
      </c>
      <c r="CK57" s="2077" t="str">
        <f t="shared" ref="CK57:CK73" si="143">IF(M57&lt;N57,CONCATENATE("* El total de procesados debe ser mayor o igual al total de Reactivos en el grupo de edad ",$M$54),"")</f>
        <v>* El total de procesados debe ser mayor o igual al total de Reactivos en el grupo de edad 5 a 9</v>
      </c>
      <c r="CL57" s="2077" t="str">
        <f t="shared" ref="CL57:CL73" si="144">IF(O57&lt;P57,CONCATENATE("* El total de procesados debe ser mayor o igual al total de Reactivos en el grupo de edad ",$O$54),"")</f>
        <v>* El total de procesados debe ser mayor o igual al total de Reactivos en el grupo de edad 10 - 14</v>
      </c>
      <c r="CM57" s="2077" t="str">
        <f t="shared" ref="CM57:CM73" si="145">IF(Q57&lt;R57,CONCATENATE("* El total de procesados debe ser mayor o igual al total de Reactivos en el grupo de edad ",$Q$54),"")</f>
        <v>* El total de procesados debe ser mayor o igual al total de Reactivos en el grupo de edad 15 - 19</v>
      </c>
      <c r="CN57" s="2077" t="str">
        <f t="shared" ref="CN57:CN73" si="146">IF(S57&lt;T57,CONCATENATE("* El total de procesados debe ser mayor o igual al total de Reactivos en el grupo de edad ",$S$54),"")</f>
        <v>* El total de procesados debe ser mayor o igual al total de Reactivos en el grupo de edad 20 - 24</v>
      </c>
      <c r="CO57" s="2077" t="str">
        <f t="shared" ref="CO57:CO73" si="147">IF(U57&lt;V57,CONCATENATE("* El total de procesados debe ser mayor o igual al total de Reactivos en el grupo de edad ",$U$54),"")</f>
        <v>* El total de procesados debe ser mayor o igual al total de Reactivos en el grupo de edad 25 a 29</v>
      </c>
      <c r="CP57" s="2077" t="str">
        <f t="shared" ref="CP57:CP73" si="148">IF(W57&lt;X57,CONCATENATE("* El total de procesados debe ser mayor o igual al total de Reactivos en el grupo de edad ",$W$54),"")</f>
        <v>* El total de procesados debe ser mayor o igual al total de Reactivos en el grupo de edad 30 a 34</v>
      </c>
      <c r="CQ57" s="2077" t="str">
        <f t="shared" ref="CQ57:CQ73" si="149">IF(Y57&lt;Z57,CONCATENATE("* El total de procesados debe ser mayor o igual al total de Reactivos en el grupo de edad ",$Y$54),"")</f>
        <v>* El total de procesados debe ser mayor o igual al total de Reactivos en el grupo de edad 35 a 39</v>
      </c>
      <c r="CR57" s="2077" t="str">
        <f t="shared" ref="CR57:CR73" si="150">IF(AA57&lt;AB57,CONCATENATE("* El total de procesados debe ser mayor o igual al total de Reactivos en el grupo de edad ",$AA$54),"")</f>
        <v>* El total de procesados debe ser mayor o igual al total de Reactivos en el grupo de edad 40 a 44</v>
      </c>
      <c r="CS57" s="2077" t="str">
        <f t="shared" ref="CS57:CS73" si="151">IF(AC57&lt;AD57,CONCATENATE("* El total de procesados debe ser mayor o igual al total de Reactivos en el grupo de edad ",$AC$54),"")</f>
        <v>* El total de procesados debe ser mayor o igual al total de Reactivos en el grupo de edad 45 a 49</v>
      </c>
      <c r="CT57" s="2077" t="str">
        <f t="shared" ref="CT57:CT73" si="152">IF(AE57&lt;AF57,CONCATENATE("* El total de procesados debe ser mayor o igual al total de Reactivos en el grupo de edad ",$AE$54),"")</f>
        <v>* El total de procesados debe ser mayor o igual al total de Reactivos en el grupo de edad 50 a 54</v>
      </c>
      <c r="CU57" s="2077" t="str">
        <f t="shared" ref="CU57:CU73" si="153">IF(AG57&lt;AH57,CONCATENATE("* El total de procesados debe ser mayor o igual al total de Reactivos en el grupo de edad ",$AG$54),"")</f>
        <v>* El total de procesados debe ser mayor o igual al total de Reactivos en el grupo de edad 55 a 59</v>
      </c>
      <c r="CV57" s="2077" t="str">
        <f t="shared" ref="CV57:CV73" si="154">IF(AI57&lt;AJ57,CONCATENATE("* El total de procesados debe ser mayor o igual al total de Reactivos en el grupo de edad ",$AI$54),"")</f>
        <v>* El total de procesados debe ser mayor o igual al total de Reactivos en el grupo de edad 60 a 64</v>
      </c>
      <c r="CW57" s="2077" t="str">
        <f t="shared" ref="CW57:CW73" si="155">IF(AK57&lt;AL57,CONCATENATE("* El total de procesados debe ser mayor o igual al total de Reactivos en el grupo de edad ",$AK$54),"")</f>
        <v>* El total de procesados debe ser mayor o igual al total de Reactivos en el grupo de edad 65 a 69</v>
      </c>
      <c r="CX57" s="2077" t="str">
        <f t="shared" ref="CX57:CX73" si="156">IF(AM57&lt;AN57,CONCATENATE("* El total de procesados debe ser mayor o igual al total de Reactivos en el grupo de edad ",$AM$54),"")</f>
        <v>* El total de procesados debe ser mayor o igual al total de Reactivos en el grupo de edad 70 a 74</v>
      </c>
      <c r="CY57" s="2077" t="str">
        <f t="shared" ref="CY57:CY73" si="157">IF(AO57&lt;AP57,CONCATENATE("* El total de procesados debe ser mayor o igual al total de Reactivos en el grupo de edad ",$AO$54),"")</f>
        <v>* El total de procesados debe ser mayor o igual al total de Reactivos en el grupo de edad 75 a 79</v>
      </c>
      <c r="CZ57" s="2077" t="str">
        <f t="shared" ref="CZ57:CZ73" si="158">IF(AQ57&lt;AR57,CONCATENATE("* El total de procesados debe ser mayor o igual al total de Reactivos en el grupo de edad ",$AQ$54),"")</f>
        <v>* El total de procesados debe ser mayor o igual al total de Reactivos en el grupo de edad 80 y más</v>
      </c>
      <c r="DA57" s="2077" t="str">
        <f t="shared" si="112"/>
        <v/>
      </c>
      <c r="DB57" s="1363">
        <f t="shared" si="113"/>
        <v>1</v>
      </c>
      <c r="DC57" s="1363" t="e">
        <f t="shared" si="114"/>
        <v>#VALUE!</v>
      </c>
      <c r="DD57" s="1363" t="e">
        <f t="shared" si="115"/>
        <v>#VALUE!</v>
      </c>
      <c r="DE57" s="1363">
        <f t="shared" si="116"/>
        <v>1</v>
      </c>
      <c r="DF57" s="1363">
        <f t="shared" si="117"/>
        <v>1</v>
      </c>
      <c r="DG57" s="1363">
        <f t="shared" si="118"/>
        <v>1</v>
      </c>
      <c r="DH57" s="1363">
        <f t="shared" si="119"/>
        <v>1</v>
      </c>
      <c r="DI57" s="1363">
        <f t="shared" si="120"/>
        <v>1</v>
      </c>
      <c r="DJ57" s="1363">
        <f t="shared" si="121"/>
        <v>1</v>
      </c>
      <c r="DK57" s="1363">
        <f t="shared" si="122"/>
        <v>1</v>
      </c>
      <c r="DL57" s="1363">
        <f t="shared" si="123"/>
        <v>1</v>
      </c>
      <c r="DM57" s="1363">
        <f t="shared" si="124"/>
        <v>1</v>
      </c>
      <c r="DN57" s="1363">
        <f t="shared" si="125"/>
        <v>1</v>
      </c>
      <c r="DO57" s="1363">
        <f t="shared" si="126"/>
        <v>1</v>
      </c>
      <c r="DP57" s="1363">
        <f t="shared" si="127"/>
        <v>1</v>
      </c>
      <c r="DQ57" s="1363">
        <f t="shared" si="128"/>
        <v>1</v>
      </c>
      <c r="DR57" s="1363">
        <f t="shared" si="129"/>
        <v>1</v>
      </c>
      <c r="DS57" s="1363">
        <f t="shared" si="130"/>
        <v>1</v>
      </c>
      <c r="DT57" s="1363">
        <f t="shared" si="131"/>
        <v>1</v>
      </c>
      <c r="DU57" s="1363">
        <f t="shared" si="132"/>
        <v>1</v>
      </c>
      <c r="DV57" s="1363">
        <f t="shared" si="133"/>
        <v>1</v>
      </c>
      <c r="DW57" s="1363">
        <f t="shared" si="134"/>
        <v>1</v>
      </c>
      <c r="DX57" s="1363">
        <f t="shared" si="135"/>
        <v>1</v>
      </c>
      <c r="DY57" s="1363">
        <f t="shared" si="136"/>
        <v>1</v>
      </c>
      <c r="DZ57" s="1363">
        <f t="shared" si="137"/>
        <v>1</v>
      </c>
      <c r="EA57" s="1363">
        <f t="shared" si="138"/>
        <v>0</v>
      </c>
    </row>
    <row r="58" spans="1:131" ht="16.350000000000001" customHeight="1" x14ac:dyDescent="0.25">
      <c r="A58" s="2458">
        <v>11056402</v>
      </c>
      <c r="B58" s="107" t="s">
        <v>2261</v>
      </c>
      <c r="C58" s="707" t="s">
        <v>2777</v>
      </c>
      <c r="D58" s="281" t="s">
        <v>2778</v>
      </c>
      <c r="E58" s="161" t="s">
        <v>2779</v>
      </c>
      <c r="F58" s="145" t="s">
        <v>2780</v>
      </c>
      <c r="G58" s="173" t="s">
        <v>2781</v>
      </c>
      <c r="H58" s="145" t="s">
        <v>2782</v>
      </c>
      <c r="I58" s="173" t="s">
        <v>2783</v>
      </c>
      <c r="J58" s="145" t="s">
        <v>2784</v>
      </c>
      <c r="K58" s="173" t="s">
        <v>2785</v>
      </c>
      <c r="L58" s="145" t="s">
        <v>2786</v>
      </c>
      <c r="M58" s="173" t="s">
        <v>2787</v>
      </c>
      <c r="N58" s="162" t="s">
        <v>2788</v>
      </c>
      <c r="O58" s="180" t="s">
        <v>2789</v>
      </c>
      <c r="P58" s="142" t="s">
        <v>2790</v>
      </c>
      <c r="Q58" s="141" t="s">
        <v>2791</v>
      </c>
      <c r="R58" s="142" t="s">
        <v>2792</v>
      </c>
      <c r="S58" s="141" t="s">
        <v>2793</v>
      </c>
      <c r="T58" s="142" t="s">
        <v>2794</v>
      </c>
      <c r="U58" s="141" t="s">
        <v>2795</v>
      </c>
      <c r="V58" s="142" t="s">
        <v>2796</v>
      </c>
      <c r="W58" s="141" t="s">
        <v>2797</v>
      </c>
      <c r="X58" s="142" t="s">
        <v>2798</v>
      </c>
      <c r="Y58" s="141" t="s">
        <v>2799</v>
      </c>
      <c r="Z58" s="142" t="s">
        <v>2800</v>
      </c>
      <c r="AA58" s="141" t="s">
        <v>2801</v>
      </c>
      <c r="AB58" s="142" t="s">
        <v>2817</v>
      </c>
      <c r="AC58" s="141" t="s">
        <v>2818</v>
      </c>
      <c r="AD58" s="142" t="s">
        <v>2819</v>
      </c>
      <c r="AE58" s="141" t="s">
        <v>2821</v>
      </c>
      <c r="AF58" s="142" t="s">
        <v>2822</v>
      </c>
      <c r="AG58" s="141" t="s">
        <v>2823</v>
      </c>
      <c r="AH58" s="142" t="s">
        <v>2824</v>
      </c>
      <c r="AI58" s="141" t="s">
        <v>2825</v>
      </c>
      <c r="AJ58" s="142" t="s">
        <v>2826</v>
      </c>
      <c r="AK58" s="141" t="s">
        <v>2827</v>
      </c>
      <c r="AL58" s="142" t="s">
        <v>2831</v>
      </c>
      <c r="AM58" s="141" t="s">
        <v>2832</v>
      </c>
      <c r="AN58" s="142" t="s">
        <v>2833</v>
      </c>
      <c r="AO58" s="141" t="s">
        <v>2834</v>
      </c>
      <c r="AP58" s="142" t="s">
        <v>3011</v>
      </c>
      <c r="AQ58" s="141" t="s">
        <v>3012</v>
      </c>
      <c r="AR58" s="318" t="s">
        <v>3013</v>
      </c>
      <c r="AS58" s="1703" t="s">
        <v>3014</v>
      </c>
      <c r="AT58" s="318" t="s">
        <v>3015</v>
      </c>
      <c r="AU58" s="180" t="s">
        <v>3206</v>
      </c>
      <c r="AV58" s="142" t="s">
        <v>3207</v>
      </c>
      <c r="AW58" s="141" t="s">
        <v>3272</v>
      </c>
      <c r="AX58" s="163" t="s">
        <v>3273</v>
      </c>
      <c r="AY58" s="1079" t="e">
        <f t="shared" si="106"/>
        <v>#VALUE!</v>
      </c>
      <c r="AZ58" s="1079"/>
      <c r="BA58" s="1079"/>
      <c r="BB58" s="1079"/>
      <c r="BC58" s="1079"/>
      <c r="BD58" s="1079"/>
      <c r="BE58" s="1079"/>
      <c r="BF58" s="1079"/>
      <c r="BG58" s="1079"/>
      <c r="BH58" s="1079"/>
      <c r="BI58" s="1079"/>
      <c r="BJ58" s="884"/>
      <c r="BK58" s="884"/>
      <c r="BL58" s="884"/>
      <c r="BM58" s="884"/>
      <c r="BV58" s="884"/>
      <c r="BX58" s="885"/>
      <c r="CB58" s="2077" t="str">
        <f t="shared" si="107"/>
        <v xml:space="preserve">* El total de Reactivos NO DEBE ser superior al total de Procesados. </v>
      </c>
      <c r="CC58" s="2077" t="e">
        <f t="shared" si="108"/>
        <v>#VALUE!</v>
      </c>
      <c r="CD58" s="2077" t="e">
        <f t="shared" si="109"/>
        <v>#VALUE!</v>
      </c>
      <c r="CE58" s="2077" t="str">
        <f t="shared" si="110"/>
        <v xml:space="preserve">* La columna Pueblos Originarios NO DEBE ser superior al total de Procesados. </v>
      </c>
      <c r="CF58" s="2077" t="str">
        <f t="shared" si="111"/>
        <v xml:space="preserve">* La columna Migrantes NO DEBE ser superior al total de Procesados. </v>
      </c>
      <c r="CG58" s="2077" t="str">
        <f t="shared" si="139"/>
        <v>* El total de procesados debe ser mayor o igual al total de Reactivos en el grupo de edad Menor de 6 meses</v>
      </c>
      <c r="CH58" s="2077" t="str">
        <f t="shared" si="140"/>
        <v>* El total de procesados debe ser mayor o igual al total de Reactivos en el grupo de edad 6 a 11 meses</v>
      </c>
      <c r="CI58" s="2077" t="str">
        <f t="shared" si="141"/>
        <v>* El total de procesados debe ser mayor o igual al total de Reactivos en el grupo de edad 12-24 meses</v>
      </c>
      <c r="CJ58" s="2077" t="str">
        <f t="shared" si="142"/>
        <v>* El total de procesados debe ser mayor o igual al total de Reactivos en el grupo de edad 3 a 4</v>
      </c>
      <c r="CK58" s="2077" t="str">
        <f t="shared" si="143"/>
        <v>* El total de procesados debe ser mayor o igual al total de Reactivos en el grupo de edad 5 a 9</v>
      </c>
      <c r="CL58" s="2077" t="str">
        <f t="shared" si="144"/>
        <v>* El total de procesados debe ser mayor o igual al total de Reactivos en el grupo de edad 10 - 14</v>
      </c>
      <c r="CM58" s="2077" t="str">
        <f t="shared" si="145"/>
        <v>* El total de procesados debe ser mayor o igual al total de Reactivos en el grupo de edad 15 - 19</v>
      </c>
      <c r="CN58" s="2077" t="str">
        <f t="shared" si="146"/>
        <v>* El total de procesados debe ser mayor o igual al total de Reactivos en el grupo de edad 20 - 24</v>
      </c>
      <c r="CO58" s="2077" t="str">
        <f t="shared" si="147"/>
        <v>* El total de procesados debe ser mayor o igual al total de Reactivos en el grupo de edad 25 a 29</v>
      </c>
      <c r="CP58" s="2077" t="str">
        <f t="shared" si="148"/>
        <v>* El total de procesados debe ser mayor o igual al total de Reactivos en el grupo de edad 30 a 34</v>
      </c>
      <c r="CQ58" s="2077" t="str">
        <f t="shared" si="149"/>
        <v>* El total de procesados debe ser mayor o igual al total de Reactivos en el grupo de edad 35 a 39</v>
      </c>
      <c r="CR58" s="2077" t="str">
        <f t="shared" si="150"/>
        <v>* El total de procesados debe ser mayor o igual al total de Reactivos en el grupo de edad 40 a 44</v>
      </c>
      <c r="CS58" s="2077" t="str">
        <f t="shared" si="151"/>
        <v>* El total de procesados debe ser mayor o igual al total de Reactivos en el grupo de edad 45 a 49</v>
      </c>
      <c r="CT58" s="2077" t="str">
        <f t="shared" si="152"/>
        <v>* El total de procesados debe ser mayor o igual al total de Reactivos en el grupo de edad 50 a 54</v>
      </c>
      <c r="CU58" s="2077" t="str">
        <f t="shared" si="153"/>
        <v>* El total de procesados debe ser mayor o igual al total de Reactivos en el grupo de edad 55 a 59</v>
      </c>
      <c r="CV58" s="2077" t="str">
        <f t="shared" si="154"/>
        <v>* El total de procesados debe ser mayor o igual al total de Reactivos en el grupo de edad 60 a 64</v>
      </c>
      <c r="CW58" s="2077" t="str">
        <f t="shared" si="155"/>
        <v>* El total de procesados debe ser mayor o igual al total de Reactivos en el grupo de edad 65 a 69</v>
      </c>
      <c r="CX58" s="2077" t="str">
        <f t="shared" si="156"/>
        <v>* El total de procesados debe ser mayor o igual al total de Reactivos en el grupo de edad 70 a 74</v>
      </c>
      <c r="CY58" s="2077" t="str">
        <f t="shared" si="157"/>
        <v>* El total de procesados debe ser mayor o igual al total de Reactivos en el grupo de edad 75 a 79</v>
      </c>
      <c r="CZ58" s="2077" t="str">
        <f t="shared" si="158"/>
        <v>* El total de procesados debe ser mayor o igual al total de Reactivos en el grupo de edad 80 y más</v>
      </c>
      <c r="DA58" s="2077" t="str">
        <f t="shared" si="112"/>
        <v/>
      </c>
      <c r="DB58" s="1363">
        <f t="shared" si="113"/>
        <v>1</v>
      </c>
      <c r="DC58" s="1363" t="e">
        <f t="shared" si="114"/>
        <v>#VALUE!</v>
      </c>
      <c r="DD58" s="1363" t="e">
        <f t="shared" si="115"/>
        <v>#VALUE!</v>
      </c>
      <c r="DE58" s="1363">
        <f t="shared" si="116"/>
        <v>1</v>
      </c>
      <c r="DF58" s="1363">
        <f t="shared" si="117"/>
        <v>1</v>
      </c>
      <c r="DG58" s="1363">
        <f t="shared" si="118"/>
        <v>1</v>
      </c>
      <c r="DH58" s="1363">
        <f t="shared" si="119"/>
        <v>1</v>
      </c>
      <c r="DI58" s="1363">
        <f t="shared" si="120"/>
        <v>1</v>
      </c>
      <c r="DJ58" s="1363">
        <f t="shared" si="121"/>
        <v>1</v>
      </c>
      <c r="DK58" s="1363">
        <f t="shared" si="122"/>
        <v>1</v>
      </c>
      <c r="DL58" s="1363">
        <f t="shared" si="123"/>
        <v>1</v>
      </c>
      <c r="DM58" s="1363">
        <f t="shared" si="124"/>
        <v>1</v>
      </c>
      <c r="DN58" s="1363">
        <f t="shared" si="125"/>
        <v>1</v>
      </c>
      <c r="DO58" s="1363">
        <f t="shared" si="126"/>
        <v>1</v>
      </c>
      <c r="DP58" s="1363">
        <f t="shared" si="127"/>
        <v>1</v>
      </c>
      <c r="DQ58" s="1363">
        <f t="shared" si="128"/>
        <v>1</v>
      </c>
      <c r="DR58" s="1363">
        <f t="shared" si="129"/>
        <v>1</v>
      </c>
      <c r="DS58" s="1363">
        <f t="shared" si="130"/>
        <v>1</v>
      </c>
      <c r="DT58" s="1363">
        <f t="shared" si="131"/>
        <v>1</v>
      </c>
      <c r="DU58" s="1363">
        <f t="shared" si="132"/>
        <v>1</v>
      </c>
      <c r="DV58" s="1363">
        <f t="shared" si="133"/>
        <v>1</v>
      </c>
      <c r="DW58" s="1363">
        <f t="shared" si="134"/>
        <v>1</v>
      </c>
      <c r="DX58" s="1363">
        <f t="shared" si="135"/>
        <v>1</v>
      </c>
      <c r="DY58" s="1363">
        <f t="shared" si="136"/>
        <v>1</v>
      </c>
      <c r="DZ58" s="1363">
        <f t="shared" si="137"/>
        <v>1</v>
      </c>
      <c r="EA58" s="1363">
        <f t="shared" si="138"/>
        <v>0</v>
      </c>
    </row>
    <row r="59" spans="1:131" ht="16.350000000000001" customHeight="1" x14ac:dyDescent="0.25">
      <c r="A59" s="2458">
        <v>11056403</v>
      </c>
      <c r="B59" s="107" t="s">
        <v>2262</v>
      </c>
      <c r="C59" s="707" t="s">
        <v>2777</v>
      </c>
      <c r="D59" s="281" t="s">
        <v>2778</v>
      </c>
      <c r="E59" s="161" t="s">
        <v>2779</v>
      </c>
      <c r="F59" s="145" t="s">
        <v>2780</v>
      </c>
      <c r="G59" s="173" t="s">
        <v>2781</v>
      </c>
      <c r="H59" s="145" t="s">
        <v>2782</v>
      </c>
      <c r="I59" s="173" t="s">
        <v>2783</v>
      </c>
      <c r="J59" s="145" t="s">
        <v>2784</v>
      </c>
      <c r="K59" s="173" t="s">
        <v>2785</v>
      </c>
      <c r="L59" s="145" t="s">
        <v>2786</v>
      </c>
      <c r="M59" s="173" t="s">
        <v>2787</v>
      </c>
      <c r="N59" s="162" t="s">
        <v>2788</v>
      </c>
      <c r="O59" s="180" t="s">
        <v>2789</v>
      </c>
      <c r="P59" s="142" t="s">
        <v>2790</v>
      </c>
      <c r="Q59" s="141" t="s">
        <v>2791</v>
      </c>
      <c r="R59" s="142" t="s">
        <v>2792</v>
      </c>
      <c r="S59" s="141" t="s">
        <v>2793</v>
      </c>
      <c r="T59" s="142" t="s">
        <v>2794</v>
      </c>
      <c r="U59" s="141" t="s">
        <v>2795</v>
      </c>
      <c r="V59" s="142" t="s">
        <v>2796</v>
      </c>
      <c r="W59" s="141" t="s">
        <v>2797</v>
      </c>
      <c r="X59" s="142" t="s">
        <v>2798</v>
      </c>
      <c r="Y59" s="141" t="s">
        <v>2799</v>
      </c>
      <c r="Z59" s="142" t="s">
        <v>2800</v>
      </c>
      <c r="AA59" s="141" t="s">
        <v>2801</v>
      </c>
      <c r="AB59" s="142" t="s">
        <v>2817</v>
      </c>
      <c r="AC59" s="141" t="s">
        <v>2818</v>
      </c>
      <c r="AD59" s="142" t="s">
        <v>2819</v>
      </c>
      <c r="AE59" s="141" t="s">
        <v>2821</v>
      </c>
      <c r="AF59" s="142" t="s">
        <v>2822</v>
      </c>
      <c r="AG59" s="141" t="s">
        <v>2823</v>
      </c>
      <c r="AH59" s="142" t="s">
        <v>2824</v>
      </c>
      <c r="AI59" s="141" t="s">
        <v>2825</v>
      </c>
      <c r="AJ59" s="142" t="s">
        <v>2826</v>
      </c>
      <c r="AK59" s="141" t="s">
        <v>2827</v>
      </c>
      <c r="AL59" s="142" t="s">
        <v>2831</v>
      </c>
      <c r="AM59" s="141" t="s">
        <v>2832</v>
      </c>
      <c r="AN59" s="142" t="s">
        <v>2833</v>
      </c>
      <c r="AO59" s="141" t="s">
        <v>2834</v>
      </c>
      <c r="AP59" s="142" t="s">
        <v>3011</v>
      </c>
      <c r="AQ59" s="141" t="s">
        <v>3012</v>
      </c>
      <c r="AR59" s="318" t="s">
        <v>3013</v>
      </c>
      <c r="AS59" s="1703" t="s">
        <v>3014</v>
      </c>
      <c r="AT59" s="318" t="s">
        <v>3015</v>
      </c>
      <c r="AU59" s="180" t="s">
        <v>3206</v>
      </c>
      <c r="AV59" s="142" t="s">
        <v>3207</v>
      </c>
      <c r="AW59" s="141" t="s">
        <v>3272</v>
      </c>
      <c r="AX59" s="163" t="s">
        <v>3273</v>
      </c>
      <c r="AY59" s="1079" t="e">
        <f t="shared" si="106"/>
        <v>#VALUE!</v>
      </c>
      <c r="AZ59" s="1079"/>
      <c r="BA59" s="1079"/>
      <c r="BB59" s="1079"/>
      <c r="BC59" s="1079"/>
      <c r="BD59" s="1079"/>
      <c r="BE59" s="1079"/>
      <c r="BF59" s="1079"/>
      <c r="BG59" s="1079"/>
      <c r="BH59" s="1079"/>
      <c r="BI59" s="1079"/>
      <c r="BJ59" s="884"/>
      <c r="BK59" s="884"/>
      <c r="BL59" s="884"/>
      <c r="BM59" s="884"/>
      <c r="BV59" s="884"/>
      <c r="BX59" s="885"/>
      <c r="CB59" s="2077" t="str">
        <f t="shared" si="107"/>
        <v xml:space="preserve">* El total de Reactivos NO DEBE ser superior al total de Procesados. </v>
      </c>
      <c r="CC59" s="2077" t="e">
        <f t="shared" si="108"/>
        <v>#VALUE!</v>
      </c>
      <c r="CD59" s="2077" t="e">
        <f t="shared" si="109"/>
        <v>#VALUE!</v>
      </c>
      <c r="CE59" s="2077" t="str">
        <f t="shared" si="110"/>
        <v xml:space="preserve">* La columna Pueblos Originarios NO DEBE ser superior al total de Procesados. </v>
      </c>
      <c r="CF59" s="2077" t="str">
        <f t="shared" si="111"/>
        <v xml:space="preserve">* La columna Migrantes NO DEBE ser superior al total de Procesados. </v>
      </c>
      <c r="CG59" s="2077" t="str">
        <f t="shared" si="139"/>
        <v>* El total de procesados debe ser mayor o igual al total de Reactivos en el grupo de edad Menor de 6 meses</v>
      </c>
      <c r="CH59" s="2077" t="str">
        <f t="shared" si="140"/>
        <v>* El total de procesados debe ser mayor o igual al total de Reactivos en el grupo de edad 6 a 11 meses</v>
      </c>
      <c r="CI59" s="2077" t="str">
        <f t="shared" si="141"/>
        <v>* El total de procesados debe ser mayor o igual al total de Reactivos en el grupo de edad 12-24 meses</v>
      </c>
      <c r="CJ59" s="2077" t="str">
        <f t="shared" si="142"/>
        <v>* El total de procesados debe ser mayor o igual al total de Reactivos en el grupo de edad 3 a 4</v>
      </c>
      <c r="CK59" s="2077" t="str">
        <f t="shared" si="143"/>
        <v>* El total de procesados debe ser mayor o igual al total de Reactivos en el grupo de edad 5 a 9</v>
      </c>
      <c r="CL59" s="2077" t="str">
        <f t="shared" si="144"/>
        <v>* El total de procesados debe ser mayor o igual al total de Reactivos en el grupo de edad 10 - 14</v>
      </c>
      <c r="CM59" s="2077" t="str">
        <f t="shared" si="145"/>
        <v>* El total de procesados debe ser mayor o igual al total de Reactivos en el grupo de edad 15 - 19</v>
      </c>
      <c r="CN59" s="2077" t="str">
        <f t="shared" si="146"/>
        <v>* El total de procesados debe ser mayor o igual al total de Reactivos en el grupo de edad 20 - 24</v>
      </c>
      <c r="CO59" s="2077" t="str">
        <f t="shared" si="147"/>
        <v>* El total de procesados debe ser mayor o igual al total de Reactivos en el grupo de edad 25 a 29</v>
      </c>
      <c r="CP59" s="2077" t="str">
        <f t="shared" si="148"/>
        <v>* El total de procesados debe ser mayor o igual al total de Reactivos en el grupo de edad 30 a 34</v>
      </c>
      <c r="CQ59" s="2077" t="str">
        <f t="shared" si="149"/>
        <v>* El total de procesados debe ser mayor o igual al total de Reactivos en el grupo de edad 35 a 39</v>
      </c>
      <c r="CR59" s="2077" t="str">
        <f t="shared" si="150"/>
        <v>* El total de procesados debe ser mayor o igual al total de Reactivos en el grupo de edad 40 a 44</v>
      </c>
      <c r="CS59" s="2077" t="str">
        <f t="shared" si="151"/>
        <v>* El total de procesados debe ser mayor o igual al total de Reactivos en el grupo de edad 45 a 49</v>
      </c>
      <c r="CT59" s="2077" t="str">
        <f t="shared" si="152"/>
        <v>* El total de procesados debe ser mayor o igual al total de Reactivos en el grupo de edad 50 a 54</v>
      </c>
      <c r="CU59" s="2077" t="str">
        <f t="shared" si="153"/>
        <v>* El total de procesados debe ser mayor o igual al total de Reactivos en el grupo de edad 55 a 59</v>
      </c>
      <c r="CV59" s="2077" t="str">
        <f t="shared" si="154"/>
        <v>* El total de procesados debe ser mayor o igual al total de Reactivos en el grupo de edad 60 a 64</v>
      </c>
      <c r="CW59" s="2077" t="str">
        <f t="shared" si="155"/>
        <v>* El total de procesados debe ser mayor o igual al total de Reactivos en el grupo de edad 65 a 69</v>
      </c>
      <c r="CX59" s="2077" t="str">
        <f t="shared" si="156"/>
        <v>* El total de procesados debe ser mayor o igual al total de Reactivos en el grupo de edad 70 a 74</v>
      </c>
      <c r="CY59" s="2077" t="str">
        <f t="shared" si="157"/>
        <v>* El total de procesados debe ser mayor o igual al total de Reactivos en el grupo de edad 75 a 79</v>
      </c>
      <c r="CZ59" s="2077" t="str">
        <f t="shared" si="158"/>
        <v>* El total de procesados debe ser mayor o igual al total de Reactivos en el grupo de edad 80 y más</v>
      </c>
      <c r="DA59" s="2077" t="str">
        <f t="shared" si="112"/>
        <v/>
      </c>
      <c r="DB59" s="1363">
        <f t="shared" si="113"/>
        <v>1</v>
      </c>
      <c r="DC59" s="1363" t="e">
        <f t="shared" si="114"/>
        <v>#VALUE!</v>
      </c>
      <c r="DD59" s="1363" t="e">
        <f t="shared" si="115"/>
        <v>#VALUE!</v>
      </c>
      <c r="DE59" s="1363">
        <f t="shared" si="116"/>
        <v>1</v>
      </c>
      <c r="DF59" s="1363">
        <f t="shared" si="117"/>
        <v>1</v>
      </c>
      <c r="DG59" s="1363">
        <f t="shared" si="118"/>
        <v>1</v>
      </c>
      <c r="DH59" s="1363">
        <f t="shared" si="119"/>
        <v>1</v>
      </c>
      <c r="DI59" s="1363">
        <f t="shared" si="120"/>
        <v>1</v>
      </c>
      <c r="DJ59" s="1363">
        <f t="shared" si="121"/>
        <v>1</v>
      </c>
      <c r="DK59" s="1363">
        <f t="shared" si="122"/>
        <v>1</v>
      </c>
      <c r="DL59" s="1363">
        <f t="shared" si="123"/>
        <v>1</v>
      </c>
      <c r="DM59" s="1363">
        <f t="shared" si="124"/>
        <v>1</v>
      </c>
      <c r="DN59" s="1363">
        <f t="shared" si="125"/>
        <v>1</v>
      </c>
      <c r="DO59" s="1363">
        <f t="shared" si="126"/>
        <v>1</v>
      </c>
      <c r="DP59" s="1363">
        <f t="shared" si="127"/>
        <v>1</v>
      </c>
      <c r="DQ59" s="1363">
        <f t="shared" si="128"/>
        <v>1</v>
      </c>
      <c r="DR59" s="1363">
        <f t="shared" si="129"/>
        <v>1</v>
      </c>
      <c r="DS59" s="1363">
        <f t="shared" si="130"/>
        <v>1</v>
      </c>
      <c r="DT59" s="1363">
        <f t="shared" si="131"/>
        <v>1</v>
      </c>
      <c r="DU59" s="1363">
        <f t="shared" si="132"/>
        <v>1</v>
      </c>
      <c r="DV59" s="1363">
        <f t="shared" si="133"/>
        <v>1</v>
      </c>
      <c r="DW59" s="1363">
        <f t="shared" si="134"/>
        <v>1</v>
      </c>
      <c r="DX59" s="1363">
        <f t="shared" si="135"/>
        <v>1</v>
      </c>
      <c r="DY59" s="1363">
        <f t="shared" si="136"/>
        <v>1</v>
      </c>
      <c r="DZ59" s="1363">
        <f t="shared" si="137"/>
        <v>1</v>
      </c>
      <c r="EA59" s="1363">
        <f t="shared" si="138"/>
        <v>0</v>
      </c>
    </row>
    <row r="60" spans="1:131" ht="16.350000000000001" customHeight="1" x14ac:dyDescent="0.25">
      <c r="A60" s="2458">
        <v>11056404</v>
      </c>
      <c r="B60" s="371" t="s">
        <v>2263</v>
      </c>
      <c r="C60" s="707" t="s">
        <v>2777</v>
      </c>
      <c r="D60" s="281" t="s">
        <v>2778</v>
      </c>
      <c r="E60" s="161" t="s">
        <v>2779</v>
      </c>
      <c r="F60" s="145" t="s">
        <v>2780</v>
      </c>
      <c r="G60" s="173" t="s">
        <v>2781</v>
      </c>
      <c r="H60" s="145" t="s">
        <v>2782</v>
      </c>
      <c r="I60" s="173" t="s">
        <v>2783</v>
      </c>
      <c r="J60" s="145" t="s">
        <v>2784</v>
      </c>
      <c r="K60" s="173" t="s">
        <v>2785</v>
      </c>
      <c r="L60" s="145" t="s">
        <v>2786</v>
      </c>
      <c r="M60" s="173" t="s">
        <v>2787</v>
      </c>
      <c r="N60" s="162" t="s">
        <v>2788</v>
      </c>
      <c r="O60" s="180" t="s">
        <v>2789</v>
      </c>
      <c r="P60" s="142" t="s">
        <v>2790</v>
      </c>
      <c r="Q60" s="141" t="s">
        <v>2791</v>
      </c>
      <c r="R60" s="142" t="s">
        <v>2792</v>
      </c>
      <c r="S60" s="141" t="s">
        <v>2793</v>
      </c>
      <c r="T60" s="142" t="s">
        <v>2794</v>
      </c>
      <c r="U60" s="141" t="s">
        <v>2795</v>
      </c>
      <c r="V60" s="142" t="s">
        <v>2796</v>
      </c>
      <c r="W60" s="141" t="s">
        <v>2797</v>
      </c>
      <c r="X60" s="142" t="s">
        <v>2798</v>
      </c>
      <c r="Y60" s="141" t="s">
        <v>2799</v>
      </c>
      <c r="Z60" s="142" t="s">
        <v>2800</v>
      </c>
      <c r="AA60" s="141" t="s">
        <v>2801</v>
      </c>
      <c r="AB60" s="142" t="s">
        <v>2817</v>
      </c>
      <c r="AC60" s="141" t="s">
        <v>2818</v>
      </c>
      <c r="AD60" s="142" t="s">
        <v>2819</v>
      </c>
      <c r="AE60" s="141" t="s">
        <v>2821</v>
      </c>
      <c r="AF60" s="142" t="s">
        <v>2822</v>
      </c>
      <c r="AG60" s="141" t="s">
        <v>2823</v>
      </c>
      <c r="AH60" s="142" t="s">
        <v>2824</v>
      </c>
      <c r="AI60" s="141" t="s">
        <v>2825</v>
      </c>
      <c r="AJ60" s="142" t="s">
        <v>2826</v>
      </c>
      <c r="AK60" s="141" t="s">
        <v>2827</v>
      </c>
      <c r="AL60" s="142" t="s">
        <v>2831</v>
      </c>
      <c r="AM60" s="141" t="s">
        <v>2832</v>
      </c>
      <c r="AN60" s="142" t="s">
        <v>2833</v>
      </c>
      <c r="AO60" s="141" t="s">
        <v>2834</v>
      </c>
      <c r="AP60" s="142" t="s">
        <v>3011</v>
      </c>
      <c r="AQ60" s="141" t="s">
        <v>3012</v>
      </c>
      <c r="AR60" s="318" t="s">
        <v>3013</v>
      </c>
      <c r="AS60" s="1703" t="s">
        <v>3014</v>
      </c>
      <c r="AT60" s="318" t="s">
        <v>3015</v>
      </c>
      <c r="AU60" s="180" t="s">
        <v>3206</v>
      </c>
      <c r="AV60" s="142" t="s">
        <v>3207</v>
      </c>
      <c r="AW60" s="141" t="s">
        <v>3272</v>
      </c>
      <c r="AX60" s="163" t="s">
        <v>3273</v>
      </c>
      <c r="AY60" s="1079" t="e">
        <f t="shared" si="106"/>
        <v>#VALUE!</v>
      </c>
      <c r="AZ60" s="1079"/>
      <c r="BA60" s="1079"/>
      <c r="BB60" s="1079"/>
      <c r="BC60" s="1079"/>
      <c r="BD60" s="1079"/>
      <c r="BE60" s="1079"/>
      <c r="BF60" s="1079"/>
      <c r="BG60" s="1079"/>
      <c r="BH60" s="1079"/>
      <c r="BI60" s="1079"/>
      <c r="BJ60" s="884"/>
      <c r="BK60" s="884"/>
      <c r="BL60" s="884"/>
      <c r="BM60" s="884"/>
      <c r="BV60" s="884"/>
      <c r="BX60" s="885"/>
      <c r="CB60" s="2077" t="str">
        <f t="shared" si="107"/>
        <v xml:space="preserve">* El total de Reactivos NO DEBE ser superior al total de Procesados. </v>
      </c>
      <c r="CC60" s="2077" t="e">
        <f t="shared" si="108"/>
        <v>#VALUE!</v>
      </c>
      <c r="CD60" s="2077" t="e">
        <f t="shared" si="109"/>
        <v>#VALUE!</v>
      </c>
      <c r="CE60" s="2077" t="str">
        <f t="shared" si="110"/>
        <v xml:space="preserve">* La columna Pueblos Originarios NO DEBE ser superior al total de Procesados. </v>
      </c>
      <c r="CF60" s="2077" t="str">
        <f t="shared" si="111"/>
        <v xml:space="preserve">* La columna Migrantes NO DEBE ser superior al total de Procesados. </v>
      </c>
      <c r="CG60" s="2077" t="str">
        <f t="shared" si="139"/>
        <v>* El total de procesados debe ser mayor o igual al total de Reactivos en el grupo de edad Menor de 6 meses</v>
      </c>
      <c r="CH60" s="2077" t="str">
        <f t="shared" si="140"/>
        <v>* El total de procesados debe ser mayor o igual al total de Reactivos en el grupo de edad 6 a 11 meses</v>
      </c>
      <c r="CI60" s="2077" t="str">
        <f t="shared" si="141"/>
        <v>* El total de procesados debe ser mayor o igual al total de Reactivos en el grupo de edad 12-24 meses</v>
      </c>
      <c r="CJ60" s="2077" t="str">
        <f t="shared" si="142"/>
        <v>* El total de procesados debe ser mayor o igual al total de Reactivos en el grupo de edad 3 a 4</v>
      </c>
      <c r="CK60" s="2077" t="str">
        <f t="shared" si="143"/>
        <v>* El total de procesados debe ser mayor o igual al total de Reactivos en el grupo de edad 5 a 9</v>
      </c>
      <c r="CL60" s="2077" t="str">
        <f t="shared" si="144"/>
        <v>* El total de procesados debe ser mayor o igual al total de Reactivos en el grupo de edad 10 - 14</v>
      </c>
      <c r="CM60" s="2077" t="str">
        <f t="shared" si="145"/>
        <v>* El total de procesados debe ser mayor o igual al total de Reactivos en el grupo de edad 15 - 19</v>
      </c>
      <c r="CN60" s="2077" t="str">
        <f t="shared" si="146"/>
        <v>* El total de procesados debe ser mayor o igual al total de Reactivos en el grupo de edad 20 - 24</v>
      </c>
      <c r="CO60" s="2077" t="str">
        <f t="shared" si="147"/>
        <v>* El total de procesados debe ser mayor o igual al total de Reactivos en el grupo de edad 25 a 29</v>
      </c>
      <c r="CP60" s="2077" t="str">
        <f t="shared" si="148"/>
        <v>* El total de procesados debe ser mayor o igual al total de Reactivos en el grupo de edad 30 a 34</v>
      </c>
      <c r="CQ60" s="2077" t="str">
        <f t="shared" si="149"/>
        <v>* El total de procesados debe ser mayor o igual al total de Reactivos en el grupo de edad 35 a 39</v>
      </c>
      <c r="CR60" s="2077" t="str">
        <f t="shared" si="150"/>
        <v>* El total de procesados debe ser mayor o igual al total de Reactivos en el grupo de edad 40 a 44</v>
      </c>
      <c r="CS60" s="2077" t="str">
        <f t="shared" si="151"/>
        <v>* El total de procesados debe ser mayor o igual al total de Reactivos en el grupo de edad 45 a 49</v>
      </c>
      <c r="CT60" s="2077" t="str">
        <f t="shared" si="152"/>
        <v>* El total de procesados debe ser mayor o igual al total de Reactivos en el grupo de edad 50 a 54</v>
      </c>
      <c r="CU60" s="2077" t="str">
        <f t="shared" si="153"/>
        <v>* El total de procesados debe ser mayor o igual al total de Reactivos en el grupo de edad 55 a 59</v>
      </c>
      <c r="CV60" s="2077" t="str">
        <f t="shared" si="154"/>
        <v>* El total de procesados debe ser mayor o igual al total de Reactivos en el grupo de edad 60 a 64</v>
      </c>
      <c r="CW60" s="2077" t="str">
        <f t="shared" si="155"/>
        <v>* El total de procesados debe ser mayor o igual al total de Reactivos en el grupo de edad 65 a 69</v>
      </c>
      <c r="CX60" s="2077" t="str">
        <f t="shared" si="156"/>
        <v>* El total de procesados debe ser mayor o igual al total de Reactivos en el grupo de edad 70 a 74</v>
      </c>
      <c r="CY60" s="2077" t="str">
        <f t="shared" si="157"/>
        <v>* El total de procesados debe ser mayor o igual al total de Reactivos en el grupo de edad 75 a 79</v>
      </c>
      <c r="CZ60" s="2077" t="str">
        <f t="shared" si="158"/>
        <v>* El total de procesados debe ser mayor o igual al total de Reactivos en el grupo de edad 80 y más</v>
      </c>
      <c r="DA60" s="2077" t="str">
        <f t="shared" si="112"/>
        <v/>
      </c>
      <c r="DB60" s="1363">
        <f t="shared" si="113"/>
        <v>1</v>
      </c>
      <c r="DC60" s="1363" t="e">
        <f t="shared" si="114"/>
        <v>#VALUE!</v>
      </c>
      <c r="DD60" s="1363" t="e">
        <f t="shared" si="115"/>
        <v>#VALUE!</v>
      </c>
      <c r="DE60" s="1363">
        <f t="shared" si="116"/>
        <v>1</v>
      </c>
      <c r="DF60" s="1363">
        <f t="shared" si="117"/>
        <v>1</v>
      </c>
      <c r="DG60" s="1363">
        <f t="shared" si="118"/>
        <v>1</v>
      </c>
      <c r="DH60" s="1363">
        <f t="shared" si="119"/>
        <v>1</v>
      </c>
      <c r="DI60" s="1363">
        <f t="shared" si="120"/>
        <v>1</v>
      </c>
      <c r="DJ60" s="1363">
        <f t="shared" si="121"/>
        <v>1</v>
      </c>
      <c r="DK60" s="1363">
        <f t="shared" si="122"/>
        <v>1</v>
      </c>
      <c r="DL60" s="1363">
        <f t="shared" si="123"/>
        <v>1</v>
      </c>
      <c r="DM60" s="1363">
        <f t="shared" si="124"/>
        <v>1</v>
      </c>
      <c r="DN60" s="1363">
        <f t="shared" si="125"/>
        <v>1</v>
      </c>
      <c r="DO60" s="1363">
        <f t="shared" si="126"/>
        <v>1</v>
      </c>
      <c r="DP60" s="1363">
        <f t="shared" si="127"/>
        <v>1</v>
      </c>
      <c r="DQ60" s="1363">
        <f t="shared" si="128"/>
        <v>1</v>
      </c>
      <c r="DR60" s="1363">
        <f t="shared" si="129"/>
        <v>1</v>
      </c>
      <c r="DS60" s="1363">
        <f t="shared" si="130"/>
        <v>1</v>
      </c>
      <c r="DT60" s="1363">
        <f t="shared" si="131"/>
        <v>1</v>
      </c>
      <c r="DU60" s="1363">
        <f t="shared" si="132"/>
        <v>1</v>
      </c>
      <c r="DV60" s="1363">
        <f t="shared" si="133"/>
        <v>1</v>
      </c>
      <c r="DW60" s="1363">
        <f t="shared" si="134"/>
        <v>1</v>
      </c>
      <c r="DX60" s="1363">
        <f t="shared" si="135"/>
        <v>1</v>
      </c>
      <c r="DY60" s="1363">
        <f t="shared" si="136"/>
        <v>1</v>
      </c>
      <c r="DZ60" s="1363">
        <f t="shared" si="137"/>
        <v>1</v>
      </c>
      <c r="EA60" s="1363">
        <f t="shared" si="138"/>
        <v>0</v>
      </c>
    </row>
    <row r="61" spans="1:131" ht="15.95" customHeight="1" x14ac:dyDescent="0.25">
      <c r="A61" s="2458">
        <v>11056405</v>
      </c>
      <c r="B61" s="371" t="s">
        <v>2264</v>
      </c>
      <c r="C61" s="707" t="s">
        <v>2777</v>
      </c>
      <c r="D61" s="281" t="s">
        <v>2778</v>
      </c>
      <c r="E61" s="161" t="s">
        <v>2779</v>
      </c>
      <c r="F61" s="145" t="s">
        <v>2780</v>
      </c>
      <c r="G61" s="173" t="s">
        <v>2781</v>
      </c>
      <c r="H61" s="145" t="s">
        <v>2782</v>
      </c>
      <c r="I61" s="173" t="s">
        <v>2783</v>
      </c>
      <c r="J61" s="145" t="s">
        <v>2784</v>
      </c>
      <c r="K61" s="173" t="s">
        <v>2785</v>
      </c>
      <c r="L61" s="145" t="s">
        <v>2786</v>
      </c>
      <c r="M61" s="173" t="s">
        <v>2787</v>
      </c>
      <c r="N61" s="162" t="s">
        <v>2788</v>
      </c>
      <c r="O61" s="180" t="s">
        <v>2789</v>
      </c>
      <c r="P61" s="142" t="s">
        <v>2790</v>
      </c>
      <c r="Q61" s="141" t="s">
        <v>2791</v>
      </c>
      <c r="R61" s="142" t="s">
        <v>2792</v>
      </c>
      <c r="S61" s="141" t="s">
        <v>2793</v>
      </c>
      <c r="T61" s="142" t="s">
        <v>2794</v>
      </c>
      <c r="U61" s="141" t="s">
        <v>2795</v>
      </c>
      <c r="V61" s="142" t="s">
        <v>2796</v>
      </c>
      <c r="W61" s="141" t="s">
        <v>2797</v>
      </c>
      <c r="X61" s="142" t="s">
        <v>2798</v>
      </c>
      <c r="Y61" s="141" t="s">
        <v>2799</v>
      </c>
      <c r="Z61" s="142" t="s">
        <v>2800</v>
      </c>
      <c r="AA61" s="141" t="s">
        <v>2801</v>
      </c>
      <c r="AB61" s="142" t="s">
        <v>2817</v>
      </c>
      <c r="AC61" s="141" t="s">
        <v>2818</v>
      </c>
      <c r="AD61" s="142" t="s">
        <v>2819</v>
      </c>
      <c r="AE61" s="141" t="s">
        <v>2821</v>
      </c>
      <c r="AF61" s="142" t="s">
        <v>2822</v>
      </c>
      <c r="AG61" s="141" t="s">
        <v>2823</v>
      </c>
      <c r="AH61" s="142" t="s">
        <v>2824</v>
      </c>
      <c r="AI61" s="141" t="s">
        <v>2825</v>
      </c>
      <c r="AJ61" s="142" t="s">
        <v>2826</v>
      </c>
      <c r="AK61" s="141" t="s">
        <v>2827</v>
      </c>
      <c r="AL61" s="142" t="s">
        <v>2831</v>
      </c>
      <c r="AM61" s="141" t="s">
        <v>2832</v>
      </c>
      <c r="AN61" s="142" t="s">
        <v>2833</v>
      </c>
      <c r="AO61" s="141" t="s">
        <v>2834</v>
      </c>
      <c r="AP61" s="142" t="s">
        <v>3011</v>
      </c>
      <c r="AQ61" s="141" t="s">
        <v>3012</v>
      </c>
      <c r="AR61" s="318" t="s">
        <v>3013</v>
      </c>
      <c r="AS61" s="180" t="s">
        <v>3014</v>
      </c>
      <c r="AT61" s="318" t="s">
        <v>3015</v>
      </c>
      <c r="AU61" s="180" t="s">
        <v>3206</v>
      </c>
      <c r="AV61" s="142" t="s">
        <v>3207</v>
      </c>
      <c r="AW61" s="141" t="s">
        <v>3272</v>
      </c>
      <c r="AX61" s="163" t="s">
        <v>3273</v>
      </c>
      <c r="AY61" s="1079" t="e">
        <f t="shared" si="106"/>
        <v>#VALUE!</v>
      </c>
      <c r="AZ61" s="1079"/>
      <c r="BA61" s="1079"/>
      <c r="BB61" s="1079"/>
      <c r="BC61" s="1079"/>
      <c r="BD61" s="1079"/>
      <c r="BE61" s="1079"/>
      <c r="BF61" s="1079"/>
      <c r="BG61" s="1079"/>
      <c r="BH61" s="1079"/>
      <c r="BI61" s="1079"/>
      <c r="BJ61" s="884"/>
      <c r="BK61" s="884"/>
      <c r="BL61" s="884"/>
      <c r="BM61" s="884"/>
      <c r="BV61" s="884"/>
      <c r="BX61" s="885"/>
      <c r="CB61" s="2077" t="str">
        <f t="shared" si="107"/>
        <v xml:space="preserve">* El total de Reactivos NO DEBE ser superior al total de Procesados. </v>
      </c>
      <c r="CC61" s="2077" t="e">
        <f t="shared" si="108"/>
        <v>#VALUE!</v>
      </c>
      <c r="CD61" s="2077" t="e">
        <f t="shared" si="109"/>
        <v>#VALUE!</v>
      </c>
      <c r="CE61" s="2077" t="str">
        <f t="shared" si="110"/>
        <v xml:space="preserve">* La columna Pueblos Originarios NO DEBE ser superior al total de Procesados. </v>
      </c>
      <c r="CF61" s="2077" t="str">
        <f t="shared" si="111"/>
        <v xml:space="preserve">* La columna Migrantes NO DEBE ser superior al total de Procesados. </v>
      </c>
      <c r="CG61" s="2077" t="str">
        <f t="shared" si="139"/>
        <v>* El total de procesados debe ser mayor o igual al total de Reactivos en el grupo de edad Menor de 6 meses</v>
      </c>
      <c r="CH61" s="2077" t="str">
        <f t="shared" si="140"/>
        <v>* El total de procesados debe ser mayor o igual al total de Reactivos en el grupo de edad 6 a 11 meses</v>
      </c>
      <c r="CI61" s="2077" t="str">
        <f t="shared" si="141"/>
        <v>* El total de procesados debe ser mayor o igual al total de Reactivos en el grupo de edad 12-24 meses</v>
      </c>
      <c r="CJ61" s="2077" t="str">
        <f t="shared" si="142"/>
        <v>* El total de procesados debe ser mayor o igual al total de Reactivos en el grupo de edad 3 a 4</v>
      </c>
      <c r="CK61" s="2077" t="str">
        <f t="shared" si="143"/>
        <v>* El total de procesados debe ser mayor o igual al total de Reactivos en el grupo de edad 5 a 9</v>
      </c>
      <c r="CL61" s="2077" t="str">
        <f t="shared" si="144"/>
        <v>* El total de procesados debe ser mayor o igual al total de Reactivos en el grupo de edad 10 - 14</v>
      </c>
      <c r="CM61" s="2077" t="str">
        <f t="shared" si="145"/>
        <v>* El total de procesados debe ser mayor o igual al total de Reactivos en el grupo de edad 15 - 19</v>
      </c>
      <c r="CN61" s="2077" t="str">
        <f t="shared" si="146"/>
        <v>* El total de procesados debe ser mayor o igual al total de Reactivos en el grupo de edad 20 - 24</v>
      </c>
      <c r="CO61" s="2077" t="str">
        <f t="shared" si="147"/>
        <v>* El total de procesados debe ser mayor o igual al total de Reactivos en el grupo de edad 25 a 29</v>
      </c>
      <c r="CP61" s="2077" t="str">
        <f t="shared" si="148"/>
        <v>* El total de procesados debe ser mayor o igual al total de Reactivos en el grupo de edad 30 a 34</v>
      </c>
      <c r="CQ61" s="2077" t="str">
        <f t="shared" si="149"/>
        <v>* El total de procesados debe ser mayor o igual al total de Reactivos en el grupo de edad 35 a 39</v>
      </c>
      <c r="CR61" s="2077" t="str">
        <f t="shared" si="150"/>
        <v>* El total de procesados debe ser mayor o igual al total de Reactivos en el grupo de edad 40 a 44</v>
      </c>
      <c r="CS61" s="2077" t="str">
        <f t="shared" si="151"/>
        <v>* El total de procesados debe ser mayor o igual al total de Reactivos en el grupo de edad 45 a 49</v>
      </c>
      <c r="CT61" s="2077" t="str">
        <f t="shared" si="152"/>
        <v>* El total de procesados debe ser mayor o igual al total de Reactivos en el grupo de edad 50 a 54</v>
      </c>
      <c r="CU61" s="2077" t="str">
        <f t="shared" si="153"/>
        <v>* El total de procesados debe ser mayor o igual al total de Reactivos en el grupo de edad 55 a 59</v>
      </c>
      <c r="CV61" s="2077" t="str">
        <f t="shared" si="154"/>
        <v>* El total de procesados debe ser mayor o igual al total de Reactivos en el grupo de edad 60 a 64</v>
      </c>
      <c r="CW61" s="2077" t="str">
        <f t="shared" si="155"/>
        <v>* El total de procesados debe ser mayor o igual al total de Reactivos en el grupo de edad 65 a 69</v>
      </c>
      <c r="CX61" s="2077" t="str">
        <f t="shared" si="156"/>
        <v>* El total de procesados debe ser mayor o igual al total de Reactivos en el grupo de edad 70 a 74</v>
      </c>
      <c r="CY61" s="2077" t="str">
        <f t="shared" si="157"/>
        <v>* El total de procesados debe ser mayor o igual al total de Reactivos en el grupo de edad 75 a 79</v>
      </c>
      <c r="CZ61" s="2077" t="str">
        <f t="shared" si="158"/>
        <v>* El total de procesados debe ser mayor o igual al total de Reactivos en el grupo de edad 80 y más</v>
      </c>
      <c r="DA61" s="2077" t="str">
        <f t="shared" si="112"/>
        <v/>
      </c>
      <c r="DB61" s="1363">
        <f t="shared" si="113"/>
        <v>1</v>
      </c>
      <c r="DC61" s="1363" t="e">
        <f t="shared" si="114"/>
        <v>#VALUE!</v>
      </c>
      <c r="DD61" s="1363" t="e">
        <f t="shared" si="115"/>
        <v>#VALUE!</v>
      </c>
      <c r="DE61" s="1363">
        <f t="shared" si="116"/>
        <v>1</v>
      </c>
      <c r="DF61" s="1363">
        <f t="shared" si="117"/>
        <v>1</v>
      </c>
      <c r="DG61" s="1363">
        <f t="shared" si="118"/>
        <v>1</v>
      </c>
      <c r="DH61" s="1363">
        <f t="shared" si="119"/>
        <v>1</v>
      </c>
      <c r="DI61" s="1363">
        <f t="shared" si="120"/>
        <v>1</v>
      </c>
      <c r="DJ61" s="1363">
        <f t="shared" si="121"/>
        <v>1</v>
      </c>
      <c r="DK61" s="1363">
        <f t="shared" si="122"/>
        <v>1</v>
      </c>
      <c r="DL61" s="1363">
        <f t="shared" si="123"/>
        <v>1</v>
      </c>
      <c r="DM61" s="1363">
        <f t="shared" si="124"/>
        <v>1</v>
      </c>
      <c r="DN61" s="1363">
        <f t="shared" si="125"/>
        <v>1</v>
      </c>
      <c r="DO61" s="1363">
        <f t="shared" si="126"/>
        <v>1</v>
      </c>
      <c r="DP61" s="1363">
        <f t="shared" si="127"/>
        <v>1</v>
      </c>
      <c r="DQ61" s="1363">
        <f t="shared" si="128"/>
        <v>1</v>
      </c>
      <c r="DR61" s="1363">
        <f t="shared" si="129"/>
        <v>1</v>
      </c>
      <c r="DS61" s="1363">
        <f t="shared" si="130"/>
        <v>1</v>
      </c>
      <c r="DT61" s="1363">
        <f t="shared" si="131"/>
        <v>1</v>
      </c>
      <c r="DU61" s="1363">
        <f t="shared" si="132"/>
        <v>1</v>
      </c>
      <c r="DV61" s="1363">
        <f t="shared" si="133"/>
        <v>1</v>
      </c>
      <c r="DW61" s="1363">
        <f t="shared" si="134"/>
        <v>1</v>
      </c>
      <c r="DX61" s="1363">
        <f t="shared" si="135"/>
        <v>1</v>
      </c>
      <c r="DY61" s="1363">
        <f t="shared" si="136"/>
        <v>1</v>
      </c>
      <c r="DZ61" s="1363">
        <f t="shared" si="137"/>
        <v>1</v>
      </c>
      <c r="EA61" s="1363">
        <f t="shared" si="138"/>
        <v>0</v>
      </c>
    </row>
    <row r="62" spans="1:131" ht="21.75" customHeight="1" x14ac:dyDescent="0.25">
      <c r="A62" s="2458">
        <v>11056406</v>
      </c>
      <c r="B62" s="3095" t="s">
        <v>2265</v>
      </c>
      <c r="C62" s="707" t="s">
        <v>2777</v>
      </c>
      <c r="D62" s="281" t="s">
        <v>2778</v>
      </c>
      <c r="E62" s="161" t="s">
        <v>2779</v>
      </c>
      <c r="F62" s="145" t="s">
        <v>2780</v>
      </c>
      <c r="G62" s="173" t="s">
        <v>2781</v>
      </c>
      <c r="H62" s="145" t="s">
        <v>2782</v>
      </c>
      <c r="I62" s="173" t="s">
        <v>2783</v>
      </c>
      <c r="J62" s="145" t="s">
        <v>2784</v>
      </c>
      <c r="K62" s="173" t="s">
        <v>2785</v>
      </c>
      <c r="L62" s="145" t="s">
        <v>2786</v>
      </c>
      <c r="M62" s="173" t="s">
        <v>2787</v>
      </c>
      <c r="N62" s="162" t="s">
        <v>2788</v>
      </c>
      <c r="O62" s="180" t="s">
        <v>2789</v>
      </c>
      <c r="P62" s="142" t="s">
        <v>2790</v>
      </c>
      <c r="Q62" s="141" t="s">
        <v>2791</v>
      </c>
      <c r="R62" s="142" t="s">
        <v>2792</v>
      </c>
      <c r="S62" s="141" t="s">
        <v>2793</v>
      </c>
      <c r="T62" s="142" t="s">
        <v>2794</v>
      </c>
      <c r="U62" s="141" t="s">
        <v>2795</v>
      </c>
      <c r="V62" s="142" t="s">
        <v>2796</v>
      </c>
      <c r="W62" s="141" t="s">
        <v>2797</v>
      </c>
      <c r="X62" s="142" t="s">
        <v>2798</v>
      </c>
      <c r="Y62" s="141" t="s">
        <v>2799</v>
      </c>
      <c r="Z62" s="142" t="s">
        <v>2800</v>
      </c>
      <c r="AA62" s="141" t="s">
        <v>2801</v>
      </c>
      <c r="AB62" s="142" t="s">
        <v>2817</v>
      </c>
      <c r="AC62" s="141" t="s">
        <v>2818</v>
      </c>
      <c r="AD62" s="142" t="s">
        <v>2819</v>
      </c>
      <c r="AE62" s="141" t="s">
        <v>2821</v>
      </c>
      <c r="AF62" s="142" t="s">
        <v>2822</v>
      </c>
      <c r="AG62" s="141" t="s">
        <v>2823</v>
      </c>
      <c r="AH62" s="142" t="s">
        <v>2824</v>
      </c>
      <c r="AI62" s="141" t="s">
        <v>2825</v>
      </c>
      <c r="AJ62" s="142" t="s">
        <v>2826</v>
      </c>
      <c r="AK62" s="141" t="s">
        <v>2827</v>
      </c>
      <c r="AL62" s="142" t="s">
        <v>2831</v>
      </c>
      <c r="AM62" s="141" t="s">
        <v>2832</v>
      </c>
      <c r="AN62" s="142" t="s">
        <v>2833</v>
      </c>
      <c r="AO62" s="141" t="s">
        <v>2834</v>
      </c>
      <c r="AP62" s="142" t="s">
        <v>3011</v>
      </c>
      <c r="AQ62" s="141" t="s">
        <v>3012</v>
      </c>
      <c r="AR62" s="318" t="s">
        <v>3013</v>
      </c>
      <c r="AS62" s="1703" t="s">
        <v>3014</v>
      </c>
      <c r="AT62" s="318" t="s">
        <v>3015</v>
      </c>
      <c r="AU62" s="180" t="s">
        <v>3206</v>
      </c>
      <c r="AV62" s="142" t="s">
        <v>3207</v>
      </c>
      <c r="AW62" s="141" t="s">
        <v>3272</v>
      </c>
      <c r="AX62" s="163" t="s">
        <v>3273</v>
      </c>
      <c r="AY62" s="1079" t="e">
        <f t="shared" si="106"/>
        <v>#VALUE!</v>
      </c>
      <c r="AZ62" s="1079"/>
      <c r="BA62" s="1079"/>
      <c r="BB62" s="1079"/>
      <c r="BC62" s="1079"/>
      <c r="BD62" s="1079"/>
      <c r="BE62" s="1079"/>
      <c r="BF62" s="1079"/>
      <c r="BG62" s="1079"/>
      <c r="BH62" s="1079"/>
      <c r="BI62" s="1079"/>
      <c r="BJ62" s="884"/>
      <c r="BK62" s="884"/>
      <c r="BL62" s="884"/>
      <c r="BM62" s="884"/>
      <c r="BV62" s="884"/>
      <c r="BX62" s="885"/>
      <c r="CB62" s="2077" t="str">
        <f t="shared" si="107"/>
        <v xml:space="preserve">* El total de Reactivos NO DEBE ser superior al total de Procesados. </v>
      </c>
      <c r="CC62" s="2077" t="e">
        <f t="shared" si="108"/>
        <v>#VALUE!</v>
      </c>
      <c r="CD62" s="2077" t="e">
        <f t="shared" si="109"/>
        <v>#VALUE!</v>
      </c>
      <c r="CE62" s="2077" t="str">
        <f t="shared" si="110"/>
        <v xml:space="preserve">* La columna Pueblos Originarios NO DEBE ser superior al total de Procesados. </v>
      </c>
      <c r="CF62" s="2077" t="str">
        <f t="shared" si="111"/>
        <v xml:space="preserve">* La columna Migrantes NO DEBE ser superior al total de Procesados. </v>
      </c>
      <c r="CG62" s="2077" t="str">
        <f t="shared" si="139"/>
        <v>* El total de procesados debe ser mayor o igual al total de Reactivos en el grupo de edad Menor de 6 meses</v>
      </c>
      <c r="CH62" s="2077" t="str">
        <f t="shared" si="140"/>
        <v>* El total de procesados debe ser mayor o igual al total de Reactivos en el grupo de edad 6 a 11 meses</v>
      </c>
      <c r="CI62" s="2077" t="str">
        <f t="shared" si="141"/>
        <v>* El total de procesados debe ser mayor o igual al total de Reactivos en el grupo de edad 12-24 meses</v>
      </c>
      <c r="CJ62" s="2077" t="str">
        <f t="shared" si="142"/>
        <v>* El total de procesados debe ser mayor o igual al total de Reactivos en el grupo de edad 3 a 4</v>
      </c>
      <c r="CK62" s="2077" t="str">
        <f t="shared" si="143"/>
        <v>* El total de procesados debe ser mayor o igual al total de Reactivos en el grupo de edad 5 a 9</v>
      </c>
      <c r="CL62" s="2077" t="str">
        <f t="shared" si="144"/>
        <v>* El total de procesados debe ser mayor o igual al total de Reactivos en el grupo de edad 10 - 14</v>
      </c>
      <c r="CM62" s="2077" t="str">
        <f t="shared" si="145"/>
        <v>* El total de procesados debe ser mayor o igual al total de Reactivos en el grupo de edad 15 - 19</v>
      </c>
      <c r="CN62" s="2077" t="str">
        <f t="shared" si="146"/>
        <v>* El total de procesados debe ser mayor o igual al total de Reactivos en el grupo de edad 20 - 24</v>
      </c>
      <c r="CO62" s="2077" t="str">
        <f t="shared" si="147"/>
        <v>* El total de procesados debe ser mayor o igual al total de Reactivos en el grupo de edad 25 a 29</v>
      </c>
      <c r="CP62" s="2077" t="str">
        <f t="shared" si="148"/>
        <v>* El total de procesados debe ser mayor o igual al total de Reactivos en el grupo de edad 30 a 34</v>
      </c>
      <c r="CQ62" s="2077" t="str">
        <f t="shared" si="149"/>
        <v>* El total de procesados debe ser mayor o igual al total de Reactivos en el grupo de edad 35 a 39</v>
      </c>
      <c r="CR62" s="2077" t="str">
        <f t="shared" si="150"/>
        <v>* El total de procesados debe ser mayor o igual al total de Reactivos en el grupo de edad 40 a 44</v>
      </c>
      <c r="CS62" s="2077" t="str">
        <f t="shared" si="151"/>
        <v>* El total de procesados debe ser mayor o igual al total de Reactivos en el grupo de edad 45 a 49</v>
      </c>
      <c r="CT62" s="2077" t="str">
        <f t="shared" si="152"/>
        <v>* El total de procesados debe ser mayor o igual al total de Reactivos en el grupo de edad 50 a 54</v>
      </c>
      <c r="CU62" s="2077" t="str">
        <f t="shared" si="153"/>
        <v>* El total de procesados debe ser mayor o igual al total de Reactivos en el grupo de edad 55 a 59</v>
      </c>
      <c r="CV62" s="2077" t="str">
        <f t="shared" si="154"/>
        <v>* El total de procesados debe ser mayor o igual al total de Reactivos en el grupo de edad 60 a 64</v>
      </c>
      <c r="CW62" s="2077" t="str">
        <f t="shared" si="155"/>
        <v>* El total de procesados debe ser mayor o igual al total de Reactivos en el grupo de edad 65 a 69</v>
      </c>
      <c r="CX62" s="2077" t="str">
        <f t="shared" si="156"/>
        <v>* El total de procesados debe ser mayor o igual al total de Reactivos en el grupo de edad 70 a 74</v>
      </c>
      <c r="CY62" s="2077" t="str">
        <f t="shared" si="157"/>
        <v>* El total de procesados debe ser mayor o igual al total de Reactivos en el grupo de edad 75 a 79</v>
      </c>
      <c r="CZ62" s="2077" t="str">
        <f t="shared" si="158"/>
        <v>* El total de procesados debe ser mayor o igual al total de Reactivos en el grupo de edad 80 y más</v>
      </c>
      <c r="DA62" s="2077" t="str">
        <f t="shared" si="112"/>
        <v/>
      </c>
      <c r="DB62" s="1363">
        <f t="shared" si="113"/>
        <v>1</v>
      </c>
      <c r="DC62" s="1363" t="e">
        <f t="shared" si="114"/>
        <v>#VALUE!</v>
      </c>
      <c r="DD62" s="1363" t="e">
        <f t="shared" si="115"/>
        <v>#VALUE!</v>
      </c>
      <c r="DE62" s="1363">
        <f t="shared" si="116"/>
        <v>1</v>
      </c>
      <c r="DF62" s="1363">
        <f t="shared" si="117"/>
        <v>1</v>
      </c>
      <c r="DG62" s="1363">
        <f t="shared" si="118"/>
        <v>1</v>
      </c>
      <c r="DH62" s="1363">
        <f t="shared" si="119"/>
        <v>1</v>
      </c>
      <c r="DI62" s="1363">
        <f t="shared" si="120"/>
        <v>1</v>
      </c>
      <c r="DJ62" s="1363">
        <f t="shared" si="121"/>
        <v>1</v>
      </c>
      <c r="DK62" s="1363">
        <f t="shared" si="122"/>
        <v>1</v>
      </c>
      <c r="DL62" s="1363">
        <f t="shared" si="123"/>
        <v>1</v>
      </c>
      <c r="DM62" s="1363">
        <f t="shared" si="124"/>
        <v>1</v>
      </c>
      <c r="DN62" s="1363">
        <f t="shared" si="125"/>
        <v>1</v>
      </c>
      <c r="DO62" s="1363">
        <f t="shared" si="126"/>
        <v>1</v>
      </c>
      <c r="DP62" s="1363">
        <f t="shared" si="127"/>
        <v>1</v>
      </c>
      <c r="DQ62" s="1363">
        <f t="shared" si="128"/>
        <v>1</v>
      </c>
      <c r="DR62" s="1363">
        <f t="shared" si="129"/>
        <v>1</v>
      </c>
      <c r="DS62" s="1363">
        <f t="shared" si="130"/>
        <v>1</v>
      </c>
      <c r="DT62" s="1363">
        <f t="shared" si="131"/>
        <v>1</v>
      </c>
      <c r="DU62" s="1363">
        <f t="shared" si="132"/>
        <v>1</v>
      </c>
      <c r="DV62" s="1363">
        <f t="shared" si="133"/>
        <v>1</v>
      </c>
      <c r="DW62" s="1363">
        <f t="shared" si="134"/>
        <v>1</v>
      </c>
      <c r="DX62" s="1363">
        <f t="shared" si="135"/>
        <v>1</v>
      </c>
      <c r="DY62" s="1363">
        <f t="shared" si="136"/>
        <v>1</v>
      </c>
      <c r="DZ62" s="1363">
        <f t="shared" si="137"/>
        <v>1</v>
      </c>
      <c r="EA62" s="1363">
        <f t="shared" si="138"/>
        <v>0</v>
      </c>
    </row>
    <row r="63" spans="1:131" ht="16.350000000000001" customHeight="1" x14ac:dyDescent="0.25">
      <c r="A63" s="2458">
        <v>11056407</v>
      </c>
      <c r="B63" s="140" t="s">
        <v>2266</v>
      </c>
      <c r="C63" s="707" t="s">
        <v>2777</v>
      </c>
      <c r="D63" s="281" t="s">
        <v>2778</v>
      </c>
      <c r="E63" s="161" t="s">
        <v>2779</v>
      </c>
      <c r="F63" s="145" t="s">
        <v>2780</v>
      </c>
      <c r="G63" s="173" t="s">
        <v>2781</v>
      </c>
      <c r="H63" s="145" t="s">
        <v>2782</v>
      </c>
      <c r="I63" s="173" t="s">
        <v>2783</v>
      </c>
      <c r="J63" s="145" t="s">
        <v>2784</v>
      </c>
      <c r="K63" s="173" t="s">
        <v>2785</v>
      </c>
      <c r="L63" s="145" t="s">
        <v>2786</v>
      </c>
      <c r="M63" s="173" t="s">
        <v>2787</v>
      </c>
      <c r="N63" s="162" t="s">
        <v>2788</v>
      </c>
      <c r="O63" s="180" t="s">
        <v>2789</v>
      </c>
      <c r="P63" s="142" t="s">
        <v>2790</v>
      </c>
      <c r="Q63" s="141" t="s">
        <v>2791</v>
      </c>
      <c r="R63" s="142" t="s">
        <v>2792</v>
      </c>
      <c r="S63" s="141" t="s">
        <v>2793</v>
      </c>
      <c r="T63" s="142" t="s">
        <v>2794</v>
      </c>
      <c r="U63" s="141" t="s">
        <v>2795</v>
      </c>
      <c r="V63" s="142" t="s">
        <v>2796</v>
      </c>
      <c r="W63" s="141" t="s">
        <v>2797</v>
      </c>
      <c r="X63" s="142" t="s">
        <v>2798</v>
      </c>
      <c r="Y63" s="141" t="s">
        <v>2799</v>
      </c>
      <c r="Z63" s="142" t="s">
        <v>2800</v>
      </c>
      <c r="AA63" s="141" t="s">
        <v>2801</v>
      </c>
      <c r="AB63" s="142" t="s">
        <v>2817</v>
      </c>
      <c r="AC63" s="141" t="s">
        <v>2818</v>
      </c>
      <c r="AD63" s="142" t="s">
        <v>2819</v>
      </c>
      <c r="AE63" s="141" t="s">
        <v>2821</v>
      </c>
      <c r="AF63" s="142" t="s">
        <v>2822</v>
      </c>
      <c r="AG63" s="141" t="s">
        <v>2823</v>
      </c>
      <c r="AH63" s="142" t="s">
        <v>2824</v>
      </c>
      <c r="AI63" s="141" t="s">
        <v>2825</v>
      </c>
      <c r="AJ63" s="142" t="s">
        <v>2826</v>
      </c>
      <c r="AK63" s="141" t="s">
        <v>2827</v>
      </c>
      <c r="AL63" s="142" t="s">
        <v>2831</v>
      </c>
      <c r="AM63" s="141" t="s">
        <v>2832</v>
      </c>
      <c r="AN63" s="142" t="s">
        <v>2833</v>
      </c>
      <c r="AO63" s="141" t="s">
        <v>2834</v>
      </c>
      <c r="AP63" s="142" t="s">
        <v>3011</v>
      </c>
      <c r="AQ63" s="141" t="s">
        <v>3012</v>
      </c>
      <c r="AR63" s="318" t="s">
        <v>3013</v>
      </c>
      <c r="AS63" s="1703" t="s">
        <v>3014</v>
      </c>
      <c r="AT63" s="318" t="s">
        <v>3015</v>
      </c>
      <c r="AU63" s="180" t="s">
        <v>3206</v>
      </c>
      <c r="AV63" s="142" t="s">
        <v>3207</v>
      </c>
      <c r="AW63" s="141" t="s">
        <v>3272</v>
      </c>
      <c r="AX63" s="163" t="s">
        <v>3273</v>
      </c>
      <c r="AY63" s="1079" t="e">
        <f t="shared" si="106"/>
        <v>#VALUE!</v>
      </c>
      <c r="AZ63" s="1079"/>
      <c r="BA63" s="1079"/>
      <c r="BB63" s="1079"/>
      <c r="BC63" s="1079"/>
      <c r="BD63" s="1079"/>
      <c r="BE63" s="1079"/>
      <c r="BF63" s="1079"/>
      <c r="BG63" s="1079"/>
      <c r="BH63" s="1079"/>
      <c r="BI63" s="1079"/>
      <c r="BJ63" s="884"/>
      <c r="BK63" s="884"/>
      <c r="BL63" s="884"/>
      <c r="BM63" s="884"/>
      <c r="BV63" s="884"/>
      <c r="BX63" s="885"/>
      <c r="CB63" s="2077" t="str">
        <f t="shared" si="107"/>
        <v xml:space="preserve">* El total de Reactivos NO DEBE ser superior al total de Procesados. </v>
      </c>
      <c r="CC63" s="2077" t="e">
        <f t="shared" si="108"/>
        <v>#VALUE!</v>
      </c>
      <c r="CD63" s="2077" t="e">
        <f t="shared" si="109"/>
        <v>#VALUE!</v>
      </c>
      <c r="CE63" s="2077" t="str">
        <f t="shared" si="110"/>
        <v xml:space="preserve">* La columna Pueblos Originarios NO DEBE ser superior al total de Procesados. </v>
      </c>
      <c r="CF63" s="2077" t="str">
        <f t="shared" si="111"/>
        <v xml:space="preserve">* La columna Migrantes NO DEBE ser superior al total de Procesados. </v>
      </c>
      <c r="CG63" s="2077" t="str">
        <f t="shared" si="139"/>
        <v>* El total de procesados debe ser mayor o igual al total de Reactivos en el grupo de edad Menor de 6 meses</v>
      </c>
      <c r="CH63" s="2077" t="str">
        <f t="shared" si="140"/>
        <v>* El total de procesados debe ser mayor o igual al total de Reactivos en el grupo de edad 6 a 11 meses</v>
      </c>
      <c r="CI63" s="2077" t="str">
        <f t="shared" si="141"/>
        <v>* El total de procesados debe ser mayor o igual al total de Reactivos en el grupo de edad 12-24 meses</v>
      </c>
      <c r="CJ63" s="2077" t="str">
        <f t="shared" si="142"/>
        <v>* El total de procesados debe ser mayor o igual al total de Reactivos en el grupo de edad 3 a 4</v>
      </c>
      <c r="CK63" s="2077" t="str">
        <f t="shared" si="143"/>
        <v>* El total de procesados debe ser mayor o igual al total de Reactivos en el grupo de edad 5 a 9</v>
      </c>
      <c r="CL63" s="2077" t="str">
        <f t="shared" si="144"/>
        <v>* El total de procesados debe ser mayor o igual al total de Reactivos en el grupo de edad 10 - 14</v>
      </c>
      <c r="CM63" s="2077" t="str">
        <f t="shared" si="145"/>
        <v>* El total de procesados debe ser mayor o igual al total de Reactivos en el grupo de edad 15 - 19</v>
      </c>
      <c r="CN63" s="2077" t="str">
        <f t="shared" si="146"/>
        <v>* El total de procesados debe ser mayor o igual al total de Reactivos en el grupo de edad 20 - 24</v>
      </c>
      <c r="CO63" s="2077" t="str">
        <f t="shared" si="147"/>
        <v>* El total de procesados debe ser mayor o igual al total de Reactivos en el grupo de edad 25 a 29</v>
      </c>
      <c r="CP63" s="2077" t="str">
        <f t="shared" si="148"/>
        <v>* El total de procesados debe ser mayor o igual al total de Reactivos en el grupo de edad 30 a 34</v>
      </c>
      <c r="CQ63" s="2077" t="str">
        <f t="shared" si="149"/>
        <v>* El total de procesados debe ser mayor o igual al total de Reactivos en el grupo de edad 35 a 39</v>
      </c>
      <c r="CR63" s="2077" t="str">
        <f t="shared" si="150"/>
        <v>* El total de procesados debe ser mayor o igual al total de Reactivos en el grupo de edad 40 a 44</v>
      </c>
      <c r="CS63" s="2077" t="str">
        <f t="shared" si="151"/>
        <v>* El total de procesados debe ser mayor o igual al total de Reactivos en el grupo de edad 45 a 49</v>
      </c>
      <c r="CT63" s="2077" t="str">
        <f t="shared" si="152"/>
        <v>* El total de procesados debe ser mayor o igual al total de Reactivos en el grupo de edad 50 a 54</v>
      </c>
      <c r="CU63" s="2077" t="str">
        <f t="shared" si="153"/>
        <v>* El total de procesados debe ser mayor o igual al total de Reactivos en el grupo de edad 55 a 59</v>
      </c>
      <c r="CV63" s="2077" t="str">
        <f t="shared" si="154"/>
        <v>* El total de procesados debe ser mayor o igual al total de Reactivos en el grupo de edad 60 a 64</v>
      </c>
      <c r="CW63" s="2077" t="str">
        <f t="shared" si="155"/>
        <v>* El total de procesados debe ser mayor o igual al total de Reactivos en el grupo de edad 65 a 69</v>
      </c>
      <c r="CX63" s="2077" t="str">
        <f t="shared" si="156"/>
        <v>* El total de procesados debe ser mayor o igual al total de Reactivos en el grupo de edad 70 a 74</v>
      </c>
      <c r="CY63" s="2077" t="str">
        <f t="shared" si="157"/>
        <v>* El total de procesados debe ser mayor o igual al total de Reactivos en el grupo de edad 75 a 79</v>
      </c>
      <c r="CZ63" s="2077" t="str">
        <f t="shared" si="158"/>
        <v>* El total de procesados debe ser mayor o igual al total de Reactivos en el grupo de edad 80 y más</v>
      </c>
      <c r="DA63" s="2077" t="str">
        <f t="shared" si="112"/>
        <v/>
      </c>
      <c r="DB63" s="1363">
        <f t="shared" si="113"/>
        <v>1</v>
      </c>
      <c r="DC63" s="1363" t="e">
        <f t="shared" si="114"/>
        <v>#VALUE!</v>
      </c>
      <c r="DD63" s="1363" t="e">
        <f t="shared" si="115"/>
        <v>#VALUE!</v>
      </c>
      <c r="DE63" s="1363">
        <f t="shared" si="116"/>
        <v>1</v>
      </c>
      <c r="DF63" s="1363">
        <f t="shared" si="117"/>
        <v>1</v>
      </c>
      <c r="DG63" s="1363">
        <f t="shared" si="118"/>
        <v>1</v>
      </c>
      <c r="DH63" s="1363">
        <f t="shared" si="119"/>
        <v>1</v>
      </c>
      <c r="DI63" s="1363">
        <f t="shared" si="120"/>
        <v>1</v>
      </c>
      <c r="DJ63" s="1363">
        <f t="shared" si="121"/>
        <v>1</v>
      </c>
      <c r="DK63" s="1363">
        <f t="shared" si="122"/>
        <v>1</v>
      </c>
      <c r="DL63" s="1363">
        <f t="shared" si="123"/>
        <v>1</v>
      </c>
      <c r="DM63" s="1363">
        <f t="shared" si="124"/>
        <v>1</v>
      </c>
      <c r="DN63" s="1363">
        <f t="shared" si="125"/>
        <v>1</v>
      </c>
      <c r="DO63" s="1363">
        <f t="shared" si="126"/>
        <v>1</v>
      </c>
      <c r="DP63" s="1363">
        <f t="shared" si="127"/>
        <v>1</v>
      </c>
      <c r="DQ63" s="1363">
        <f t="shared" si="128"/>
        <v>1</v>
      </c>
      <c r="DR63" s="1363">
        <f t="shared" si="129"/>
        <v>1</v>
      </c>
      <c r="DS63" s="1363">
        <f t="shared" si="130"/>
        <v>1</v>
      </c>
      <c r="DT63" s="1363">
        <f t="shared" si="131"/>
        <v>1</v>
      </c>
      <c r="DU63" s="1363">
        <f t="shared" si="132"/>
        <v>1</v>
      </c>
      <c r="DV63" s="1363">
        <f t="shared" si="133"/>
        <v>1</v>
      </c>
      <c r="DW63" s="1363">
        <f t="shared" si="134"/>
        <v>1</v>
      </c>
      <c r="DX63" s="1363">
        <f t="shared" si="135"/>
        <v>1</v>
      </c>
      <c r="DY63" s="1363">
        <f t="shared" si="136"/>
        <v>1</v>
      </c>
      <c r="DZ63" s="1363">
        <f t="shared" si="137"/>
        <v>1</v>
      </c>
      <c r="EA63" s="1363">
        <f t="shared" si="138"/>
        <v>0</v>
      </c>
    </row>
    <row r="64" spans="1:131" ht="16.350000000000001" customHeight="1" x14ac:dyDescent="0.25">
      <c r="A64" s="2458">
        <v>11056408</v>
      </c>
      <c r="B64" s="140" t="s">
        <v>2267</v>
      </c>
      <c r="C64" s="707" t="s">
        <v>2777</v>
      </c>
      <c r="D64" s="281" t="s">
        <v>2778</v>
      </c>
      <c r="E64" s="180" t="s">
        <v>2779</v>
      </c>
      <c r="F64" s="142" t="s">
        <v>2780</v>
      </c>
      <c r="G64" s="141" t="s">
        <v>2781</v>
      </c>
      <c r="H64" s="142" t="s">
        <v>2782</v>
      </c>
      <c r="I64" s="141" t="s">
        <v>2783</v>
      </c>
      <c r="J64" s="163" t="s">
        <v>2784</v>
      </c>
      <c r="K64" s="180" t="s">
        <v>2785</v>
      </c>
      <c r="L64" s="180" t="s">
        <v>2786</v>
      </c>
      <c r="M64" s="141" t="s">
        <v>2787</v>
      </c>
      <c r="N64" s="163" t="s">
        <v>2788</v>
      </c>
      <c r="O64" s="180" t="s">
        <v>2789</v>
      </c>
      <c r="P64" s="142" t="s">
        <v>2790</v>
      </c>
      <c r="Q64" s="141" t="s">
        <v>2791</v>
      </c>
      <c r="R64" s="142" t="s">
        <v>2792</v>
      </c>
      <c r="S64" s="141" t="s">
        <v>2793</v>
      </c>
      <c r="T64" s="142" t="s">
        <v>2794</v>
      </c>
      <c r="U64" s="141" t="s">
        <v>2795</v>
      </c>
      <c r="V64" s="142" t="s">
        <v>2796</v>
      </c>
      <c r="W64" s="141" t="s">
        <v>2797</v>
      </c>
      <c r="X64" s="142" t="s">
        <v>2798</v>
      </c>
      <c r="Y64" s="141" t="s">
        <v>2799</v>
      </c>
      <c r="Z64" s="142" t="s">
        <v>2800</v>
      </c>
      <c r="AA64" s="141" t="s">
        <v>2801</v>
      </c>
      <c r="AB64" s="142" t="s">
        <v>2817</v>
      </c>
      <c r="AC64" s="141" t="s">
        <v>2818</v>
      </c>
      <c r="AD64" s="142" t="s">
        <v>2819</v>
      </c>
      <c r="AE64" s="141" t="s">
        <v>2821</v>
      </c>
      <c r="AF64" s="142" t="s">
        <v>2822</v>
      </c>
      <c r="AG64" s="141" t="s">
        <v>2823</v>
      </c>
      <c r="AH64" s="142" t="s">
        <v>2824</v>
      </c>
      <c r="AI64" s="141" t="s">
        <v>2825</v>
      </c>
      <c r="AJ64" s="142" t="s">
        <v>2826</v>
      </c>
      <c r="AK64" s="141" t="s">
        <v>2827</v>
      </c>
      <c r="AL64" s="142" t="s">
        <v>2831</v>
      </c>
      <c r="AM64" s="141" t="s">
        <v>2832</v>
      </c>
      <c r="AN64" s="142" t="s">
        <v>2833</v>
      </c>
      <c r="AO64" s="141" t="s">
        <v>2834</v>
      </c>
      <c r="AP64" s="142" t="s">
        <v>3011</v>
      </c>
      <c r="AQ64" s="141" t="s">
        <v>3012</v>
      </c>
      <c r="AR64" s="318" t="s">
        <v>3013</v>
      </c>
      <c r="AS64" s="1703" t="s">
        <v>3014</v>
      </c>
      <c r="AT64" s="318" t="s">
        <v>3015</v>
      </c>
      <c r="AU64" s="180" t="s">
        <v>3206</v>
      </c>
      <c r="AV64" s="142" t="s">
        <v>3207</v>
      </c>
      <c r="AW64" s="141" t="s">
        <v>3272</v>
      </c>
      <c r="AX64" s="163" t="s">
        <v>3273</v>
      </c>
      <c r="AY64" s="1079" t="e">
        <f t="shared" si="106"/>
        <v>#VALUE!</v>
      </c>
      <c r="AZ64" s="1079"/>
      <c r="BA64" s="1079"/>
      <c r="BB64" s="1079"/>
      <c r="BC64" s="1079"/>
      <c r="BD64" s="1079"/>
      <c r="BE64" s="1079"/>
      <c r="BF64" s="1079"/>
      <c r="BG64" s="1079"/>
      <c r="BH64" s="1079"/>
      <c r="BI64" s="1079"/>
      <c r="BJ64" s="884"/>
      <c r="BK64" s="884"/>
      <c r="BL64" s="884"/>
      <c r="BM64" s="884"/>
      <c r="BV64" s="884"/>
      <c r="BX64" s="885"/>
      <c r="CB64" s="2077" t="str">
        <f t="shared" si="107"/>
        <v xml:space="preserve">* El total de Reactivos NO DEBE ser superior al total de Procesados. </v>
      </c>
      <c r="CC64" s="2077" t="e">
        <f t="shared" si="108"/>
        <v>#VALUE!</v>
      </c>
      <c r="CD64" s="2077" t="e">
        <f t="shared" si="109"/>
        <v>#VALUE!</v>
      </c>
      <c r="CE64" s="2077" t="str">
        <f t="shared" si="110"/>
        <v xml:space="preserve">* La columna Pueblos Originarios NO DEBE ser superior al total de Procesados. </v>
      </c>
      <c r="CF64" s="2077" t="str">
        <f t="shared" si="111"/>
        <v xml:space="preserve">* La columna Migrantes NO DEBE ser superior al total de Procesados. </v>
      </c>
      <c r="CG64" s="2077" t="str">
        <f t="shared" si="139"/>
        <v>* El total de procesados debe ser mayor o igual al total de Reactivos en el grupo de edad Menor de 6 meses</v>
      </c>
      <c r="CH64" s="2077" t="str">
        <f t="shared" si="140"/>
        <v>* El total de procesados debe ser mayor o igual al total de Reactivos en el grupo de edad 6 a 11 meses</v>
      </c>
      <c r="CI64" s="2077" t="str">
        <f t="shared" si="141"/>
        <v>* El total de procesados debe ser mayor o igual al total de Reactivos en el grupo de edad 12-24 meses</v>
      </c>
      <c r="CJ64" s="2077" t="str">
        <f t="shared" si="142"/>
        <v>* El total de procesados debe ser mayor o igual al total de Reactivos en el grupo de edad 3 a 4</v>
      </c>
      <c r="CK64" s="2077" t="str">
        <f t="shared" si="143"/>
        <v>* El total de procesados debe ser mayor o igual al total de Reactivos en el grupo de edad 5 a 9</v>
      </c>
      <c r="CL64" s="2077" t="str">
        <f t="shared" si="144"/>
        <v>* El total de procesados debe ser mayor o igual al total de Reactivos en el grupo de edad 10 - 14</v>
      </c>
      <c r="CM64" s="2077" t="str">
        <f t="shared" si="145"/>
        <v>* El total de procesados debe ser mayor o igual al total de Reactivos en el grupo de edad 15 - 19</v>
      </c>
      <c r="CN64" s="2077" t="str">
        <f t="shared" si="146"/>
        <v>* El total de procesados debe ser mayor o igual al total de Reactivos en el grupo de edad 20 - 24</v>
      </c>
      <c r="CO64" s="2077" t="str">
        <f t="shared" si="147"/>
        <v>* El total de procesados debe ser mayor o igual al total de Reactivos en el grupo de edad 25 a 29</v>
      </c>
      <c r="CP64" s="2077" t="str">
        <f t="shared" si="148"/>
        <v>* El total de procesados debe ser mayor o igual al total de Reactivos en el grupo de edad 30 a 34</v>
      </c>
      <c r="CQ64" s="2077" t="str">
        <f t="shared" si="149"/>
        <v>* El total de procesados debe ser mayor o igual al total de Reactivos en el grupo de edad 35 a 39</v>
      </c>
      <c r="CR64" s="2077" t="str">
        <f t="shared" si="150"/>
        <v>* El total de procesados debe ser mayor o igual al total de Reactivos en el grupo de edad 40 a 44</v>
      </c>
      <c r="CS64" s="2077" t="str">
        <f t="shared" si="151"/>
        <v>* El total de procesados debe ser mayor o igual al total de Reactivos en el grupo de edad 45 a 49</v>
      </c>
      <c r="CT64" s="2077" t="str">
        <f t="shared" si="152"/>
        <v>* El total de procesados debe ser mayor o igual al total de Reactivos en el grupo de edad 50 a 54</v>
      </c>
      <c r="CU64" s="2077" t="str">
        <f t="shared" si="153"/>
        <v>* El total de procesados debe ser mayor o igual al total de Reactivos en el grupo de edad 55 a 59</v>
      </c>
      <c r="CV64" s="2077" t="str">
        <f t="shared" si="154"/>
        <v>* El total de procesados debe ser mayor o igual al total de Reactivos en el grupo de edad 60 a 64</v>
      </c>
      <c r="CW64" s="2077" t="str">
        <f t="shared" si="155"/>
        <v>* El total de procesados debe ser mayor o igual al total de Reactivos en el grupo de edad 65 a 69</v>
      </c>
      <c r="CX64" s="2077" t="str">
        <f t="shared" si="156"/>
        <v>* El total de procesados debe ser mayor o igual al total de Reactivos en el grupo de edad 70 a 74</v>
      </c>
      <c r="CY64" s="2077" t="str">
        <f t="shared" si="157"/>
        <v>* El total de procesados debe ser mayor o igual al total de Reactivos en el grupo de edad 75 a 79</v>
      </c>
      <c r="CZ64" s="2077" t="str">
        <f t="shared" si="158"/>
        <v>* El total de procesados debe ser mayor o igual al total de Reactivos en el grupo de edad 80 y más</v>
      </c>
      <c r="DA64" s="2077" t="str">
        <f t="shared" si="112"/>
        <v/>
      </c>
      <c r="DB64" s="1363">
        <f t="shared" si="113"/>
        <v>1</v>
      </c>
      <c r="DC64" s="1363" t="e">
        <f t="shared" si="114"/>
        <v>#VALUE!</v>
      </c>
      <c r="DD64" s="1363" t="e">
        <f t="shared" si="115"/>
        <v>#VALUE!</v>
      </c>
      <c r="DE64" s="1363">
        <f t="shared" si="116"/>
        <v>1</v>
      </c>
      <c r="DF64" s="1363">
        <f t="shared" si="117"/>
        <v>1</v>
      </c>
      <c r="DG64" s="1363">
        <f t="shared" si="118"/>
        <v>1</v>
      </c>
      <c r="DH64" s="1363">
        <f t="shared" si="119"/>
        <v>1</v>
      </c>
      <c r="DI64" s="1363">
        <f t="shared" si="120"/>
        <v>1</v>
      </c>
      <c r="DJ64" s="1363">
        <f t="shared" si="121"/>
        <v>1</v>
      </c>
      <c r="DK64" s="1363">
        <f t="shared" si="122"/>
        <v>1</v>
      </c>
      <c r="DL64" s="1363">
        <f t="shared" si="123"/>
        <v>1</v>
      </c>
      <c r="DM64" s="1363">
        <f t="shared" si="124"/>
        <v>1</v>
      </c>
      <c r="DN64" s="1363">
        <f t="shared" si="125"/>
        <v>1</v>
      </c>
      <c r="DO64" s="1363">
        <f t="shared" si="126"/>
        <v>1</v>
      </c>
      <c r="DP64" s="1363">
        <f t="shared" si="127"/>
        <v>1</v>
      </c>
      <c r="DQ64" s="1363">
        <f t="shared" si="128"/>
        <v>1</v>
      </c>
      <c r="DR64" s="1363">
        <f t="shared" si="129"/>
        <v>1</v>
      </c>
      <c r="DS64" s="1363">
        <f t="shared" si="130"/>
        <v>1</v>
      </c>
      <c r="DT64" s="1363">
        <f t="shared" si="131"/>
        <v>1</v>
      </c>
      <c r="DU64" s="1363">
        <f t="shared" si="132"/>
        <v>1</v>
      </c>
      <c r="DV64" s="1363">
        <f t="shared" si="133"/>
        <v>1</v>
      </c>
      <c r="DW64" s="1363">
        <f t="shared" si="134"/>
        <v>1</v>
      </c>
      <c r="DX64" s="1363">
        <f t="shared" si="135"/>
        <v>1</v>
      </c>
      <c r="DY64" s="1363">
        <f t="shared" si="136"/>
        <v>1</v>
      </c>
      <c r="DZ64" s="1363">
        <f t="shared" si="137"/>
        <v>1</v>
      </c>
      <c r="EA64" s="1363">
        <f t="shared" si="138"/>
        <v>0</v>
      </c>
    </row>
    <row r="65" spans="1:131" ht="21.75" customHeight="1" x14ac:dyDescent="0.25">
      <c r="A65" s="2458">
        <v>11056409</v>
      </c>
      <c r="B65" s="3095" t="s">
        <v>2268</v>
      </c>
      <c r="C65" s="707" t="s">
        <v>2777</v>
      </c>
      <c r="D65" s="281" t="s">
        <v>2778</v>
      </c>
      <c r="E65" s="180" t="s">
        <v>2779</v>
      </c>
      <c r="F65" s="142" t="s">
        <v>2780</v>
      </c>
      <c r="G65" s="141" t="s">
        <v>2781</v>
      </c>
      <c r="H65" s="142" t="s">
        <v>2782</v>
      </c>
      <c r="I65" s="141" t="s">
        <v>2783</v>
      </c>
      <c r="J65" s="163" t="s">
        <v>2784</v>
      </c>
      <c r="K65" s="936" t="s">
        <v>2785</v>
      </c>
      <c r="L65" s="1090" t="s">
        <v>2786</v>
      </c>
      <c r="M65" s="936" t="s">
        <v>2787</v>
      </c>
      <c r="N65" s="1090" t="s">
        <v>2788</v>
      </c>
      <c r="O65" s="936" t="s">
        <v>2789</v>
      </c>
      <c r="P65" s="1090" t="s">
        <v>2790</v>
      </c>
      <c r="Q65" s="936" t="s">
        <v>2791</v>
      </c>
      <c r="R65" s="1090" t="s">
        <v>2792</v>
      </c>
      <c r="S65" s="936" t="s">
        <v>2793</v>
      </c>
      <c r="T65" s="1090" t="s">
        <v>2794</v>
      </c>
      <c r="U65" s="936" t="s">
        <v>2795</v>
      </c>
      <c r="V65" s="1090" t="s">
        <v>2796</v>
      </c>
      <c r="W65" s="936" t="s">
        <v>2797</v>
      </c>
      <c r="X65" s="1090" t="s">
        <v>2798</v>
      </c>
      <c r="Y65" s="936" t="s">
        <v>2799</v>
      </c>
      <c r="Z65" s="1090" t="s">
        <v>2800</v>
      </c>
      <c r="AA65" s="936" t="s">
        <v>2801</v>
      </c>
      <c r="AB65" s="1090" t="s">
        <v>2817</v>
      </c>
      <c r="AC65" s="936" t="s">
        <v>2818</v>
      </c>
      <c r="AD65" s="1090" t="s">
        <v>2819</v>
      </c>
      <c r="AE65" s="936" t="s">
        <v>2821</v>
      </c>
      <c r="AF65" s="1090" t="s">
        <v>2822</v>
      </c>
      <c r="AG65" s="936" t="s">
        <v>2823</v>
      </c>
      <c r="AH65" s="1090" t="s">
        <v>2824</v>
      </c>
      <c r="AI65" s="936" t="s">
        <v>2825</v>
      </c>
      <c r="AJ65" s="1090" t="s">
        <v>2826</v>
      </c>
      <c r="AK65" s="936" t="s">
        <v>2827</v>
      </c>
      <c r="AL65" s="1090" t="s">
        <v>2831</v>
      </c>
      <c r="AM65" s="936" t="s">
        <v>2832</v>
      </c>
      <c r="AN65" s="1090" t="s">
        <v>2833</v>
      </c>
      <c r="AO65" s="936" t="s">
        <v>2834</v>
      </c>
      <c r="AP65" s="1090" t="s">
        <v>3011</v>
      </c>
      <c r="AQ65" s="936" t="s">
        <v>3012</v>
      </c>
      <c r="AR65" s="2033" t="s">
        <v>3013</v>
      </c>
      <c r="AS65" s="180" t="s">
        <v>3014</v>
      </c>
      <c r="AT65" s="318" t="s">
        <v>3015</v>
      </c>
      <c r="AU65" s="180" t="s">
        <v>3206</v>
      </c>
      <c r="AV65" s="142" t="s">
        <v>3207</v>
      </c>
      <c r="AW65" s="141" t="s">
        <v>3272</v>
      </c>
      <c r="AX65" s="163" t="s">
        <v>3273</v>
      </c>
      <c r="AY65" s="1079" t="e">
        <f t="shared" si="106"/>
        <v>#VALUE!</v>
      </c>
      <c r="AZ65" s="1079"/>
      <c r="BA65" s="1079"/>
      <c r="BB65" s="1079"/>
      <c r="BC65" s="1079"/>
      <c r="BD65" s="1079"/>
      <c r="BE65" s="1079"/>
      <c r="BF65" s="1079"/>
      <c r="BG65" s="1079"/>
      <c r="BH65" s="1079"/>
      <c r="BI65" s="1079"/>
      <c r="BJ65" s="884"/>
      <c r="BK65" s="884"/>
      <c r="BL65" s="884"/>
      <c r="BM65" s="884"/>
      <c r="BV65" s="884"/>
      <c r="BX65" s="885"/>
      <c r="CB65" s="2077" t="str">
        <f t="shared" si="107"/>
        <v xml:space="preserve">* El total de Reactivos NO DEBE ser superior al total de Procesados. </v>
      </c>
      <c r="CC65" s="2077" t="e">
        <f t="shared" si="108"/>
        <v>#VALUE!</v>
      </c>
      <c r="CD65" s="2077" t="e">
        <f t="shared" si="109"/>
        <v>#VALUE!</v>
      </c>
      <c r="CE65" s="2077" t="str">
        <f t="shared" si="110"/>
        <v xml:space="preserve">* La columna Pueblos Originarios NO DEBE ser superior al total de Procesados. </v>
      </c>
      <c r="CF65" s="2077" t="str">
        <f t="shared" si="111"/>
        <v xml:space="preserve">* La columna Migrantes NO DEBE ser superior al total de Procesados. </v>
      </c>
      <c r="CG65" s="2077" t="str">
        <f t="shared" si="139"/>
        <v>* El total de procesados debe ser mayor o igual al total de Reactivos en el grupo de edad Menor de 6 meses</v>
      </c>
      <c r="CH65" s="2077" t="str">
        <f t="shared" si="140"/>
        <v>* El total de procesados debe ser mayor o igual al total de Reactivos en el grupo de edad 6 a 11 meses</v>
      </c>
      <c r="CI65" s="2077" t="str">
        <f t="shared" si="141"/>
        <v>* El total de procesados debe ser mayor o igual al total de Reactivos en el grupo de edad 12-24 meses</v>
      </c>
      <c r="CJ65" s="2077" t="str">
        <f t="shared" si="142"/>
        <v>* El total de procesados debe ser mayor o igual al total de Reactivos en el grupo de edad 3 a 4</v>
      </c>
      <c r="CK65" s="2077" t="str">
        <f t="shared" si="143"/>
        <v>* El total de procesados debe ser mayor o igual al total de Reactivos en el grupo de edad 5 a 9</v>
      </c>
      <c r="CL65" s="2077" t="str">
        <f t="shared" si="144"/>
        <v>* El total de procesados debe ser mayor o igual al total de Reactivos en el grupo de edad 10 - 14</v>
      </c>
      <c r="CM65" s="2077" t="str">
        <f t="shared" si="145"/>
        <v>* El total de procesados debe ser mayor o igual al total de Reactivos en el grupo de edad 15 - 19</v>
      </c>
      <c r="CN65" s="2077" t="str">
        <f t="shared" si="146"/>
        <v>* El total de procesados debe ser mayor o igual al total de Reactivos en el grupo de edad 20 - 24</v>
      </c>
      <c r="CO65" s="2077" t="str">
        <f t="shared" si="147"/>
        <v>* El total de procesados debe ser mayor o igual al total de Reactivos en el grupo de edad 25 a 29</v>
      </c>
      <c r="CP65" s="2077" t="str">
        <f t="shared" si="148"/>
        <v>* El total de procesados debe ser mayor o igual al total de Reactivos en el grupo de edad 30 a 34</v>
      </c>
      <c r="CQ65" s="2077" t="str">
        <f t="shared" si="149"/>
        <v>* El total de procesados debe ser mayor o igual al total de Reactivos en el grupo de edad 35 a 39</v>
      </c>
      <c r="CR65" s="2077" t="str">
        <f t="shared" si="150"/>
        <v>* El total de procesados debe ser mayor o igual al total de Reactivos en el grupo de edad 40 a 44</v>
      </c>
      <c r="CS65" s="2077" t="str">
        <f t="shared" si="151"/>
        <v>* El total de procesados debe ser mayor o igual al total de Reactivos en el grupo de edad 45 a 49</v>
      </c>
      <c r="CT65" s="2077" t="str">
        <f t="shared" si="152"/>
        <v>* El total de procesados debe ser mayor o igual al total de Reactivos en el grupo de edad 50 a 54</v>
      </c>
      <c r="CU65" s="2077" t="str">
        <f t="shared" si="153"/>
        <v>* El total de procesados debe ser mayor o igual al total de Reactivos en el grupo de edad 55 a 59</v>
      </c>
      <c r="CV65" s="2077" t="str">
        <f t="shared" si="154"/>
        <v>* El total de procesados debe ser mayor o igual al total de Reactivos en el grupo de edad 60 a 64</v>
      </c>
      <c r="CW65" s="2077" t="str">
        <f t="shared" si="155"/>
        <v>* El total de procesados debe ser mayor o igual al total de Reactivos en el grupo de edad 65 a 69</v>
      </c>
      <c r="CX65" s="2077" t="str">
        <f t="shared" si="156"/>
        <v>* El total de procesados debe ser mayor o igual al total de Reactivos en el grupo de edad 70 a 74</v>
      </c>
      <c r="CY65" s="2077" t="str">
        <f t="shared" si="157"/>
        <v>* El total de procesados debe ser mayor o igual al total de Reactivos en el grupo de edad 75 a 79</v>
      </c>
      <c r="CZ65" s="2077" t="str">
        <f t="shared" si="158"/>
        <v>* El total de procesados debe ser mayor o igual al total de Reactivos en el grupo de edad 80 y más</v>
      </c>
      <c r="DA65" s="2077" t="str">
        <f t="shared" si="112"/>
        <v/>
      </c>
      <c r="DB65" s="1363">
        <f t="shared" si="113"/>
        <v>1</v>
      </c>
      <c r="DC65" s="1363" t="e">
        <f t="shared" si="114"/>
        <v>#VALUE!</v>
      </c>
      <c r="DD65" s="1363" t="e">
        <f t="shared" si="115"/>
        <v>#VALUE!</v>
      </c>
      <c r="DE65" s="1363">
        <f t="shared" si="116"/>
        <v>1</v>
      </c>
      <c r="DF65" s="1363">
        <f t="shared" si="117"/>
        <v>1</v>
      </c>
      <c r="DG65" s="1363">
        <f t="shared" si="118"/>
        <v>1</v>
      </c>
      <c r="DH65" s="1363">
        <f t="shared" si="119"/>
        <v>1</v>
      </c>
      <c r="DI65" s="1363">
        <f t="shared" si="120"/>
        <v>1</v>
      </c>
      <c r="DJ65" s="1363">
        <f t="shared" si="121"/>
        <v>1</v>
      </c>
      <c r="DK65" s="1363">
        <f t="shared" si="122"/>
        <v>1</v>
      </c>
      <c r="DL65" s="1363">
        <f t="shared" si="123"/>
        <v>1</v>
      </c>
      <c r="DM65" s="1363">
        <f t="shared" si="124"/>
        <v>1</v>
      </c>
      <c r="DN65" s="1363">
        <f t="shared" si="125"/>
        <v>1</v>
      </c>
      <c r="DO65" s="1363">
        <f t="shared" si="126"/>
        <v>1</v>
      </c>
      <c r="DP65" s="1363">
        <f t="shared" si="127"/>
        <v>1</v>
      </c>
      <c r="DQ65" s="1363">
        <f t="shared" si="128"/>
        <v>1</v>
      </c>
      <c r="DR65" s="1363">
        <f t="shared" si="129"/>
        <v>1</v>
      </c>
      <c r="DS65" s="1363">
        <f t="shared" si="130"/>
        <v>1</v>
      </c>
      <c r="DT65" s="1363">
        <f t="shared" si="131"/>
        <v>1</v>
      </c>
      <c r="DU65" s="1363">
        <f t="shared" si="132"/>
        <v>1</v>
      </c>
      <c r="DV65" s="1363">
        <f t="shared" si="133"/>
        <v>1</v>
      </c>
      <c r="DW65" s="1363">
        <f t="shared" si="134"/>
        <v>1</v>
      </c>
      <c r="DX65" s="1363">
        <f t="shared" si="135"/>
        <v>1</v>
      </c>
      <c r="DY65" s="1363">
        <f t="shared" si="136"/>
        <v>1</v>
      </c>
      <c r="DZ65" s="1363">
        <f t="shared" si="137"/>
        <v>1</v>
      </c>
      <c r="EA65" s="1363">
        <f t="shared" si="138"/>
        <v>0</v>
      </c>
    </row>
    <row r="66" spans="1:131" ht="15.95" customHeight="1" x14ac:dyDescent="0.25">
      <c r="A66" s="2458">
        <v>11056410</v>
      </c>
      <c r="B66" s="371" t="s">
        <v>2269</v>
      </c>
      <c r="C66" s="707" t="s">
        <v>2777</v>
      </c>
      <c r="D66" s="281" t="s">
        <v>2778</v>
      </c>
      <c r="E66" s="161" t="s">
        <v>2779</v>
      </c>
      <c r="F66" s="145" t="s">
        <v>2780</v>
      </c>
      <c r="G66" s="173" t="s">
        <v>2781</v>
      </c>
      <c r="H66" s="145" t="s">
        <v>2782</v>
      </c>
      <c r="I66" s="173" t="s">
        <v>2783</v>
      </c>
      <c r="J66" s="145" t="s">
        <v>2784</v>
      </c>
      <c r="K66" s="173" t="s">
        <v>2785</v>
      </c>
      <c r="L66" s="145" t="s">
        <v>2786</v>
      </c>
      <c r="M66" s="173" t="s">
        <v>2787</v>
      </c>
      <c r="N66" s="162" t="s">
        <v>2788</v>
      </c>
      <c r="O66" s="161" t="s">
        <v>2789</v>
      </c>
      <c r="P66" s="145" t="s">
        <v>2790</v>
      </c>
      <c r="Q66" s="141" t="s">
        <v>2791</v>
      </c>
      <c r="R66" s="142" t="s">
        <v>2792</v>
      </c>
      <c r="S66" s="141" t="s">
        <v>2793</v>
      </c>
      <c r="T66" s="142" t="s">
        <v>2794</v>
      </c>
      <c r="U66" s="141" t="s">
        <v>2795</v>
      </c>
      <c r="V66" s="142" t="s">
        <v>2796</v>
      </c>
      <c r="W66" s="141" t="s">
        <v>2797</v>
      </c>
      <c r="X66" s="142" t="s">
        <v>2798</v>
      </c>
      <c r="Y66" s="141" t="s">
        <v>2799</v>
      </c>
      <c r="Z66" s="142" t="s">
        <v>2800</v>
      </c>
      <c r="AA66" s="141" t="s">
        <v>2801</v>
      </c>
      <c r="AB66" s="142" t="s">
        <v>2817</v>
      </c>
      <c r="AC66" s="141" t="s">
        <v>2818</v>
      </c>
      <c r="AD66" s="142" t="s">
        <v>2819</v>
      </c>
      <c r="AE66" s="141" t="s">
        <v>2821</v>
      </c>
      <c r="AF66" s="142" t="s">
        <v>2822</v>
      </c>
      <c r="AG66" s="141" t="s">
        <v>2823</v>
      </c>
      <c r="AH66" s="142" t="s">
        <v>2824</v>
      </c>
      <c r="AI66" s="141" t="s">
        <v>2825</v>
      </c>
      <c r="AJ66" s="142" t="s">
        <v>2826</v>
      </c>
      <c r="AK66" s="141" t="s">
        <v>2827</v>
      </c>
      <c r="AL66" s="142" t="s">
        <v>2831</v>
      </c>
      <c r="AM66" s="141" t="s">
        <v>2832</v>
      </c>
      <c r="AN66" s="142" t="s">
        <v>2833</v>
      </c>
      <c r="AO66" s="141" t="s">
        <v>2834</v>
      </c>
      <c r="AP66" s="142" t="s">
        <v>3011</v>
      </c>
      <c r="AQ66" s="141" t="s">
        <v>3012</v>
      </c>
      <c r="AR66" s="318" t="s">
        <v>3013</v>
      </c>
      <c r="AS66" s="180" t="s">
        <v>3014</v>
      </c>
      <c r="AT66" s="318" t="s">
        <v>3015</v>
      </c>
      <c r="AU66" s="180" t="s">
        <v>3206</v>
      </c>
      <c r="AV66" s="142" t="s">
        <v>3207</v>
      </c>
      <c r="AW66" s="141" t="s">
        <v>3272</v>
      </c>
      <c r="AX66" s="163" t="s">
        <v>3273</v>
      </c>
      <c r="AY66" s="1079" t="e">
        <f t="shared" si="106"/>
        <v>#VALUE!</v>
      </c>
      <c r="AZ66" s="1079"/>
      <c r="BA66" s="1079"/>
      <c r="BB66" s="1079"/>
      <c r="BC66" s="1079"/>
      <c r="BD66" s="1079"/>
      <c r="BE66" s="1079"/>
      <c r="BF66" s="1079"/>
      <c r="BG66" s="1079"/>
      <c r="BH66" s="1079"/>
      <c r="BI66" s="1079"/>
      <c r="BJ66" s="884"/>
      <c r="BK66" s="884"/>
      <c r="BL66" s="884"/>
      <c r="BM66" s="884"/>
      <c r="BV66" s="884"/>
      <c r="BX66" s="885"/>
      <c r="CB66" s="2077" t="str">
        <f t="shared" si="107"/>
        <v xml:space="preserve">* El total de Reactivos NO DEBE ser superior al total de Procesados. </v>
      </c>
      <c r="CC66" s="2077" t="e">
        <f t="shared" si="108"/>
        <v>#VALUE!</v>
      </c>
      <c r="CD66" s="2077" t="e">
        <f t="shared" si="109"/>
        <v>#VALUE!</v>
      </c>
      <c r="CE66" s="2077" t="str">
        <f t="shared" si="110"/>
        <v xml:space="preserve">* La columna Pueblos Originarios NO DEBE ser superior al total de Procesados. </v>
      </c>
      <c r="CF66" s="2077" t="str">
        <f t="shared" si="111"/>
        <v xml:space="preserve">* La columna Migrantes NO DEBE ser superior al total de Procesados. </v>
      </c>
      <c r="CG66" s="2077" t="str">
        <f t="shared" si="139"/>
        <v>* El total de procesados debe ser mayor o igual al total de Reactivos en el grupo de edad Menor de 6 meses</v>
      </c>
      <c r="CH66" s="2077" t="str">
        <f t="shared" si="140"/>
        <v>* El total de procesados debe ser mayor o igual al total de Reactivos en el grupo de edad 6 a 11 meses</v>
      </c>
      <c r="CI66" s="2077" t="str">
        <f t="shared" si="141"/>
        <v>* El total de procesados debe ser mayor o igual al total de Reactivos en el grupo de edad 12-24 meses</v>
      </c>
      <c r="CJ66" s="2077" t="str">
        <f t="shared" si="142"/>
        <v>* El total de procesados debe ser mayor o igual al total de Reactivos en el grupo de edad 3 a 4</v>
      </c>
      <c r="CK66" s="2077" t="str">
        <f t="shared" si="143"/>
        <v>* El total de procesados debe ser mayor o igual al total de Reactivos en el grupo de edad 5 a 9</v>
      </c>
      <c r="CL66" s="2077" t="str">
        <f t="shared" si="144"/>
        <v>* El total de procesados debe ser mayor o igual al total de Reactivos en el grupo de edad 10 - 14</v>
      </c>
      <c r="CM66" s="2077" t="str">
        <f t="shared" si="145"/>
        <v>* El total de procesados debe ser mayor o igual al total de Reactivos en el grupo de edad 15 - 19</v>
      </c>
      <c r="CN66" s="2077" t="str">
        <f t="shared" si="146"/>
        <v>* El total de procesados debe ser mayor o igual al total de Reactivos en el grupo de edad 20 - 24</v>
      </c>
      <c r="CO66" s="2077" t="str">
        <f t="shared" si="147"/>
        <v>* El total de procesados debe ser mayor o igual al total de Reactivos en el grupo de edad 25 a 29</v>
      </c>
      <c r="CP66" s="2077" t="str">
        <f t="shared" si="148"/>
        <v>* El total de procesados debe ser mayor o igual al total de Reactivos en el grupo de edad 30 a 34</v>
      </c>
      <c r="CQ66" s="2077" t="str">
        <f t="shared" si="149"/>
        <v>* El total de procesados debe ser mayor o igual al total de Reactivos en el grupo de edad 35 a 39</v>
      </c>
      <c r="CR66" s="2077" t="str">
        <f t="shared" si="150"/>
        <v>* El total de procesados debe ser mayor o igual al total de Reactivos en el grupo de edad 40 a 44</v>
      </c>
      <c r="CS66" s="2077" t="str">
        <f t="shared" si="151"/>
        <v>* El total de procesados debe ser mayor o igual al total de Reactivos en el grupo de edad 45 a 49</v>
      </c>
      <c r="CT66" s="2077" t="str">
        <f t="shared" si="152"/>
        <v>* El total de procesados debe ser mayor o igual al total de Reactivos en el grupo de edad 50 a 54</v>
      </c>
      <c r="CU66" s="2077" t="str">
        <f t="shared" si="153"/>
        <v>* El total de procesados debe ser mayor o igual al total de Reactivos en el grupo de edad 55 a 59</v>
      </c>
      <c r="CV66" s="2077" t="str">
        <f t="shared" si="154"/>
        <v>* El total de procesados debe ser mayor o igual al total de Reactivos en el grupo de edad 60 a 64</v>
      </c>
      <c r="CW66" s="2077" t="str">
        <f t="shared" si="155"/>
        <v>* El total de procesados debe ser mayor o igual al total de Reactivos en el grupo de edad 65 a 69</v>
      </c>
      <c r="CX66" s="2077" t="str">
        <f t="shared" si="156"/>
        <v>* El total de procesados debe ser mayor o igual al total de Reactivos en el grupo de edad 70 a 74</v>
      </c>
      <c r="CY66" s="2077" t="str">
        <f t="shared" si="157"/>
        <v>* El total de procesados debe ser mayor o igual al total de Reactivos en el grupo de edad 75 a 79</v>
      </c>
      <c r="CZ66" s="2077" t="str">
        <f t="shared" si="158"/>
        <v>* El total de procesados debe ser mayor o igual al total de Reactivos en el grupo de edad 80 y más</v>
      </c>
      <c r="DA66" s="2077" t="str">
        <f t="shared" si="112"/>
        <v/>
      </c>
      <c r="DB66" s="1363">
        <f t="shared" si="113"/>
        <v>1</v>
      </c>
      <c r="DC66" s="1363" t="e">
        <f t="shared" si="114"/>
        <v>#VALUE!</v>
      </c>
      <c r="DD66" s="1363" t="e">
        <f t="shared" si="115"/>
        <v>#VALUE!</v>
      </c>
      <c r="DE66" s="1363">
        <f t="shared" si="116"/>
        <v>1</v>
      </c>
      <c r="DF66" s="1363">
        <f t="shared" si="117"/>
        <v>1</v>
      </c>
      <c r="DG66" s="1363">
        <f t="shared" si="118"/>
        <v>1</v>
      </c>
      <c r="DH66" s="1363">
        <f t="shared" si="119"/>
        <v>1</v>
      </c>
      <c r="DI66" s="1363">
        <f t="shared" si="120"/>
        <v>1</v>
      </c>
      <c r="DJ66" s="1363">
        <f t="shared" si="121"/>
        <v>1</v>
      </c>
      <c r="DK66" s="1363">
        <f t="shared" si="122"/>
        <v>1</v>
      </c>
      <c r="DL66" s="1363">
        <f t="shared" si="123"/>
        <v>1</v>
      </c>
      <c r="DM66" s="1363">
        <f t="shared" si="124"/>
        <v>1</v>
      </c>
      <c r="DN66" s="1363">
        <f t="shared" si="125"/>
        <v>1</v>
      </c>
      <c r="DO66" s="1363">
        <f t="shared" si="126"/>
        <v>1</v>
      </c>
      <c r="DP66" s="1363">
        <f t="shared" si="127"/>
        <v>1</v>
      </c>
      <c r="DQ66" s="1363">
        <f t="shared" si="128"/>
        <v>1</v>
      </c>
      <c r="DR66" s="1363">
        <f t="shared" si="129"/>
        <v>1</v>
      </c>
      <c r="DS66" s="1363">
        <f t="shared" si="130"/>
        <v>1</v>
      </c>
      <c r="DT66" s="1363">
        <f t="shared" si="131"/>
        <v>1</v>
      </c>
      <c r="DU66" s="1363">
        <f t="shared" si="132"/>
        <v>1</v>
      </c>
      <c r="DV66" s="1363">
        <f t="shared" si="133"/>
        <v>1</v>
      </c>
      <c r="DW66" s="1363">
        <f t="shared" si="134"/>
        <v>1</v>
      </c>
      <c r="DX66" s="1363">
        <f t="shared" si="135"/>
        <v>1</v>
      </c>
      <c r="DY66" s="1363">
        <f t="shared" si="136"/>
        <v>1</v>
      </c>
      <c r="DZ66" s="1363">
        <f t="shared" si="137"/>
        <v>1</v>
      </c>
      <c r="EA66" s="1363">
        <f t="shared" si="138"/>
        <v>0</v>
      </c>
    </row>
    <row r="67" spans="1:131" ht="16.350000000000001" customHeight="1" x14ac:dyDescent="0.25">
      <c r="A67" s="2458">
        <v>11056411</v>
      </c>
      <c r="B67" s="140" t="s">
        <v>2270</v>
      </c>
      <c r="C67" s="707" t="s">
        <v>2777</v>
      </c>
      <c r="D67" s="281" t="s">
        <v>2778</v>
      </c>
      <c r="E67" s="1703" t="s">
        <v>2779</v>
      </c>
      <c r="F67" s="1090" t="s">
        <v>2780</v>
      </c>
      <c r="G67" s="936" t="s">
        <v>2781</v>
      </c>
      <c r="H67" s="1090" t="s">
        <v>2782</v>
      </c>
      <c r="I67" s="936" t="s">
        <v>2783</v>
      </c>
      <c r="J67" s="937" t="s">
        <v>2784</v>
      </c>
      <c r="K67" s="1703" t="s">
        <v>2785</v>
      </c>
      <c r="L67" s="1703" t="s">
        <v>2786</v>
      </c>
      <c r="M67" s="936" t="s">
        <v>2787</v>
      </c>
      <c r="N67" s="937" t="s">
        <v>2788</v>
      </c>
      <c r="O67" s="180" t="s">
        <v>2789</v>
      </c>
      <c r="P67" s="142" t="s">
        <v>2790</v>
      </c>
      <c r="Q67" s="141" t="s">
        <v>2791</v>
      </c>
      <c r="R67" s="142" t="s">
        <v>2792</v>
      </c>
      <c r="S67" s="141" t="s">
        <v>2793</v>
      </c>
      <c r="T67" s="142" t="s">
        <v>2794</v>
      </c>
      <c r="U67" s="141" t="s">
        <v>2795</v>
      </c>
      <c r="V67" s="142" t="s">
        <v>2796</v>
      </c>
      <c r="W67" s="141" t="s">
        <v>2797</v>
      </c>
      <c r="X67" s="142" t="s">
        <v>2798</v>
      </c>
      <c r="Y67" s="141" t="s">
        <v>2799</v>
      </c>
      <c r="Z67" s="142" t="s">
        <v>2800</v>
      </c>
      <c r="AA67" s="141" t="s">
        <v>2801</v>
      </c>
      <c r="AB67" s="142" t="s">
        <v>2817</v>
      </c>
      <c r="AC67" s="141" t="s">
        <v>2818</v>
      </c>
      <c r="AD67" s="142" t="s">
        <v>2819</v>
      </c>
      <c r="AE67" s="141" t="s">
        <v>2821</v>
      </c>
      <c r="AF67" s="142" t="s">
        <v>2822</v>
      </c>
      <c r="AG67" s="141" t="s">
        <v>2823</v>
      </c>
      <c r="AH67" s="142" t="s">
        <v>2824</v>
      </c>
      <c r="AI67" s="141" t="s">
        <v>2825</v>
      </c>
      <c r="AJ67" s="142" t="s">
        <v>2826</v>
      </c>
      <c r="AK67" s="141" t="s">
        <v>2827</v>
      </c>
      <c r="AL67" s="142" t="s">
        <v>2831</v>
      </c>
      <c r="AM67" s="141" t="s">
        <v>2832</v>
      </c>
      <c r="AN67" s="142" t="s">
        <v>2833</v>
      </c>
      <c r="AO67" s="141" t="s">
        <v>2834</v>
      </c>
      <c r="AP67" s="142" t="s">
        <v>3011</v>
      </c>
      <c r="AQ67" s="141" t="s">
        <v>3012</v>
      </c>
      <c r="AR67" s="318" t="s">
        <v>3013</v>
      </c>
      <c r="AS67" s="180" t="s">
        <v>3014</v>
      </c>
      <c r="AT67" s="318" t="s">
        <v>3015</v>
      </c>
      <c r="AU67" s="180" t="s">
        <v>3206</v>
      </c>
      <c r="AV67" s="142" t="s">
        <v>3207</v>
      </c>
      <c r="AW67" s="141" t="s">
        <v>3272</v>
      </c>
      <c r="AX67" s="163" t="s">
        <v>3273</v>
      </c>
      <c r="AY67" s="1079" t="e">
        <f t="shared" si="106"/>
        <v>#VALUE!</v>
      </c>
      <c r="AZ67" s="1079"/>
      <c r="BA67" s="1079"/>
      <c r="BB67" s="1079"/>
      <c r="BC67" s="1079"/>
      <c r="BD67" s="1079"/>
      <c r="BE67" s="1079"/>
      <c r="BF67" s="1079"/>
      <c r="BG67" s="1079"/>
      <c r="BH67" s="1079"/>
      <c r="BI67" s="1079"/>
      <c r="BJ67" s="884"/>
      <c r="BK67" s="884"/>
      <c r="BL67" s="884"/>
      <c r="BM67" s="884"/>
      <c r="BV67" s="884"/>
      <c r="BX67" s="885"/>
      <c r="CB67" s="2077" t="str">
        <f t="shared" si="107"/>
        <v xml:space="preserve">* El total de Reactivos NO DEBE ser superior al total de Procesados. </v>
      </c>
      <c r="CC67" s="2077" t="e">
        <f t="shared" si="108"/>
        <v>#VALUE!</v>
      </c>
      <c r="CD67" s="2077" t="e">
        <f t="shared" si="109"/>
        <v>#VALUE!</v>
      </c>
      <c r="CE67" s="2077" t="str">
        <f t="shared" si="110"/>
        <v xml:space="preserve">* La columna Pueblos Originarios NO DEBE ser superior al total de Procesados. </v>
      </c>
      <c r="CF67" s="2077" t="str">
        <f t="shared" si="111"/>
        <v xml:space="preserve">* La columna Migrantes NO DEBE ser superior al total de Procesados. </v>
      </c>
      <c r="CG67" s="2077" t="str">
        <f t="shared" si="139"/>
        <v>* El total de procesados debe ser mayor o igual al total de Reactivos en el grupo de edad Menor de 6 meses</v>
      </c>
      <c r="CH67" s="2077" t="str">
        <f t="shared" si="140"/>
        <v>* El total de procesados debe ser mayor o igual al total de Reactivos en el grupo de edad 6 a 11 meses</v>
      </c>
      <c r="CI67" s="2077" t="str">
        <f t="shared" si="141"/>
        <v>* El total de procesados debe ser mayor o igual al total de Reactivos en el grupo de edad 12-24 meses</v>
      </c>
      <c r="CJ67" s="2077" t="str">
        <f t="shared" si="142"/>
        <v>* El total de procesados debe ser mayor o igual al total de Reactivos en el grupo de edad 3 a 4</v>
      </c>
      <c r="CK67" s="2077" t="str">
        <f t="shared" si="143"/>
        <v>* El total de procesados debe ser mayor o igual al total de Reactivos en el grupo de edad 5 a 9</v>
      </c>
      <c r="CL67" s="2077" t="str">
        <f t="shared" si="144"/>
        <v>* El total de procesados debe ser mayor o igual al total de Reactivos en el grupo de edad 10 - 14</v>
      </c>
      <c r="CM67" s="2077" t="str">
        <f t="shared" si="145"/>
        <v>* El total de procesados debe ser mayor o igual al total de Reactivos en el grupo de edad 15 - 19</v>
      </c>
      <c r="CN67" s="2077" t="str">
        <f t="shared" si="146"/>
        <v>* El total de procesados debe ser mayor o igual al total de Reactivos en el grupo de edad 20 - 24</v>
      </c>
      <c r="CO67" s="2077" t="str">
        <f t="shared" si="147"/>
        <v>* El total de procesados debe ser mayor o igual al total de Reactivos en el grupo de edad 25 a 29</v>
      </c>
      <c r="CP67" s="2077" t="str">
        <f t="shared" si="148"/>
        <v>* El total de procesados debe ser mayor o igual al total de Reactivos en el grupo de edad 30 a 34</v>
      </c>
      <c r="CQ67" s="2077" t="str">
        <f t="shared" si="149"/>
        <v>* El total de procesados debe ser mayor o igual al total de Reactivos en el grupo de edad 35 a 39</v>
      </c>
      <c r="CR67" s="2077" t="str">
        <f t="shared" si="150"/>
        <v>* El total de procesados debe ser mayor o igual al total de Reactivos en el grupo de edad 40 a 44</v>
      </c>
      <c r="CS67" s="2077" t="str">
        <f t="shared" si="151"/>
        <v>* El total de procesados debe ser mayor o igual al total de Reactivos en el grupo de edad 45 a 49</v>
      </c>
      <c r="CT67" s="2077" t="str">
        <f t="shared" si="152"/>
        <v>* El total de procesados debe ser mayor o igual al total de Reactivos en el grupo de edad 50 a 54</v>
      </c>
      <c r="CU67" s="2077" t="str">
        <f t="shared" si="153"/>
        <v>* El total de procesados debe ser mayor o igual al total de Reactivos en el grupo de edad 55 a 59</v>
      </c>
      <c r="CV67" s="2077" t="str">
        <f t="shared" si="154"/>
        <v>* El total de procesados debe ser mayor o igual al total de Reactivos en el grupo de edad 60 a 64</v>
      </c>
      <c r="CW67" s="2077" t="str">
        <f t="shared" si="155"/>
        <v>* El total de procesados debe ser mayor o igual al total de Reactivos en el grupo de edad 65 a 69</v>
      </c>
      <c r="CX67" s="2077" t="str">
        <f t="shared" si="156"/>
        <v>* El total de procesados debe ser mayor o igual al total de Reactivos en el grupo de edad 70 a 74</v>
      </c>
      <c r="CY67" s="2077" t="str">
        <f t="shared" si="157"/>
        <v>* El total de procesados debe ser mayor o igual al total de Reactivos en el grupo de edad 75 a 79</v>
      </c>
      <c r="CZ67" s="2077" t="str">
        <f t="shared" si="158"/>
        <v>* El total de procesados debe ser mayor o igual al total de Reactivos en el grupo de edad 80 y más</v>
      </c>
      <c r="DA67" s="2077" t="str">
        <f t="shared" si="112"/>
        <v/>
      </c>
      <c r="DB67" s="1363">
        <f t="shared" si="113"/>
        <v>1</v>
      </c>
      <c r="DC67" s="1363" t="e">
        <f t="shared" si="114"/>
        <v>#VALUE!</v>
      </c>
      <c r="DD67" s="1363" t="e">
        <f t="shared" si="115"/>
        <v>#VALUE!</v>
      </c>
      <c r="DE67" s="1363">
        <f t="shared" si="116"/>
        <v>1</v>
      </c>
      <c r="DF67" s="1363">
        <f t="shared" si="117"/>
        <v>1</v>
      </c>
      <c r="DG67" s="1363">
        <f t="shared" si="118"/>
        <v>1</v>
      </c>
      <c r="DH67" s="1363">
        <f t="shared" si="119"/>
        <v>1</v>
      </c>
      <c r="DI67" s="1363">
        <f t="shared" si="120"/>
        <v>1</v>
      </c>
      <c r="DJ67" s="1363">
        <f t="shared" si="121"/>
        <v>1</v>
      </c>
      <c r="DK67" s="1363">
        <f t="shared" si="122"/>
        <v>1</v>
      </c>
      <c r="DL67" s="1363">
        <f t="shared" si="123"/>
        <v>1</v>
      </c>
      <c r="DM67" s="1363">
        <f t="shared" si="124"/>
        <v>1</v>
      </c>
      <c r="DN67" s="1363">
        <f t="shared" si="125"/>
        <v>1</v>
      </c>
      <c r="DO67" s="1363">
        <f t="shared" si="126"/>
        <v>1</v>
      </c>
      <c r="DP67" s="1363">
        <f t="shared" si="127"/>
        <v>1</v>
      </c>
      <c r="DQ67" s="1363">
        <f t="shared" si="128"/>
        <v>1</v>
      </c>
      <c r="DR67" s="1363">
        <f t="shared" si="129"/>
        <v>1</v>
      </c>
      <c r="DS67" s="1363">
        <f t="shared" si="130"/>
        <v>1</v>
      </c>
      <c r="DT67" s="1363">
        <f t="shared" si="131"/>
        <v>1</v>
      </c>
      <c r="DU67" s="1363">
        <f t="shared" si="132"/>
        <v>1</v>
      </c>
      <c r="DV67" s="1363">
        <f t="shared" si="133"/>
        <v>1</v>
      </c>
      <c r="DW67" s="1363">
        <f t="shared" si="134"/>
        <v>1</v>
      </c>
      <c r="DX67" s="1363">
        <f t="shared" si="135"/>
        <v>1</v>
      </c>
      <c r="DY67" s="1363">
        <f t="shared" si="136"/>
        <v>1</v>
      </c>
      <c r="DZ67" s="1363">
        <f t="shared" si="137"/>
        <v>1</v>
      </c>
      <c r="EA67" s="1363">
        <f t="shared" si="138"/>
        <v>0</v>
      </c>
    </row>
    <row r="68" spans="1:131" ht="16.350000000000001" customHeight="1" x14ac:dyDescent="0.25">
      <c r="A68" s="2458">
        <v>11056412</v>
      </c>
      <c r="B68" s="140" t="s">
        <v>2271</v>
      </c>
      <c r="C68" s="707" t="s">
        <v>2777</v>
      </c>
      <c r="D68" s="281" t="s">
        <v>2778</v>
      </c>
      <c r="E68" s="180" t="s">
        <v>2779</v>
      </c>
      <c r="F68" s="142" t="s">
        <v>2780</v>
      </c>
      <c r="G68" s="141" t="s">
        <v>2781</v>
      </c>
      <c r="H68" s="142" t="s">
        <v>2782</v>
      </c>
      <c r="I68" s="141" t="s">
        <v>2783</v>
      </c>
      <c r="J68" s="163" t="s">
        <v>2784</v>
      </c>
      <c r="K68" s="180" t="s">
        <v>2785</v>
      </c>
      <c r="L68" s="180" t="s">
        <v>2786</v>
      </c>
      <c r="M68" s="141" t="s">
        <v>2787</v>
      </c>
      <c r="N68" s="163" t="s">
        <v>2788</v>
      </c>
      <c r="O68" s="180" t="s">
        <v>2789</v>
      </c>
      <c r="P68" s="142" t="s">
        <v>2790</v>
      </c>
      <c r="Q68" s="141" t="s">
        <v>2791</v>
      </c>
      <c r="R68" s="142" t="s">
        <v>2792</v>
      </c>
      <c r="S68" s="141" t="s">
        <v>2793</v>
      </c>
      <c r="T68" s="142" t="s">
        <v>2794</v>
      </c>
      <c r="U68" s="141" t="s">
        <v>2795</v>
      </c>
      <c r="V68" s="142" t="s">
        <v>2796</v>
      </c>
      <c r="W68" s="141" t="s">
        <v>2797</v>
      </c>
      <c r="X68" s="142" t="s">
        <v>2798</v>
      </c>
      <c r="Y68" s="141" t="s">
        <v>2799</v>
      </c>
      <c r="Z68" s="142" t="s">
        <v>2800</v>
      </c>
      <c r="AA68" s="141" t="s">
        <v>2801</v>
      </c>
      <c r="AB68" s="142" t="s">
        <v>2817</v>
      </c>
      <c r="AC68" s="141" t="s">
        <v>2818</v>
      </c>
      <c r="AD68" s="142" t="s">
        <v>2819</v>
      </c>
      <c r="AE68" s="141" t="s">
        <v>2821</v>
      </c>
      <c r="AF68" s="142" t="s">
        <v>2822</v>
      </c>
      <c r="AG68" s="141" t="s">
        <v>2823</v>
      </c>
      <c r="AH68" s="142" t="s">
        <v>2824</v>
      </c>
      <c r="AI68" s="141" t="s">
        <v>2825</v>
      </c>
      <c r="AJ68" s="142" t="s">
        <v>2826</v>
      </c>
      <c r="AK68" s="141" t="s">
        <v>2827</v>
      </c>
      <c r="AL68" s="142" t="s">
        <v>2831</v>
      </c>
      <c r="AM68" s="141" t="s">
        <v>2832</v>
      </c>
      <c r="AN68" s="142" t="s">
        <v>2833</v>
      </c>
      <c r="AO68" s="141" t="s">
        <v>2834</v>
      </c>
      <c r="AP68" s="142" t="s">
        <v>3011</v>
      </c>
      <c r="AQ68" s="141" t="s">
        <v>3012</v>
      </c>
      <c r="AR68" s="318" t="s">
        <v>3013</v>
      </c>
      <c r="AS68" s="180" t="s">
        <v>3014</v>
      </c>
      <c r="AT68" s="318" t="s">
        <v>3015</v>
      </c>
      <c r="AU68" s="180" t="s">
        <v>3206</v>
      </c>
      <c r="AV68" s="142" t="s">
        <v>3207</v>
      </c>
      <c r="AW68" s="141" t="s">
        <v>3272</v>
      </c>
      <c r="AX68" s="163" t="s">
        <v>3273</v>
      </c>
      <c r="AY68" s="1079" t="e">
        <f t="shared" si="106"/>
        <v>#VALUE!</v>
      </c>
      <c r="AZ68" s="1079"/>
      <c r="BA68" s="1079"/>
      <c r="BB68" s="1079"/>
      <c r="BC68" s="1079"/>
      <c r="BD68" s="1079"/>
      <c r="BE68" s="1079"/>
      <c r="BF68" s="1079"/>
      <c r="BG68" s="1079"/>
      <c r="BH68" s="1079"/>
      <c r="BI68" s="1079"/>
      <c r="BJ68" s="884"/>
      <c r="BK68" s="884"/>
      <c r="BL68" s="884"/>
      <c r="BM68" s="884"/>
      <c r="BV68" s="884"/>
      <c r="BX68" s="885"/>
      <c r="CB68" s="2077" t="str">
        <f t="shared" si="107"/>
        <v xml:space="preserve">* El total de Reactivos NO DEBE ser superior al total de Procesados. </v>
      </c>
      <c r="CC68" s="2077" t="e">
        <f t="shared" si="108"/>
        <v>#VALUE!</v>
      </c>
      <c r="CD68" s="2077" t="e">
        <f t="shared" si="109"/>
        <v>#VALUE!</v>
      </c>
      <c r="CE68" s="2077" t="str">
        <f t="shared" si="110"/>
        <v xml:space="preserve">* La columna Pueblos Originarios NO DEBE ser superior al total de Procesados. </v>
      </c>
      <c r="CF68" s="2077" t="str">
        <f t="shared" si="111"/>
        <v xml:space="preserve">* La columna Migrantes NO DEBE ser superior al total de Procesados. </v>
      </c>
      <c r="CG68" s="2077" t="str">
        <f t="shared" si="139"/>
        <v>* El total de procesados debe ser mayor o igual al total de Reactivos en el grupo de edad Menor de 6 meses</v>
      </c>
      <c r="CH68" s="2077" t="str">
        <f t="shared" si="140"/>
        <v>* El total de procesados debe ser mayor o igual al total de Reactivos en el grupo de edad 6 a 11 meses</v>
      </c>
      <c r="CI68" s="2077" t="str">
        <f t="shared" si="141"/>
        <v>* El total de procesados debe ser mayor o igual al total de Reactivos en el grupo de edad 12-24 meses</v>
      </c>
      <c r="CJ68" s="2077" t="str">
        <f t="shared" si="142"/>
        <v>* El total de procesados debe ser mayor o igual al total de Reactivos en el grupo de edad 3 a 4</v>
      </c>
      <c r="CK68" s="2077" t="str">
        <f t="shared" si="143"/>
        <v>* El total de procesados debe ser mayor o igual al total de Reactivos en el grupo de edad 5 a 9</v>
      </c>
      <c r="CL68" s="2077" t="str">
        <f t="shared" si="144"/>
        <v>* El total de procesados debe ser mayor o igual al total de Reactivos en el grupo de edad 10 - 14</v>
      </c>
      <c r="CM68" s="2077" t="str">
        <f t="shared" si="145"/>
        <v>* El total de procesados debe ser mayor o igual al total de Reactivos en el grupo de edad 15 - 19</v>
      </c>
      <c r="CN68" s="2077" t="str">
        <f t="shared" si="146"/>
        <v>* El total de procesados debe ser mayor o igual al total de Reactivos en el grupo de edad 20 - 24</v>
      </c>
      <c r="CO68" s="2077" t="str">
        <f t="shared" si="147"/>
        <v>* El total de procesados debe ser mayor o igual al total de Reactivos en el grupo de edad 25 a 29</v>
      </c>
      <c r="CP68" s="2077" t="str">
        <f t="shared" si="148"/>
        <v>* El total de procesados debe ser mayor o igual al total de Reactivos en el grupo de edad 30 a 34</v>
      </c>
      <c r="CQ68" s="2077" t="str">
        <f t="shared" si="149"/>
        <v>* El total de procesados debe ser mayor o igual al total de Reactivos en el grupo de edad 35 a 39</v>
      </c>
      <c r="CR68" s="2077" t="str">
        <f t="shared" si="150"/>
        <v>* El total de procesados debe ser mayor o igual al total de Reactivos en el grupo de edad 40 a 44</v>
      </c>
      <c r="CS68" s="2077" t="str">
        <f t="shared" si="151"/>
        <v>* El total de procesados debe ser mayor o igual al total de Reactivos en el grupo de edad 45 a 49</v>
      </c>
      <c r="CT68" s="2077" t="str">
        <f t="shared" si="152"/>
        <v>* El total de procesados debe ser mayor o igual al total de Reactivos en el grupo de edad 50 a 54</v>
      </c>
      <c r="CU68" s="2077" t="str">
        <f t="shared" si="153"/>
        <v>* El total de procesados debe ser mayor o igual al total de Reactivos en el grupo de edad 55 a 59</v>
      </c>
      <c r="CV68" s="2077" t="str">
        <f t="shared" si="154"/>
        <v>* El total de procesados debe ser mayor o igual al total de Reactivos en el grupo de edad 60 a 64</v>
      </c>
      <c r="CW68" s="2077" t="str">
        <f t="shared" si="155"/>
        <v>* El total de procesados debe ser mayor o igual al total de Reactivos en el grupo de edad 65 a 69</v>
      </c>
      <c r="CX68" s="2077" t="str">
        <f t="shared" si="156"/>
        <v>* El total de procesados debe ser mayor o igual al total de Reactivos en el grupo de edad 70 a 74</v>
      </c>
      <c r="CY68" s="2077" t="str">
        <f t="shared" si="157"/>
        <v>* El total de procesados debe ser mayor o igual al total de Reactivos en el grupo de edad 75 a 79</v>
      </c>
      <c r="CZ68" s="2077" t="str">
        <f t="shared" si="158"/>
        <v>* El total de procesados debe ser mayor o igual al total de Reactivos en el grupo de edad 80 y más</v>
      </c>
      <c r="DA68" s="2077" t="str">
        <f t="shared" si="112"/>
        <v/>
      </c>
      <c r="DB68" s="1363">
        <f t="shared" si="113"/>
        <v>1</v>
      </c>
      <c r="DC68" s="1363" t="e">
        <f t="shared" si="114"/>
        <v>#VALUE!</v>
      </c>
      <c r="DD68" s="1363" t="e">
        <f t="shared" si="115"/>
        <v>#VALUE!</v>
      </c>
      <c r="DE68" s="1363">
        <f t="shared" si="116"/>
        <v>1</v>
      </c>
      <c r="DF68" s="1363">
        <f t="shared" si="117"/>
        <v>1</v>
      </c>
      <c r="DG68" s="1363">
        <f t="shared" si="118"/>
        <v>1</v>
      </c>
      <c r="DH68" s="1363">
        <f t="shared" si="119"/>
        <v>1</v>
      </c>
      <c r="DI68" s="1363">
        <f t="shared" si="120"/>
        <v>1</v>
      </c>
      <c r="DJ68" s="1363">
        <f t="shared" si="121"/>
        <v>1</v>
      </c>
      <c r="DK68" s="1363">
        <f t="shared" si="122"/>
        <v>1</v>
      </c>
      <c r="DL68" s="1363">
        <f t="shared" si="123"/>
        <v>1</v>
      </c>
      <c r="DM68" s="1363">
        <f t="shared" si="124"/>
        <v>1</v>
      </c>
      <c r="DN68" s="1363">
        <f t="shared" si="125"/>
        <v>1</v>
      </c>
      <c r="DO68" s="1363">
        <f t="shared" si="126"/>
        <v>1</v>
      </c>
      <c r="DP68" s="1363">
        <f t="shared" si="127"/>
        <v>1</v>
      </c>
      <c r="DQ68" s="1363">
        <f t="shared" si="128"/>
        <v>1</v>
      </c>
      <c r="DR68" s="1363">
        <f t="shared" si="129"/>
        <v>1</v>
      </c>
      <c r="DS68" s="1363">
        <f t="shared" si="130"/>
        <v>1</v>
      </c>
      <c r="DT68" s="1363">
        <f t="shared" si="131"/>
        <v>1</v>
      </c>
      <c r="DU68" s="1363">
        <f t="shared" si="132"/>
        <v>1</v>
      </c>
      <c r="DV68" s="1363">
        <f t="shared" si="133"/>
        <v>1</v>
      </c>
      <c r="DW68" s="1363">
        <f t="shared" si="134"/>
        <v>1</v>
      </c>
      <c r="DX68" s="1363">
        <f t="shared" si="135"/>
        <v>1</v>
      </c>
      <c r="DY68" s="1363">
        <f t="shared" si="136"/>
        <v>1</v>
      </c>
      <c r="DZ68" s="1363">
        <f t="shared" si="137"/>
        <v>1</v>
      </c>
      <c r="EA68" s="1363">
        <f t="shared" si="138"/>
        <v>0</v>
      </c>
    </row>
    <row r="69" spans="1:131" ht="16.350000000000001" customHeight="1" x14ac:dyDescent="0.25">
      <c r="A69" s="2458">
        <v>11056413</v>
      </c>
      <c r="B69" s="140" t="s">
        <v>2272</v>
      </c>
      <c r="C69" s="707" t="s">
        <v>2777</v>
      </c>
      <c r="D69" s="281" t="s">
        <v>2778</v>
      </c>
      <c r="E69" s="161" t="s">
        <v>2779</v>
      </c>
      <c r="F69" s="145" t="s">
        <v>2780</v>
      </c>
      <c r="G69" s="173" t="s">
        <v>2781</v>
      </c>
      <c r="H69" s="145" t="s">
        <v>2782</v>
      </c>
      <c r="I69" s="173" t="s">
        <v>2783</v>
      </c>
      <c r="J69" s="145" t="s">
        <v>2784</v>
      </c>
      <c r="K69" s="173" t="s">
        <v>2785</v>
      </c>
      <c r="L69" s="145" t="s">
        <v>2786</v>
      </c>
      <c r="M69" s="173" t="s">
        <v>2787</v>
      </c>
      <c r="N69" s="162" t="s">
        <v>2788</v>
      </c>
      <c r="O69" s="161" t="s">
        <v>2789</v>
      </c>
      <c r="P69" s="145" t="s">
        <v>2790</v>
      </c>
      <c r="Q69" s="141" t="s">
        <v>2791</v>
      </c>
      <c r="R69" s="142" t="s">
        <v>2792</v>
      </c>
      <c r="S69" s="141" t="s">
        <v>2793</v>
      </c>
      <c r="T69" s="142" t="s">
        <v>2794</v>
      </c>
      <c r="U69" s="141" t="s">
        <v>2795</v>
      </c>
      <c r="V69" s="142" t="s">
        <v>2796</v>
      </c>
      <c r="W69" s="141" t="s">
        <v>2797</v>
      </c>
      <c r="X69" s="142" t="s">
        <v>2798</v>
      </c>
      <c r="Y69" s="141" t="s">
        <v>2799</v>
      </c>
      <c r="Z69" s="142" t="s">
        <v>2800</v>
      </c>
      <c r="AA69" s="141" t="s">
        <v>2801</v>
      </c>
      <c r="AB69" s="142" t="s">
        <v>2817</v>
      </c>
      <c r="AC69" s="141" t="s">
        <v>2818</v>
      </c>
      <c r="AD69" s="142" t="s">
        <v>2819</v>
      </c>
      <c r="AE69" s="141" t="s">
        <v>2821</v>
      </c>
      <c r="AF69" s="142" t="s">
        <v>2822</v>
      </c>
      <c r="AG69" s="141" t="s">
        <v>2823</v>
      </c>
      <c r="AH69" s="142" t="s">
        <v>2824</v>
      </c>
      <c r="AI69" s="141" t="s">
        <v>2825</v>
      </c>
      <c r="AJ69" s="142" t="s">
        <v>2826</v>
      </c>
      <c r="AK69" s="141" t="s">
        <v>2827</v>
      </c>
      <c r="AL69" s="142" t="s">
        <v>2831</v>
      </c>
      <c r="AM69" s="141" t="s">
        <v>2832</v>
      </c>
      <c r="AN69" s="142" t="s">
        <v>2833</v>
      </c>
      <c r="AO69" s="141" t="s">
        <v>2834</v>
      </c>
      <c r="AP69" s="142" t="s">
        <v>3011</v>
      </c>
      <c r="AQ69" s="141" t="s">
        <v>3012</v>
      </c>
      <c r="AR69" s="318" t="s">
        <v>3013</v>
      </c>
      <c r="AS69" s="180" t="s">
        <v>3014</v>
      </c>
      <c r="AT69" s="318" t="s">
        <v>3015</v>
      </c>
      <c r="AU69" s="180" t="s">
        <v>3206</v>
      </c>
      <c r="AV69" s="142" t="s">
        <v>3207</v>
      </c>
      <c r="AW69" s="141" t="s">
        <v>3272</v>
      </c>
      <c r="AX69" s="163" t="s">
        <v>3273</v>
      </c>
      <c r="AY69" s="1079" t="e">
        <f t="shared" si="106"/>
        <v>#VALUE!</v>
      </c>
      <c r="AZ69" s="1079"/>
      <c r="BA69" s="1079"/>
      <c r="BB69" s="1079"/>
      <c r="BC69" s="1079"/>
      <c r="BD69" s="1079"/>
      <c r="BE69" s="1079"/>
      <c r="BF69" s="1079"/>
      <c r="BG69" s="1079"/>
      <c r="BH69" s="1079"/>
      <c r="BI69" s="1079"/>
      <c r="BJ69" s="884"/>
      <c r="BK69" s="884"/>
      <c r="BL69" s="884"/>
      <c r="BM69" s="884"/>
      <c r="BV69" s="884"/>
      <c r="BX69" s="885"/>
      <c r="CB69" s="2077" t="str">
        <f t="shared" si="107"/>
        <v xml:space="preserve">* El total de Reactivos NO DEBE ser superior al total de Procesados. </v>
      </c>
      <c r="CC69" s="2077" t="e">
        <f t="shared" si="108"/>
        <v>#VALUE!</v>
      </c>
      <c r="CD69" s="2077" t="e">
        <f t="shared" si="109"/>
        <v>#VALUE!</v>
      </c>
      <c r="CE69" s="2077" t="str">
        <f t="shared" si="110"/>
        <v xml:space="preserve">* La columna Pueblos Originarios NO DEBE ser superior al total de Procesados. </v>
      </c>
      <c r="CF69" s="2077" t="str">
        <f t="shared" si="111"/>
        <v xml:space="preserve">* La columna Migrantes NO DEBE ser superior al total de Procesados. </v>
      </c>
      <c r="CG69" s="2077" t="str">
        <f t="shared" si="139"/>
        <v>* El total de procesados debe ser mayor o igual al total de Reactivos en el grupo de edad Menor de 6 meses</v>
      </c>
      <c r="CH69" s="2077" t="str">
        <f t="shared" si="140"/>
        <v>* El total de procesados debe ser mayor o igual al total de Reactivos en el grupo de edad 6 a 11 meses</v>
      </c>
      <c r="CI69" s="2077" t="str">
        <f t="shared" si="141"/>
        <v>* El total de procesados debe ser mayor o igual al total de Reactivos en el grupo de edad 12-24 meses</v>
      </c>
      <c r="CJ69" s="2077" t="str">
        <f t="shared" si="142"/>
        <v>* El total de procesados debe ser mayor o igual al total de Reactivos en el grupo de edad 3 a 4</v>
      </c>
      <c r="CK69" s="2077" t="str">
        <f t="shared" si="143"/>
        <v>* El total de procesados debe ser mayor o igual al total de Reactivos en el grupo de edad 5 a 9</v>
      </c>
      <c r="CL69" s="2077" t="str">
        <f t="shared" si="144"/>
        <v>* El total de procesados debe ser mayor o igual al total de Reactivos en el grupo de edad 10 - 14</v>
      </c>
      <c r="CM69" s="2077" t="str">
        <f t="shared" si="145"/>
        <v>* El total de procesados debe ser mayor o igual al total de Reactivos en el grupo de edad 15 - 19</v>
      </c>
      <c r="CN69" s="2077" t="str">
        <f t="shared" si="146"/>
        <v>* El total de procesados debe ser mayor o igual al total de Reactivos en el grupo de edad 20 - 24</v>
      </c>
      <c r="CO69" s="2077" t="str">
        <f t="shared" si="147"/>
        <v>* El total de procesados debe ser mayor o igual al total de Reactivos en el grupo de edad 25 a 29</v>
      </c>
      <c r="CP69" s="2077" t="str">
        <f t="shared" si="148"/>
        <v>* El total de procesados debe ser mayor o igual al total de Reactivos en el grupo de edad 30 a 34</v>
      </c>
      <c r="CQ69" s="2077" t="str">
        <f t="shared" si="149"/>
        <v>* El total de procesados debe ser mayor o igual al total de Reactivos en el grupo de edad 35 a 39</v>
      </c>
      <c r="CR69" s="2077" t="str">
        <f t="shared" si="150"/>
        <v>* El total de procesados debe ser mayor o igual al total de Reactivos en el grupo de edad 40 a 44</v>
      </c>
      <c r="CS69" s="2077" t="str">
        <f t="shared" si="151"/>
        <v>* El total de procesados debe ser mayor o igual al total de Reactivos en el grupo de edad 45 a 49</v>
      </c>
      <c r="CT69" s="2077" t="str">
        <f t="shared" si="152"/>
        <v>* El total de procesados debe ser mayor o igual al total de Reactivos en el grupo de edad 50 a 54</v>
      </c>
      <c r="CU69" s="2077" t="str">
        <f t="shared" si="153"/>
        <v>* El total de procesados debe ser mayor o igual al total de Reactivos en el grupo de edad 55 a 59</v>
      </c>
      <c r="CV69" s="2077" t="str">
        <f t="shared" si="154"/>
        <v>* El total de procesados debe ser mayor o igual al total de Reactivos en el grupo de edad 60 a 64</v>
      </c>
      <c r="CW69" s="2077" t="str">
        <f t="shared" si="155"/>
        <v>* El total de procesados debe ser mayor o igual al total de Reactivos en el grupo de edad 65 a 69</v>
      </c>
      <c r="CX69" s="2077" t="str">
        <f t="shared" si="156"/>
        <v>* El total de procesados debe ser mayor o igual al total de Reactivos en el grupo de edad 70 a 74</v>
      </c>
      <c r="CY69" s="2077" t="str">
        <f t="shared" si="157"/>
        <v>* El total de procesados debe ser mayor o igual al total de Reactivos en el grupo de edad 75 a 79</v>
      </c>
      <c r="CZ69" s="2077" t="str">
        <f t="shared" si="158"/>
        <v>* El total de procesados debe ser mayor o igual al total de Reactivos en el grupo de edad 80 y más</v>
      </c>
      <c r="DA69" s="2077" t="str">
        <f t="shared" si="112"/>
        <v/>
      </c>
      <c r="DB69" s="1363">
        <f t="shared" si="113"/>
        <v>1</v>
      </c>
      <c r="DC69" s="1363" t="e">
        <f t="shared" si="114"/>
        <v>#VALUE!</v>
      </c>
      <c r="DD69" s="1363" t="e">
        <f t="shared" si="115"/>
        <v>#VALUE!</v>
      </c>
      <c r="DE69" s="1363">
        <f t="shared" si="116"/>
        <v>1</v>
      </c>
      <c r="DF69" s="1363">
        <f t="shared" si="117"/>
        <v>1</v>
      </c>
      <c r="DG69" s="1363">
        <f t="shared" si="118"/>
        <v>1</v>
      </c>
      <c r="DH69" s="1363">
        <f t="shared" si="119"/>
        <v>1</v>
      </c>
      <c r="DI69" s="1363">
        <f t="shared" si="120"/>
        <v>1</v>
      </c>
      <c r="DJ69" s="1363">
        <f t="shared" si="121"/>
        <v>1</v>
      </c>
      <c r="DK69" s="1363">
        <f t="shared" si="122"/>
        <v>1</v>
      </c>
      <c r="DL69" s="1363">
        <f t="shared" si="123"/>
        <v>1</v>
      </c>
      <c r="DM69" s="1363">
        <f t="shared" si="124"/>
        <v>1</v>
      </c>
      <c r="DN69" s="1363">
        <f t="shared" si="125"/>
        <v>1</v>
      </c>
      <c r="DO69" s="1363">
        <f t="shared" si="126"/>
        <v>1</v>
      </c>
      <c r="DP69" s="1363">
        <f t="shared" si="127"/>
        <v>1</v>
      </c>
      <c r="DQ69" s="1363">
        <f t="shared" si="128"/>
        <v>1</v>
      </c>
      <c r="DR69" s="1363">
        <f t="shared" si="129"/>
        <v>1</v>
      </c>
      <c r="DS69" s="1363">
        <f t="shared" si="130"/>
        <v>1</v>
      </c>
      <c r="DT69" s="1363">
        <f t="shared" si="131"/>
        <v>1</v>
      </c>
      <c r="DU69" s="1363">
        <f t="shared" si="132"/>
        <v>1</v>
      </c>
      <c r="DV69" s="1363">
        <f t="shared" si="133"/>
        <v>1</v>
      </c>
      <c r="DW69" s="1363">
        <f t="shared" si="134"/>
        <v>1</v>
      </c>
      <c r="DX69" s="1363">
        <f t="shared" si="135"/>
        <v>1</v>
      </c>
      <c r="DY69" s="1363">
        <f t="shared" si="136"/>
        <v>1</v>
      </c>
      <c r="DZ69" s="1363">
        <f t="shared" si="137"/>
        <v>1</v>
      </c>
      <c r="EA69" s="1363">
        <f t="shared" si="138"/>
        <v>0</v>
      </c>
    </row>
    <row r="70" spans="1:131" ht="16.350000000000001" customHeight="1" x14ac:dyDescent="0.25">
      <c r="A70" s="2458">
        <v>11056414</v>
      </c>
      <c r="B70" s="140" t="s">
        <v>2273</v>
      </c>
      <c r="C70" s="707" t="s">
        <v>2777</v>
      </c>
      <c r="D70" s="281" t="s">
        <v>2778</v>
      </c>
      <c r="E70" s="161" t="s">
        <v>2779</v>
      </c>
      <c r="F70" s="145" t="s">
        <v>2780</v>
      </c>
      <c r="G70" s="173" t="s">
        <v>2781</v>
      </c>
      <c r="H70" s="145" t="s">
        <v>2782</v>
      </c>
      <c r="I70" s="173" t="s">
        <v>2783</v>
      </c>
      <c r="J70" s="145" t="s">
        <v>2784</v>
      </c>
      <c r="K70" s="173" t="s">
        <v>2785</v>
      </c>
      <c r="L70" s="145" t="s">
        <v>2786</v>
      </c>
      <c r="M70" s="173" t="s">
        <v>2787</v>
      </c>
      <c r="N70" s="162" t="s">
        <v>2788</v>
      </c>
      <c r="O70" s="161" t="s">
        <v>2789</v>
      </c>
      <c r="P70" s="145" t="s">
        <v>2790</v>
      </c>
      <c r="Q70" s="141" t="s">
        <v>2791</v>
      </c>
      <c r="R70" s="142" t="s">
        <v>2792</v>
      </c>
      <c r="S70" s="141" t="s">
        <v>2793</v>
      </c>
      <c r="T70" s="142" t="s">
        <v>2794</v>
      </c>
      <c r="U70" s="141" t="s">
        <v>2795</v>
      </c>
      <c r="V70" s="142" t="s">
        <v>2796</v>
      </c>
      <c r="W70" s="141" t="s">
        <v>2797</v>
      </c>
      <c r="X70" s="142" t="s">
        <v>2798</v>
      </c>
      <c r="Y70" s="141" t="s">
        <v>2799</v>
      </c>
      <c r="Z70" s="142" t="s">
        <v>2800</v>
      </c>
      <c r="AA70" s="141" t="s">
        <v>2801</v>
      </c>
      <c r="AB70" s="142" t="s">
        <v>2817</v>
      </c>
      <c r="AC70" s="141" t="s">
        <v>2818</v>
      </c>
      <c r="AD70" s="142" t="s">
        <v>2819</v>
      </c>
      <c r="AE70" s="141" t="s">
        <v>2821</v>
      </c>
      <c r="AF70" s="142" t="s">
        <v>2822</v>
      </c>
      <c r="AG70" s="141" t="s">
        <v>2823</v>
      </c>
      <c r="AH70" s="142" t="s">
        <v>2824</v>
      </c>
      <c r="AI70" s="141" t="s">
        <v>2825</v>
      </c>
      <c r="AJ70" s="142" t="s">
        <v>2826</v>
      </c>
      <c r="AK70" s="173" t="s">
        <v>2827</v>
      </c>
      <c r="AL70" s="145" t="s">
        <v>2831</v>
      </c>
      <c r="AM70" s="173" t="s">
        <v>2832</v>
      </c>
      <c r="AN70" s="145" t="s">
        <v>2833</v>
      </c>
      <c r="AO70" s="173" t="s">
        <v>2834</v>
      </c>
      <c r="AP70" s="145" t="s">
        <v>3011</v>
      </c>
      <c r="AQ70" s="173" t="s">
        <v>3012</v>
      </c>
      <c r="AR70" s="507" t="s">
        <v>3013</v>
      </c>
      <c r="AS70" s="180" t="s">
        <v>3014</v>
      </c>
      <c r="AT70" s="318" t="s">
        <v>3015</v>
      </c>
      <c r="AU70" s="180" t="s">
        <v>3206</v>
      </c>
      <c r="AV70" s="142" t="s">
        <v>3207</v>
      </c>
      <c r="AW70" s="141" t="s">
        <v>3272</v>
      </c>
      <c r="AX70" s="163" t="s">
        <v>3273</v>
      </c>
      <c r="AY70" s="1079" t="e">
        <f t="shared" si="106"/>
        <v>#VALUE!</v>
      </c>
      <c r="AZ70" s="1079"/>
      <c r="BA70" s="1079"/>
      <c r="BB70" s="1079"/>
      <c r="BC70" s="1079"/>
      <c r="BD70" s="1079"/>
      <c r="BE70" s="1079"/>
      <c r="BF70" s="1079"/>
      <c r="BG70" s="1079"/>
      <c r="BH70" s="1079"/>
      <c r="BI70" s="1079"/>
      <c r="BJ70" s="884"/>
      <c r="BK70" s="884"/>
      <c r="BL70" s="884"/>
      <c r="BM70" s="884"/>
      <c r="BV70" s="884"/>
      <c r="BX70" s="885"/>
      <c r="CB70" s="2077" t="str">
        <f t="shared" si="107"/>
        <v xml:space="preserve">* El total de Reactivos NO DEBE ser superior al total de Procesados. </v>
      </c>
      <c r="CC70" s="2077" t="e">
        <f t="shared" si="108"/>
        <v>#VALUE!</v>
      </c>
      <c r="CD70" s="2077" t="e">
        <f t="shared" si="109"/>
        <v>#VALUE!</v>
      </c>
      <c r="CE70" s="2077" t="str">
        <f t="shared" si="110"/>
        <v xml:space="preserve">* La columna Pueblos Originarios NO DEBE ser superior al total de Procesados. </v>
      </c>
      <c r="CF70" s="2077" t="str">
        <f t="shared" si="111"/>
        <v xml:space="preserve">* La columna Migrantes NO DEBE ser superior al total de Procesados. </v>
      </c>
      <c r="CG70" s="2077" t="str">
        <f t="shared" si="139"/>
        <v>* El total de procesados debe ser mayor o igual al total de Reactivos en el grupo de edad Menor de 6 meses</v>
      </c>
      <c r="CH70" s="2077" t="str">
        <f t="shared" si="140"/>
        <v>* El total de procesados debe ser mayor o igual al total de Reactivos en el grupo de edad 6 a 11 meses</v>
      </c>
      <c r="CI70" s="2077" t="str">
        <f t="shared" si="141"/>
        <v>* El total de procesados debe ser mayor o igual al total de Reactivos en el grupo de edad 12-24 meses</v>
      </c>
      <c r="CJ70" s="2077" t="str">
        <f t="shared" si="142"/>
        <v>* El total de procesados debe ser mayor o igual al total de Reactivos en el grupo de edad 3 a 4</v>
      </c>
      <c r="CK70" s="2077" t="str">
        <f t="shared" si="143"/>
        <v>* El total de procesados debe ser mayor o igual al total de Reactivos en el grupo de edad 5 a 9</v>
      </c>
      <c r="CL70" s="2077" t="str">
        <f t="shared" si="144"/>
        <v>* El total de procesados debe ser mayor o igual al total de Reactivos en el grupo de edad 10 - 14</v>
      </c>
      <c r="CM70" s="2077" t="str">
        <f t="shared" si="145"/>
        <v>* El total de procesados debe ser mayor o igual al total de Reactivos en el grupo de edad 15 - 19</v>
      </c>
      <c r="CN70" s="2077" t="str">
        <f t="shared" si="146"/>
        <v>* El total de procesados debe ser mayor o igual al total de Reactivos en el grupo de edad 20 - 24</v>
      </c>
      <c r="CO70" s="2077" t="str">
        <f t="shared" si="147"/>
        <v>* El total de procesados debe ser mayor o igual al total de Reactivos en el grupo de edad 25 a 29</v>
      </c>
      <c r="CP70" s="2077" t="str">
        <f t="shared" si="148"/>
        <v>* El total de procesados debe ser mayor o igual al total de Reactivos en el grupo de edad 30 a 34</v>
      </c>
      <c r="CQ70" s="2077" t="str">
        <f t="shared" si="149"/>
        <v>* El total de procesados debe ser mayor o igual al total de Reactivos en el grupo de edad 35 a 39</v>
      </c>
      <c r="CR70" s="2077" t="str">
        <f t="shared" si="150"/>
        <v>* El total de procesados debe ser mayor o igual al total de Reactivos en el grupo de edad 40 a 44</v>
      </c>
      <c r="CS70" s="2077" t="str">
        <f t="shared" si="151"/>
        <v>* El total de procesados debe ser mayor o igual al total de Reactivos en el grupo de edad 45 a 49</v>
      </c>
      <c r="CT70" s="2077" t="str">
        <f t="shared" si="152"/>
        <v>* El total de procesados debe ser mayor o igual al total de Reactivos en el grupo de edad 50 a 54</v>
      </c>
      <c r="CU70" s="2077" t="str">
        <f t="shared" si="153"/>
        <v>* El total de procesados debe ser mayor o igual al total de Reactivos en el grupo de edad 55 a 59</v>
      </c>
      <c r="CV70" s="2077" t="str">
        <f t="shared" si="154"/>
        <v>* El total de procesados debe ser mayor o igual al total de Reactivos en el grupo de edad 60 a 64</v>
      </c>
      <c r="CW70" s="2077" t="str">
        <f t="shared" si="155"/>
        <v>* El total de procesados debe ser mayor o igual al total de Reactivos en el grupo de edad 65 a 69</v>
      </c>
      <c r="CX70" s="2077" t="str">
        <f t="shared" si="156"/>
        <v>* El total de procesados debe ser mayor o igual al total de Reactivos en el grupo de edad 70 a 74</v>
      </c>
      <c r="CY70" s="2077" t="str">
        <f t="shared" si="157"/>
        <v>* El total de procesados debe ser mayor o igual al total de Reactivos en el grupo de edad 75 a 79</v>
      </c>
      <c r="CZ70" s="2077" t="str">
        <f t="shared" si="158"/>
        <v>* El total de procesados debe ser mayor o igual al total de Reactivos en el grupo de edad 80 y más</v>
      </c>
      <c r="DA70" s="2077" t="str">
        <f t="shared" si="112"/>
        <v/>
      </c>
      <c r="DB70" s="1363">
        <f t="shared" si="113"/>
        <v>1</v>
      </c>
      <c r="DC70" s="1363" t="e">
        <f t="shared" si="114"/>
        <v>#VALUE!</v>
      </c>
      <c r="DD70" s="1363" t="e">
        <f t="shared" si="115"/>
        <v>#VALUE!</v>
      </c>
      <c r="DE70" s="1363">
        <f t="shared" si="116"/>
        <v>1</v>
      </c>
      <c r="DF70" s="1363">
        <f t="shared" si="117"/>
        <v>1</v>
      </c>
      <c r="DG70" s="1363">
        <f t="shared" si="118"/>
        <v>1</v>
      </c>
      <c r="DH70" s="1363">
        <f t="shared" si="119"/>
        <v>1</v>
      </c>
      <c r="DI70" s="1363">
        <f t="shared" si="120"/>
        <v>1</v>
      </c>
      <c r="DJ70" s="1363">
        <f t="shared" si="121"/>
        <v>1</v>
      </c>
      <c r="DK70" s="1363">
        <f t="shared" si="122"/>
        <v>1</v>
      </c>
      <c r="DL70" s="1363">
        <f t="shared" si="123"/>
        <v>1</v>
      </c>
      <c r="DM70" s="1363">
        <f t="shared" si="124"/>
        <v>1</v>
      </c>
      <c r="DN70" s="1363">
        <f t="shared" si="125"/>
        <v>1</v>
      </c>
      <c r="DO70" s="1363">
        <f t="shared" si="126"/>
        <v>1</v>
      </c>
      <c r="DP70" s="1363">
        <f t="shared" si="127"/>
        <v>1</v>
      </c>
      <c r="DQ70" s="1363">
        <f t="shared" si="128"/>
        <v>1</v>
      </c>
      <c r="DR70" s="1363">
        <f t="shared" si="129"/>
        <v>1</v>
      </c>
      <c r="DS70" s="1363">
        <f t="shared" si="130"/>
        <v>1</v>
      </c>
      <c r="DT70" s="1363">
        <f t="shared" si="131"/>
        <v>1</v>
      </c>
      <c r="DU70" s="1363">
        <f t="shared" si="132"/>
        <v>1</v>
      </c>
      <c r="DV70" s="1363">
        <f t="shared" si="133"/>
        <v>1</v>
      </c>
      <c r="DW70" s="1363">
        <f t="shared" si="134"/>
        <v>1</v>
      </c>
      <c r="DX70" s="1363">
        <f t="shared" si="135"/>
        <v>1</v>
      </c>
      <c r="DY70" s="1363">
        <f t="shared" si="136"/>
        <v>1</v>
      </c>
      <c r="DZ70" s="1363">
        <f t="shared" si="137"/>
        <v>1</v>
      </c>
      <c r="EA70" s="1363">
        <f t="shared" si="138"/>
        <v>0</v>
      </c>
    </row>
    <row r="71" spans="1:131" ht="16.350000000000001" customHeight="1" x14ac:dyDescent="0.25">
      <c r="A71" s="2458">
        <v>11056415</v>
      </c>
      <c r="B71" s="140" t="s">
        <v>2274</v>
      </c>
      <c r="C71" s="707" t="s">
        <v>2777</v>
      </c>
      <c r="D71" s="281" t="s">
        <v>2778</v>
      </c>
      <c r="E71" s="180" t="s">
        <v>2779</v>
      </c>
      <c r="F71" s="142" t="s">
        <v>2780</v>
      </c>
      <c r="G71" s="141" t="s">
        <v>2781</v>
      </c>
      <c r="H71" s="142" t="s">
        <v>2782</v>
      </c>
      <c r="I71" s="141" t="s">
        <v>2783</v>
      </c>
      <c r="J71" s="163" t="s">
        <v>2784</v>
      </c>
      <c r="K71" s="180" t="s">
        <v>2785</v>
      </c>
      <c r="L71" s="180" t="s">
        <v>2786</v>
      </c>
      <c r="M71" s="141" t="s">
        <v>2787</v>
      </c>
      <c r="N71" s="163" t="s">
        <v>2788</v>
      </c>
      <c r="O71" s="180" t="s">
        <v>2789</v>
      </c>
      <c r="P71" s="142" t="s">
        <v>2790</v>
      </c>
      <c r="Q71" s="141" t="s">
        <v>2791</v>
      </c>
      <c r="R71" s="142" t="s">
        <v>2792</v>
      </c>
      <c r="S71" s="141" t="s">
        <v>2793</v>
      </c>
      <c r="T71" s="142" t="s">
        <v>2794</v>
      </c>
      <c r="U71" s="141" t="s">
        <v>2795</v>
      </c>
      <c r="V71" s="142" t="s">
        <v>2796</v>
      </c>
      <c r="W71" s="141" t="s">
        <v>2797</v>
      </c>
      <c r="X71" s="142" t="s">
        <v>2798</v>
      </c>
      <c r="Y71" s="141" t="s">
        <v>2799</v>
      </c>
      <c r="Z71" s="142" t="s">
        <v>2800</v>
      </c>
      <c r="AA71" s="141" t="s">
        <v>2801</v>
      </c>
      <c r="AB71" s="142" t="s">
        <v>2817</v>
      </c>
      <c r="AC71" s="141" t="s">
        <v>2818</v>
      </c>
      <c r="AD71" s="142" t="s">
        <v>2819</v>
      </c>
      <c r="AE71" s="141" t="s">
        <v>2821</v>
      </c>
      <c r="AF71" s="142" t="s">
        <v>2822</v>
      </c>
      <c r="AG71" s="141" t="s">
        <v>2823</v>
      </c>
      <c r="AH71" s="142" t="s">
        <v>2824</v>
      </c>
      <c r="AI71" s="141" t="s">
        <v>2825</v>
      </c>
      <c r="AJ71" s="142" t="s">
        <v>2826</v>
      </c>
      <c r="AK71" s="141" t="s">
        <v>2827</v>
      </c>
      <c r="AL71" s="142" t="s">
        <v>2831</v>
      </c>
      <c r="AM71" s="141" t="s">
        <v>2832</v>
      </c>
      <c r="AN71" s="142" t="s">
        <v>2833</v>
      </c>
      <c r="AO71" s="141" t="s">
        <v>2834</v>
      </c>
      <c r="AP71" s="142" t="s">
        <v>3011</v>
      </c>
      <c r="AQ71" s="141" t="s">
        <v>3012</v>
      </c>
      <c r="AR71" s="318" t="s">
        <v>3013</v>
      </c>
      <c r="AS71" s="180" t="s">
        <v>3014</v>
      </c>
      <c r="AT71" s="318" t="s">
        <v>3015</v>
      </c>
      <c r="AU71" s="180" t="s">
        <v>3206</v>
      </c>
      <c r="AV71" s="142" t="s">
        <v>3207</v>
      </c>
      <c r="AW71" s="141" t="s">
        <v>3272</v>
      </c>
      <c r="AX71" s="163" t="s">
        <v>3273</v>
      </c>
      <c r="AY71" s="1079" t="e">
        <f t="shared" si="106"/>
        <v>#VALUE!</v>
      </c>
      <c r="AZ71" s="1079"/>
      <c r="BA71" s="1079"/>
      <c r="BB71" s="1079"/>
      <c r="BC71" s="1079"/>
      <c r="BD71" s="1079"/>
      <c r="BE71" s="1079"/>
      <c r="BF71" s="1079"/>
      <c r="BG71" s="1079"/>
      <c r="BH71" s="1079"/>
      <c r="BI71" s="1079"/>
      <c r="BJ71" s="884"/>
      <c r="BK71" s="884"/>
      <c r="BL71" s="884"/>
      <c r="BM71" s="884"/>
      <c r="BV71" s="884"/>
      <c r="BX71" s="885"/>
      <c r="CB71" s="2077" t="str">
        <f t="shared" si="107"/>
        <v xml:space="preserve">* El total de Reactivos NO DEBE ser superior al total de Procesados. </v>
      </c>
      <c r="CC71" s="2077" t="e">
        <f t="shared" si="108"/>
        <v>#VALUE!</v>
      </c>
      <c r="CD71" s="2077" t="e">
        <f t="shared" si="109"/>
        <v>#VALUE!</v>
      </c>
      <c r="CE71" s="2077" t="str">
        <f t="shared" si="110"/>
        <v xml:space="preserve">* La columna Pueblos Originarios NO DEBE ser superior al total de Procesados. </v>
      </c>
      <c r="CF71" s="2077" t="str">
        <f t="shared" si="111"/>
        <v xml:space="preserve">* La columna Migrantes NO DEBE ser superior al total de Procesados. </v>
      </c>
      <c r="CG71" s="2077" t="str">
        <f t="shared" si="139"/>
        <v>* El total de procesados debe ser mayor o igual al total de Reactivos en el grupo de edad Menor de 6 meses</v>
      </c>
      <c r="CH71" s="2077" t="str">
        <f t="shared" si="140"/>
        <v>* El total de procesados debe ser mayor o igual al total de Reactivos en el grupo de edad 6 a 11 meses</v>
      </c>
      <c r="CI71" s="2077" t="str">
        <f t="shared" si="141"/>
        <v>* El total de procesados debe ser mayor o igual al total de Reactivos en el grupo de edad 12-24 meses</v>
      </c>
      <c r="CJ71" s="2077" t="str">
        <f t="shared" si="142"/>
        <v>* El total de procesados debe ser mayor o igual al total de Reactivos en el grupo de edad 3 a 4</v>
      </c>
      <c r="CK71" s="2077" t="str">
        <f t="shared" si="143"/>
        <v>* El total de procesados debe ser mayor o igual al total de Reactivos en el grupo de edad 5 a 9</v>
      </c>
      <c r="CL71" s="2077" t="str">
        <f t="shared" si="144"/>
        <v>* El total de procesados debe ser mayor o igual al total de Reactivos en el grupo de edad 10 - 14</v>
      </c>
      <c r="CM71" s="2077" t="str">
        <f t="shared" si="145"/>
        <v>* El total de procesados debe ser mayor o igual al total de Reactivos en el grupo de edad 15 - 19</v>
      </c>
      <c r="CN71" s="2077" t="str">
        <f t="shared" si="146"/>
        <v>* El total de procesados debe ser mayor o igual al total de Reactivos en el grupo de edad 20 - 24</v>
      </c>
      <c r="CO71" s="2077" t="str">
        <f t="shared" si="147"/>
        <v>* El total de procesados debe ser mayor o igual al total de Reactivos en el grupo de edad 25 a 29</v>
      </c>
      <c r="CP71" s="2077" t="str">
        <f t="shared" si="148"/>
        <v>* El total de procesados debe ser mayor o igual al total de Reactivos en el grupo de edad 30 a 34</v>
      </c>
      <c r="CQ71" s="2077" t="str">
        <f t="shared" si="149"/>
        <v>* El total de procesados debe ser mayor o igual al total de Reactivos en el grupo de edad 35 a 39</v>
      </c>
      <c r="CR71" s="2077" t="str">
        <f t="shared" si="150"/>
        <v>* El total de procesados debe ser mayor o igual al total de Reactivos en el grupo de edad 40 a 44</v>
      </c>
      <c r="CS71" s="2077" t="str">
        <f t="shared" si="151"/>
        <v>* El total de procesados debe ser mayor o igual al total de Reactivos en el grupo de edad 45 a 49</v>
      </c>
      <c r="CT71" s="2077" t="str">
        <f t="shared" si="152"/>
        <v>* El total de procesados debe ser mayor o igual al total de Reactivos en el grupo de edad 50 a 54</v>
      </c>
      <c r="CU71" s="2077" t="str">
        <f t="shared" si="153"/>
        <v>* El total de procesados debe ser mayor o igual al total de Reactivos en el grupo de edad 55 a 59</v>
      </c>
      <c r="CV71" s="2077" t="str">
        <f t="shared" si="154"/>
        <v>* El total de procesados debe ser mayor o igual al total de Reactivos en el grupo de edad 60 a 64</v>
      </c>
      <c r="CW71" s="2077" t="str">
        <f t="shared" si="155"/>
        <v>* El total de procesados debe ser mayor o igual al total de Reactivos en el grupo de edad 65 a 69</v>
      </c>
      <c r="CX71" s="2077" t="str">
        <f t="shared" si="156"/>
        <v>* El total de procesados debe ser mayor o igual al total de Reactivos en el grupo de edad 70 a 74</v>
      </c>
      <c r="CY71" s="2077" t="str">
        <f t="shared" si="157"/>
        <v>* El total de procesados debe ser mayor o igual al total de Reactivos en el grupo de edad 75 a 79</v>
      </c>
      <c r="CZ71" s="2077" t="str">
        <f t="shared" si="158"/>
        <v>* El total de procesados debe ser mayor o igual al total de Reactivos en el grupo de edad 80 y más</v>
      </c>
      <c r="DA71" s="2077" t="str">
        <f t="shared" si="112"/>
        <v/>
      </c>
      <c r="DB71" s="1363">
        <f t="shared" si="113"/>
        <v>1</v>
      </c>
      <c r="DC71" s="1363" t="e">
        <f t="shared" si="114"/>
        <v>#VALUE!</v>
      </c>
      <c r="DD71" s="1363" t="e">
        <f t="shared" si="115"/>
        <v>#VALUE!</v>
      </c>
      <c r="DE71" s="1363">
        <f t="shared" si="116"/>
        <v>1</v>
      </c>
      <c r="DF71" s="1363">
        <f t="shared" si="117"/>
        <v>1</v>
      </c>
      <c r="DG71" s="1363">
        <f t="shared" si="118"/>
        <v>1</v>
      </c>
      <c r="DH71" s="1363">
        <f t="shared" si="119"/>
        <v>1</v>
      </c>
      <c r="DI71" s="1363">
        <f t="shared" si="120"/>
        <v>1</v>
      </c>
      <c r="DJ71" s="1363">
        <f t="shared" si="121"/>
        <v>1</v>
      </c>
      <c r="DK71" s="1363">
        <f t="shared" si="122"/>
        <v>1</v>
      </c>
      <c r="DL71" s="1363">
        <f t="shared" si="123"/>
        <v>1</v>
      </c>
      <c r="DM71" s="1363">
        <f t="shared" si="124"/>
        <v>1</v>
      </c>
      <c r="DN71" s="1363">
        <f t="shared" si="125"/>
        <v>1</v>
      </c>
      <c r="DO71" s="1363">
        <f t="shared" si="126"/>
        <v>1</v>
      </c>
      <c r="DP71" s="1363">
        <f t="shared" si="127"/>
        <v>1</v>
      </c>
      <c r="DQ71" s="1363">
        <f t="shared" si="128"/>
        <v>1</v>
      </c>
      <c r="DR71" s="1363">
        <f t="shared" si="129"/>
        <v>1</v>
      </c>
      <c r="DS71" s="1363">
        <f t="shared" si="130"/>
        <v>1</v>
      </c>
      <c r="DT71" s="1363">
        <f t="shared" si="131"/>
        <v>1</v>
      </c>
      <c r="DU71" s="1363">
        <f t="shared" si="132"/>
        <v>1</v>
      </c>
      <c r="DV71" s="1363">
        <f t="shared" si="133"/>
        <v>1</v>
      </c>
      <c r="DW71" s="1363">
        <f t="shared" si="134"/>
        <v>1</v>
      </c>
      <c r="DX71" s="1363">
        <f t="shared" si="135"/>
        <v>1</v>
      </c>
      <c r="DY71" s="1363">
        <f t="shared" si="136"/>
        <v>1</v>
      </c>
      <c r="DZ71" s="1363">
        <f t="shared" si="137"/>
        <v>1</v>
      </c>
      <c r="EA71" s="1363">
        <f t="shared" si="138"/>
        <v>0</v>
      </c>
    </row>
    <row r="72" spans="1:131" ht="16.350000000000001" customHeight="1" x14ac:dyDescent="0.25">
      <c r="A72" s="2458">
        <v>11056416</v>
      </c>
      <c r="B72" s="140" t="s">
        <v>2275</v>
      </c>
      <c r="C72" s="707" t="s">
        <v>2777</v>
      </c>
      <c r="D72" s="281" t="s">
        <v>2778</v>
      </c>
      <c r="E72" s="180" t="s">
        <v>2779</v>
      </c>
      <c r="F72" s="142" t="s">
        <v>2780</v>
      </c>
      <c r="G72" s="141" t="s">
        <v>2781</v>
      </c>
      <c r="H72" s="142" t="s">
        <v>2782</v>
      </c>
      <c r="I72" s="141" t="s">
        <v>2783</v>
      </c>
      <c r="J72" s="163" t="s">
        <v>2784</v>
      </c>
      <c r="K72" s="180" t="s">
        <v>2785</v>
      </c>
      <c r="L72" s="180" t="s">
        <v>2786</v>
      </c>
      <c r="M72" s="141" t="s">
        <v>2787</v>
      </c>
      <c r="N72" s="163" t="s">
        <v>2788</v>
      </c>
      <c r="O72" s="180" t="s">
        <v>2789</v>
      </c>
      <c r="P72" s="142" t="s">
        <v>2790</v>
      </c>
      <c r="Q72" s="141" t="s">
        <v>2791</v>
      </c>
      <c r="R72" s="142" t="s">
        <v>2792</v>
      </c>
      <c r="S72" s="141" t="s">
        <v>2793</v>
      </c>
      <c r="T72" s="142" t="s">
        <v>2794</v>
      </c>
      <c r="U72" s="141" t="s">
        <v>2795</v>
      </c>
      <c r="V72" s="142" t="s">
        <v>2796</v>
      </c>
      <c r="W72" s="141" t="s">
        <v>2797</v>
      </c>
      <c r="X72" s="142" t="s">
        <v>2798</v>
      </c>
      <c r="Y72" s="141" t="s">
        <v>2799</v>
      </c>
      <c r="Z72" s="142" t="s">
        <v>2800</v>
      </c>
      <c r="AA72" s="141" t="s">
        <v>2801</v>
      </c>
      <c r="AB72" s="142" t="s">
        <v>2817</v>
      </c>
      <c r="AC72" s="141" t="s">
        <v>2818</v>
      </c>
      <c r="AD72" s="142" t="s">
        <v>2819</v>
      </c>
      <c r="AE72" s="141" t="s">
        <v>2821</v>
      </c>
      <c r="AF72" s="142" t="s">
        <v>2822</v>
      </c>
      <c r="AG72" s="141" t="s">
        <v>2823</v>
      </c>
      <c r="AH72" s="142" t="s">
        <v>2824</v>
      </c>
      <c r="AI72" s="141" t="s">
        <v>2825</v>
      </c>
      <c r="AJ72" s="142" t="s">
        <v>2826</v>
      </c>
      <c r="AK72" s="141" t="s">
        <v>2827</v>
      </c>
      <c r="AL72" s="142" t="s">
        <v>2831</v>
      </c>
      <c r="AM72" s="141" t="s">
        <v>2832</v>
      </c>
      <c r="AN72" s="142" t="s">
        <v>2833</v>
      </c>
      <c r="AO72" s="141" t="s">
        <v>2834</v>
      </c>
      <c r="AP72" s="142" t="s">
        <v>3011</v>
      </c>
      <c r="AQ72" s="141" t="s">
        <v>3012</v>
      </c>
      <c r="AR72" s="318" t="s">
        <v>3013</v>
      </c>
      <c r="AS72" s="180" t="s">
        <v>3014</v>
      </c>
      <c r="AT72" s="318" t="s">
        <v>3015</v>
      </c>
      <c r="AU72" s="180" t="s">
        <v>3206</v>
      </c>
      <c r="AV72" s="142" t="s">
        <v>3207</v>
      </c>
      <c r="AW72" s="141" t="s">
        <v>3272</v>
      </c>
      <c r="AX72" s="163" t="s">
        <v>3273</v>
      </c>
      <c r="AY72" s="1079" t="e">
        <f t="shared" si="106"/>
        <v>#VALUE!</v>
      </c>
      <c r="AZ72" s="1079"/>
      <c r="BA72" s="1079"/>
      <c r="BB72" s="1079"/>
      <c r="BC72" s="1079"/>
      <c r="BD72" s="1079"/>
      <c r="BE72" s="1079"/>
      <c r="BF72" s="1079"/>
      <c r="BG72" s="1079"/>
      <c r="BH72" s="1079"/>
      <c r="BI72" s="1079"/>
      <c r="BJ72" s="884"/>
      <c r="BK72" s="884"/>
      <c r="BL72" s="884"/>
      <c r="BM72" s="884"/>
      <c r="BV72" s="884"/>
      <c r="BX72" s="885"/>
      <c r="CB72" s="2077" t="str">
        <f t="shared" si="107"/>
        <v xml:space="preserve">* El total de Reactivos NO DEBE ser superior al total de Procesados. </v>
      </c>
      <c r="CC72" s="2077" t="e">
        <f t="shared" si="108"/>
        <v>#VALUE!</v>
      </c>
      <c r="CD72" s="2077" t="e">
        <f t="shared" si="109"/>
        <v>#VALUE!</v>
      </c>
      <c r="CE72" s="2077" t="str">
        <f t="shared" si="110"/>
        <v xml:space="preserve">* La columna Pueblos Originarios NO DEBE ser superior al total de Procesados. </v>
      </c>
      <c r="CF72" s="2077" t="str">
        <f t="shared" si="111"/>
        <v xml:space="preserve">* La columna Migrantes NO DEBE ser superior al total de Procesados. </v>
      </c>
      <c r="CG72" s="2077" t="str">
        <f t="shared" si="139"/>
        <v>* El total de procesados debe ser mayor o igual al total de Reactivos en el grupo de edad Menor de 6 meses</v>
      </c>
      <c r="CH72" s="2077" t="str">
        <f t="shared" si="140"/>
        <v>* El total de procesados debe ser mayor o igual al total de Reactivos en el grupo de edad 6 a 11 meses</v>
      </c>
      <c r="CI72" s="2077" t="str">
        <f t="shared" si="141"/>
        <v>* El total de procesados debe ser mayor o igual al total de Reactivos en el grupo de edad 12-24 meses</v>
      </c>
      <c r="CJ72" s="2077" t="str">
        <f t="shared" si="142"/>
        <v>* El total de procesados debe ser mayor o igual al total de Reactivos en el grupo de edad 3 a 4</v>
      </c>
      <c r="CK72" s="2077" t="str">
        <f t="shared" si="143"/>
        <v>* El total de procesados debe ser mayor o igual al total de Reactivos en el grupo de edad 5 a 9</v>
      </c>
      <c r="CL72" s="2077" t="str">
        <f t="shared" si="144"/>
        <v>* El total de procesados debe ser mayor o igual al total de Reactivos en el grupo de edad 10 - 14</v>
      </c>
      <c r="CM72" s="2077" t="str">
        <f t="shared" si="145"/>
        <v>* El total de procesados debe ser mayor o igual al total de Reactivos en el grupo de edad 15 - 19</v>
      </c>
      <c r="CN72" s="2077" t="str">
        <f t="shared" si="146"/>
        <v>* El total de procesados debe ser mayor o igual al total de Reactivos en el grupo de edad 20 - 24</v>
      </c>
      <c r="CO72" s="2077" t="str">
        <f t="shared" si="147"/>
        <v>* El total de procesados debe ser mayor o igual al total de Reactivos en el grupo de edad 25 a 29</v>
      </c>
      <c r="CP72" s="2077" t="str">
        <f t="shared" si="148"/>
        <v>* El total de procesados debe ser mayor o igual al total de Reactivos en el grupo de edad 30 a 34</v>
      </c>
      <c r="CQ72" s="2077" t="str">
        <f t="shared" si="149"/>
        <v>* El total de procesados debe ser mayor o igual al total de Reactivos en el grupo de edad 35 a 39</v>
      </c>
      <c r="CR72" s="2077" t="str">
        <f t="shared" si="150"/>
        <v>* El total de procesados debe ser mayor o igual al total de Reactivos en el grupo de edad 40 a 44</v>
      </c>
      <c r="CS72" s="2077" t="str">
        <f t="shared" si="151"/>
        <v>* El total de procesados debe ser mayor o igual al total de Reactivos en el grupo de edad 45 a 49</v>
      </c>
      <c r="CT72" s="2077" t="str">
        <f t="shared" si="152"/>
        <v>* El total de procesados debe ser mayor o igual al total de Reactivos en el grupo de edad 50 a 54</v>
      </c>
      <c r="CU72" s="2077" t="str">
        <f t="shared" si="153"/>
        <v>* El total de procesados debe ser mayor o igual al total de Reactivos en el grupo de edad 55 a 59</v>
      </c>
      <c r="CV72" s="2077" t="str">
        <f t="shared" si="154"/>
        <v>* El total de procesados debe ser mayor o igual al total de Reactivos en el grupo de edad 60 a 64</v>
      </c>
      <c r="CW72" s="2077" t="str">
        <f t="shared" si="155"/>
        <v>* El total de procesados debe ser mayor o igual al total de Reactivos en el grupo de edad 65 a 69</v>
      </c>
      <c r="CX72" s="2077" t="str">
        <f t="shared" si="156"/>
        <v>* El total de procesados debe ser mayor o igual al total de Reactivos en el grupo de edad 70 a 74</v>
      </c>
      <c r="CY72" s="2077" t="str">
        <f t="shared" si="157"/>
        <v>* El total de procesados debe ser mayor o igual al total de Reactivos en el grupo de edad 75 a 79</v>
      </c>
      <c r="CZ72" s="2077" t="str">
        <f t="shared" si="158"/>
        <v>* El total de procesados debe ser mayor o igual al total de Reactivos en el grupo de edad 80 y más</v>
      </c>
      <c r="DA72" s="2077" t="str">
        <f t="shared" si="112"/>
        <v/>
      </c>
      <c r="DB72" s="1363">
        <f t="shared" si="113"/>
        <v>1</v>
      </c>
      <c r="DC72" s="1363" t="e">
        <f t="shared" si="114"/>
        <v>#VALUE!</v>
      </c>
      <c r="DD72" s="1363" t="e">
        <f t="shared" si="115"/>
        <v>#VALUE!</v>
      </c>
      <c r="DE72" s="1363">
        <f t="shared" si="116"/>
        <v>1</v>
      </c>
      <c r="DF72" s="1363">
        <f t="shared" si="117"/>
        <v>1</v>
      </c>
      <c r="DG72" s="1363">
        <f t="shared" si="118"/>
        <v>1</v>
      </c>
      <c r="DH72" s="1363">
        <f t="shared" si="119"/>
        <v>1</v>
      </c>
      <c r="DI72" s="1363">
        <f t="shared" si="120"/>
        <v>1</v>
      </c>
      <c r="DJ72" s="1363">
        <f t="shared" si="121"/>
        <v>1</v>
      </c>
      <c r="DK72" s="1363">
        <f t="shared" si="122"/>
        <v>1</v>
      </c>
      <c r="DL72" s="1363">
        <f t="shared" si="123"/>
        <v>1</v>
      </c>
      <c r="DM72" s="1363">
        <f t="shared" si="124"/>
        <v>1</v>
      </c>
      <c r="DN72" s="1363">
        <f t="shared" si="125"/>
        <v>1</v>
      </c>
      <c r="DO72" s="1363">
        <f t="shared" si="126"/>
        <v>1</v>
      </c>
      <c r="DP72" s="1363">
        <f t="shared" si="127"/>
        <v>1</v>
      </c>
      <c r="DQ72" s="1363">
        <f t="shared" si="128"/>
        <v>1</v>
      </c>
      <c r="DR72" s="1363">
        <f t="shared" si="129"/>
        <v>1</v>
      </c>
      <c r="DS72" s="1363">
        <f t="shared" si="130"/>
        <v>1</v>
      </c>
      <c r="DT72" s="1363">
        <f t="shared" si="131"/>
        <v>1</v>
      </c>
      <c r="DU72" s="1363">
        <f t="shared" si="132"/>
        <v>1</v>
      </c>
      <c r="DV72" s="1363">
        <f t="shared" si="133"/>
        <v>1</v>
      </c>
      <c r="DW72" s="1363">
        <f t="shared" si="134"/>
        <v>1</v>
      </c>
      <c r="DX72" s="1363">
        <f t="shared" si="135"/>
        <v>1</v>
      </c>
      <c r="DY72" s="1363">
        <f t="shared" si="136"/>
        <v>1</v>
      </c>
      <c r="DZ72" s="1363">
        <f t="shared" si="137"/>
        <v>1</v>
      </c>
      <c r="EA72" s="1363">
        <f t="shared" si="138"/>
        <v>0</v>
      </c>
    </row>
    <row r="73" spans="1:131" ht="16.350000000000001" customHeight="1" x14ac:dyDescent="0.25">
      <c r="A73" s="2549">
        <v>11056417</v>
      </c>
      <c r="B73" s="100" t="s">
        <v>2276</v>
      </c>
      <c r="C73" s="587" t="s">
        <v>2777</v>
      </c>
      <c r="D73" s="1853" t="s">
        <v>2778</v>
      </c>
      <c r="E73" s="126" t="s">
        <v>2779</v>
      </c>
      <c r="F73" s="102" t="s">
        <v>2780</v>
      </c>
      <c r="G73" s="166" t="s">
        <v>2781</v>
      </c>
      <c r="H73" s="102" t="s">
        <v>2782</v>
      </c>
      <c r="I73" s="166" t="s">
        <v>2783</v>
      </c>
      <c r="J73" s="125" t="s">
        <v>2784</v>
      </c>
      <c r="K73" s="126" t="s">
        <v>2785</v>
      </c>
      <c r="L73" s="126" t="s">
        <v>2786</v>
      </c>
      <c r="M73" s="166" t="s">
        <v>2787</v>
      </c>
      <c r="N73" s="125" t="s">
        <v>2788</v>
      </c>
      <c r="O73" s="126" t="s">
        <v>2789</v>
      </c>
      <c r="P73" s="102" t="s">
        <v>2790</v>
      </c>
      <c r="Q73" s="166" t="s">
        <v>2791</v>
      </c>
      <c r="R73" s="102" t="s">
        <v>2792</v>
      </c>
      <c r="S73" s="166" t="s">
        <v>2793</v>
      </c>
      <c r="T73" s="102" t="s">
        <v>2794</v>
      </c>
      <c r="U73" s="166" t="s">
        <v>2795</v>
      </c>
      <c r="V73" s="102" t="s">
        <v>2796</v>
      </c>
      <c r="W73" s="166" t="s">
        <v>2797</v>
      </c>
      <c r="X73" s="102" t="s">
        <v>2798</v>
      </c>
      <c r="Y73" s="166" t="s">
        <v>2799</v>
      </c>
      <c r="Z73" s="102" t="s">
        <v>2800</v>
      </c>
      <c r="AA73" s="166" t="s">
        <v>2801</v>
      </c>
      <c r="AB73" s="102" t="s">
        <v>2817</v>
      </c>
      <c r="AC73" s="166" t="s">
        <v>2818</v>
      </c>
      <c r="AD73" s="102" t="s">
        <v>2819</v>
      </c>
      <c r="AE73" s="166" t="s">
        <v>2821</v>
      </c>
      <c r="AF73" s="102" t="s">
        <v>2822</v>
      </c>
      <c r="AG73" s="166" t="s">
        <v>2823</v>
      </c>
      <c r="AH73" s="102" t="s">
        <v>2824</v>
      </c>
      <c r="AI73" s="166" t="s">
        <v>2825</v>
      </c>
      <c r="AJ73" s="102" t="s">
        <v>2826</v>
      </c>
      <c r="AK73" s="166" t="s">
        <v>2827</v>
      </c>
      <c r="AL73" s="102" t="s">
        <v>2831</v>
      </c>
      <c r="AM73" s="166" t="s">
        <v>2832</v>
      </c>
      <c r="AN73" s="102" t="s">
        <v>2833</v>
      </c>
      <c r="AO73" s="166" t="s">
        <v>2834</v>
      </c>
      <c r="AP73" s="102" t="s">
        <v>3011</v>
      </c>
      <c r="AQ73" s="166" t="s">
        <v>3012</v>
      </c>
      <c r="AR73" s="319" t="s">
        <v>3013</v>
      </c>
      <c r="AS73" s="126" t="s">
        <v>3014</v>
      </c>
      <c r="AT73" s="319" t="s">
        <v>3015</v>
      </c>
      <c r="AU73" s="126" t="s">
        <v>3206</v>
      </c>
      <c r="AV73" s="102" t="s">
        <v>3207</v>
      </c>
      <c r="AW73" s="166" t="s">
        <v>3272</v>
      </c>
      <c r="AX73" s="125" t="s">
        <v>3273</v>
      </c>
      <c r="AY73" s="1079" t="e">
        <f t="shared" si="106"/>
        <v>#VALUE!</v>
      </c>
      <c r="AZ73" s="1079"/>
      <c r="BA73" s="1079"/>
      <c r="BB73" s="1079"/>
      <c r="BC73" s="1079"/>
      <c r="BD73" s="1079"/>
      <c r="BE73" s="1079"/>
      <c r="BF73" s="1079"/>
      <c r="BG73" s="1079"/>
      <c r="BH73" s="1079"/>
      <c r="BI73" s="1079"/>
      <c r="BJ73" s="884"/>
      <c r="BK73" s="884"/>
      <c r="BL73" s="884"/>
      <c r="BM73" s="884"/>
      <c r="BV73" s="884"/>
      <c r="BX73" s="885"/>
      <c r="CB73" s="2077" t="str">
        <f t="shared" si="107"/>
        <v xml:space="preserve">* El total de Reactivos NO DEBE ser superior al total de Procesados. </v>
      </c>
      <c r="CC73" s="2077" t="e">
        <f t="shared" si="108"/>
        <v>#VALUE!</v>
      </c>
      <c r="CD73" s="2077" t="e">
        <f t="shared" si="109"/>
        <v>#VALUE!</v>
      </c>
      <c r="CE73" s="2077" t="str">
        <f t="shared" si="110"/>
        <v xml:space="preserve">* La columna Pueblos Originarios NO DEBE ser superior al total de Procesados. </v>
      </c>
      <c r="CF73" s="2077" t="str">
        <f t="shared" si="111"/>
        <v xml:space="preserve">* La columna Migrantes NO DEBE ser superior al total de Procesados. </v>
      </c>
      <c r="CG73" s="2077" t="str">
        <f t="shared" si="139"/>
        <v>* El total de procesados debe ser mayor o igual al total de Reactivos en el grupo de edad Menor de 6 meses</v>
      </c>
      <c r="CH73" s="2077" t="str">
        <f t="shared" si="140"/>
        <v>* El total de procesados debe ser mayor o igual al total de Reactivos en el grupo de edad 6 a 11 meses</v>
      </c>
      <c r="CI73" s="2077" t="str">
        <f t="shared" si="141"/>
        <v>* El total de procesados debe ser mayor o igual al total de Reactivos en el grupo de edad 12-24 meses</v>
      </c>
      <c r="CJ73" s="2077" t="str">
        <f t="shared" si="142"/>
        <v>* El total de procesados debe ser mayor o igual al total de Reactivos en el grupo de edad 3 a 4</v>
      </c>
      <c r="CK73" s="2077" t="str">
        <f t="shared" si="143"/>
        <v>* El total de procesados debe ser mayor o igual al total de Reactivos en el grupo de edad 5 a 9</v>
      </c>
      <c r="CL73" s="2077" t="str">
        <f t="shared" si="144"/>
        <v>* El total de procesados debe ser mayor o igual al total de Reactivos en el grupo de edad 10 - 14</v>
      </c>
      <c r="CM73" s="2077" t="str">
        <f t="shared" si="145"/>
        <v>* El total de procesados debe ser mayor o igual al total de Reactivos en el grupo de edad 15 - 19</v>
      </c>
      <c r="CN73" s="2077" t="str">
        <f t="shared" si="146"/>
        <v>* El total de procesados debe ser mayor o igual al total de Reactivos en el grupo de edad 20 - 24</v>
      </c>
      <c r="CO73" s="2077" t="str">
        <f t="shared" si="147"/>
        <v>* El total de procesados debe ser mayor o igual al total de Reactivos en el grupo de edad 25 a 29</v>
      </c>
      <c r="CP73" s="2077" t="str">
        <f t="shared" si="148"/>
        <v>* El total de procesados debe ser mayor o igual al total de Reactivos en el grupo de edad 30 a 34</v>
      </c>
      <c r="CQ73" s="2077" t="str">
        <f t="shared" si="149"/>
        <v>* El total de procesados debe ser mayor o igual al total de Reactivos en el grupo de edad 35 a 39</v>
      </c>
      <c r="CR73" s="2077" t="str">
        <f t="shared" si="150"/>
        <v>* El total de procesados debe ser mayor o igual al total de Reactivos en el grupo de edad 40 a 44</v>
      </c>
      <c r="CS73" s="2077" t="str">
        <f t="shared" si="151"/>
        <v>* El total de procesados debe ser mayor o igual al total de Reactivos en el grupo de edad 45 a 49</v>
      </c>
      <c r="CT73" s="2077" t="str">
        <f t="shared" si="152"/>
        <v>* El total de procesados debe ser mayor o igual al total de Reactivos en el grupo de edad 50 a 54</v>
      </c>
      <c r="CU73" s="2077" t="str">
        <f t="shared" si="153"/>
        <v>* El total de procesados debe ser mayor o igual al total de Reactivos en el grupo de edad 55 a 59</v>
      </c>
      <c r="CV73" s="2077" t="str">
        <f t="shared" si="154"/>
        <v>* El total de procesados debe ser mayor o igual al total de Reactivos en el grupo de edad 60 a 64</v>
      </c>
      <c r="CW73" s="2077" t="str">
        <f t="shared" si="155"/>
        <v>* El total de procesados debe ser mayor o igual al total de Reactivos en el grupo de edad 65 a 69</v>
      </c>
      <c r="CX73" s="2077" t="str">
        <f t="shared" si="156"/>
        <v>* El total de procesados debe ser mayor o igual al total de Reactivos en el grupo de edad 70 a 74</v>
      </c>
      <c r="CY73" s="2077" t="str">
        <f t="shared" si="157"/>
        <v>* El total de procesados debe ser mayor o igual al total de Reactivos en el grupo de edad 75 a 79</v>
      </c>
      <c r="CZ73" s="2077" t="str">
        <f t="shared" si="158"/>
        <v>* El total de procesados debe ser mayor o igual al total de Reactivos en el grupo de edad 80 y más</v>
      </c>
      <c r="DA73" s="2077" t="str">
        <f t="shared" si="112"/>
        <v/>
      </c>
      <c r="DB73" s="1363">
        <f t="shared" si="113"/>
        <v>1</v>
      </c>
      <c r="DC73" s="1363" t="e">
        <f t="shared" si="114"/>
        <v>#VALUE!</v>
      </c>
      <c r="DD73" s="1363" t="e">
        <f t="shared" si="115"/>
        <v>#VALUE!</v>
      </c>
      <c r="DE73" s="1363">
        <f t="shared" si="116"/>
        <v>1</v>
      </c>
      <c r="DF73" s="1363">
        <f t="shared" si="117"/>
        <v>1</v>
      </c>
      <c r="DG73" s="1363">
        <f t="shared" si="118"/>
        <v>1</v>
      </c>
      <c r="DH73" s="1363">
        <f t="shared" si="119"/>
        <v>1</v>
      </c>
      <c r="DI73" s="1363">
        <f t="shared" si="120"/>
        <v>1</v>
      </c>
      <c r="DJ73" s="1363">
        <f t="shared" si="121"/>
        <v>1</v>
      </c>
      <c r="DK73" s="1363">
        <f t="shared" si="122"/>
        <v>1</v>
      </c>
      <c r="DL73" s="1363">
        <f t="shared" si="123"/>
        <v>1</v>
      </c>
      <c r="DM73" s="1363">
        <f t="shared" si="124"/>
        <v>1</v>
      </c>
      <c r="DN73" s="1363">
        <f t="shared" si="125"/>
        <v>1</v>
      </c>
      <c r="DO73" s="1363">
        <f t="shared" si="126"/>
        <v>1</v>
      </c>
      <c r="DP73" s="1363">
        <f t="shared" si="127"/>
        <v>1</v>
      </c>
      <c r="DQ73" s="1363">
        <f t="shared" si="128"/>
        <v>1</v>
      </c>
      <c r="DR73" s="1363">
        <f t="shared" si="129"/>
        <v>1</v>
      </c>
      <c r="DS73" s="1363">
        <f t="shared" si="130"/>
        <v>1</v>
      </c>
      <c r="DT73" s="1363">
        <f t="shared" si="131"/>
        <v>1</v>
      </c>
      <c r="DU73" s="1363">
        <f t="shared" si="132"/>
        <v>1</v>
      </c>
      <c r="DV73" s="1363">
        <f t="shared" si="133"/>
        <v>1</v>
      </c>
      <c r="DW73" s="1363">
        <f t="shared" si="134"/>
        <v>1</v>
      </c>
      <c r="DX73" s="1363">
        <f t="shared" si="135"/>
        <v>1</v>
      </c>
      <c r="DY73" s="1363">
        <f t="shared" si="136"/>
        <v>1</v>
      </c>
      <c r="DZ73" s="1363">
        <f t="shared" si="137"/>
        <v>1</v>
      </c>
      <c r="EA73" s="1363">
        <f t="shared" si="138"/>
        <v>0</v>
      </c>
    </row>
    <row r="74" spans="1:131" ht="32.1" customHeight="1" x14ac:dyDescent="0.25">
      <c r="B74" s="2026" t="s">
        <v>2279</v>
      </c>
      <c r="C74" s="2027"/>
      <c r="D74" s="2027"/>
      <c r="E74" s="2027"/>
      <c r="F74" s="2027"/>
      <c r="G74" s="2027"/>
      <c r="H74" s="2027"/>
      <c r="J74" s="177"/>
      <c r="K74" s="139"/>
      <c r="L74" s="139"/>
      <c r="M74" s="139"/>
      <c r="N74" s="139"/>
      <c r="O74" s="139"/>
      <c r="P74" s="139"/>
      <c r="Q74" s="139"/>
      <c r="R74" s="190"/>
      <c r="AS74" s="210" t="s">
        <v>2280</v>
      </c>
      <c r="AY74" s="2035"/>
      <c r="AZ74" s="2035"/>
      <c r="BA74" s="2035"/>
      <c r="BB74" s="884"/>
      <c r="BC74" s="884"/>
      <c r="BD74" s="884"/>
      <c r="BE74" s="884"/>
      <c r="BF74" s="884"/>
      <c r="BG74" s="884"/>
      <c r="BH74" s="884"/>
      <c r="BI74" s="884"/>
      <c r="BJ74" s="884"/>
      <c r="BK74" s="884"/>
      <c r="BL74" s="884"/>
      <c r="BM74" s="884"/>
      <c r="BN74" s="884"/>
      <c r="BU74" s="211"/>
      <c r="BV74" s="211"/>
      <c r="BW74" s="885"/>
      <c r="BX74" s="885"/>
    </row>
    <row r="75" spans="1:131" ht="32.1" customHeight="1" x14ac:dyDescent="0.25">
      <c r="B75" s="5158" t="s">
        <v>2255</v>
      </c>
      <c r="C75" s="6208" t="s">
        <v>42</v>
      </c>
      <c r="D75" s="6209"/>
      <c r="E75" s="5160" t="s">
        <v>425</v>
      </c>
      <c r="F75" s="5161"/>
      <c r="G75" s="5161"/>
      <c r="H75" s="5161"/>
      <c r="I75" s="5161"/>
      <c r="J75" s="5161"/>
      <c r="K75" s="5161"/>
      <c r="L75" s="5161"/>
      <c r="M75" s="5161"/>
      <c r="N75" s="5161"/>
      <c r="O75" s="5161"/>
      <c r="P75" s="5161"/>
      <c r="Q75" s="5161"/>
      <c r="R75" s="5161"/>
      <c r="S75" s="5161"/>
      <c r="T75" s="5161"/>
      <c r="U75" s="5161"/>
      <c r="V75" s="5161"/>
      <c r="W75" s="5161"/>
      <c r="X75" s="5161"/>
      <c r="Y75" s="5161"/>
      <c r="Z75" s="5161"/>
      <c r="AA75" s="5161"/>
      <c r="AB75" s="5161"/>
      <c r="AC75" s="5161"/>
      <c r="AD75" s="5161"/>
      <c r="AE75" s="5161"/>
      <c r="AF75" s="5161"/>
      <c r="AG75" s="5161"/>
      <c r="AH75" s="5161"/>
      <c r="AI75" s="5161"/>
      <c r="AJ75" s="5161"/>
      <c r="AK75" s="5161"/>
      <c r="AL75" s="5161"/>
      <c r="AM75" s="5161"/>
      <c r="AN75" s="5161"/>
      <c r="AO75" s="5161"/>
      <c r="AP75" s="5161"/>
      <c r="AQ75" s="5161"/>
      <c r="AR75" s="6212"/>
      <c r="AS75" s="5540" t="s">
        <v>2256</v>
      </c>
      <c r="AT75" s="6213"/>
      <c r="AU75" s="6214" t="s">
        <v>411</v>
      </c>
      <c r="AV75" s="6215"/>
      <c r="AW75" s="6218" t="s">
        <v>1359</v>
      </c>
      <c r="AX75" s="6219" t="s">
        <v>1358</v>
      </c>
      <c r="AY75" s="2035"/>
      <c r="AZ75" s="2035"/>
      <c r="BA75" s="884"/>
      <c r="BB75" s="884"/>
      <c r="BC75" s="884"/>
      <c r="BD75" s="884"/>
      <c r="BE75" s="884"/>
      <c r="BF75" s="884"/>
      <c r="BG75" s="884"/>
      <c r="BH75" s="884"/>
      <c r="BI75" s="884"/>
      <c r="BJ75" s="884"/>
      <c r="BK75" s="884"/>
      <c r="BL75" s="884"/>
      <c r="BM75" s="884"/>
      <c r="BV75" s="884"/>
      <c r="BW75" s="885"/>
      <c r="BX75" s="885"/>
    </row>
    <row r="76" spans="1:131" ht="16.350000000000001" customHeight="1" x14ac:dyDescent="0.25">
      <c r="B76" s="5113"/>
      <c r="C76" s="6210"/>
      <c r="D76" s="6211"/>
      <c r="E76" s="5165" t="s">
        <v>426</v>
      </c>
      <c r="F76" s="5540"/>
      <c r="G76" s="5165" t="s">
        <v>1382</v>
      </c>
      <c r="H76" s="5540"/>
      <c r="I76" s="5165" t="s">
        <v>1355</v>
      </c>
      <c r="J76" s="5167"/>
      <c r="K76" s="5540" t="s">
        <v>620</v>
      </c>
      <c r="L76" s="5540"/>
      <c r="M76" s="5165" t="s">
        <v>275</v>
      </c>
      <c r="N76" s="5540"/>
      <c r="O76" s="5165" t="s">
        <v>352</v>
      </c>
      <c r="P76" s="5540"/>
      <c r="Q76" s="5165" t="s">
        <v>319</v>
      </c>
      <c r="R76" s="5540"/>
      <c r="S76" s="5165" t="s">
        <v>10</v>
      </c>
      <c r="T76" s="5540"/>
      <c r="U76" s="5165" t="s">
        <v>151</v>
      </c>
      <c r="V76" s="5167"/>
      <c r="W76" s="5165" t="s">
        <v>152</v>
      </c>
      <c r="X76" s="5167"/>
      <c r="Y76" s="5165" t="s">
        <v>153</v>
      </c>
      <c r="Z76" s="5167"/>
      <c r="AA76" s="5165" t="s">
        <v>154</v>
      </c>
      <c r="AB76" s="5167"/>
      <c r="AC76" s="5165" t="s">
        <v>155</v>
      </c>
      <c r="AD76" s="5167"/>
      <c r="AE76" s="5165" t="s">
        <v>156</v>
      </c>
      <c r="AF76" s="5167"/>
      <c r="AG76" s="5165" t="s">
        <v>157</v>
      </c>
      <c r="AH76" s="5167"/>
      <c r="AI76" s="5165" t="s">
        <v>158</v>
      </c>
      <c r="AJ76" s="5167"/>
      <c r="AK76" s="5165" t="s">
        <v>159</v>
      </c>
      <c r="AL76" s="5167"/>
      <c r="AM76" s="5165" t="s">
        <v>160</v>
      </c>
      <c r="AN76" s="5167"/>
      <c r="AO76" s="5165" t="s">
        <v>161</v>
      </c>
      <c r="AP76" s="5167"/>
      <c r="AQ76" s="5165" t="s">
        <v>162</v>
      </c>
      <c r="AR76" s="6213"/>
      <c r="AS76" s="6220" t="s">
        <v>24</v>
      </c>
      <c r="AT76" s="6222" t="s">
        <v>25</v>
      </c>
      <c r="AU76" s="6216"/>
      <c r="AV76" s="6217"/>
      <c r="AW76" s="5121"/>
      <c r="AX76" s="5123"/>
      <c r="AY76" s="2035"/>
      <c r="AZ76" s="2035"/>
      <c r="BA76" s="884"/>
      <c r="BB76" s="884"/>
      <c r="BC76" s="884"/>
      <c r="BD76" s="884"/>
      <c r="BE76" s="884"/>
      <c r="BF76" s="884"/>
      <c r="BG76" s="884"/>
      <c r="BH76" s="884"/>
      <c r="BI76" s="884"/>
      <c r="BJ76" s="884"/>
      <c r="BK76" s="884"/>
      <c r="BL76" s="884"/>
      <c r="BM76" s="884"/>
      <c r="BV76" s="884"/>
      <c r="BW76" s="885"/>
      <c r="BX76" s="885"/>
    </row>
    <row r="77" spans="1:131" ht="16.350000000000001" customHeight="1" x14ac:dyDescent="0.25">
      <c r="B77" s="5159"/>
      <c r="C77" s="1749" t="s">
        <v>2257</v>
      </c>
      <c r="D77" s="2036" t="s">
        <v>2258</v>
      </c>
      <c r="E77" s="1597" t="s">
        <v>2257</v>
      </c>
      <c r="F77" s="1695" t="s">
        <v>2258</v>
      </c>
      <c r="G77" s="1597" t="s">
        <v>2257</v>
      </c>
      <c r="H77" s="1695" t="s">
        <v>2258</v>
      </c>
      <c r="I77" s="1597" t="s">
        <v>2257</v>
      </c>
      <c r="J77" s="2036" t="s">
        <v>2258</v>
      </c>
      <c r="K77" s="1749" t="s">
        <v>2257</v>
      </c>
      <c r="L77" s="1695" t="s">
        <v>2258</v>
      </c>
      <c r="M77" s="1597" t="s">
        <v>2257</v>
      </c>
      <c r="N77" s="1695" t="s">
        <v>2258</v>
      </c>
      <c r="O77" s="1597" t="s">
        <v>2257</v>
      </c>
      <c r="P77" s="1695" t="s">
        <v>2258</v>
      </c>
      <c r="Q77" s="1597" t="s">
        <v>2257</v>
      </c>
      <c r="R77" s="1695" t="s">
        <v>2258</v>
      </c>
      <c r="S77" s="1597" t="s">
        <v>2257</v>
      </c>
      <c r="T77" s="1695" t="s">
        <v>2258</v>
      </c>
      <c r="U77" s="1597" t="s">
        <v>2257</v>
      </c>
      <c r="V77" s="1695" t="s">
        <v>2258</v>
      </c>
      <c r="W77" s="1597" t="s">
        <v>2257</v>
      </c>
      <c r="X77" s="1695" t="s">
        <v>2258</v>
      </c>
      <c r="Y77" s="1597" t="s">
        <v>2257</v>
      </c>
      <c r="Z77" s="1695" t="s">
        <v>2258</v>
      </c>
      <c r="AA77" s="1597" t="s">
        <v>2257</v>
      </c>
      <c r="AB77" s="1695" t="s">
        <v>2258</v>
      </c>
      <c r="AC77" s="1597" t="s">
        <v>2257</v>
      </c>
      <c r="AD77" s="1695" t="s">
        <v>2258</v>
      </c>
      <c r="AE77" s="1597" t="s">
        <v>2257</v>
      </c>
      <c r="AF77" s="1695" t="s">
        <v>2258</v>
      </c>
      <c r="AG77" s="1597" t="s">
        <v>2257</v>
      </c>
      <c r="AH77" s="1695" t="s">
        <v>2258</v>
      </c>
      <c r="AI77" s="1597" t="s">
        <v>2257</v>
      </c>
      <c r="AJ77" s="1695" t="s">
        <v>2258</v>
      </c>
      <c r="AK77" s="1597" t="s">
        <v>2257</v>
      </c>
      <c r="AL77" s="1695" t="s">
        <v>2258</v>
      </c>
      <c r="AM77" s="1597" t="s">
        <v>2257</v>
      </c>
      <c r="AN77" s="1695" t="s">
        <v>2258</v>
      </c>
      <c r="AO77" s="1597" t="s">
        <v>2257</v>
      </c>
      <c r="AP77" s="1695" t="s">
        <v>2258</v>
      </c>
      <c r="AQ77" s="1597" t="s">
        <v>2257</v>
      </c>
      <c r="AR77" s="2030" t="s">
        <v>2258</v>
      </c>
      <c r="AS77" s="6221"/>
      <c r="AT77" s="6223"/>
      <c r="AU77" s="2031" t="s">
        <v>1350</v>
      </c>
      <c r="AV77" s="1901" t="s">
        <v>1351</v>
      </c>
      <c r="AW77" s="5799"/>
      <c r="AX77" s="5403"/>
      <c r="AY77" s="2035"/>
      <c r="AZ77" s="2035"/>
      <c r="BA77" s="884"/>
      <c r="BB77" s="884"/>
      <c r="BC77" s="884"/>
      <c r="BD77" s="884"/>
      <c r="BE77" s="884"/>
      <c r="BF77" s="884"/>
      <c r="BG77" s="884"/>
      <c r="BH77" s="884"/>
      <c r="BI77" s="884"/>
      <c r="BJ77" s="884"/>
      <c r="BK77" s="884"/>
      <c r="BL77" s="884"/>
      <c r="BM77" s="884"/>
      <c r="BV77" s="884"/>
      <c r="BW77" s="885"/>
      <c r="BX77" s="885"/>
    </row>
    <row r="78" spans="1:131" ht="16.350000000000001" customHeight="1" x14ac:dyDescent="0.25">
      <c r="A78" s="2458">
        <v>11056418</v>
      </c>
      <c r="B78" s="107" t="s">
        <v>2259</v>
      </c>
      <c r="C78" s="2032" t="s">
        <v>2777</v>
      </c>
      <c r="D78" s="1855" t="s">
        <v>2778</v>
      </c>
      <c r="E78" s="161" t="s">
        <v>2779</v>
      </c>
      <c r="F78" s="145" t="s">
        <v>2780</v>
      </c>
      <c r="G78" s="173" t="s">
        <v>2781</v>
      </c>
      <c r="H78" s="145" t="s">
        <v>2782</v>
      </c>
      <c r="I78" s="173" t="s">
        <v>2783</v>
      </c>
      <c r="J78" s="145" t="s">
        <v>2784</v>
      </c>
      <c r="K78" s="173" t="s">
        <v>2785</v>
      </c>
      <c r="L78" s="145" t="s">
        <v>2786</v>
      </c>
      <c r="M78" s="173" t="s">
        <v>2787</v>
      </c>
      <c r="N78" s="162" t="s">
        <v>2788</v>
      </c>
      <c r="O78" s="180" t="s">
        <v>2789</v>
      </c>
      <c r="P78" s="142" t="s">
        <v>2790</v>
      </c>
      <c r="Q78" s="141" t="s">
        <v>2791</v>
      </c>
      <c r="R78" s="142" t="s">
        <v>2792</v>
      </c>
      <c r="S78" s="141" t="s">
        <v>2793</v>
      </c>
      <c r="T78" s="142" t="s">
        <v>2794</v>
      </c>
      <c r="U78" s="141" t="s">
        <v>2795</v>
      </c>
      <c r="V78" s="142" t="s">
        <v>2796</v>
      </c>
      <c r="W78" s="141" t="s">
        <v>2797</v>
      </c>
      <c r="X78" s="142" t="s">
        <v>2798</v>
      </c>
      <c r="Y78" s="141" t="s">
        <v>2799</v>
      </c>
      <c r="Z78" s="142" t="s">
        <v>2800</v>
      </c>
      <c r="AA78" s="141" t="s">
        <v>2801</v>
      </c>
      <c r="AB78" s="142" t="s">
        <v>2817</v>
      </c>
      <c r="AC78" s="141" t="s">
        <v>2818</v>
      </c>
      <c r="AD78" s="142" t="s">
        <v>2819</v>
      </c>
      <c r="AE78" s="141" t="s">
        <v>2821</v>
      </c>
      <c r="AF78" s="142" t="s">
        <v>2822</v>
      </c>
      <c r="AG78" s="141" t="s">
        <v>2823</v>
      </c>
      <c r="AH78" s="142" t="s">
        <v>2824</v>
      </c>
      <c r="AI78" s="141" t="s">
        <v>2825</v>
      </c>
      <c r="AJ78" s="142" t="s">
        <v>2826</v>
      </c>
      <c r="AK78" s="141" t="s">
        <v>2827</v>
      </c>
      <c r="AL78" s="142" t="s">
        <v>2831</v>
      </c>
      <c r="AM78" s="141" t="s">
        <v>2832</v>
      </c>
      <c r="AN78" s="142" t="s">
        <v>2833</v>
      </c>
      <c r="AO78" s="141" t="s">
        <v>2834</v>
      </c>
      <c r="AP78" s="142" t="s">
        <v>3011</v>
      </c>
      <c r="AQ78" s="141" t="s">
        <v>3012</v>
      </c>
      <c r="AR78" s="318" t="s">
        <v>3013</v>
      </c>
      <c r="AS78" s="1703" t="s">
        <v>3014</v>
      </c>
      <c r="AT78" s="318" t="s">
        <v>3015</v>
      </c>
      <c r="AU78" s="180" t="s">
        <v>3206</v>
      </c>
      <c r="AV78" s="142" t="s">
        <v>3207</v>
      </c>
      <c r="AW78" s="141" t="s">
        <v>3272</v>
      </c>
      <c r="AX78" s="163" t="s">
        <v>3273</v>
      </c>
      <c r="AY78" s="1079" t="e">
        <f t="shared" ref="AY78:AY95" si="159">$CB78&amp;$CC78&amp;$CD78&amp;$CE78&amp;$CF78&amp;$CG78&amp;$CH78&amp;$CI78&amp;$CJ78&amp;$CK78&amp;$CL78&amp;$CM78&amp;$CN78&amp;$CO78&amp;$CP78&amp;$CQ78&amp;$CR78&amp;$CS78&amp;$CT78&amp;$CU78&amp;$CV78&amp;$CW78&amp;$CX78&amp;$CY78&amp;$CZ78&amp;$DA78</f>
        <v>#VALUE!</v>
      </c>
      <c r="AZ78" s="1079"/>
      <c r="BA78" s="1079"/>
      <c r="BB78" s="1079"/>
      <c r="BC78" s="1079"/>
      <c r="BD78" s="1079"/>
      <c r="BE78" s="1079"/>
      <c r="BF78" s="1079"/>
      <c r="BG78" s="1079"/>
      <c r="BH78" s="1079"/>
      <c r="BI78" s="1079"/>
      <c r="BJ78" s="884"/>
      <c r="BK78" s="884"/>
      <c r="BL78" s="884"/>
      <c r="BM78" s="884"/>
      <c r="BV78" s="885"/>
      <c r="BW78" s="885"/>
      <c r="BX78" s="885"/>
      <c r="CB78" s="2077" t="str">
        <f t="shared" ref="CB78:CB95" si="160">IF(C78&lt;D78,"* El total de Reactivos NO DEBE ser superior al total de Procesados. ","")</f>
        <v xml:space="preserve">* El total de Reactivos NO DEBE ser superior al total de Procesados. </v>
      </c>
      <c r="CC78" s="2077" t="e">
        <f t="shared" ref="CC78:CC95" si="161">IF(C78&lt;&gt;(AS78+ AT78),"* La suma de las columnas Sexo DEBE SER IGUAL a los Procesados. ","")</f>
        <v>#VALUE!</v>
      </c>
      <c r="CD78" s="2077" t="e">
        <f t="shared" ref="CD78:CD95" si="162">IF(C78&lt;(AU78+ AV78),"* La suma de las columna Trans NO DEBE ser superior al total de Procesados. ","")</f>
        <v>#VALUE!</v>
      </c>
      <c r="CE78" s="2077" t="str">
        <f t="shared" ref="CE78:CE95" si="163">IF(C78&lt;AW78,"* La columna Pueblos Originarios NO DEBE ser superior al total de Procesados. ","")</f>
        <v xml:space="preserve">* La columna Pueblos Originarios NO DEBE ser superior al total de Procesados. </v>
      </c>
      <c r="CF78" s="2077" t="str">
        <f t="shared" ref="CF78:CF95" si="164">IF(C78&lt;AX78,"* La columna Migrantes NO DEBE ser superior al total de Procesados. ","")</f>
        <v xml:space="preserve">* La columna Migrantes NO DEBE ser superior al total de Procesados. </v>
      </c>
      <c r="CG78" s="2077" t="str">
        <f>IF(E78&lt;F78,CONCATENATE("* El total de procesados debe ser mayor o igual al total de Reactivos en el grupo de edad ",$E$76),"")</f>
        <v>* El total de procesados debe ser mayor o igual al total de Reactivos en el grupo de edad Menor de 6 meses</v>
      </c>
      <c r="CH78" s="2077" t="str">
        <f>IF(G78&lt;H78,CONCATENATE("* El total de procesados debe ser mayor o igual al total de Reactivos en el grupo de edad ",$G$76),"")</f>
        <v>* El total de procesados debe ser mayor o igual al total de Reactivos en el grupo de edad 6 a 11 meses</v>
      </c>
      <c r="CI78" s="2077" t="str">
        <f>IF(I78&lt;J78,CONCATENATE("* El total de procesados debe ser mayor o igual al total de Reactivos en el grupo de edad ",$I$76),"")</f>
        <v>* El total de procesados debe ser mayor o igual al total de Reactivos en el grupo de edad 12-24 meses</v>
      </c>
      <c r="CJ78" s="2077" t="str">
        <f>IF(K78&lt;L78,CONCATENATE("* El total de procesados debe ser mayor o igual al total de Reactivos en el grupo de edad ",$K$76),"")</f>
        <v>* El total de procesados debe ser mayor o igual al total de Reactivos en el grupo de edad 3 a 4</v>
      </c>
      <c r="CK78" s="2077" t="str">
        <f>IF(M78&lt;N78,CONCATENATE("* El total de procesados debe ser mayor o igual al total de Reactivos en el grupo de edad ",$M$76),"")</f>
        <v>* El total de procesados debe ser mayor o igual al total de Reactivos en el grupo de edad 5 a 9</v>
      </c>
      <c r="CL78" s="2077" t="str">
        <f>IF(O78&lt;P78,CONCATENATE("* El total de procesados debe ser mayor o igual al total de Reactivos en el grupo de edad ",$O$76),"")</f>
        <v>* El total de procesados debe ser mayor o igual al total de Reactivos en el grupo de edad 10 - 14</v>
      </c>
      <c r="CM78" s="2077" t="str">
        <f>IF(Q78&lt;R78,CONCATENATE("* El total de procesados debe ser mayor o igual al total de Reactivos en el grupo de edad ",$Q$76),"")</f>
        <v>* El total de procesados debe ser mayor o igual al total de Reactivos en el grupo de edad 15 - 19</v>
      </c>
      <c r="CN78" s="2077" t="str">
        <f>IF(S78&lt;T78,CONCATENATE("* El total de procesados debe ser mayor o igual al total de Reactivos en el grupo de edad ",$S$76),"")</f>
        <v>* El total de procesados debe ser mayor o igual al total de Reactivos en el grupo de edad 20 - 24</v>
      </c>
      <c r="CO78" s="2077" t="str">
        <f>IF(U78&lt;V78,CONCATENATE("* El total de procesados debe ser mayor o igual al total de Reactivos en el grupo de edad ",$U$76),"")</f>
        <v>* El total de procesados debe ser mayor o igual al total de Reactivos en el grupo de edad 25 a 29</v>
      </c>
      <c r="CP78" s="2077" t="str">
        <f>IF(W78&lt;X78,CONCATENATE("* El total de procesados debe ser mayor o igual al total de Reactivos en el grupo de edad ",$W$76),"")</f>
        <v>* El total de procesados debe ser mayor o igual al total de Reactivos en el grupo de edad 30 a 34</v>
      </c>
      <c r="CQ78" s="2077" t="str">
        <f>IF(Y78&lt;Z78,CONCATENATE("* El total de procesados debe ser mayor o igual al total de Reactivos en el grupo de edad ",$Y$76),"")</f>
        <v>* El total de procesados debe ser mayor o igual al total de Reactivos en el grupo de edad 35 a 39</v>
      </c>
      <c r="CR78" s="2077" t="str">
        <f>IF(AA78&lt;AB78,CONCATENATE("* El total de procesados debe ser mayor o igual al total de Reactivos en el grupo de edad ",$AA$76),"")</f>
        <v>* El total de procesados debe ser mayor o igual al total de Reactivos en el grupo de edad 40 a 44</v>
      </c>
      <c r="CS78" s="2077" t="str">
        <f>IF(AC78&lt;AD78,CONCATENATE("* El total de procesados debe ser mayor o igual al total de Reactivos en el grupo de edad ",$AC$76),"")</f>
        <v>* El total de procesados debe ser mayor o igual al total de Reactivos en el grupo de edad 45 a 49</v>
      </c>
      <c r="CT78" s="2077" t="str">
        <f>IF(AE78&lt;AF78,CONCATENATE("* El total de procesados debe ser mayor o igual al total de Reactivos en el grupo de edad ",$AE$76),"")</f>
        <v>* El total de procesados debe ser mayor o igual al total de Reactivos en el grupo de edad 50 a 54</v>
      </c>
      <c r="CU78" s="2077" t="str">
        <f>IF(AG78&lt;AH78,CONCATENATE("* El total de procesados debe ser mayor o igual al total de Reactivos en el grupo de edad ",$AG$76),"")</f>
        <v>* El total de procesados debe ser mayor o igual al total de Reactivos en el grupo de edad 55 a 59</v>
      </c>
      <c r="CV78" s="2077" t="str">
        <f>IF(AI78&lt;AJ78,CONCATENATE("* El total de procesados debe ser mayor o igual al total de Reactivos en el grupo de edad ",$AI$76),"")</f>
        <v>* El total de procesados debe ser mayor o igual al total de Reactivos en el grupo de edad 60 a 64</v>
      </c>
      <c r="CW78" s="2077" t="str">
        <f>IF(AK78&lt;AL78,CONCATENATE("* El total de procesados debe ser mayor o igual al total de Reactivos en el grupo de edad ",$AK$76),"")</f>
        <v>* El total de procesados debe ser mayor o igual al total de Reactivos en el grupo de edad 65 a 69</v>
      </c>
      <c r="CX78" s="2077" t="str">
        <f>IF(AM78&lt;AN78,CONCATENATE("* El total de procesados debe ser mayor o igual al total de Reactivos en el grupo de edad ",$AM$76),"")</f>
        <v>* El total de procesados debe ser mayor o igual al total de Reactivos en el grupo de edad 70 a 74</v>
      </c>
      <c r="CY78" s="2077" t="str">
        <f>IF(AO78&lt;AP78,CONCATENATE("* El total de procesados debe ser mayor o igual al total de Reactivos en el grupo de edad ",$AO$76),"")</f>
        <v>* El total de procesados debe ser mayor o igual al total de Reactivos en el grupo de edad 75 a 79</v>
      </c>
      <c r="CZ78" s="2077" t="str">
        <f>IF(AQ78&lt;AR78,CONCATENATE("* El total de procesados debe ser mayor o igual al total de Reactivos en el grupo de edad ",$AQ$76),"")</f>
        <v>* El total de procesados debe ser mayor o igual al total de Reactivos en el grupo de edad 80 y más</v>
      </c>
      <c r="DA78" s="2077" t="str">
        <f t="shared" ref="DA78:DA95" si="165">IF(AND(C78&lt;&gt;0,OR(AU78="",AV78="",AW78="",AX78="")),"* No olvide digitar la columna Trans y/o Pueblos Originarios y/o Migrantes (Digite Cero si no tiene). ","")</f>
        <v/>
      </c>
      <c r="DB78" s="1363">
        <f t="shared" ref="DB78:DB95" si="166">IF(C78&lt;   D78,1,0)</f>
        <v>1</v>
      </c>
      <c r="DC78" s="1363" t="e">
        <f t="shared" ref="DC78:DC95" si="167">IF(C78&lt;&gt; AS78+AT78,1,0)</f>
        <v>#VALUE!</v>
      </c>
      <c r="DD78" s="1363" t="e">
        <f t="shared" ref="DD78:DD95" si="168">IF(C78&lt;  AU78+AV78,1,0)</f>
        <v>#VALUE!</v>
      </c>
      <c r="DE78" s="1363">
        <f t="shared" ref="DE78:DE95" si="169">IF(C78&lt;  AW78,1,0)</f>
        <v>1</v>
      </c>
      <c r="DF78" s="1363">
        <f t="shared" ref="DF78:DF95" si="170">IF(C78&lt;  AX78,1,0)</f>
        <v>1</v>
      </c>
      <c r="DG78" s="1363">
        <f t="shared" ref="DG78:DG95" si="171">IF(E78&lt;F78,1,0)</f>
        <v>1</v>
      </c>
      <c r="DH78" s="1363">
        <f t="shared" ref="DH78:DH95" si="172">IF(G78&lt;H78,1,0)</f>
        <v>1</v>
      </c>
      <c r="DI78" s="1363">
        <f t="shared" ref="DI78:DI95" si="173">IF(I78&lt;J78,1,0)</f>
        <v>1</v>
      </c>
      <c r="DJ78" s="1363">
        <f t="shared" ref="DJ78:DJ95" si="174">IF(K78&lt;L78,1,0)</f>
        <v>1</v>
      </c>
      <c r="DK78" s="1363">
        <f t="shared" ref="DK78:DK95" si="175">IF(M78&lt;N78,1,0)</f>
        <v>1</v>
      </c>
      <c r="DL78" s="1363">
        <f t="shared" ref="DL78:DL95" si="176">IF(O78&lt;P78,1,0)</f>
        <v>1</v>
      </c>
      <c r="DM78" s="1363">
        <f t="shared" ref="DM78:DM95" si="177">IF(Q78&lt;R78,1,0)</f>
        <v>1</v>
      </c>
      <c r="DN78" s="1363">
        <f t="shared" ref="DN78:DN95" si="178">IF(S78&lt;T78,1,0)</f>
        <v>1</v>
      </c>
      <c r="DO78" s="1363">
        <f t="shared" ref="DO78:DO95" si="179">IF(U78&lt;V78,1,0)</f>
        <v>1</v>
      </c>
      <c r="DP78" s="1363">
        <f t="shared" ref="DP78:DP95" si="180">IF(W78&lt;X78,1,0)</f>
        <v>1</v>
      </c>
      <c r="DQ78" s="1363">
        <f t="shared" ref="DQ78:DQ95" si="181">IF(Y78&lt;Z78,1,0)</f>
        <v>1</v>
      </c>
      <c r="DR78" s="1363">
        <f t="shared" ref="DR78:DR95" si="182">IF(AA78&lt;AB78,1,0)</f>
        <v>1</v>
      </c>
      <c r="DS78" s="1363">
        <f t="shared" ref="DS78:DS95" si="183">IF(AC78&lt;AD78,1,0)</f>
        <v>1</v>
      </c>
      <c r="DT78" s="1363">
        <f t="shared" ref="DT78:DT95" si="184">IF(AE78&lt;AF78,1,0)</f>
        <v>1</v>
      </c>
      <c r="DU78" s="1363">
        <f t="shared" ref="DU78:DU95" si="185">IF(AG78&lt;AH78,1,0)</f>
        <v>1</v>
      </c>
      <c r="DV78" s="1363">
        <f t="shared" ref="DV78:DV95" si="186">IF(AI78&lt;AJ78,1,0)</f>
        <v>1</v>
      </c>
      <c r="DW78" s="1363">
        <f t="shared" ref="DW78:DW95" si="187">IF(AK78&lt;AL78,1,0)</f>
        <v>1</v>
      </c>
      <c r="DX78" s="1363">
        <f t="shared" ref="DX78:DX95" si="188">IF(AM78&lt;AN78,1,0)</f>
        <v>1</v>
      </c>
      <c r="DY78" s="1363">
        <f t="shared" ref="DY78:DY95" si="189">IF(AO78&lt;AP78,1,0)</f>
        <v>1</v>
      </c>
      <c r="DZ78" s="1363">
        <f t="shared" ref="DZ78:DZ95" si="190">IF(AQ78&lt;AR78,1,0)</f>
        <v>1</v>
      </c>
      <c r="EA78" s="1363">
        <f t="shared" ref="EA78:EA95" si="191">IF(AND(C78&lt;&gt;0,OR(AU78="",AV78="",AW78="",AX78="")),1,0)</f>
        <v>0</v>
      </c>
    </row>
    <row r="79" spans="1:131" ht="16.350000000000001" customHeight="1" x14ac:dyDescent="0.25">
      <c r="A79" s="2458">
        <v>11056419</v>
      </c>
      <c r="B79" s="107" t="s">
        <v>2260</v>
      </c>
      <c r="C79" s="707" t="s">
        <v>2777</v>
      </c>
      <c r="D79" s="281" t="s">
        <v>2778</v>
      </c>
      <c r="E79" s="161" t="s">
        <v>2779</v>
      </c>
      <c r="F79" s="145" t="s">
        <v>2780</v>
      </c>
      <c r="G79" s="173" t="s">
        <v>2781</v>
      </c>
      <c r="H79" s="145" t="s">
        <v>2782</v>
      </c>
      <c r="I79" s="173" t="s">
        <v>2783</v>
      </c>
      <c r="J79" s="145" t="s">
        <v>2784</v>
      </c>
      <c r="K79" s="173" t="s">
        <v>2785</v>
      </c>
      <c r="L79" s="145" t="s">
        <v>2786</v>
      </c>
      <c r="M79" s="173" t="s">
        <v>2787</v>
      </c>
      <c r="N79" s="162" t="s">
        <v>2788</v>
      </c>
      <c r="O79" s="180" t="s">
        <v>2789</v>
      </c>
      <c r="P79" s="142" t="s">
        <v>2790</v>
      </c>
      <c r="Q79" s="141" t="s">
        <v>2791</v>
      </c>
      <c r="R79" s="142" t="s">
        <v>2792</v>
      </c>
      <c r="S79" s="141" t="s">
        <v>2793</v>
      </c>
      <c r="T79" s="142" t="s">
        <v>2794</v>
      </c>
      <c r="U79" s="141" t="s">
        <v>2795</v>
      </c>
      <c r="V79" s="142" t="s">
        <v>2796</v>
      </c>
      <c r="W79" s="141" t="s">
        <v>2797</v>
      </c>
      <c r="X79" s="142" t="s">
        <v>2798</v>
      </c>
      <c r="Y79" s="141" t="s">
        <v>2799</v>
      </c>
      <c r="Z79" s="142" t="s">
        <v>2800</v>
      </c>
      <c r="AA79" s="141" t="s">
        <v>2801</v>
      </c>
      <c r="AB79" s="142" t="s">
        <v>2817</v>
      </c>
      <c r="AC79" s="141" t="s">
        <v>2818</v>
      </c>
      <c r="AD79" s="142" t="s">
        <v>2819</v>
      </c>
      <c r="AE79" s="141" t="s">
        <v>2821</v>
      </c>
      <c r="AF79" s="142" t="s">
        <v>2822</v>
      </c>
      <c r="AG79" s="141" t="s">
        <v>2823</v>
      </c>
      <c r="AH79" s="142" t="s">
        <v>2824</v>
      </c>
      <c r="AI79" s="141" t="s">
        <v>2825</v>
      </c>
      <c r="AJ79" s="142" t="s">
        <v>2826</v>
      </c>
      <c r="AK79" s="141" t="s">
        <v>2827</v>
      </c>
      <c r="AL79" s="142" t="s">
        <v>2831</v>
      </c>
      <c r="AM79" s="141" t="s">
        <v>2832</v>
      </c>
      <c r="AN79" s="142" t="s">
        <v>2833</v>
      </c>
      <c r="AO79" s="141" t="s">
        <v>2834</v>
      </c>
      <c r="AP79" s="142" t="s">
        <v>3011</v>
      </c>
      <c r="AQ79" s="141" t="s">
        <v>3012</v>
      </c>
      <c r="AR79" s="318" t="s">
        <v>3013</v>
      </c>
      <c r="AS79" s="1703" t="s">
        <v>3014</v>
      </c>
      <c r="AT79" s="318" t="s">
        <v>3015</v>
      </c>
      <c r="AU79" s="180" t="s">
        <v>3206</v>
      </c>
      <c r="AV79" s="142" t="s">
        <v>3207</v>
      </c>
      <c r="AW79" s="141" t="s">
        <v>3272</v>
      </c>
      <c r="AX79" s="163" t="s">
        <v>3273</v>
      </c>
      <c r="AY79" s="1079" t="e">
        <f t="shared" si="159"/>
        <v>#VALUE!</v>
      </c>
      <c r="AZ79" s="1079"/>
      <c r="BA79" s="1079"/>
      <c r="BB79" s="1079"/>
      <c r="BC79" s="1079"/>
      <c r="BD79" s="1079"/>
      <c r="BE79" s="1079"/>
      <c r="BF79" s="1079"/>
      <c r="BG79" s="1079"/>
      <c r="BH79" s="1079"/>
      <c r="BI79" s="1079"/>
      <c r="BJ79" s="884"/>
      <c r="BK79" s="884"/>
      <c r="BL79" s="884"/>
      <c r="BM79" s="884"/>
      <c r="BV79" s="885"/>
      <c r="BW79" s="885"/>
      <c r="BX79" s="885"/>
      <c r="CB79" s="2077" t="str">
        <f t="shared" si="160"/>
        <v xml:space="preserve">* El total de Reactivos NO DEBE ser superior al total de Procesados. </v>
      </c>
      <c r="CC79" s="2077" t="e">
        <f t="shared" si="161"/>
        <v>#VALUE!</v>
      </c>
      <c r="CD79" s="2077" t="e">
        <f t="shared" si="162"/>
        <v>#VALUE!</v>
      </c>
      <c r="CE79" s="2077" t="str">
        <f t="shared" si="163"/>
        <v xml:space="preserve">* La columna Pueblos Originarios NO DEBE ser superior al total de Procesados. </v>
      </c>
      <c r="CF79" s="2077" t="str">
        <f t="shared" si="164"/>
        <v xml:space="preserve">* La columna Migrantes NO DEBE ser superior al total de Procesados. </v>
      </c>
      <c r="CG79" s="2077" t="str">
        <f t="shared" ref="CG79:CG95" si="192">IF(E79&lt;F79,CONCATENATE("* El total de procesados debe ser mayor o igual al total de Reactivos en el grupo de edad ",$E$76),"")</f>
        <v>* El total de procesados debe ser mayor o igual al total de Reactivos en el grupo de edad Menor de 6 meses</v>
      </c>
      <c r="CH79" s="2077" t="str">
        <f t="shared" ref="CH79:CH95" si="193">IF(G79&lt;H79,CONCATENATE("* El total de procesados debe ser mayor o igual al total de Reactivos en el grupo de edad ",$G$76),"")</f>
        <v>* El total de procesados debe ser mayor o igual al total de Reactivos en el grupo de edad 6 a 11 meses</v>
      </c>
      <c r="CI79" s="2077" t="str">
        <f t="shared" ref="CI79:CI95" si="194">IF(I79&lt;J79,CONCATENATE("* El total de procesados debe ser mayor o igual al total de Reactivos en el grupo de edad ",$I$76),"")</f>
        <v>* El total de procesados debe ser mayor o igual al total de Reactivos en el grupo de edad 12-24 meses</v>
      </c>
      <c r="CJ79" s="2077" t="str">
        <f t="shared" ref="CJ79:CJ95" si="195">IF(K79&lt;L79,CONCATENATE("* El total de procesados debe ser mayor o igual al total de Reactivos en el grupo de edad ",$K$76),"")</f>
        <v>* El total de procesados debe ser mayor o igual al total de Reactivos en el grupo de edad 3 a 4</v>
      </c>
      <c r="CK79" s="2077" t="str">
        <f t="shared" ref="CK79:CK95" si="196">IF(M79&lt;N79,CONCATENATE("* El total de procesados debe ser mayor o igual al total de Reactivos en el grupo de edad ",$M$76),"")</f>
        <v>* El total de procesados debe ser mayor o igual al total de Reactivos en el grupo de edad 5 a 9</v>
      </c>
      <c r="CL79" s="2077" t="str">
        <f t="shared" ref="CL79:CL95" si="197">IF(O79&lt;P79,CONCATENATE("* El total de procesados debe ser mayor o igual al total de Reactivos en el grupo de edad ",$O$76),"")</f>
        <v>* El total de procesados debe ser mayor o igual al total de Reactivos en el grupo de edad 10 - 14</v>
      </c>
      <c r="CM79" s="2077" t="str">
        <f t="shared" ref="CM79:CM95" si="198">IF(Q79&lt;R79,CONCATENATE("* El total de procesados debe ser mayor o igual al total de Reactivos en el grupo de edad ",$Q$76),"")</f>
        <v>* El total de procesados debe ser mayor o igual al total de Reactivos en el grupo de edad 15 - 19</v>
      </c>
      <c r="CN79" s="2077" t="str">
        <f t="shared" ref="CN79:CN95" si="199">IF(S79&lt;T79,CONCATENATE("* El total de procesados debe ser mayor o igual al total de Reactivos en el grupo de edad ",$S$76),"")</f>
        <v>* El total de procesados debe ser mayor o igual al total de Reactivos en el grupo de edad 20 - 24</v>
      </c>
      <c r="CO79" s="2077" t="str">
        <f t="shared" ref="CO79:CO95" si="200">IF(U79&lt;V79,CONCATENATE("* El total de procesados debe ser mayor o igual al total de Reactivos en el grupo de edad ",$U$76),"")</f>
        <v>* El total de procesados debe ser mayor o igual al total de Reactivos en el grupo de edad 25 a 29</v>
      </c>
      <c r="CP79" s="2077" t="str">
        <f t="shared" ref="CP79:CP95" si="201">IF(W79&lt;X79,CONCATENATE("* El total de procesados debe ser mayor o igual al total de Reactivos en el grupo de edad ",$W$76),"")</f>
        <v>* El total de procesados debe ser mayor o igual al total de Reactivos en el grupo de edad 30 a 34</v>
      </c>
      <c r="CQ79" s="2077" t="str">
        <f t="shared" ref="CQ79:CQ95" si="202">IF(Y79&lt;Z79,CONCATENATE("* El total de procesados debe ser mayor o igual al total de Reactivos en el grupo de edad ",$Y$76),"")</f>
        <v>* El total de procesados debe ser mayor o igual al total de Reactivos en el grupo de edad 35 a 39</v>
      </c>
      <c r="CR79" s="2077" t="str">
        <f t="shared" ref="CR79:CR95" si="203">IF(AA79&lt;AB79,CONCATENATE("* El total de procesados debe ser mayor o igual al total de Reactivos en el grupo de edad ",$AA$76),"")</f>
        <v>* El total de procesados debe ser mayor o igual al total de Reactivos en el grupo de edad 40 a 44</v>
      </c>
      <c r="CS79" s="2077" t="str">
        <f t="shared" ref="CS79:CS95" si="204">IF(AC79&lt;AD79,CONCATENATE("* El total de procesados debe ser mayor o igual al total de Reactivos en el grupo de edad ",$AC$76),"")</f>
        <v>* El total de procesados debe ser mayor o igual al total de Reactivos en el grupo de edad 45 a 49</v>
      </c>
      <c r="CT79" s="2077" t="str">
        <f t="shared" ref="CT79:CT95" si="205">IF(AE79&lt;AF79,CONCATENATE("* El total de procesados debe ser mayor o igual al total de Reactivos en el grupo de edad ",$AE$76),"")</f>
        <v>* El total de procesados debe ser mayor o igual al total de Reactivos en el grupo de edad 50 a 54</v>
      </c>
      <c r="CU79" s="2077" t="str">
        <f t="shared" ref="CU79:CU95" si="206">IF(AG79&lt;AH79,CONCATENATE("* El total de procesados debe ser mayor o igual al total de Reactivos en el grupo de edad ",$AG$76),"")</f>
        <v>* El total de procesados debe ser mayor o igual al total de Reactivos en el grupo de edad 55 a 59</v>
      </c>
      <c r="CV79" s="2077" t="str">
        <f t="shared" ref="CV79:CV95" si="207">IF(AI79&lt;AJ79,CONCATENATE("* El total de procesados debe ser mayor o igual al total de Reactivos en el grupo de edad ",$AI$76),"")</f>
        <v>* El total de procesados debe ser mayor o igual al total de Reactivos en el grupo de edad 60 a 64</v>
      </c>
      <c r="CW79" s="2077" t="str">
        <f t="shared" ref="CW79:CW95" si="208">IF(AK79&lt;AL79,CONCATENATE("* El total de procesados debe ser mayor o igual al total de Reactivos en el grupo de edad ",$AK$76),"")</f>
        <v>* El total de procesados debe ser mayor o igual al total de Reactivos en el grupo de edad 65 a 69</v>
      </c>
      <c r="CX79" s="2077" t="str">
        <f t="shared" ref="CX79:CX95" si="209">IF(AM79&lt;AN79,CONCATENATE("* El total de procesados debe ser mayor o igual al total de Reactivos en el grupo de edad ",$AM$76),"")</f>
        <v>* El total de procesados debe ser mayor o igual al total de Reactivos en el grupo de edad 70 a 74</v>
      </c>
      <c r="CY79" s="2077" t="str">
        <f t="shared" ref="CY79:CY95" si="210">IF(AO79&lt;AP79,CONCATENATE("* El total de procesados debe ser mayor o igual al total de Reactivos en el grupo de edad ",$AO$76),"")</f>
        <v>* El total de procesados debe ser mayor o igual al total de Reactivos en el grupo de edad 75 a 79</v>
      </c>
      <c r="CZ79" s="2077" t="str">
        <f t="shared" ref="CZ79:CZ95" si="211">IF(AQ79&lt;AR79,CONCATENATE("* El total de procesados debe ser mayor o igual al total de Reactivos en el grupo de edad ",$AQ$76),"")</f>
        <v>* El total de procesados debe ser mayor o igual al total de Reactivos en el grupo de edad 80 y más</v>
      </c>
      <c r="DA79" s="2077" t="str">
        <f t="shared" si="165"/>
        <v/>
      </c>
      <c r="DB79" s="1363">
        <f t="shared" si="166"/>
        <v>1</v>
      </c>
      <c r="DC79" s="1363" t="e">
        <f t="shared" si="167"/>
        <v>#VALUE!</v>
      </c>
      <c r="DD79" s="1363" t="e">
        <f t="shared" si="168"/>
        <v>#VALUE!</v>
      </c>
      <c r="DE79" s="1363">
        <f t="shared" si="169"/>
        <v>1</v>
      </c>
      <c r="DF79" s="1363">
        <f t="shared" si="170"/>
        <v>1</v>
      </c>
      <c r="DG79" s="1363">
        <f t="shared" si="171"/>
        <v>1</v>
      </c>
      <c r="DH79" s="1363">
        <f t="shared" si="172"/>
        <v>1</v>
      </c>
      <c r="DI79" s="1363">
        <f t="shared" si="173"/>
        <v>1</v>
      </c>
      <c r="DJ79" s="1363">
        <f t="shared" si="174"/>
        <v>1</v>
      </c>
      <c r="DK79" s="1363">
        <f t="shared" si="175"/>
        <v>1</v>
      </c>
      <c r="DL79" s="1363">
        <f t="shared" si="176"/>
        <v>1</v>
      </c>
      <c r="DM79" s="1363">
        <f t="shared" si="177"/>
        <v>1</v>
      </c>
      <c r="DN79" s="1363">
        <f t="shared" si="178"/>
        <v>1</v>
      </c>
      <c r="DO79" s="1363">
        <f t="shared" si="179"/>
        <v>1</v>
      </c>
      <c r="DP79" s="1363">
        <f t="shared" si="180"/>
        <v>1</v>
      </c>
      <c r="DQ79" s="1363">
        <f t="shared" si="181"/>
        <v>1</v>
      </c>
      <c r="DR79" s="1363">
        <f t="shared" si="182"/>
        <v>1</v>
      </c>
      <c r="DS79" s="1363">
        <f t="shared" si="183"/>
        <v>1</v>
      </c>
      <c r="DT79" s="1363">
        <f t="shared" si="184"/>
        <v>1</v>
      </c>
      <c r="DU79" s="1363">
        <f t="shared" si="185"/>
        <v>1</v>
      </c>
      <c r="DV79" s="1363">
        <f t="shared" si="186"/>
        <v>1</v>
      </c>
      <c r="DW79" s="1363">
        <f t="shared" si="187"/>
        <v>1</v>
      </c>
      <c r="DX79" s="1363">
        <f t="shared" si="188"/>
        <v>1</v>
      </c>
      <c r="DY79" s="1363">
        <f t="shared" si="189"/>
        <v>1</v>
      </c>
      <c r="DZ79" s="1363">
        <f t="shared" si="190"/>
        <v>1</v>
      </c>
      <c r="EA79" s="1363">
        <f t="shared" si="191"/>
        <v>0</v>
      </c>
    </row>
    <row r="80" spans="1:131" ht="16.350000000000001" customHeight="1" x14ac:dyDescent="0.25">
      <c r="A80" s="2458">
        <v>11056420</v>
      </c>
      <c r="B80" s="107" t="s">
        <v>2261</v>
      </c>
      <c r="C80" s="707" t="s">
        <v>2777</v>
      </c>
      <c r="D80" s="281" t="s">
        <v>2778</v>
      </c>
      <c r="E80" s="161" t="s">
        <v>2779</v>
      </c>
      <c r="F80" s="145" t="s">
        <v>2780</v>
      </c>
      <c r="G80" s="173" t="s">
        <v>2781</v>
      </c>
      <c r="H80" s="145" t="s">
        <v>2782</v>
      </c>
      <c r="I80" s="173" t="s">
        <v>2783</v>
      </c>
      <c r="J80" s="145" t="s">
        <v>2784</v>
      </c>
      <c r="K80" s="173" t="s">
        <v>2785</v>
      </c>
      <c r="L80" s="145" t="s">
        <v>2786</v>
      </c>
      <c r="M80" s="173" t="s">
        <v>2787</v>
      </c>
      <c r="N80" s="162" t="s">
        <v>2788</v>
      </c>
      <c r="O80" s="180" t="s">
        <v>2789</v>
      </c>
      <c r="P80" s="142" t="s">
        <v>2790</v>
      </c>
      <c r="Q80" s="141" t="s">
        <v>2791</v>
      </c>
      <c r="R80" s="142" t="s">
        <v>2792</v>
      </c>
      <c r="S80" s="141" t="s">
        <v>2793</v>
      </c>
      <c r="T80" s="142" t="s">
        <v>2794</v>
      </c>
      <c r="U80" s="141" t="s">
        <v>2795</v>
      </c>
      <c r="V80" s="142" t="s">
        <v>2796</v>
      </c>
      <c r="W80" s="141" t="s">
        <v>2797</v>
      </c>
      <c r="X80" s="142" t="s">
        <v>2798</v>
      </c>
      <c r="Y80" s="141" t="s">
        <v>2799</v>
      </c>
      <c r="Z80" s="142" t="s">
        <v>2800</v>
      </c>
      <c r="AA80" s="141" t="s">
        <v>2801</v>
      </c>
      <c r="AB80" s="142" t="s">
        <v>2817</v>
      </c>
      <c r="AC80" s="141" t="s">
        <v>2818</v>
      </c>
      <c r="AD80" s="142" t="s">
        <v>2819</v>
      </c>
      <c r="AE80" s="141" t="s">
        <v>2821</v>
      </c>
      <c r="AF80" s="142" t="s">
        <v>2822</v>
      </c>
      <c r="AG80" s="141" t="s">
        <v>2823</v>
      </c>
      <c r="AH80" s="142" t="s">
        <v>2824</v>
      </c>
      <c r="AI80" s="141" t="s">
        <v>2825</v>
      </c>
      <c r="AJ80" s="142" t="s">
        <v>2826</v>
      </c>
      <c r="AK80" s="141" t="s">
        <v>2827</v>
      </c>
      <c r="AL80" s="142" t="s">
        <v>2831</v>
      </c>
      <c r="AM80" s="141" t="s">
        <v>2832</v>
      </c>
      <c r="AN80" s="142" t="s">
        <v>2833</v>
      </c>
      <c r="AO80" s="141" t="s">
        <v>2834</v>
      </c>
      <c r="AP80" s="142" t="s">
        <v>3011</v>
      </c>
      <c r="AQ80" s="141" t="s">
        <v>3012</v>
      </c>
      <c r="AR80" s="318" t="s">
        <v>3013</v>
      </c>
      <c r="AS80" s="1703" t="s">
        <v>3014</v>
      </c>
      <c r="AT80" s="318" t="s">
        <v>3015</v>
      </c>
      <c r="AU80" s="180" t="s">
        <v>3206</v>
      </c>
      <c r="AV80" s="142" t="s">
        <v>3207</v>
      </c>
      <c r="AW80" s="141" t="s">
        <v>3272</v>
      </c>
      <c r="AX80" s="163" t="s">
        <v>3273</v>
      </c>
      <c r="AY80" s="1079" t="e">
        <f t="shared" si="159"/>
        <v>#VALUE!</v>
      </c>
      <c r="AZ80" s="1079"/>
      <c r="BA80" s="1079"/>
      <c r="BB80" s="1079"/>
      <c r="BC80" s="1079"/>
      <c r="BD80" s="1079"/>
      <c r="BE80" s="1079"/>
      <c r="BF80" s="1079"/>
      <c r="BG80" s="1079"/>
      <c r="BH80" s="1079"/>
      <c r="BI80" s="1079"/>
      <c r="BJ80" s="884"/>
      <c r="BK80" s="884"/>
      <c r="BL80" s="884"/>
      <c r="BM80" s="884"/>
      <c r="BV80" s="885"/>
      <c r="BW80" s="885"/>
      <c r="BX80" s="885"/>
      <c r="CB80" s="2077" t="str">
        <f t="shared" si="160"/>
        <v xml:space="preserve">* El total de Reactivos NO DEBE ser superior al total de Procesados. </v>
      </c>
      <c r="CC80" s="2077" t="e">
        <f t="shared" si="161"/>
        <v>#VALUE!</v>
      </c>
      <c r="CD80" s="2077" t="e">
        <f t="shared" si="162"/>
        <v>#VALUE!</v>
      </c>
      <c r="CE80" s="2077" t="str">
        <f t="shared" si="163"/>
        <v xml:space="preserve">* La columna Pueblos Originarios NO DEBE ser superior al total de Procesados. </v>
      </c>
      <c r="CF80" s="2077" t="str">
        <f t="shared" si="164"/>
        <v xml:space="preserve">* La columna Migrantes NO DEBE ser superior al total de Procesados. </v>
      </c>
      <c r="CG80" s="2077" t="str">
        <f t="shared" si="192"/>
        <v>* El total de procesados debe ser mayor o igual al total de Reactivos en el grupo de edad Menor de 6 meses</v>
      </c>
      <c r="CH80" s="2077" t="str">
        <f t="shared" si="193"/>
        <v>* El total de procesados debe ser mayor o igual al total de Reactivos en el grupo de edad 6 a 11 meses</v>
      </c>
      <c r="CI80" s="2077" t="str">
        <f t="shared" si="194"/>
        <v>* El total de procesados debe ser mayor o igual al total de Reactivos en el grupo de edad 12-24 meses</v>
      </c>
      <c r="CJ80" s="2077" t="str">
        <f t="shared" si="195"/>
        <v>* El total de procesados debe ser mayor o igual al total de Reactivos en el grupo de edad 3 a 4</v>
      </c>
      <c r="CK80" s="2077" t="str">
        <f t="shared" si="196"/>
        <v>* El total de procesados debe ser mayor o igual al total de Reactivos en el grupo de edad 5 a 9</v>
      </c>
      <c r="CL80" s="2077" t="str">
        <f t="shared" si="197"/>
        <v>* El total de procesados debe ser mayor o igual al total de Reactivos en el grupo de edad 10 - 14</v>
      </c>
      <c r="CM80" s="2077" t="str">
        <f t="shared" si="198"/>
        <v>* El total de procesados debe ser mayor o igual al total de Reactivos en el grupo de edad 15 - 19</v>
      </c>
      <c r="CN80" s="2077" t="str">
        <f t="shared" si="199"/>
        <v>* El total de procesados debe ser mayor o igual al total de Reactivos en el grupo de edad 20 - 24</v>
      </c>
      <c r="CO80" s="2077" t="str">
        <f t="shared" si="200"/>
        <v>* El total de procesados debe ser mayor o igual al total de Reactivos en el grupo de edad 25 a 29</v>
      </c>
      <c r="CP80" s="2077" t="str">
        <f t="shared" si="201"/>
        <v>* El total de procesados debe ser mayor o igual al total de Reactivos en el grupo de edad 30 a 34</v>
      </c>
      <c r="CQ80" s="2077" t="str">
        <f t="shared" si="202"/>
        <v>* El total de procesados debe ser mayor o igual al total de Reactivos en el grupo de edad 35 a 39</v>
      </c>
      <c r="CR80" s="2077" t="str">
        <f t="shared" si="203"/>
        <v>* El total de procesados debe ser mayor o igual al total de Reactivos en el grupo de edad 40 a 44</v>
      </c>
      <c r="CS80" s="2077" t="str">
        <f t="shared" si="204"/>
        <v>* El total de procesados debe ser mayor o igual al total de Reactivos en el grupo de edad 45 a 49</v>
      </c>
      <c r="CT80" s="2077" t="str">
        <f t="shared" si="205"/>
        <v>* El total de procesados debe ser mayor o igual al total de Reactivos en el grupo de edad 50 a 54</v>
      </c>
      <c r="CU80" s="2077" t="str">
        <f t="shared" si="206"/>
        <v>* El total de procesados debe ser mayor o igual al total de Reactivos en el grupo de edad 55 a 59</v>
      </c>
      <c r="CV80" s="2077" t="str">
        <f t="shared" si="207"/>
        <v>* El total de procesados debe ser mayor o igual al total de Reactivos en el grupo de edad 60 a 64</v>
      </c>
      <c r="CW80" s="2077" t="str">
        <f t="shared" si="208"/>
        <v>* El total de procesados debe ser mayor o igual al total de Reactivos en el grupo de edad 65 a 69</v>
      </c>
      <c r="CX80" s="2077" t="str">
        <f t="shared" si="209"/>
        <v>* El total de procesados debe ser mayor o igual al total de Reactivos en el grupo de edad 70 a 74</v>
      </c>
      <c r="CY80" s="2077" t="str">
        <f t="shared" si="210"/>
        <v>* El total de procesados debe ser mayor o igual al total de Reactivos en el grupo de edad 75 a 79</v>
      </c>
      <c r="CZ80" s="2077" t="str">
        <f t="shared" si="211"/>
        <v>* El total de procesados debe ser mayor o igual al total de Reactivos en el grupo de edad 80 y más</v>
      </c>
      <c r="DA80" s="2077" t="str">
        <f t="shared" si="165"/>
        <v/>
      </c>
      <c r="DB80" s="1363">
        <f t="shared" si="166"/>
        <v>1</v>
      </c>
      <c r="DC80" s="1363" t="e">
        <f t="shared" si="167"/>
        <v>#VALUE!</v>
      </c>
      <c r="DD80" s="1363" t="e">
        <f t="shared" si="168"/>
        <v>#VALUE!</v>
      </c>
      <c r="DE80" s="1363">
        <f t="shared" si="169"/>
        <v>1</v>
      </c>
      <c r="DF80" s="1363">
        <f t="shared" si="170"/>
        <v>1</v>
      </c>
      <c r="DG80" s="1363">
        <f t="shared" si="171"/>
        <v>1</v>
      </c>
      <c r="DH80" s="1363">
        <f t="shared" si="172"/>
        <v>1</v>
      </c>
      <c r="DI80" s="1363">
        <f t="shared" si="173"/>
        <v>1</v>
      </c>
      <c r="DJ80" s="1363">
        <f t="shared" si="174"/>
        <v>1</v>
      </c>
      <c r="DK80" s="1363">
        <f t="shared" si="175"/>
        <v>1</v>
      </c>
      <c r="DL80" s="1363">
        <f t="shared" si="176"/>
        <v>1</v>
      </c>
      <c r="DM80" s="1363">
        <f t="shared" si="177"/>
        <v>1</v>
      </c>
      <c r="DN80" s="1363">
        <f t="shared" si="178"/>
        <v>1</v>
      </c>
      <c r="DO80" s="1363">
        <f t="shared" si="179"/>
        <v>1</v>
      </c>
      <c r="DP80" s="1363">
        <f t="shared" si="180"/>
        <v>1</v>
      </c>
      <c r="DQ80" s="1363">
        <f t="shared" si="181"/>
        <v>1</v>
      </c>
      <c r="DR80" s="1363">
        <f t="shared" si="182"/>
        <v>1</v>
      </c>
      <c r="DS80" s="1363">
        <f t="shared" si="183"/>
        <v>1</v>
      </c>
      <c r="DT80" s="1363">
        <f t="shared" si="184"/>
        <v>1</v>
      </c>
      <c r="DU80" s="1363">
        <f t="shared" si="185"/>
        <v>1</v>
      </c>
      <c r="DV80" s="1363">
        <f t="shared" si="186"/>
        <v>1</v>
      </c>
      <c r="DW80" s="1363">
        <f t="shared" si="187"/>
        <v>1</v>
      </c>
      <c r="DX80" s="1363">
        <f t="shared" si="188"/>
        <v>1</v>
      </c>
      <c r="DY80" s="1363">
        <f t="shared" si="189"/>
        <v>1</v>
      </c>
      <c r="DZ80" s="1363">
        <f t="shared" si="190"/>
        <v>1</v>
      </c>
      <c r="EA80" s="1363">
        <f t="shared" si="191"/>
        <v>0</v>
      </c>
    </row>
    <row r="81" spans="1:131" ht="16.350000000000001" customHeight="1" x14ac:dyDescent="0.25">
      <c r="A81" s="2458">
        <v>11056421</v>
      </c>
      <c r="B81" s="107" t="s">
        <v>2262</v>
      </c>
      <c r="C81" s="707" t="s">
        <v>2777</v>
      </c>
      <c r="D81" s="281" t="s">
        <v>2778</v>
      </c>
      <c r="E81" s="161" t="s">
        <v>2779</v>
      </c>
      <c r="F81" s="145" t="s">
        <v>2780</v>
      </c>
      <c r="G81" s="173" t="s">
        <v>2781</v>
      </c>
      <c r="H81" s="145" t="s">
        <v>2782</v>
      </c>
      <c r="I81" s="173" t="s">
        <v>2783</v>
      </c>
      <c r="J81" s="145" t="s">
        <v>2784</v>
      </c>
      <c r="K81" s="173" t="s">
        <v>2785</v>
      </c>
      <c r="L81" s="145" t="s">
        <v>2786</v>
      </c>
      <c r="M81" s="173" t="s">
        <v>2787</v>
      </c>
      <c r="N81" s="162" t="s">
        <v>2788</v>
      </c>
      <c r="O81" s="180" t="s">
        <v>2789</v>
      </c>
      <c r="P81" s="142" t="s">
        <v>2790</v>
      </c>
      <c r="Q81" s="141" t="s">
        <v>2791</v>
      </c>
      <c r="R81" s="142" t="s">
        <v>2792</v>
      </c>
      <c r="S81" s="141" t="s">
        <v>2793</v>
      </c>
      <c r="T81" s="142" t="s">
        <v>2794</v>
      </c>
      <c r="U81" s="141" t="s">
        <v>2795</v>
      </c>
      <c r="V81" s="142" t="s">
        <v>2796</v>
      </c>
      <c r="W81" s="141" t="s">
        <v>2797</v>
      </c>
      <c r="X81" s="142" t="s">
        <v>2798</v>
      </c>
      <c r="Y81" s="141" t="s">
        <v>2799</v>
      </c>
      <c r="Z81" s="142" t="s">
        <v>2800</v>
      </c>
      <c r="AA81" s="141" t="s">
        <v>2801</v>
      </c>
      <c r="AB81" s="142" t="s">
        <v>2817</v>
      </c>
      <c r="AC81" s="141" t="s">
        <v>2818</v>
      </c>
      <c r="AD81" s="142" t="s">
        <v>2819</v>
      </c>
      <c r="AE81" s="141" t="s">
        <v>2821</v>
      </c>
      <c r="AF81" s="142" t="s">
        <v>2822</v>
      </c>
      <c r="AG81" s="141" t="s">
        <v>2823</v>
      </c>
      <c r="AH81" s="142" t="s">
        <v>2824</v>
      </c>
      <c r="AI81" s="141" t="s">
        <v>2825</v>
      </c>
      <c r="AJ81" s="142" t="s">
        <v>2826</v>
      </c>
      <c r="AK81" s="141" t="s">
        <v>2827</v>
      </c>
      <c r="AL81" s="142" t="s">
        <v>2831</v>
      </c>
      <c r="AM81" s="141" t="s">
        <v>2832</v>
      </c>
      <c r="AN81" s="142" t="s">
        <v>2833</v>
      </c>
      <c r="AO81" s="141" t="s">
        <v>2834</v>
      </c>
      <c r="AP81" s="142" t="s">
        <v>3011</v>
      </c>
      <c r="AQ81" s="141" t="s">
        <v>3012</v>
      </c>
      <c r="AR81" s="318" t="s">
        <v>3013</v>
      </c>
      <c r="AS81" s="1703" t="s">
        <v>3014</v>
      </c>
      <c r="AT81" s="318" t="s">
        <v>3015</v>
      </c>
      <c r="AU81" s="180" t="s">
        <v>3206</v>
      </c>
      <c r="AV81" s="142" t="s">
        <v>3207</v>
      </c>
      <c r="AW81" s="141" t="s">
        <v>3272</v>
      </c>
      <c r="AX81" s="163" t="s">
        <v>3273</v>
      </c>
      <c r="AY81" s="1079" t="e">
        <f t="shared" si="159"/>
        <v>#VALUE!</v>
      </c>
      <c r="AZ81" s="1079"/>
      <c r="BA81" s="1079"/>
      <c r="BB81" s="1079"/>
      <c r="BC81" s="1079"/>
      <c r="BD81" s="1079"/>
      <c r="BE81" s="1079"/>
      <c r="BF81" s="1079"/>
      <c r="BG81" s="1079"/>
      <c r="BH81" s="1079"/>
      <c r="BI81" s="1079"/>
      <c r="BJ81" s="884"/>
      <c r="BK81" s="884"/>
      <c r="BL81" s="884"/>
      <c r="BM81" s="884"/>
      <c r="BV81" s="885"/>
      <c r="BW81" s="885"/>
      <c r="BX81" s="885"/>
      <c r="CB81" s="2077" t="str">
        <f t="shared" si="160"/>
        <v xml:space="preserve">* El total de Reactivos NO DEBE ser superior al total de Procesados. </v>
      </c>
      <c r="CC81" s="2077" t="e">
        <f t="shared" si="161"/>
        <v>#VALUE!</v>
      </c>
      <c r="CD81" s="2077" t="e">
        <f t="shared" si="162"/>
        <v>#VALUE!</v>
      </c>
      <c r="CE81" s="2077" t="str">
        <f t="shared" si="163"/>
        <v xml:space="preserve">* La columna Pueblos Originarios NO DEBE ser superior al total de Procesados. </v>
      </c>
      <c r="CF81" s="2077" t="str">
        <f t="shared" si="164"/>
        <v xml:space="preserve">* La columna Migrantes NO DEBE ser superior al total de Procesados. </v>
      </c>
      <c r="CG81" s="2077" t="str">
        <f t="shared" si="192"/>
        <v>* El total de procesados debe ser mayor o igual al total de Reactivos en el grupo de edad Menor de 6 meses</v>
      </c>
      <c r="CH81" s="2077" t="str">
        <f t="shared" si="193"/>
        <v>* El total de procesados debe ser mayor o igual al total de Reactivos en el grupo de edad 6 a 11 meses</v>
      </c>
      <c r="CI81" s="2077" t="str">
        <f t="shared" si="194"/>
        <v>* El total de procesados debe ser mayor o igual al total de Reactivos en el grupo de edad 12-24 meses</v>
      </c>
      <c r="CJ81" s="2077" t="str">
        <f t="shared" si="195"/>
        <v>* El total de procesados debe ser mayor o igual al total de Reactivos en el grupo de edad 3 a 4</v>
      </c>
      <c r="CK81" s="2077" t="str">
        <f t="shared" si="196"/>
        <v>* El total de procesados debe ser mayor o igual al total de Reactivos en el grupo de edad 5 a 9</v>
      </c>
      <c r="CL81" s="2077" t="str">
        <f t="shared" si="197"/>
        <v>* El total de procesados debe ser mayor o igual al total de Reactivos en el grupo de edad 10 - 14</v>
      </c>
      <c r="CM81" s="2077" t="str">
        <f t="shared" si="198"/>
        <v>* El total de procesados debe ser mayor o igual al total de Reactivos en el grupo de edad 15 - 19</v>
      </c>
      <c r="CN81" s="2077" t="str">
        <f t="shared" si="199"/>
        <v>* El total de procesados debe ser mayor o igual al total de Reactivos en el grupo de edad 20 - 24</v>
      </c>
      <c r="CO81" s="2077" t="str">
        <f t="shared" si="200"/>
        <v>* El total de procesados debe ser mayor o igual al total de Reactivos en el grupo de edad 25 a 29</v>
      </c>
      <c r="CP81" s="2077" t="str">
        <f t="shared" si="201"/>
        <v>* El total de procesados debe ser mayor o igual al total de Reactivos en el grupo de edad 30 a 34</v>
      </c>
      <c r="CQ81" s="2077" t="str">
        <f t="shared" si="202"/>
        <v>* El total de procesados debe ser mayor o igual al total de Reactivos en el grupo de edad 35 a 39</v>
      </c>
      <c r="CR81" s="2077" t="str">
        <f t="shared" si="203"/>
        <v>* El total de procesados debe ser mayor o igual al total de Reactivos en el grupo de edad 40 a 44</v>
      </c>
      <c r="CS81" s="2077" t="str">
        <f t="shared" si="204"/>
        <v>* El total de procesados debe ser mayor o igual al total de Reactivos en el grupo de edad 45 a 49</v>
      </c>
      <c r="CT81" s="2077" t="str">
        <f t="shared" si="205"/>
        <v>* El total de procesados debe ser mayor o igual al total de Reactivos en el grupo de edad 50 a 54</v>
      </c>
      <c r="CU81" s="2077" t="str">
        <f t="shared" si="206"/>
        <v>* El total de procesados debe ser mayor o igual al total de Reactivos en el grupo de edad 55 a 59</v>
      </c>
      <c r="CV81" s="2077" t="str">
        <f t="shared" si="207"/>
        <v>* El total de procesados debe ser mayor o igual al total de Reactivos en el grupo de edad 60 a 64</v>
      </c>
      <c r="CW81" s="2077" t="str">
        <f t="shared" si="208"/>
        <v>* El total de procesados debe ser mayor o igual al total de Reactivos en el grupo de edad 65 a 69</v>
      </c>
      <c r="CX81" s="2077" t="str">
        <f t="shared" si="209"/>
        <v>* El total de procesados debe ser mayor o igual al total de Reactivos en el grupo de edad 70 a 74</v>
      </c>
      <c r="CY81" s="2077" t="str">
        <f t="shared" si="210"/>
        <v>* El total de procesados debe ser mayor o igual al total de Reactivos en el grupo de edad 75 a 79</v>
      </c>
      <c r="CZ81" s="2077" t="str">
        <f t="shared" si="211"/>
        <v>* El total de procesados debe ser mayor o igual al total de Reactivos en el grupo de edad 80 y más</v>
      </c>
      <c r="DA81" s="2077" t="str">
        <f t="shared" si="165"/>
        <v/>
      </c>
      <c r="DB81" s="1363">
        <f t="shared" si="166"/>
        <v>1</v>
      </c>
      <c r="DC81" s="1363" t="e">
        <f t="shared" si="167"/>
        <v>#VALUE!</v>
      </c>
      <c r="DD81" s="1363" t="e">
        <f t="shared" si="168"/>
        <v>#VALUE!</v>
      </c>
      <c r="DE81" s="1363">
        <f t="shared" si="169"/>
        <v>1</v>
      </c>
      <c r="DF81" s="1363">
        <f t="shared" si="170"/>
        <v>1</v>
      </c>
      <c r="DG81" s="1363">
        <f t="shared" si="171"/>
        <v>1</v>
      </c>
      <c r="DH81" s="1363">
        <f t="shared" si="172"/>
        <v>1</v>
      </c>
      <c r="DI81" s="1363">
        <f t="shared" si="173"/>
        <v>1</v>
      </c>
      <c r="DJ81" s="1363">
        <f t="shared" si="174"/>
        <v>1</v>
      </c>
      <c r="DK81" s="1363">
        <f t="shared" si="175"/>
        <v>1</v>
      </c>
      <c r="DL81" s="1363">
        <f t="shared" si="176"/>
        <v>1</v>
      </c>
      <c r="DM81" s="1363">
        <f t="shared" si="177"/>
        <v>1</v>
      </c>
      <c r="DN81" s="1363">
        <f t="shared" si="178"/>
        <v>1</v>
      </c>
      <c r="DO81" s="1363">
        <f t="shared" si="179"/>
        <v>1</v>
      </c>
      <c r="DP81" s="1363">
        <f t="shared" si="180"/>
        <v>1</v>
      </c>
      <c r="DQ81" s="1363">
        <f t="shared" si="181"/>
        <v>1</v>
      </c>
      <c r="DR81" s="1363">
        <f t="shared" si="182"/>
        <v>1</v>
      </c>
      <c r="DS81" s="1363">
        <f t="shared" si="183"/>
        <v>1</v>
      </c>
      <c r="DT81" s="1363">
        <f t="shared" si="184"/>
        <v>1</v>
      </c>
      <c r="DU81" s="1363">
        <f t="shared" si="185"/>
        <v>1</v>
      </c>
      <c r="DV81" s="1363">
        <f t="shared" si="186"/>
        <v>1</v>
      </c>
      <c r="DW81" s="1363">
        <f t="shared" si="187"/>
        <v>1</v>
      </c>
      <c r="DX81" s="1363">
        <f t="shared" si="188"/>
        <v>1</v>
      </c>
      <c r="DY81" s="1363">
        <f t="shared" si="189"/>
        <v>1</v>
      </c>
      <c r="DZ81" s="1363">
        <f t="shared" si="190"/>
        <v>1</v>
      </c>
      <c r="EA81" s="1363">
        <f t="shared" si="191"/>
        <v>0</v>
      </c>
    </row>
    <row r="82" spans="1:131" ht="16.350000000000001" customHeight="1" x14ac:dyDescent="0.25">
      <c r="A82" s="2458">
        <v>11056422</v>
      </c>
      <c r="B82" s="371" t="s">
        <v>2263</v>
      </c>
      <c r="C82" s="707" t="s">
        <v>2777</v>
      </c>
      <c r="D82" s="281" t="s">
        <v>2778</v>
      </c>
      <c r="E82" s="161" t="s">
        <v>2779</v>
      </c>
      <c r="F82" s="145" t="s">
        <v>2780</v>
      </c>
      <c r="G82" s="173" t="s">
        <v>2781</v>
      </c>
      <c r="H82" s="145" t="s">
        <v>2782</v>
      </c>
      <c r="I82" s="173" t="s">
        <v>2783</v>
      </c>
      <c r="J82" s="145" t="s">
        <v>2784</v>
      </c>
      <c r="K82" s="173" t="s">
        <v>2785</v>
      </c>
      <c r="L82" s="145" t="s">
        <v>2786</v>
      </c>
      <c r="M82" s="173" t="s">
        <v>2787</v>
      </c>
      <c r="N82" s="162" t="s">
        <v>2788</v>
      </c>
      <c r="O82" s="180" t="s">
        <v>2789</v>
      </c>
      <c r="P82" s="142" t="s">
        <v>2790</v>
      </c>
      <c r="Q82" s="141" t="s">
        <v>2791</v>
      </c>
      <c r="R82" s="142" t="s">
        <v>2792</v>
      </c>
      <c r="S82" s="141" t="s">
        <v>2793</v>
      </c>
      <c r="T82" s="142" t="s">
        <v>2794</v>
      </c>
      <c r="U82" s="141" t="s">
        <v>2795</v>
      </c>
      <c r="V82" s="142" t="s">
        <v>2796</v>
      </c>
      <c r="W82" s="141" t="s">
        <v>2797</v>
      </c>
      <c r="X82" s="142" t="s">
        <v>2798</v>
      </c>
      <c r="Y82" s="141" t="s">
        <v>2799</v>
      </c>
      <c r="Z82" s="142" t="s">
        <v>2800</v>
      </c>
      <c r="AA82" s="141" t="s">
        <v>2801</v>
      </c>
      <c r="AB82" s="142" t="s">
        <v>2817</v>
      </c>
      <c r="AC82" s="141" t="s">
        <v>2818</v>
      </c>
      <c r="AD82" s="142" t="s">
        <v>2819</v>
      </c>
      <c r="AE82" s="141" t="s">
        <v>2821</v>
      </c>
      <c r="AF82" s="142" t="s">
        <v>2822</v>
      </c>
      <c r="AG82" s="141" t="s">
        <v>2823</v>
      </c>
      <c r="AH82" s="142" t="s">
        <v>2824</v>
      </c>
      <c r="AI82" s="141" t="s">
        <v>2825</v>
      </c>
      <c r="AJ82" s="142" t="s">
        <v>2826</v>
      </c>
      <c r="AK82" s="141" t="s">
        <v>2827</v>
      </c>
      <c r="AL82" s="142" t="s">
        <v>2831</v>
      </c>
      <c r="AM82" s="141" t="s">
        <v>2832</v>
      </c>
      <c r="AN82" s="142" t="s">
        <v>2833</v>
      </c>
      <c r="AO82" s="141" t="s">
        <v>2834</v>
      </c>
      <c r="AP82" s="142" t="s">
        <v>3011</v>
      </c>
      <c r="AQ82" s="141" t="s">
        <v>3012</v>
      </c>
      <c r="AR82" s="318" t="s">
        <v>3013</v>
      </c>
      <c r="AS82" s="1703" t="s">
        <v>3014</v>
      </c>
      <c r="AT82" s="318" t="s">
        <v>3015</v>
      </c>
      <c r="AU82" s="180" t="s">
        <v>3206</v>
      </c>
      <c r="AV82" s="142" t="s">
        <v>3207</v>
      </c>
      <c r="AW82" s="141" t="s">
        <v>3272</v>
      </c>
      <c r="AX82" s="163" t="s">
        <v>3273</v>
      </c>
      <c r="AY82" s="1079" t="e">
        <f t="shared" si="159"/>
        <v>#VALUE!</v>
      </c>
      <c r="AZ82" s="1079"/>
      <c r="BA82" s="1079"/>
      <c r="BB82" s="1079"/>
      <c r="BC82" s="1079"/>
      <c r="BD82" s="1079"/>
      <c r="BE82" s="1079"/>
      <c r="BF82" s="1079"/>
      <c r="BG82" s="1079"/>
      <c r="BH82" s="1079"/>
      <c r="BI82" s="1079"/>
      <c r="BJ82" s="884"/>
      <c r="BK82" s="884"/>
      <c r="BL82" s="884"/>
      <c r="BM82" s="884"/>
      <c r="BV82" s="885"/>
      <c r="BW82" s="885"/>
      <c r="BX82" s="885"/>
      <c r="CB82" s="2077" t="str">
        <f t="shared" si="160"/>
        <v xml:space="preserve">* El total de Reactivos NO DEBE ser superior al total de Procesados. </v>
      </c>
      <c r="CC82" s="2077" t="e">
        <f t="shared" si="161"/>
        <v>#VALUE!</v>
      </c>
      <c r="CD82" s="2077" t="e">
        <f t="shared" si="162"/>
        <v>#VALUE!</v>
      </c>
      <c r="CE82" s="2077" t="str">
        <f t="shared" si="163"/>
        <v xml:space="preserve">* La columna Pueblos Originarios NO DEBE ser superior al total de Procesados. </v>
      </c>
      <c r="CF82" s="2077" t="str">
        <f t="shared" si="164"/>
        <v xml:space="preserve">* La columna Migrantes NO DEBE ser superior al total de Procesados. </v>
      </c>
      <c r="CG82" s="2077" t="str">
        <f t="shared" si="192"/>
        <v>* El total de procesados debe ser mayor o igual al total de Reactivos en el grupo de edad Menor de 6 meses</v>
      </c>
      <c r="CH82" s="2077" t="str">
        <f t="shared" si="193"/>
        <v>* El total de procesados debe ser mayor o igual al total de Reactivos en el grupo de edad 6 a 11 meses</v>
      </c>
      <c r="CI82" s="2077" t="str">
        <f t="shared" si="194"/>
        <v>* El total de procesados debe ser mayor o igual al total de Reactivos en el grupo de edad 12-24 meses</v>
      </c>
      <c r="CJ82" s="2077" t="str">
        <f t="shared" si="195"/>
        <v>* El total de procesados debe ser mayor o igual al total de Reactivos en el grupo de edad 3 a 4</v>
      </c>
      <c r="CK82" s="2077" t="str">
        <f t="shared" si="196"/>
        <v>* El total de procesados debe ser mayor o igual al total de Reactivos en el grupo de edad 5 a 9</v>
      </c>
      <c r="CL82" s="2077" t="str">
        <f t="shared" si="197"/>
        <v>* El total de procesados debe ser mayor o igual al total de Reactivos en el grupo de edad 10 - 14</v>
      </c>
      <c r="CM82" s="2077" t="str">
        <f t="shared" si="198"/>
        <v>* El total de procesados debe ser mayor o igual al total de Reactivos en el grupo de edad 15 - 19</v>
      </c>
      <c r="CN82" s="2077" t="str">
        <f t="shared" si="199"/>
        <v>* El total de procesados debe ser mayor o igual al total de Reactivos en el grupo de edad 20 - 24</v>
      </c>
      <c r="CO82" s="2077" t="str">
        <f t="shared" si="200"/>
        <v>* El total de procesados debe ser mayor o igual al total de Reactivos en el grupo de edad 25 a 29</v>
      </c>
      <c r="CP82" s="2077" t="str">
        <f t="shared" si="201"/>
        <v>* El total de procesados debe ser mayor o igual al total de Reactivos en el grupo de edad 30 a 34</v>
      </c>
      <c r="CQ82" s="2077" t="str">
        <f t="shared" si="202"/>
        <v>* El total de procesados debe ser mayor o igual al total de Reactivos en el grupo de edad 35 a 39</v>
      </c>
      <c r="CR82" s="2077" t="str">
        <f t="shared" si="203"/>
        <v>* El total de procesados debe ser mayor o igual al total de Reactivos en el grupo de edad 40 a 44</v>
      </c>
      <c r="CS82" s="2077" t="str">
        <f t="shared" si="204"/>
        <v>* El total de procesados debe ser mayor o igual al total de Reactivos en el grupo de edad 45 a 49</v>
      </c>
      <c r="CT82" s="2077" t="str">
        <f t="shared" si="205"/>
        <v>* El total de procesados debe ser mayor o igual al total de Reactivos en el grupo de edad 50 a 54</v>
      </c>
      <c r="CU82" s="2077" t="str">
        <f t="shared" si="206"/>
        <v>* El total de procesados debe ser mayor o igual al total de Reactivos en el grupo de edad 55 a 59</v>
      </c>
      <c r="CV82" s="2077" t="str">
        <f t="shared" si="207"/>
        <v>* El total de procesados debe ser mayor o igual al total de Reactivos en el grupo de edad 60 a 64</v>
      </c>
      <c r="CW82" s="2077" t="str">
        <f t="shared" si="208"/>
        <v>* El total de procesados debe ser mayor o igual al total de Reactivos en el grupo de edad 65 a 69</v>
      </c>
      <c r="CX82" s="2077" t="str">
        <f t="shared" si="209"/>
        <v>* El total de procesados debe ser mayor o igual al total de Reactivos en el grupo de edad 70 a 74</v>
      </c>
      <c r="CY82" s="2077" t="str">
        <f t="shared" si="210"/>
        <v>* El total de procesados debe ser mayor o igual al total de Reactivos en el grupo de edad 75 a 79</v>
      </c>
      <c r="CZ82" s="2077" t="str">
        <f t="shared" si="211"/>
        <v>* El total de procesados debe ser mayor o igual al total de Reactivos en el grupo de edad 80 y más</v>
      </c>
      <c r="DA82" s="2077" t="str">
        <f t="shared" si="165"/>
        <v/>
      </c>
      <c r="DB82" s="1363">
        <f t="shared" si="166"/>
        <v>1</v>
      </c>
      <c r="DC82" s="1363" t="e">
        <f t="shared" si="167"/>
        <v>#VALUE!</v>
      </c>
      <c r="DD82" s="1363" t="e">
        <f t="shared" si="168"/>
        <v>#VALUE!</v>
      </c>
      <c r="DE82" s="1363">
        <f t="shared" si="169"/>
        <v>1</v>
      </c>
      <c r="DF82" s="1363">
        <f t="shared" si="170"/>
        <v>1</v>
      </c>
      <c r="DG82" s="1363">
        <f t="shared" si="171"/>
        <v>1</v>
      </c>
      <c r="DH82" s="1363">
        <f t="shared" si="172"/>
        <v>1</v>
      </c>
      <c r="DI82" s="1363">
        <f t="shared" si="173"/>
        <v>1</v>
      </c>
      <c r="DJ82" s="1363">
        <f t="shared" si="174"/>
        <v>1</v>
      </c>
      <c r="DK82" s="1363">
        <f t="shared" si="175"/>
        <v>1</v>
      </c>
      <c r="DL82" s="1363">
        <f t="shared" si="176"/>
        <v>1</v>
      </c>
      <c r="DM82" s="1363">
        <f t="shared" si="177"/>
        <v>1</v>
      </c>
      <c r="DN82" s="1363">
        <f t="shared" si="178"/>
        <v>1</v>
      </c>
      <c r="DO82" s="1363">
        <f t="shared" si="179"/>
        <v>1</v>
      </c>
      <c r="DP82" s="1363">
        <f t="shared" si="180"/>
        <v>1</v>
      </c>
      <c r="DQ82" s="1363">
        <f t="shared" si="181"/>
        <v>1</v>
      </c>
      <c r="DR82" s="1363">
        <f t="shared" si="182"/>
        <v>1</v>
      </c>
      <c r="DS82" s="1363">
        <f t="shared" si="183"/>
        <v>1</v>
      </c>
      <c r="DT82" s="1363">
        <f t="shared" si="184"/>
        <v>1</v>
      </c>
      <c r="DU82" s="1363">
        <f t="shared" si="185"/>
        <v>1</v>
      </c>
      <c r="DV82" s="1363">
        <f t="shared" si="186"/>
        <v>1</v>
      </c>
      <c r="DW82" s="1363">
        <f t="shared" si="187"/>
        <v>1</v>
      </c>
      <c r="DX82" s="1363">
        <f t="shared" si="188"/>
        <v>1</v>
      </c>
      <c r="DY82" s="1363">
        <f t="shared" si="189"/>
        <v>1</v>
      </c>
      <c r="DZ82" s="1363">
        <f t="shared" si="190"/>
        <v>1</v>
      </c>
      <c r="EA82" s="1363">
        <f t="shared" si="191"/>
        <v>0</v>
      </c>
    </row>
    <row r="83" spans="1:131" ht="15.95" customHeight="1" x14ac:dyDescent="0.25">
      <c r="A83" s="2458">
        <v>11056423</v>
      </c>
      <c r="B83" s="371" t="s">
        <v>2264</v>
      </c>
      <c r="C83" s="707" t="s">
        <v>2777</v>
      </c>
      <c r="D83" s="281" t="s">
        <v>2778</v>
      </c>
      <c r="E83" s="161" t="s">
        <v>2779</v>
      </c>
      <c r="F83" s="145" t="s">
        <v>2780</v>
      </c>
      <c r="G83" s="173" t="s">
        <v>2781</v>
      </c>
      <c r="H83" s="145" t="s">
        <v>2782</v>
      </c>
      <c r="I83" s="173" t="s">
        <v>2783</v>
      </c>
      <c r="J83" s="145" t="s">
        <v>2784</v>
      </c>
      <c r="K83" s="173" t="s">
        <v>2785</v>
      </c>
      <c r="L83" s="145" t="s">
        <v>2786</v>
      </c>
      <c r="M83" s="173" t="s">
        <v>2787</v>
      </c>
      <c r="N83" s="162" t="s">
        <v>2788</v>
      </c>
      <c r="O83" s="180" t="s">
        <v>2789</v>
      </c>
      <c r="P83" s="142" t="s">
        <v>2790</v>
      </c>
      <c r="Q83" s="141" t="s">
        <v>2791</v>
      </c>
      <c r="R83" s="142" t="s">
        <v>2792</v>
      </c>
      <c r="S83" s="141" t="s">
        <v>2793</v>
      </c>
      <c r="T83" s="142" t="s">
        <v>2794</v>
      </c>
      <c r="U83" s="141" t="s">
        <v>2795</v>
      </c>
      <c r="V83" s="142" t="s">
        <v>2796</v>
      </c>
      <c r="W83" s="141" t="s">
        <v>2797</v>
      </c>
      <c r="X83" s="142" t="s">
        <v>2798</v>
      </c>
      <c r="Y83" s="141" t="s">
        <v>2799</v>
      </c>
      <c r="Z83" s="142" t="s">
        <v>2800</v>
      </c>
      <c r="AA83" s="141" t="s">
        <v>2801</v>
      </c>
      <c r="AB83" s="142" t="s">
        <v>2817</v>
      </c>
      <c r="AC83" s="141" t="s">
        <v>2818</v>
      </c>
      <c r="AD83" s="142" t="s">
        <v>2819</v>
      </c>
      <c r="AE83" s="141" t="s">
        <v>2821</v>
      </c>
      <c r="AF83" s="142" t="s">
        <v>2822</v>
      </c>
      <c r="AG83" s="141" t="s">
        <v>2823</v>
      </c>
      <c r="AH83" s="142" t="s">
        <v>2824</v>
      </c>
      <c r="AI83" s="141" t="s">
        <v>2825</v>
      </c>
      <c r="AJ83" s="142" t="s">
        <v>2826</v>
      </c>
      <c r="AK83" s="141" t="s">
        <v>2827</v>
      </c>
      <c r="AL83" s="142" t="s">
        <v>2831</v>
      </c>
      <c r="AM83" s="141" t="s">
        <v>2832</v>
      </c>
      <c r="AN83" s="142" t="s">
        <v>2833</v>
      </c>
      <c r="AO83" s="141" t="s">
        <v>2834</v>
      </c>
      <c r="AP83" s="142" t="s">
        <v>3011</v>
      </c>
      <c r="AQ83" s="141" t="s">
        <v>3012</v>
      </c>
      <c r="AR83" s="318" t="s">
        <v>3013</v>
      </c>
      <c r="AS83" s="180" t="s">
        <v>3014</v>
      </c>
      <c r="AT83" s="318" t="s">
        <v>3015</v>
      </c>
      <c r="AU83" s="180" t="s">
        <v>3206</v>
      </c>
      <c r="AV83" s="142" t="s">
        <v>3207</v>
      </c>
      <c r="AW83" s="141" t="s">
        <v>3272</v>
      </c>
      <c r="AX83" s="163" t="s">
        <v>3273</v>
      </c>
      <c r="AY83" s="1079" t="e">
        <f t="shared" si="159"/>
        <v>#VALUE!</v>
      </c>
      <c r="AZ83" s="1079"/>
      <c r="BA83" s="1079"/>
      <c r="BB83" s="1079"/>
      <c r="BC83" s="1079"/>
      <c r="BD83" s="1079"/>
      <c r="BE83" s="1079"/>
      <c r="BF83" s="1079"/>
      <c r="BG83" s="1079"/>
      <c r="BH83" s="1079"/>
      <c r="BI83" s="1079"/>
      <c r="BJ83" s="884"/>
      <c r="BK83" s="884"/>
      <c r="BL83" s="884"/>
      <c r="BM83" s="884"/>
      <c r="BV83" s="885"/>
      <c r="BW83" s="885"/>
      <c r="BX83" s="885"/>
      <c r="CB83" s="2077" t="str">
        <f t="shared" si="160"/>
        <v xml:space="preserve">* El total de Reactivos NO DEBE ser superior al total de Procesados. </v>
      </c>
      <c r="CC83" s="2077" t="e">
        <f t="shared" si="161"/>
        <v>#VALUE!</v>
      </c>
      <c r="CD83" s="2077" t="e">
        <f t="shared" si="162"/>
        <v>#VALUE!</v>
      </c>
      <c r="CE83" s="2077" t="str">
        <f t="shared" si="163"/>
        <v xml:space="preserve">* La columna Pueblos Originarios NO DEBE ser superior al total de Procesados. </v>
      </c>
      <c r="CF83" s="2077" t="str">
        <f t="shared" si="164"/>
        <v xml:space="preserve">* La columna Migrantes NO DEBE ser superior al total de Procesados. </v>
      </c>
      <c r="CG83" s="2077" t="str">
        <f t="shared" si="192"/>
        <v>* El total de procesados debe ser mayor o igual al total de Reactivos en el grupo de edad Menor de 6 meses</v>
      </c>
      <c r="CH83" s="2077" t="str">
        <f t="shared" si="193"/>
        <v>* El total de procesados debe ser mayor o igual al total de Reactivos en el grupo de edad 6 a 11 meses</v>
      </c>
      <c r="CI83" s="2077" t="str">
        <f t="shared" si="194"/>
        <v>* El total de procesados debe ser mayor o igual al total de Reactivos en el grupo de edad 12-24 meses</v>
      </c>
      <c r="CJ83" s="2077" t="str">
        <f t="shared" si="195"/>
        <v>* El total de procesados debe ser mayor o igual al total de Reactivos en el grupo de edad 3 a 4</v>
      </c>
      <c r="CK83" s="2077" t="str">
        <f t="shared" si="196"/>
        <v>* El total de procesados debe ser mayor o igual al total de Reactivos en el grupo de edad 5 a 9</v>
      </c>
      <c r="CL83" s="2077" t="str">
        <f t="shared" si="197"/>
        <v>* El total de procesados debe ser mayor o igual al total de Reactivos en el grupo de edad 10 - 14</v>
      </c>
      <c r="CM83" s="2077" t="str">
        <f t="shared" si="198"/>
        <v>* El total de procesados debe ser mayor o igual al total de Reactivos en el grupo de edad 15 - 19</v>
      </c>
      <c r="CN83" s="2077" t="str">
        <f t="shared" si="199"/>
        <v>* El total de procesados debe ser mayor o igual al total de Reactivos en el grupo de edad 20 - 24</v>
      </c>
      <c r="CO83" s="2077" t="str">
        <f t="shared" si="200"/>
        <v>* El total de procesados debe ser mayor o igual al total de Reactivos en el grupo de edad 25 a 29</v>
      </c>
      <c r="CP83" s="2077" t="str">
        <f t="shared" si="201"/>
        <v>* El total de procesados debe ser mayor o igual al total de Reactivos en el grupo de edad 30 a 34</v>
      </c>
      <c r="CQ83" s="2077" t="str">
        <f t="shared" si="202"/>
        <v>* El total de procesados debe ser mayor o igual al total de Reactivos en el grupo de edad 35 a 39</v>
      </c>
      <c r="CR83" s="2077" t="str">
        <f t="shared" si="203"/>
        <v>* El total de procesados debe ser mayor o igual al total de Reactivos en el grupo de edad 40 a 44</v>
      </c>
      <c r="CS83" s="2077" t="str">
        <f t="shared" si="204"/>
        <v>* El total de procesados debe ser mayor o igual al total de Reactivos en el grupo de edad 45 a 49</v>
      </c>
      <c r="CT83" s="2077" t="str">
        <f t="shared" si="205"/>
        <v>* El total de procesados debe ser mayor o igual al total de Reactivos en el grupo de edad 50 a 54</v>
      </c>
      <c r="CU83" s="2077" t="str">
        <f t="shared" si="206"/>
        <v>* El total de procesados debe ser mayor o igual al total de Reactivos en el grupo de edad 55 a 59</v>
      </c>
      <c r="CV83" s="2077" t="str">
        <f t="shared" si="207"/>
        <v>* El total de procesados debe ser mayor o igual al total de Reactivos en el grupo de edad 60 a 64</v>
      </c>
      <c r="CW83" s="2077" t="str">
        <f t="shared" si="208"/>
        <v>* El total de procesados debe ser mayor o igual al total de Reactivos en el grupo de edad 65 a 69</v>
      </c>
      <c r="CX83" s="2077" t="str">
        <f t="shared" si="209"/>
        <v>* El total de procesados debe ser mayor o igual al total de Reactivos en el grupo de edad 70 a 74</v>
      </c>
      <c r="CY83" s="2077" t="str">
        <f t="shared" si="210"/>
        <v>* El total de procesados debe ser mayor o igual al total de Reactivos en el grupo de edad 75 a 79</v>
      </c>
      <c r="CZ83" s="2077" t="str">
        <f t="shared" si="211"/>
        <v>* El total de procesados debe ser mayor o igual al total de Reactivos en el grupo de edad 80 y más</v>
      </c>
      <c r="DA83" s="2077" t="str">
        <f t="shared" si="165"/>
        <v/>
      </c>
      <c r="DB83" s="1363">
        <f t="shared" si="166"/>
        <v>1</v>
      </c>
      <c r="DC83" s="1363" t="e">
        <f t="shared" si="167"/>
        <v>#VALUE!</v>
      </c>
      <c r="DD83" s="1363" t="e">
        <f t="shared" si="168"/>
        <v>#VALUE!</v>
      </c>
      <c r="DE83" s="1363">
        <f t="shared" si="169"/>
        <v>1</v>
      </c>
      <c r="DF83" s="1363">
        <f t="shared" si="170"/>
        <v>1</v>
      </c>
      <c r="DG83" s="1363">
        <f t="shared" si="171"/>
        <v>1</v>
      </c>
      <c r="DH83" s="1363">
        <f t="shared" si="172"/>
        <v>1</v>
      </c>
      <c r="DI83" s="1363">
        <f t="shared" si="173"/>
        <v>1</v>
      </c>
      <c r="DJ83" s="1363">
        <f t="shared" si="174"/>
        <v>1</v>
      </c>
      <c r="DK83" s="1363">
        <f t="shared" si="175"/>
        <v>1</v>
      </c>
      <c r="DL83" s="1363">
        <f t="shared" si="176"/>
        <v>1</v>
      </c>
      <c r="DM83" s="1363">
        <f t="shared" si="177"/>
        <v>1</v>
      </c>
      <c r="DN83" s="1363">
        <f t="shared" si="178"/>
        <v>1</v>
      </c>
      <c r="DO83" s="1363">
        <f t="shared" si="179"/>
        <v>1</v>
      </c>
      <c r="DP83" s="1363">
        <f t="shared" si="180"/>
        <v>1</v>
      </c>
      <c r="DQ83" s="1363">
        <f t="shared" si="181"/>
        <v>1</v>
      </c>
      <c r="DR83" s="1363">
        <f t="shared" si="182"/>
        <v>1</v>
      </c>
      <c r="DS83" s="1363">
        <f t="shared" si="183"/>
        <v>1</v>
      </c>
      <c r="DT83" s="1363">
        <f t="shared" si="184"/>
        <v>1</v>
      </c>
      <c r="DU83" s="1363">
        <f t="shared" si="185"/>
        <v>1</v>
      </c>
      <c r="DV83" s="1363">
        <f t="shared" si="186"/>
        <v>1</v>
      </c>
      <c r="DW83" s="1363">
        <f t="shared" si="187"/>
        <v>1</v>
      </c>
      <c r="DX83" s="1363">
        <f t="shared" si="188"/>
        <v>1</v>
      </c>
      <c r="DY83" s="1363">
        <f t="shared" si="189"/>
        <v>1</v>
      </c>
      <c r="DZ83" s="1363">
        <f t="shared" si="190"/>
        <v>1</v>
      </c>
      <c r="EA83" s="1363">
        <f t="shared" si="191"/>
        <v>0</v>
      </c>
    </row>
    <row r="84" spans="1:131" ht="21" customHeight="1" x14ac:dyDescent="0.25">
      <c r="A84" s="2458">
        <v>11056424</v>
      </c>
      <c r="B84" s="3095" t="s">
        <v>2265</v>
      </c>
      <c r="C84" s="707" t="s">
        <v>2777</v>
      </c>
      <c r="D84" s="281" t="s">
        <v>2778</v>
      </c>
      <c r="E84" s="161" t="s">
        <v>2779</v>
      </c>
      <c r="F84" s="145" t="s">
        <v>2780</v>
      </c>
      <c r="G84" s="173" t="s">
        <v>2781</v>
      </c>
      <c r="H84" s="145" t="s">
        <v>2782</v>
      </c>
      <c r="I84" s="173" t="s">
        <v>2783</v>
      </c>
      <c r="J84" s="145" t="s">
        <v>2784</v>
      </c>
      <c r="K84" s="173" t="s">
        <v>2785</v>
      </c>
      <c r="L84" s="145" t="s">
        <v>2786</v>
      </c>
      <c r="M84" s="173" t="s">
        <v>2787</v>
      </c>
      <c r="N84" s="162" t="s">
        <v>2788</v>
      </c>
      <c r="O84" s="180" t="s">
        <v>2789</v>
      </c>
      <c r="P84" s="142" t="s">
        <v>2790</v>
      </c>
      <c r="Q84" s="141" t="s">
        <v>2791</v>
      </c>
      <c r="R84" s="142" t="s">
        <v>2792</v>
      </c>
      <c r="S84" s="141" t="s">
        <v>2793</v>
      </c>
      <c r="T84" s="142" t="s">
        <v>2794</v>
      </c>
      <c r="U84" s="141" t="s">
        <v>2795</v>
      </c>
      <c r="V84" s="142" t="s">
        <v>2796</v>
      </c>
      <c r="W84" s="141" t="s">
        <v>2797</v>
      </c>
      <c r="X84" s="142" t="s">
        <v>2798</v>
      </c>
      <c r="Y84" s="141" t="s">
        <v>2799</v>
      </c>
      <c r="Z84" s="142" t="s">
        <v>2800</v>
      </c>
      <c r="AA84" s="141" t="s">
        <v>2801</v>
      </c>
      <c r="AB84" s="142" t="s">
        <v>2817</v>
      </c>
      <c r="AC84" s="141" t="s">
        <v>2818</v>
      </c>
      <c r="AD84" s="142" t="s">
        <v>2819</v>
      </c>
      <c r="AE84" s="141" t="s">
        <v>2821</v>
      </c>
      <c r="AF84" s="142" t="s">
        <v>2822</v>
      </c>
      <c r="AG84" s="141" t="s">
        <v>2823</v>
      </c>
      <c r="AH84" s="142" t="s">
        <v>2824</v>
      </c>
      <c r="AI84" s="141" t="s">
        <v>2825</v>
      </c>
      <c r="AJ84" s="142" t="s">
        <v>2826</v>
      </c>
      <c r="AK84" s="141" t="s">
        <v>2827</v>
      </c>
      <c r="AL84" s="142" t="s">
        <v>2831</v>
      </c>
      <c r="AM84" s="141" t="s">
        <v>2832</v>
      </c>
      <c r="AN84" s="142" t="s">
        <v>2833</v>
      </c>
      <c r="AO84" s="141" t="s">
        <v>2834</v>
      </c>
      <c r="AP84" s="142" t="s">
        <v>3011</v>
      </c>
      <c r="AQ84" s="141" t="s">
        <v>3012</v>
      </c>
      <c r="AR84" s="318" t="s">
        <v>3013</v>
      </c>
      <c r="AS84" s="1703" t="s">
        <v>3014</v>
      </c>
      <c r="AT84" s="318" t="s">
        <v>3015</v>
      </c>
      <c r="AU84" s="180" t="s">
        <v>3206</v>
      </c>
      <c r="AV84" s="142" t="s">
        <v>3207</v>
      </c>
      <c r="AW84" s="141" t="s">
        <v>3272</v>
      </c>
      <c r="AX84" s="163" t="s">
        <v>3273</v>
      </c>
      <c r="AY84" s="1079" t="e">
        <f t="shared" si="159"/>
        <v>#VALUE!</v>
      </c>
      <c r="AZ84" s="1079"/>
      <c r="BA84" s="1079"/>
      <c r="BB84" s="1079"/>
      <c r="BC84" s="1079"/>
      <c r="BD84" s="1079"/>
      <c r="BE84" s="1079"/>
      <c r="BF84" s="1079"/>
      <c r="BG84" s="1079"/>
      <c r="BH84" s="1079"/>
      <c r="BI84" s="1079"/>
      <c r="BJ84" s="884"/>
      <c r="BK84" s="884"/>
      <c r="BL84" s="884"/>
      <c r="BM84" s="884"/>
      <c r="BV84" s="885"/>
      <c r="BW84" s="885"/>
      <c r="BX84" s="885"/>
      <c r="CB84" s="2077" t="str">
        <f t="shared" si="160"/>
        <v xml:space="preserve">* El total de Reactivos NO DEBE ser superior al total de Procesados. </v>
      </c>
      <c r="CC84" s="2077" t="e">
        <f t="shared" si="161"/>
        <v>#VALUE!</v>
      </c>
      <c r="CD84" s="2077" t="e">
        <f t="shared" si="162"/>
        <v>#VALUE!</v>
      </c>
      <c r="CE84" s="2077" t="str">
        <f t="shared" si="163"/>
        <v xml:space="preserve">* La columna Pueblos Originarios NO DEBE ser superior al total de Procesados. </v>
      </c>
      <c r="CF84" s="2077" t="str">
        <f t="shared" si="164"/>
        <v xml:space="preserve">* La columna Migrantes NO DEBE ser superior al total de Procesados. </v>
      </c>
      <c r="CG84" s="2077" t="str">
        <f t="shared" si="192"/>
        <v>* El total de procesados debe ser mayor o igual al total de Reactivos en el grupo de edad Menor de 6 meses</v>
      </c>
      <c r="CH84" s="2077" t="str">
        <f t="shared" si="193"/>
        <v>* El total de procesados debe ser mayor o igual al total de Reactivos en el grupo de edad 6 a 11 meses</v>
      </c>
      <c r="CI84" s="2077" t="str">
        <f t="shared" si="194"/>
        <v>* El total de procesados debe ser mayor o igual al total de Reactivos en el grupo de edad 12-24 meses</v>
      </c>
      <c r="CJ84" s="2077" t="str">
        <f t="shared" si="195"/>
        <v>* El total de procesados debe ser mayor o igual al total de Reactivos en el grupo de edad 3 a 4</v>
      </c>
      <c r="CK84" s="2077" t="str">
        <f t="shared" si="196"/>
        <v>* El total de procesados debe ser mayor o igual al total de Reactivos en el grupo de edad 5 a 9</v>
      </c>
      <c r="CL84" s="2077" t="str">
        <f t="shared" si="197"/>
        <v>* El total de procesados debe ser mayor o igual al total de Reactivos en el grupo de edad 10 - 14</v>
      </c>
      <c r="CM84" s="2077" t="str">
        <f t="shared" si="198"/>
        <v>* El total de procesados debe ser mayor o igual al total de Reactivos en el grupo de edad 15 - 19</v>
      </c>
      <c r="CN84" s="2077" t="str">
        <f t="shared" si="199"/>
        <v>* El total de procesados debe ser mayor o igual al total de Reactivos en el grupo de edad 20 - 24</v>
      </c>
      <c r="CO84" s="2077" t="str">
        <f t="shared" si="200"/>
        <v>* El total de procesados debe ser mayor o igual al total de Reactivos en el grupo de edad 25 a 29</v>
      </c>
      <c r="CP84" s="2077" t="str">
        <f t="shared" si="201"/>
        <v>* El total de procesados debe ser mayor o igual al total de Reactivos en el grupo de edad 30 a 34</v>
      </c>
      <c r="CQ84" s="2077" t="str">
        <f t="shared" si="202"/>
        <v>* El total de procesados debe ser mayor o igual al total de Reactivos en el grupo de edad 35 a 39</v>
      </c>
      <c r="CR84" s="2077" t="str">
        <f t="shared" si="203"/>
        <v>* El total de procesados debe ser mayor o igual al total de Reactivos en el grupo de edad 40 a 44</v>
      </c>
      <c r="CS84" s="2077" t="str">
        <f t="shared" si="204"/>
        <v>* El total de procesados debe ser mayor o igual al total de Reactivos en el grupo de edad 45 a 49</v>
      </c>
      <c r="CT84" s="2077" t="str">
        <f t="shared" si="205"/>
        <v>* El total de procesados debe ser mayor o igual al total de Reactivos en el grupo de edad 50 a 54</v>
      </c>
      <c r="CU84" s="2077" t="str">
        <f t="shared" si="206"/>
        <v>* El total de procesados debe ser mayor o igual al total de Reactivos en el grupo de edad 55 a 59</v>
      </c>
      <c r="CV84" s="2077" t="str">
        <f t="shared" si="207"/>
        <v>* El total de procesados debe ser mayor o igual al total de Reactivos en el grupo de edad 60 a 64</v>
      </c>
      <c r="CW84" s="2077" t="str">
        <f t="shared" si="208"/>
        <v>* El total de procesados debe ser mayor o igual al total de Reactivos en el grupo de edad 65 a 69</v>
      </c>
      <c r="CX84" s="2077" t="str">
        <f t="shared" si="209"/>
        <v>* El total de procesados debe ser mayor o igual al total de Reactivos en el grupo de edad 70 a 74</v>
      </c>
      <c r="CY84" s="2077" t="str">
        <f t="shared" si="210"/>
        <v>* El total de procesados debe ser mayor o igual al total de Reactivos en el grupo de edad 75 a 79</v>
      </c>
      <c r="CZ84" s="2077" t="str">
        <f t="shared" si="211"/>
        <v>* El total de procesados debe ser mayor o igual al total de Reactivos en el grupo de edad 80 y más</v>
      </c>
      <c r="DA84" s="2077" t="str">
        <f t="shared" si="165"/>
        <v/>
      </c>
      <c r="DB84" s="1363">
        <f t="shared" si="166"/>
        <v>1</v>
      </c>
      <c r="DC84" s="1363" t="e">
        <f t="shared" si="167"/>
        <v>#VALUE!</v>
      </c>
      <c r="DD84" s="1363" t="e">
        <f t="shared" si="168"/>
        <v>#VALUE!</v>
      </c>
      <c r="DE84" s="1363">
        <f t="shared" si="169"/>
        <v>1</v>
      </c>
      <c r="DF84" s="1363">
        <f t="shared" si="170"/>
        <v>1</v>
      </c>
      <c r="DG84" s="1363">
        <f t="shared" si="171"/>
        <v>1</v>
      </c>
      <c r="DH84" s="1363">
        <f t="shared" si="172"/>
        <v>1</v>
      </c>
      <c r="DI84" s="1363">
        <f t="shared" si="173"/>
        <v>1</v>
      </c>
      <c r="DJ84" s="1363">
        <f t="shared" si="174"/>
        <v>1</v>
      </c>
      <c r="DK84" s="1363">
        <f t="shared" si="175"/>
        <v>1</v>
      </c>
      <c r="DL84" s="1363">
        <f t="shared" si="176"/>
        <v>1</v>
      </c>
      <c r="DM84" s="1363">
        <f t="shared" si="177"/>
        <v>1</v>
      </c>
      <c r="DN84" s="1363">
        <f t="shared" si="178"/>
        <v>1</v>
      </c>
      <c r="DO84" s="1363">
        <f t="shared" si="179"/>
        <v>1</v>
      </c>
      <c r="DP84" s="1363">
        <f t="shared" si="180"/>
        <v>1</v>
      </c>
      <c r="DQ84" s="1363">
        <f t="shared" si="181"/>
        <v>1</v>
      </c>
      <c r="DR84" s="1363">
        <f t="shared" si="182"/>
        <v>1</v>
      </c>
      <c r="DS84" s="1363">
        <f t="shared" si="183"/>
        <v>1</v>
      </c>
      <c r="DT84" s="1363">
        <f t="shared" si="184"/>
        <v>1</v>
      </c>
      <c r="DU84" s="1363">
        <f t="shared" si="185"/>
        <v>1</v>
      </c>
      <c r="DV84" s="1363">
        <f t="shared" si="186"/>
        <v>1</v>
      </c>
      <c r="DW84" s="1363">
        <f t="shared" si="187"/>
        <v>1</v>
      </c>
      <c r="DX84" s="1363">
        <f t="shared" si="188"/>
        <v>1</v>
      </c>
      <c r="DY84" s="1363">
        <f t="shared" si="189"/>
        <v>1</v>
      </c>
      <c r="DZ84" s="1363">
        <f t="shared" si="190"/>
        <v>1</v>
      </c>
      <c r="EA84" s="1363">
        <f t="shared" si="191"/>
        <v>0</v>
      </c>
    </row>
    <row r="85" spans="1:131" ht="16.350000000000001" customHeight="1" x14ac:dyDescent="0.25">
      <c r="A85" s="2458">
        <v>11056425</v>
      </c>
      <c r="B85" s="140" t="s">
        <v>2266</v>
      </c>
      <c r="C85" s="707" t="s">
        <v>2777</v>
      </c>
      <c r="D85" s="281" t="s">
        <v>2778</v>
      </c>
      <c r="E85" s="161" t="s">
        <v>2779</v>
      </c>
      <c r="F85" s="145" t="s">
        <v>2780</v>
      </c>
      <c r="G85" s="173" t="s">
        <v>2781</v>
      </c>
      <c r="H85" s="145" t="s">
        <v>2782</v>
      </c>
      <c r="I85" s="173" t="s">
        <v>2783</v>
      </c>
      <c r="J85" s="145" t="s">
        <v>2784</v>
      </c>
      <c r="K85" s="173" t="s">
        <v>2785</v>
      </c>
      <c r="L85" s="145" t="s">
        <v>2786</v>
      </c>
      <c r="M85" s="173" t="s">
        <v>2787</v>
      </c>
      <c r="N85" s="162" t="s">
        <v>2788</v>
      </c>
      <c r="O85" s="180" t="s">
        <v>2789</v>
      </c>
      <c r="P85" s="142" t="s">
        <v>2790</v>
      </c>
      <c r="Q85" s="141" t="s">
        <v>2791</v>
      </c>
      <c r="R85" s="142" t="s">
        <v>2792</v>
      </c>
      <c r="S85" s="141" t="s">
        <v>2793</v>
      </c>
      <c r="T85" s="142" t="s">
        <v>2794</v>
      </c>
      <c r="U85" s="141" t="s">
        <v>2795</v>
      </c>
      <c r="V85" s="142" t="s">
        <v>2796</v>
      </c>
      <c r="W85" s="141" t="s">
        <v>2797</v>
      </c>
      <c r="X85" s="142" t="s">
        <v>2798</v>
      </c>
      <c r="Y85" s="141" t="s">
        <v>2799</v>
      </c>
      <c r="Z85" s="142" t="s">
        <v>2800</v>
      </c>
      <c r="AA85" s="141" t="s">
        <v>2801</v>
      </c>
      <c r="AB85" s="142" t="s">
        <v>2817</v>
      </c>
      <c r="AC85" s="141" t="s">
        <v>2818</v>
      </c>
      <c r="AD85" s="142" t="s">
        <v>2819</v>
      </c>
      <c r="AE85" s="141" t="s">
        <v>2821</v>
      </c>
      <c r="AF85" s="142" t="s">
        <v>2822</v>
      </c>
      <c r="AG85" s="141" t="s">
        <v>2823</v>
      </c>
      <c r="AH85" s="142" t="s">
        <v>2824</v>
      </c>
      <c r="AI85" s="141" t="s">
        <v>2825</v>
      </c>
      <c r="AJ85" s="142" t="s">
        <v>2826</v>
      </c>
      <c r="AK85" s="141" t="s">
        <v>2827</v>
      </c>
      <c r="AL85" s="142" t="s">
        <v>2831</v>
      </c>
      <c r="AM85" s="141" t="s">
        <v>2832</v>
      </c>
      <c r="AN85" s="142" t="s">
        <v>2833</v>
      </c>
      <c r="AO85" s="141" t="s">
        <v>2834</v>
      </c>
      <c r="AP85" s="142" t="s">
        <v>3011</v>
      </c>
      <c r="AQ85" s="141" t="s">
        <v>3012</v>
      </c>
      <c r="AR85" s="318" t="s">
        <v>3013</v>
      </c>
      <c r="AS85" s="1703" t="s">
        <v>3014</v>
      </c>
      <c r="AT85" s="318" t="s">
        <v>3015</v>
      </c>
      <c r="AU85" s="180" t="s">
        <v>3206</v>
      </c>
      <c r="AV85" s="142" t="s">
        <v>3207</v>
      </c>
      <c r="AW85" s="141" t="s">
        <v>3272</v>
      </c>
      <c r="AX85" s="163" t="s">
        <v>3273</v>
      </c>
      <c r="AY85" s="1079" t="e">
        <f t="shared" si="159"/>
        <v>#VALUE!</v>
      </c>
      <c r="AZ85" s="1079"/>
      <c r="BA85" s="1079"/>
      <c r="BB85" s="1079"/>
      <c r="BC85" s="1079"/>
      <c r="BD85" s="1079"/>
      <c r="BE85" s="1079"/>
      <c r="BF85" s="1079"/>
      <c r="BG85" s="1079"/>
      <c r="BH85" s="1079"/>
      <c r="BI85" s="1079"/>
      <c r="BJ85" s="884"/>
      <c r="BK85" s="884"/>
      <c r="BL85" s="884"/>
      <c r="BM85" s="884"/>
      <c r="BV85" s="885"/>
      <c r="BW85" s="885"/>
      <c r="BX85" s="885"/>
      <c r="CB85" s="2077" t="str">
        <f t="shared" si="160"/>
        <v xml:space="preserve">* El total de Reactivos NO DEBE ser superior al total de Procesados. </v>
      </c>
      <c r="CC85" s="2077" t="e">
        <f t="shared" si="161"/>
        <v>#VALUE!</v>
      </c>
      <c r="CD85" s="2077" t="e">
        <f t="shared" si="162"/>
        <v>#VALUE!</v>
      </c>
      <c r="CE85" s="2077" t="str">
        <f t="shared" si="163"/>
        <v xml:space="preserve">* La columna Pueblos Originarios NO DEBE ser superior al total de Procesados. </v>
      </c>
      <c r="CF85" s="2077" t="str">
        <f t="shared" si="164"/>
        <v xml:space="preserve">* La columna Migrantes NO DEBE ser superior al total de Procesados. </v>
      </c>
      <c r="CG85" s="2077" t="str">
        <f t="shared" si="192"/>
        <v>* El total de procesados debe ser mayor o igual al total de Reactivos en el grupo de edad Menor de 6 meses</v>
      </c>
      <c r="CH85" s="2077" t="str">
        <f t="shared" si="193"/>
        <v>* El total de procesados debe ser mayor o igual al total de Reactivos en el grupo de edad 6 a 11 meses</v>
      </c>
      <c r="CI85" s="2077" t="str">
        <f t="shared" si="194"/>
        <v>* El total de procesados debe ser mayor o igual al total de Reactivos en el grupo de edad 12-24 meses</v>
      </c>
      <c r="CJ85" s="2077" t="str">
        <f t="shared" si="195"/>
        <v>* El total de procesados debe ser mayor o igual al total de Reactivos en el grupo de edad 3 a 4</v>
      </c>
      <c r="CK85" s="2077" t="str">
        <f t="shared" si="196"/>
        <v>* El total de procesados debe ser mayor o igual al total de Reactivos en el grupo de edad 5 a 9</v>
      </c>
      <c r="CL85" s="2077" t="str">
        <f t="shared" si="197"/>
        <v>* El total de procesados debe ser mayor o igual al total de Reactivos en el grupo de edad 10 - 14</v>
      </c>
      <c r="CM85" s="2077" t="str">
        <f t="shared" si="198"/>
        <v>* El total de procesados debe ser mayor o igual al total de Reactivos en el grupo de edad 15 - 19</v>
      </c>
      <c r="CN85" s="2077" t="str">
        <f t="shared" si="199"/>
        <v>* El total de procesados debe ser mayor o igual al total de Reactivos en el grupo de edad 20 - 24</v>
      </c>
      <c r="CO85" s="2077" t="str">
        <f t="shared" si="200"/>
        <v>* El total de procesados debe ser mayor o igual al total de Reactivos en el grupo de edad 25 a 29</v>
      </c>
      <c r="CP85" s="2077" t="str">
        <f t="shared" si="201"/>
        <v>* El total de procesados debe ser mayor o igual al total de Reactivos en el grupo de edad 30 a 34</v>
      </c>
      <c r="CQ85" s="2077" t="str">
        <f t="shared" si="202"/>
        <v>* El total de procesados debe ser mayor o igual al total de Reactivos en el grupo de edad 35 a 39</v>
      </c>
      <c r="CR85" s="2077" t="str">
        <f t="shared" si="203"/>
        <v>* El total de procesados debe ser mayor o igual al total de Reactivos en el grupo de edad 40 a 44</v>
      </c>
      <c r="CS85" s="2077" t="str">
        <f t="shared" si="204"/>
        <v>* El total de procesados debe ser mayor o igual al total de Reactivos en el grupo de edad 45 a 49</v>
      </c>
      <c r="CT85" s="2077" t="str">
        <f t="shared" si="205"/>
        <v>* El total de procesados debe ser mayor o igual al total de Reactivos en el grupo de edad 50 a 54</v>
      </c>
      <c r="CU85" s="2077" t="str">
        <f t="shared" si="206"/>
        <v>* El total de procesados debe ser mayor o igual al total de Reactivos en el grupo de edad 55 a 59</v>
      </c>
      <c r="CV85" s="2077" t="str">
        <f t="shared" si="207"/>
        <v>* El total de procesados debe ser mayor o igual al total de Reactivos en el grupo de edad 60 a 64</v>
      </c>
      <c r="CW85" s="2077" t="str">
        <f t="shared" si="208"/>
        <v>* El total de procesados debe ser mayor o igual al total de Reactivos en el grupo de edad 65 a 69</v>
      </c>
      <c r="CX85" s="2077" t="str">
        <f t="shared" si="209"/>
        <v>* El total de procesados debe ser mayor o igual al total de Reactivos en el grupo de edad 70 a 74</v>
      </c>
      <c r="CY85" s="2077" t="str">
        <f t="shared" si="210"/>
        <v>* El total de procesados debe ser mayor o igual al total de Reactivos en el grupo de edad 75 a 79</v>
      </c>
      <c r="CZ85" s="2077" t="str">
        <f t="shared" si="211"/>
        <v>* El total de procesados debe ser mayor o igual al total de Reactivos en el grupo de edad 80 y más</v>
      </c>
      <c r="DA85" s="2077" t="str">
        <f t="shared" si="165"/>
        <v/>
      </c>
      <c r="DB85" s="1363">
        <f t="shared" si="166"/>
        <v>1</v>
      </c>
      <c r="DC85" s="1363" t="e">
        <f t="shared" si="167"/>
        <v>#VALUE!</v>
      </c>
      <c r="DD85" s="1363" t="e">
        <f t="shared" si="168"/>
        <v>#VALUE!</v>
      </c>
      <c r="DE85" s="1363">
        <f t="shared" si="169"/>
        <v>1</v>
      </c>
      <c r="DF85" s="1363">
        <f t="shared" si="170"/>
        <v>1</v>
      </c>
      <c r="DG85" s="1363">
        <f t="shared" si="171"/>
        <v>1</v>
      </c>
      <c r="DH85" s="1363">
        <f t="shared" si="172"/>
        <v>1</v>
      </c>
      <c r="DI85" s="1363">
        <f t="shared" si="173"/>
        <v>1</v>
      </c>
      <c r="DJ85" s="1363">
        <f t="shared" si="174"/>
        <v>1</v>
      </c>
      <c r="DK85" s="1363">
        <f t="shared" si="175"/>
        <v>1</v>
      </c>
      <c r="DL85" s="1363">
        <f t="shared" si="176"/>
        <v>1</v>
      </c>
      <c r="DM85" s="1363">
        <f t="shared" si="177"/>
        <v>1</v>
      </c>
      <c r="DN85" s="1363">
        <f t="shared" si="178"/>
        <v>1</v>
      </c>
      <c r="DO85" s="1363">
        <f t="shared" si="179"/>
        <v>1</v>
      </c>
      <c r="DP85" s="1363">
        <f t="shared" si="180"/>
        <v>1</v>
      </c>
      <c r="DQ85" s="1363">
        <f t="shared" si="181"/>
        <v>1</v>
      </c>
      <c r="DR85" s="1363">
        <f t="shared" si="182"/>
        <v>1</v>
      </c>
      <c r="DS85" s="1363">
        <f t="shared" si="183"/>
        <v>1</v>
      </c>
      <c r="DT85" s="1363">
        <f t="shared" si="184"/>
        <v>1</v>
      </c>
      <c r="DU85" s="1363">
        <f t="shared" si="185"/>
        <v>1</v>
      </c>
      <c r="DV85" s="1363">
        <f t="shared" si="186"/>
        <v>1</v>
      </c>
      <c r="DW85" s="1363">
        <f t="shared" si="187"/>
        <v>1</v>
      </c>
      <c r="DX85" s="1363">
        <f t="shared" si="188"/>
        <v>1</v>
      </c>
      <c r="DY85" s="1363">
        <f t="shared" si="189"/>
        <v>1</v>
      </c>
      <c r="DZ85" s="1363">
        <f t="shared" si="190"/>
        <v>1</v>
      </c>
      <c r="EA85" s="1363">
        <f t="shared" si="191"/>
        <v>0</v>
      </c>
    </row>
    <row r="86" spans="1:131" ht="16.350000000000001" customHeight="1" x14ac:dyDescent="0.25">
      <c r="A86" s="2458">
        <v>11056426</v>
      </c>
      <c r="B86" s="140" t="s">
        <v>2267</v>
      </c>
      <c r="C86" s="707" t="s">
        <v>2777</v>
      </c>
      <c r="D86" s="281" t="s">
        <v>2778</v>
      </c>
      <c r="E86" s="180" t="s">
        <v>2779</v>
      </c>
      <c r="F86" s="142" t="s">
        <v>2780</v>
      </c>
      <c r="G86" s="141" t="s">
        <v>2781</v>
      </c>
      <c r="H86" s="142" t="s">
        <v>2782</v>
      </c>
      <c r="I86" s="141" t="s">
        <v>2783</v>
      </c>
      <c r="J86" s="163" t="s">
        <v>2784</v>
      </c>
      <c r="K86" s="180" t="s">
        <v>2785</v>
      </c>
      <c r="L86" s="180" t="s">
        <v>2786</v>
      </c>
      <c r="M86" s="141" t="s">
        <v>2787</v>
      </c>
      <c r="N86" s="163" t="s">
        <v>2788</v>
      </c>
      <c r="O86" s="180" t="s">
        <v>2789</v>
      </c>
      <c r="P86" s="142" t="s">
        <v>2790</v>
      </c>
      <c r="Q86" s="141" t="s">
        <v>2791</v>
      </c>
      <c r="R86" s="142" t="s">
        <v>2792</v>
      </c>
      <c r="S86" s="141" t="s">
        <v>2793</v>
      </c>
      <c r="T86" s="142" t="s">
        <v>2794</v>
      </c>
      <c r="U86" s="141" t="s">
        <v>2795</v>
      </c>
      <c r="V86" s="142" t="s">
        <v>2796</v>
      </c>
      <c r="W86" s="141" t="s">
        <v>2797</v>
      </c>
      <c r="X86" s="142" t="s">
        <v>2798</v>
      </c>
      <c r="Y86" s="141" t="s">
        <v>2799</v>
      </c>
      <c r="Z86" s="142" t="s">
        <v>2800</v>
      </c>
      <c r="AA86" s="141" t="s">
        <v>2801</v>
      </c>
      <c r="AB86" s="142" t="s">
        <v>2817</v>
      </c>
      <c r="AC86" s="141" t="s">
        <v>2818</v>
      </c>
      <c r="AD86" s="142" t="s">
        <v>2819</v>
      </c>
      <c r="AE86" s="141" t="s">
        <v>2821</v>
      </c>
      <c r="AF86" s="142" t="s">
        <v>2822</v>
      </c>
      <c r="AG86" s="141" t="s">
        <v>2823</v>
      </c>
      <c r="AH86" s="142" t="s">
        <v>2824</v>
      </c>
      <c r="AI86" s="141" t="s">
        <v>2825</v>
      </c>
      <c r="AJ86" s="142" t="s">
        <v>2826</v>
      </c>
      <c r="AK86" s="141" t="s">
        <v>2827</v>
      </c>
      <c r="AL86" s="142" t="s">
        <v>2831</v>
      </c>
      <c r="AM86" s="141" t="s">
        <v>2832</v>
      </c>
      <c r="AN86" s="142" t="s">
        <v>2833</v>
      </c>
      <c r="AO86" s="141" t="s">
        <v>2834</v>
      </c>
      <c r="AP86" s="142" t="s">
        <v>3011</v>
      </c>
      <c r="AQ86" s="141" t="s">
        <v>3012</v>
      </c>
      <c r="AR86" s="318" t="s">
        <v>3013</v>
      </c>
      <c r="AS86" s="1703" t="s">
        <v>3014</v>
      </c>
      <c r="AT86" s="318" t="s">
        <v>3015</v>
      </c>
      <c r="AU86" s="180" t="s">
        <v>3206</v>
      </c>
      <c r="AV86" s="142" t="s">
        <v>3207</v>
      </c>
      <c r="AW86" s="141" t="s">
        <v>3272</v>
      </c>
      <c r="AX86" s="163" t="s">
        <v>3273</v>
      </c>
      <c r="AY86" s="1079" t="e">
        <f t="shared" si="159"/>
        <v>#VALUE!</v>
      </c>
      <c r="AZ86" s="1079"/>
      <c r="BA86" s="1079"/>
      <c r="BB86" s="1079"/>
      <c r="BC86" s="1079"/>
      <c r="BD86" s="1079"/>
      <c r="BE86" s="1079"/>
      <c r="BF86" s="1079"/>
      <c r="BG86" s="1079"/>
      <c r="BH86" s="1079"/>
      <c r="BI86" s="1079"/>
      <c r="BJ86" s="884"/>
      <c r="BK86" s="884"/>
      <c r="BL86" s="884"/>
      <c r="BM86" s="884"/>
      <c r="BV86" s="885"/>
      <c r="BW86" s="885"/>
      <c r="BX86" s="885"/>
      <c r="CB86" s="2077" t="str">
        <f t="shared" si="160"/>
        <v xml:space="preserve">* El total de Reactivos NO DEBE ser superior al total de Procesados. </v>
      </c>
      <c r="CC86" s="2077" t="e">
        <f t="shared" si="161"/>
        <v>#VALUE!</v>
      </c>
      <c r="CD86" s="2077" t="e">
        <f t="shared" si="162"/>
        <v>#VALUE!</v>
      </c>
      <c r="CE86" s="2077" t="str">
        <f t="shared" si="163"/>
        <v xml:space="preserve">* La columna Pueblos Originarios NO DEBE ser superior al total de Procesados. </v>
      </c>
      <c r="CF86" s="2077" t="str">
        <f t="shared" si="164"/>
        <v xml:space="preserve">* La columna Migrantes NO DEBE ser superior al total de Procesados. </v>
      </c>
      <c r="CG86" s="2077" t="str">
        <f t="shared" si="192"/>
        <v>* El total de procesados debe ser mayor o igual al total de Reactivos en el grupo de edad Menor de 6 meses</v>
      </c>
      <c r="CH86" s="2077" t="str">
        <f t="shared" si="193"/>
        <v>* El total de procesados debe ser mayor o igual al total de Reactivos en el grupo de edad 6 a 11 meses</v>
      </c>
      <c r="CI86" s="2077" t="str">
        <f t="shared" si="194"/>
        <v>* El total de procesados debe ser mayor o igual al total de Reactivos en el grupo de edad 12-24 meses</v>
      </c>
      <c r="CJ86" s="2077" t="str">
        <f t="shared" si="195"/>
        <v>* El total de procesados debe ser mayor o igual al total de Reactivos en el grupo de edad 3 a 4</v>
      </c>
      <c r="CK86" s="2077" t="str">
        <f t="shared" si="196"/>
        <v>* El total de procesados debe ser mayor o igual al total de Reactivos en el grupo de edad 5 a 9</v>
      </c>
      <c r="CL86" s="2077" t="str">
        <f t="shared" si="197"/>
        <v>* El total de procesados debe ser mayor o igual al total de Reactivos en el grupo de edad 10 - 14</v>
      </c>
      <c r="CM86" s="2077" t="str">
        <f t="shared" si="198"/>
        <v>* El total de procesados debe ser mayor o igual al total de Reactivos en el grupo de edad 15 - 19</v>
      </c>
      <c r="CN86" s="2077" t="str">
        <f t="shared" si="199"/>
        <v>* El total de procesados debe ser mayor o igual al total de Reactivos en el grupo de edad 20 - 24</v>
      </c>
      <c r="CO86" s="2077" t="str">
        <f t="shared" si="200"/>
        <v>* El total de procesados debe ser mayor o igual al total de Reactivos en el grupo de edad 25 a 29</v>
      </c>
      <c r="CP86" s="2077" t="str">
        <f t="shared" si="201"/>
        <v>* El total de procesados debe ser mayor o igual al total de Reactivos en el grupo de edad 30 a 34</v>
      </c>
      <c r="CQ86" s="2077" t="str">
        <f t="shared" si="202"/>
        <v>* El total de procesados debe ser mayor o igual al total de Reactivos en el grupo de edad 35 a 39</v>
      </c>
      <c r="CR86" s="2077" t="str">
        <f t="shared" si="203"/>
        <v>* El total de procesados debe ser mayor o igual al total de Reactivos en el grupo de edad 40 a 44</v>
      </c>
      <c r="CS86" s="2077" t="str">
        <f t="shared" si="204"/>
        <v>* El total de procesados debe ser mayor o igual al total de Reactivos en el grupo de edad 45 a 49</v>
      </c>
      <c r="CT86" s="2077" t="str">
        <f t="shared" si="205"/>
        <v>* El total de procesados debe ser mayor o igual al total de Reactivos en el grupo de edad 50 a 54</v>
      </c>
      <c r="CU86" s="2077" t="str">
        <f t="shared" si="206"/>
        <v>* El total de procesados debe ser mayor o igual al total de Reactivos en el grupo de edad 55 a 59</v>
      </c>
      <c r="CV86" s="2077" t="str">
        <f t="shared" si="207"/>
        <v>* El total de procesados debe ser mayor o igual al total de Reactivos en el grupo de edad 60 a 64</v>
      </c>
      <c r="CW86" s="2077" t="str">
        <f t="shared" si="208"/>
        <v>* El total de procesados debe ser mayor o igual al total de Reactivos en el grupo de edad 65 a 69</v>
      </c>
      <c r="CX86" s="2077" t="str">
        <f t="shared" si="209"/>
        <v>* El total de procesados debe ser mayor o igual al total de Reactivos en el grupo de edad 70 a 74</v>
      </c>
      <c r="CY86" s="2077" t="str">
        <f t="shared" si="210"/>
        <v>* El total de procesados debe ser mayor o igual al total de Reactivos en el grupo de edad 75 a 79</v>
      </c>
      <c r="CZ86" s="2077" t="str">
        <f t="shared" si="211"/>
        <v>* El total de procesados debe ser mayor o igual al total de Reactivos en el grupo de edad 80 y más</v>
      </c>
      <c r="DA86" s="2077" t="str">
        <f t="shared" si="165"/>
        <v/>
      </c>
      <c r="DB86" s="1363">
        <f t="shared" si="166"/>
        <v>1</v>
      </c>
      <c r="DC86" s="1363" t="e">
        <f t="shared" si="167"/>
        <v>#VALUE!</v>
      </c>
      <c r="DD86" s="1363" t="e">
        <f t="shared" si="168"/>
        <v>#VALUE!</v>
      </c>
      <c r="DE86" s="1363">
        <f t="shared" si="169"/>
        <v>1</v>
      </c>
      <c r="DF86" s="1363">
        <f t="shared" si="170"/>
        <v>1</v>
      </c>
      <c r="DG86" s="1363">
        <f t="shared" si="171"/>
        <v>1</v>
      </c>
      <c r="DH86" s="1363">
        <f t="shared" si="172"/>
        <v>1</v>
      </c>
      <c r="DI86" s="1363">
        <f t="shared" si="173"/>
        <v>1</v>
      </c>
      <c r="DJ86" s="1363">
        <f t="shared" si="174"/>
        <v>1</v>
      </c>
      <c r="DK86" s="1363">
        <f t="shared" si="175"/>
        <v>1</v>
      </c>
      <c r="DL86" s="1363">
        <f t="shared" si="176"/>
        <v>1</v>
      </c>
      <c r="DM86" s="1363">
        <f t="shared" si="177"/>
        <v>1</v>
      </c>
      <c r="DN86" s="1363">
        <f t="shared" si="178"/>
        <v>1</v>
      </c>
      <c r="DO86" s="1363">
        <f t="shared" si="179"/>
        <v>1</v>
      </c>
      <c r="DP86" s="1363">
        <f t="shared" si="180"/>
        <v>1</v>
      </c>
      <c r="DQ86" s="1363">
        <f t="shared" si="181"/>
        <v>1</v>
      </c>
      <c r="DR86" s="1363">
        <f t="shared" si="182"/>
        <v>1</v>
      </c>
      <c r="DS86" s="1363">
        <f t="shared" si="183"/>
        <v>1</v>
      </c>
      <c r="DT86" s="1363">
        <f t="shared" si="184"/>
        <v>1</v>
      </c>
      <c r="DU86" s="1363">
        <f t="shared" si="185"/>
        <v>1</v>
      </c>
      <c r="DV86" s="1363">
        <f t="shared" si="186"/>
        <v>1</v>
      </c>
      <c r="DW86" s="1363">
        <f t="shared" si="187"/>
        <v>1</v>
      </c>
      <c r="DX86" s="1363">
        <f t="shared" si="188"/>
        <v>1</v>
      </c>
      <c r="DY86" s="1363">
        <f t="shared" si="189"/>
        <v>1</v>
      </c>
      <c r="DZ86" s="1363">
        <f t="shared" si="190"/>
        <v>1</v>
      </c>
      <c r="EA86" s="1363">
        <f t="shared" si="191"/>
        <v>0</v>
      </c>
    </row>
    <row r="87" spans="1:131" ht="24" customHeight="1" x14ac:dyDescent="0.25">
      <c r="A87" s="2458">
        <v>11056427</v>
      </c>
      <c r="B87" s="3095" t="s">
        <v>2268</v>
      </c>
      <c r="C87" s="707" t="s">
        <v>2777</v>
      </c>
      <c r="D87" s="281" t="s">
        <v>2778</v>
      </c>
      <c r="E87" s="180" t="s">
        <v>2779</v>
      </c>
      <c r="F87" s="142" t="s">
        <v>2780</v>
      </c>
      <c r="G87" s="141" t="s">
        <v>2781</v>
      </c>
      <c r="H87" s="142" t="s">
        <v>2782</v>
      </c>
      <c r="I87" s="141" t="s">
        <v>2783</v>
      </c>
      <c r="J87" s="163" t="s">
        <v>2784</v>
      </c>
      <c r="K87" s="936" t="s">
        <v>2785</v>
      </c>
      <c r="L87" s="1090" t="s">
        <v>2786</v>
      </c>
      <c r="M87" s="936" t="s">
        <v>2787</v>
      </c>
      <c r="N87" s="1090" t="s">
        <v>2788</v>
      </c>
      <c r="O87" s="936" t="s">
        <v>2789</v>
      </c>
      <c r="P87" s="1090" t="s">
        <v>2790</v>
      </c>
      <c r="Q87" s="936" t="s">
        <v>2791</v>
      </c>
      <c r="R87" s="1090" t="s">
        <v>2792</v>
      </c>
      <c r="S87" s="936" t="s">
        <v>2793</v>
      </c>
      <c r="T87" s="1090" t="s">
        <v>2794</v>
      </c>
      <c r="U87" s="936" t="s">
        <v>2795</v>
      </c>
      <c r="V87" s="1090" t="s">
        <v>2796</v>
      </c>
      <c r="W87" s="936" t="s">
        <v>2797</v>
      </c>
      <c r="X87" s="1090" t="s">
        <v>2798</v>
      </c>
      <c r="Y87" s="936" t="s">
        <v>2799</v>
      </c>
      <c r="Z87" s="1090" t="s">
        <v>2800</v>
      </c>
      <c r="AA87" s="936" t="s">
        <v>2801</v>
      </c>
      <c r="AB87" s="1090" t="s">
        <v>2817</v>
      </c>
      <c r="AC87" s="936" t="s">
        <v>2818</v>
      </c>
      <c r="AD87" s="1090" t="s">
        <v>2819</v>
      </c>
      <c r="AE87" s="936" t="s">
        <v>2821</v>
      </c>
      <c r="AF87" s="1090" t="s">
        <v>2822</v>
      </c>
      <c r="AG87" s="936" t="s">
        <v>2823</v>
      </c>
      <c r="AH87" s="1090" t="s">
        <v>2824</v>
      </c>
      <c r="AI87" s="936" t="s">
        <v>2825</v>
      </c>
      <c r="AJ87" s="1090" t="s">
        <v>2826</v>
      </c>
      <c r="AK87" s="936" t="s">
        <v>2827</v>
      </c>
      <c r="AL87" s="1090" t="s">
        <v>2831</v>
      </c>
      <c r="AM87" s="936" t="s">
        <v>2832</v>
      </c>
      <c r="AN87" s="1090" t="s">
        <v>2833</v>
      </c>
      <c r="AO87" s="936" t="s">
        <v>2834</v>
      </c>
      <c r="AP87" s="1090" t="s">
        <v>3011</v>
      </c>
      <c r="AQ87" s="936" t="s">
        <v>3012</v>
      </c>
      <c r="AR87" s="2033" t="s">
        <v>3013</v>
      </c>
      <c r="AS87" s="180" t="s">
        <v>3014</v>
      </c>
      <c r="AT87" s="318" t="s">
        <v>3015</v>
      </c>
      <c r="AU87" s="180" t="s">
        <v>3206</v>
      </c>
      <c r="AV87" s="142" t="s">
        <v>3207</v>
      </c>
      <c r="AW87" s="141" t="s">
        <v>3272</v>
      </c>
      <c r="AX87" s="163" t="s">
        <v>3273</v>
      </c>
      <c r="AY87" s="1079" t="e">
        <f t="shared" si="159"/>
        <v>#VALUE!</v>
      </c>
      <c r="AZ87" s="1079"/>
      <c r="BA87" s="1079"/>
      <c r="BB87" s="1079"/>
      <c r="BC87" s="1079"/>
      <c r="BD87" s="1079"/>
      <c r="BE87" s="1079"/>
      <c r="BF87" s="1079"/>
      <c r="BG87" s="1079"/>
      <c r="BH87" s="1079"/>
      <c r="BI87" s="1079"/>
      <c r="BJ87" s="884"/>
      <c r="BK87" s="884"/>
      <c r="BL87" s="884"/>
      <c r="BM87" s="884"/>
      <c r="BV87" s="885"/>
      <c r="BW87" s="885"/>
      <c r="BX87" s="885"/>
      <c r="CB87" s="2077" t="str">
        <f t="shared" si="160"/>
        <v xml:space="preserve">* El total de Reactivos NO DEBE ser superior al total de Procesados. </v>
      </c>
      <c r="CC87" s="2077" t="e">
        <f t="shared" si="161"/>
        <v>#VALUE!</v>
      </c>
      <c r="CD87" s="2077" t="e">
        <f t="shared" si="162"/>
        <v>#VALUE!</v>
      </c>
      <c r="CE87" s="2077" t="str">
        <f t="shared" si="163"/>
        <v xml:space="preserve">* La columna Pueblos Originarios NO DEBE ser superior al total de Procesados. </v>
      </c>
      <c r="CF87" s="2077" t="str">
        <f t="shared" si="164"/>
        <v xml:space="preserve">* La columna Migrantes NO DEBE ser superior al total de Procesados. </v>
      </c>
      <c r="CG87" s="2077" t="str">
        <f t="shared" si="192"/>
        <v>* El total de procesados debe ser mayor o igual al total de Reactivos en el grupo de edad Menor de 6 meses</v>
      </c>
      <c r="CH87" s="2077" t="str">
        <f t="shared" si="193"/>
        <v>* El total de procesados debe ser mayor o igual al total de Reactivos en el grupo de edad 6 a 11 meses</v>
      </c>
      <c r="CI87" s="2077" t="str">
        <f t="shared" si="194"/>
        <v>* El total de procesados debe ser mayor o igual al total de Reactivos en el grupo de edad 12-24 meses</v>
      </c>
      <c r="CJ87" s="2077" t="str">
        <f t="shared" si="195"/>
        <v>* El total de procesados debe ser mayor o igual al total de Reactivos en el grupo de edad 3 a 4</v>
      </c>
      <c r="CK87" s="2077" t="str">
        <f t="shared" si="196"/>
        <v>* El total de procesados debe ser mayor o igual al total de Reactivos en el grupo de edad 5 a 9</v>
      </c>
      <c r="CL87" s="2077" t="str">
        <f t="shared" si="197"/>
        <v>* El total de procesados debe ser mayor o igual al total de Reactivos en el grupo de edad 10 - 14</v>
      </c>
      <c r="CM87" s="2077" t="str">
        <f t="shared" si="198"/>
        <v>* El total de procesados debe ser mayor o igual al total de Reactivos en el grupo de edad 15 - 19</v>
      </c>
      <c r="CN87" s="2077" t="str">
        <f t="shared" si="199"/>
        <v>* El total de procesados debe ser mayor o igual al total de Reactivos en el grupo de edad 20 - 24</v>
      </c>
      <c r="CO87" s="2077" t="str">
        <f t="shared" si="200"/>
        <v>* El total de procesados debe ser mayor o igual al total de Reactivos en el grupo de edad 25 a 29</v>
      </c>
      <c r="CP87" s="2077" t="str">
        <f t="shared" si="201"/>
        <v>* El total de procesados debe ser mayor o igual al total de Reactivos en el grupo de edad 30 a 34</v>
      </c>
      <c r="CQ87" s="2077" t="str">
        <f t="shared" si="202"/>
        <v>* El total de procesados debe ser mayor o igual al total de Reactivos en el grupo de edad 35 a 39</v>
      </c>
      <c r="CR87" s="2077" t="str">
        <f t="shared" si="203"/>
        <v>* El total de procesados debe ser mayor o igual al total de Reactivos en el grupo de edad 40 a 44</v>
      </c>
      <c r="CS87" s="2077" t="str">
        <f t="shared" si="204"/>
        <v>* El total de procesados debe ser mayor o igual al total de Reactivos en el grupo de edad 45 a 49</v>
      </c>
      <c r="CT87" s="2077" t="str">
        <f t="shared" si="205"/>
        <v>* El total de procesados debe ser mayor o igual al total de Reactivos en el grupo de edad 50 a 54</v>
      </c>
      <c r="CU87" s="2077" t="str">
        <f t="shared" si="206"/>
        <v>* El total de procesados debe ser mayor o igual al total de Reactivos en el grupo de edad 55 a 59</v>
      </c>
      <c r="CV87" s="2077" t="str">
        <f t="shared" si="207"/>
        <v>* El total de procesados debe ser mayor o igual al total de Reactivos en el grupo de edad 60 a 64</v>
      </c>
      <c r="CW87" s="2077" t="str">
        <f t="shared" si="208"/>
        <v>* El total de procesados debe ser mayor o igual al total de Reactivos en el grupo de edad 65 a 69</v>
      </c>
      <c r="CX87" s="2077" t="str">
        <f t="shared" si="209"/>
        <v>* El total de procesados debe ser mayor o igual al total de Reactivos en el grupo de edad 70 a 74</v>
      </c>
      <c r="CY87" s="2077" t="str">
        <f t="shared" si="210"/>
        <v>* El total de procesados debe ser mayor o igual al total de Reactivos en el grupo de edad 75 a 79</v>
      </c>
      <c r="CZ87" s="2077" t="str">
        <f t="shared" si="211"/>
        <v>* El total de procesados debe ser mayor o igual al total de Reactivos en el grupo de edad 80 y más</v>
      </c>
      <c r="DA87" s="2077" t="str">
        <f t="shared" si="165"/>
        <v/>
      </c>
      <c r="DB87" s="1363">
        <f t="shared" si="166"/>
        <v>1</v>
      </c>
      <c r="DC87" s="1363" t="e">
        <f t="shared" si="167"/>
        <v>#VALUE!</v>
      </c>
      <c r="DD87" s="1363" t="e">
        <f t="shared" si="168"/>
        <v>#VALUE!</v>
      </c>
      <c r="DE87" s="1363">
        <f t="shared" si="169"/>
        <v>1</v>
      </c>
      <c r="DF87" s="1363">
        <f t="shared" si="170"/>
        <v>1</v>
      </c>
      <c r="DG87" s="1363">
        <f t="shared" si="171"/>
        <v>1</v>
      </c>
      <c r="DH87" s="1363">
        <f t="shared" si="172"/>
        <v>1</v>
      </c>
      <c r="DI87" s="1363">
        <f t="shared" si="173"/>
        <v>1</v>
      </c>
      <c r="DJ87" s="1363">
        <f t="shared" si="174"/>
        <v>1</v>
      </c>
      <c r="DK87" s="1363">
        <f t="shared" si="175"/>
        <v>1</v>
      </c>
      <c r="DL87" s="1363">
        <f t="shared" si="176"/>
        <v>1</v>
      </c>
      <c r="DM87" s="1363">
        <f t="shared" si="177"/>
        <v>1</v>
      </c>
      <c r="DN87" s="1363">
        <f t="shared" si="178"/>
        <v>1</v>
      </c>
      <c r="DO87" s="1363">
        <f t="shared" si="179"/>
        <v>1</v>
      </c>
      <c r="DP87" s="1363">
        <f t="shared" si="180"/>
        <v>1</v>
      </c>
      <c r="DQ87" s="1363">
        <f t="shared" si="181"/>
        <v>1</v>
      </c>
      <c r="DR87" s="1363">
        <f t="shared" si="182"/>
        <v>1</v>
      </c>
      <c r="DS87" s="1363">
        <f t="shared" si="183"/>
        <v>1</v>
      </c>
      <c r="DT87" s="1363">
        <f t="shared" si="184"/>
        <v>1</v>
      </c>
      <c r="DU87" s="1363">
        <f t="shared" si="185"/>
        <v>1</v>
      </c>
      <c r="DV87" s="1363">
        <f t="shared" si="186"/>
        <v>1</v>
      </c>
      <c r="DW87" s="1363">
        <f t="shared" si="187"/>
        <v>1</v>
      </c>
      <c r="DX87" s="1363">
        <f t="shared" si="188"/>
        <v>1</v>
      </c>
      <c r="DY87" s="1363">
        <f t="shared" si="189"/>
        <v>1</v>
      </c>
      <c r="DZ87" s="1363">
        <f t="shared" si="190"/>
        <v>1</v>
      </c>
      <c r="EA87" s="1363">
        <f t="shared" si="191"/>
        <v>0</v>
      </c>
    </row>
    <row r="88" spans="1:131" ht="15.95" customHeight="1" x14ac:dyDescent="0.25">
      <c r="A88" s="2458">
        <v>11056428</v>
      </c>
      <c r="B88" s="371" t="s">
        <v>2269</v>
      </c>
      <c r="C88" s="707" t="s">
        <v>2777</v>
      </c>
      <c r="D88" s="281" t="s">
        <v>2778</v>
      </c>
      <c r="E88" s="161" t="s">
        <v>2779</v>
      </c>
      <c r="F88" s="145" t="s">
        <v>2780</v>
      </c>
      <c r="G88" s="173" t="s">
        <v>2781</v>
      </c>
      <c r="H88" s="145" t="s">
        <v>2782</v>
      </c>
      <c r="I88" s="173" t="s">
        <v>2783</v>
      </c>
      <c r="J88" s="145" t="s">
        <v>2784</v>
      </c>
      <c r="K88" s="173" t="s">
        <v>2785</v>
      </c>
      <c r="L88" s="145" t="s">
        <v>2786</v>
      </c>
      <c r="M88" s="173" t="s">
        <v>2787</v>
      </c>
      <c r="N88" s="162" t="s">
        <v>2788</v>
      </c>
      <c r="O88" s="161" t="s">
        <v>2789</v>
      </c>
      <c r="P88" s="145" t="s">
        <v>2790</v>
      </c>
      <c r="Q88" s="141" t="s">
        <v>2791</v>
      </c>
      <c r="R88" s="142" t="s">
        <v>2792</v>
      </c>
      <c r="S88" s="141" t="s">
        <v>2793</v>
      </c>
      <c r="T88" s="142" t="s">
        <v>2794</v>
      </c>
      <c r="U88" s="141" t="s">
        <v>2795</v>
      </c>
      <c r="V88" s="142" t="s">
        <v>2796</v>
      </c>
      <c r="W88" s="141" t="s">
        <v>2797</v>
      </c>
      <c r="X88" s="142" t="s">
        <v>2798</v>
      </c>
      <c r="Y88" s="141" t="s">
        <v>2799</v>
      </c>
      <c r="Z88" s="142" t="s">
        <v>2800</v>
      </c>
      <c r="AA88" s="141" t="s">
        <v>2801</v>
      </c>
      <c r="AB88" s="142" t="s">
        <v>2817</v>
      </c>
      <c r="AC88" s="141" t="s">
        <v>2818</v>
      </c>
      <c r="AD88" s="142" t="s">
        <v>2819</v>
      </c>
      <c r="AE88" s="141" t="s">
        <v>2821</v>
      </c>
      <c r="AF88" s="142" t="s">
        <v>2822</v>
      </c>
      <c r="AG88" s="141" t="s">
        <v>2823</v>
      </c>
      <c r="AH88" s="142" t="s">
        <v>2824</v>
      </c>
      <c r="AI88" s="141" t="s">
        <v>2825</v>
      </c>
      <c r="AJ88" s="142" t="s">
        <v>2826</v>
      </c>
      <c r="AK88" s="141" t="s">
        <v>2827</v>
      </c>
      <c r="AL88" s="142" t="s">
        <v>2831</v>
      </c>
      <c r="AM88" s="141" t="s">
        <v>2832</v>
      </c>
      <c r="AN88" s="142" t="s">
        <v>2833</v>
      </c>
      <c r="AO88" s="141" t="s">
        <v>2834</v>
      </c>
      <c r="AP88" s="142" t="s">
        <v>3011</v>
      </c>
      <c r="AQ88" s="141" t="s">
        <v>3012</v>
      </c>
      <c r="AR88" s="318" t="s">
        <v>3013</v>
      </c>
      <c r="AS88" s="180" t="s">
        <v>3014</v>
      </c>
      <c r="AT88" s="318" t="s">
        <v>3015</v>
      </c>
      <c r="AU88" s="180" t="s">
        <v>3206</v>
      </c>
      <c r="AV88" s="142" t="s">
        <v>3207</v>
      </c>
      <c r="AW88" s="141" t="s">
        <v>3272</v>
      </c>
      <c r="AX88" s="163" t="s">
        <v>3273</v>
      </c>
      <c r="AY88" s="1079" t="e">
        <f t="shared" si="159"/>
        <v>#VALUE!</v>
      </c>
      <c r="AZ88" s="1079"/>
      <c r="BA88" s="1079"/>
      <c r="BB88" s="1079"/>
      <c r="BC88" s="1079"/>
      <c r="BD88" s="1079"/>
      <c r="BE88" s="1079"/>
      <c r="BF88" s="1079"/>
      <c r="BG88" s="1079"/>
      <c r="BH88" s="1079"/>
      <c r="BI88" s="1079"/>
      <c r="BJ88" s="884"/>
      <c r="BK88" s="884"/>
      <c r="BL88" s="884"/>
      <c r="BM88" s="884"/>
      <c r="BV88" s="885"/>
      <c r="BW88" s="885"/>
      <c r="BX88" s="885"/>
      <c r="CB88" s="2077" t="str">
        <f t="shared" si="160"/>
        <v xml:space="preserve">* El total de Reactivos NO DEBE ser superior al total de Procesados. </v>
      </c>
      <c r="CC88" s="2077" t="e">
        <f t="shared" si="161"/>
        <v>#VALUE!</v>
      </c>
      <c r="CD88" s="2077" t="e">
        <f t="shared" si="162"/>
        <v>#VALUE!</v>
      </c>
      <c r="CE88" s="2077" t="str">
        <f t="shared" si="163"/>
        <v xml:space="preserve">* La columna Pueblos Originarios NO DEBE ser superior al total de Procesados. </v>
      </c>
      <c r="CF88" s="2077" t="str">
        <f t="shared" si="164"/>
        <v xml:space="preserve">* La columna Migrantes NO DEBE ser superior al total de Procesados. </v>
      </c>
      <c r="CG88" s="2077" t="str">
        <f t="shared" si="192"/>
        <v>* El total de procesados debe ser mayor o igual al total de Reactivos en el grupo de edad Menor de 6 meses</v>
      </c>
      <c r="CH88" s="2077" t="str">
        <f t="shared" si="193"/>
        <v>* El total de procesados debe ser mayor o igual al total de Reactivos en el grupo de edad 6 a 11 meses</v>
      </c>
      <c r="CI88" s="2077" t="str">
        <f t="shared" si="194"/>
        <v>* El total de procesados debe ser mayor o igual al total de Reactivos en el grupo de edad 12-24 meses</v>
      </c>
      <c r="CJ88" s="2077" t="str">
        <f t="shared" si="195"/>
        <v>* El total de procesados debe ser mayor o igual al total de Reactivos en el grupo de edad 3 a 4</v>
      </c>
      <c r="CK88" s="2077" t="str">
        <f t="shared" si="196"/>
        <v>* El total de procesados debe ser mayor o igual al total de Reactivos en el grupo de edad 5 a 9</v>
      </c>
      <c r="CL88" s="2077" t="str">
        <f t="shared" si="197"/>
        <v>* El total de procesados debe ser mayor o igual al total de Reactivos en el grupo de edad 10 - 14</v>
      </c>
      <c r="CM88" s="2077" t="str">
        <f t="shared" si="198"/>
        <v>* El total de procesados debe ser mayor o igual al total de Reactivos en el grupo de edad 15 - 19</v>
      </c>
      <c r="CN88" s="2077" t="str">
        <f t="shared" si="199"/>
        <v>* El total de procesados debe ser mayor o igual al total de Reactivos en el grupo de edad 20 - 24</v>
      </c>
      <c r="CO88" s="2077" t="str">
        <f t="shared" si="200"/>
        <v>* El total de procesados debe ser mayor o igual al total de Reactivos en el grupo de edad 25 a 29</v>
      </c>
      <c r="CP88" s="2077" t="str">
        <f t="shared" si="201"/>
        <v>* El total de procesados debe ser mayor o igual al total de Reactivos en el grupo de edad 30 a 34</v>
      </c>
      <c r="CQ88" s="2077" t="str">
        <f t="shared" si="202"/>
        <v>* El total de procesados debe ser mayor o igual al total de Reactivos en el grupo de edad 35 a 39</v>
      </c>
      <c r="CR88" s="2077" t="str">
        <f t="shared" si="203"/>
        <v>* El total de procesados debe ser mayor o igual al total de Reactivos en el grupo de edad 40 a 44</v>
      </c>
      <c r="CS88" s="2077" t="str">
        <f t="shared" si="204"/>
        <v>* El total de procesados debe ser mayor o igual al total de Reactivos en el grupo de edad 45 a 49</v>
      </c>
      <c r="CT88" s="2077" t="str">
        <f t="shared" si="205"/>
        <v>* El total de procesados debe ser mayor o igual al total de Reactivos en el grupo de edad 50 a 54</v>
      </c>
      <c r="CU88" s="2077" t="str">
        <f t="shared" si="206"/>
        <v>* El total de procesados debe ser mayor o igual al total de Reactivos en el grupo de edad 55 a 59</v>
      </c>
      <c r="CV88" s="2077" t="str">
        <f t="shared" si="207"/>
        <v>* El total de procesados debe ser mayor o igual al total de Reactivos en el grupo de edad 60 a 64</v>
      </c>
      <c r="CW88" s="2077" t="str">
        <f t="shared" si="208"/>
        <v>* El total de procesados debe ser mayor o igual al total de Reactivos en el grupo de edad 65 a 69</v>
      </c>
      <c r="CX88" s="2077" t="str">
        <f t="shared" si="209"/>
        <v>* El total de procesados debe ser mayor o igual al total de Reactivos en el grupo de edad 70 a 74</v>
      </c>
      <c r="CY88" s="2077" t="str">
        <f t="shared" si="210"/>
        <v>* El total de procesados debe ser mayor o igual al total de Reactivos en el grupo de edad 75 a 79</v>
      </c>
      <c r="CZ88" s="2077" t="str">
        <f t="shared" si="211"/>
        <v>* El total de procesados debe ser mayor o igual al total de Reactivos en el grupo de edad 80 y más</v>
      </c>
      <c r="DA88" s="2077" t="str">
        <f t="shared" si="165"/>
        <v/>
      </c>
      <c r="DB88" s="1363">
        <f t="shared" si="166"/>
        <v>1</v>
      </c>
      <c r="DC88" s="1363" t="e">
        <f t="shared" si="167"/>
        <v>#VALUE!</v>
      </c>
      <c r="DD88" s="1363" t="e">
        <f t="shared" si="168"/>
        <v>#VALUE!</v>
      </c>
      <c r="DE88" s="1363">
        <f t="shared" si="169"/>
        <v>1</v>
      </c>
      <c r="DF88" s="1363">
        <f t="shared" si="170"/>
        <v>1</v>
      </c>
      <c r="DG88" s="1363">
        <f t="shared" si="171"/>
        <v>1</v>
      </c>
      <c r="DH88" s="1363">
        <f t="shared" si="172"/>
        <v>1</v>
      </c>
      <c r="DI88" s="1363">
        <f t="shared" si="173"/>
        <v>1</v>
      </c>
      <c r="DJ88" s="1363">
        <f t="shared" si="174"/>
        <v>1</v>
      </c>
      <c r="DK88" s="1363">
        <f t="shared" si="175"/>
        <v>1</v>
      </c>
      <c r="DL88" s="1363">
        <f t="shared" si="176"/>
        <v>1</v>
      </c>
      <c r="DM88" s="1363">
        <f t="shared" si="177"/>
        <v>1</v>
      </c>
      <c r="DN88" s="1363">
        <f t="shared" si="178"/>
        <v>1</v>
      </c>
      <c r="DO88" s="1363">
        <f t="shared" si="179"/>
        <v>1</v>
      </c>
      <c r="DP88" s="1363">
        <f t="shared" si="180"/>
        <v>1</v>
      </c>
      <c r="DQ88" s="1363">
        <f t="shared" si="181"/>
        <v>1</v>
      </c>
      <c r="DR88" s="1363">
        <f t="shared" si="182"/>
        <v>1</v>
      </c>
      <c r="DS88" s="1363">
        <f t="shared" si="183"/>
        <v>1</v>
      </c>
      <c r="DT88" s="1363">
        <f t="shared" si="184"/>
        <v>1</v>
      </c>
      <c r="DU88" s="1363">
        <f t="shared" si="185"/>
        <v>1</v>
      </c>
      <c r="DV88" s="1363">
        <f t="shared" si="186"/>
        <v>1</v>
      </c>
      <c r="DW88" s="1363">
        <f t="shared" si="187"/>
        <v>1</v>
      </c>
      <c r="DX88" s="1363">
        <f t="shared" si="188"/>
        <v>1</v>
      </c>
      <c r="DY88" s="1363">
        <f t="shared" si="189"/>
        <v>1</v>
      </c>
      <c r="DZ88" s="1363">
        <f t="shared" si="190"/>
        <v>1</v>
      </c>
      <c r="EA88" s="1363">
        <f t="shared" si="191"/>
        <v>0</v>
      </c>
    </row>
    <row r="89" spans="1:131" ht="16.350000000000001" customHeight="1" x14ac:dyDescent="0.25">
      <c r="A89" s="2458">
        <v>11056429</v>
      </c>
      <c r="B89" s="140" t="s">
        <v>2270</v>
      </c>
      <c r="C89" s="707" t="s">
        <v>2777</v>
      </c>
      <c r="D89" s="281" t="s">
        <v>2778</v>
      </c>
      <c r="E89" s="1703" t="s">
        <v>2779</v>
      </c>
      <c r="F89" s="1090" t="s">
        <v>2780</v>
      </c>
      <c r="G89" s="936" t="s">
        <v>2781</v>
      </c>
      <c r="H89" s="1090" t="s">
        <v>2782</v>
      </c>
      <c r="I89" s="936" t="s">
        <v>2783</v>
      </c>
      <c r="J89" s="937" t="s">
        <v>2784</v>
      </c>
      <c r="K89" s="1703" t="s">
        <v>2785</v>
      </c>
      <c r="L89" s="1703" t="s">
        <v>2786</v>
      </c>
      <c r="M89" s="936" t="s">
        <v>2787</v>
      </c>
      <c r="N89" s="937" t="s">
        <v>2788</v>
      </c>
      <c r="O89" s="180" t="s">
        <v>2789</v>
      </c>
      <c r="P89" s="142" t="s">
        <v>2790</v>
      </c>
      <c r="Q89" s="141" t="s">
        <v>2791</v>
      </c>
      <c r="R89" s="142" t="s">
        <v>2792</v>
      </c>
      <c r="S89" s="141" t="s">
        <v>2793</v>
      </c>
      <c r="T89" s="142" t="s">
        <v>2794</v>
      </c>
      <c r="U89" s="141" t="s">
        <v>2795</v>
      </c>
      <c r="V89" s="142" t="s">
        <v>2796</v>
      </c>
      <c r="W89" s="141" t="s">
        <v>2797</v>
      </c>
      <c r="X89" s="142" t="s">
        <v>2798</v>
      </c>
      <c r="Y89" s="141" t="s">
        <v>2799</v>
      </c>
      <c r="Z89" s="142" t="s">
        <v>2800</v>
      </c>
      <c r="AA89" s="141" t="s">
        <v>2801</v>
      </c>
      <c r="AB89" s="142" t="s">
        <v>2817</v>
      </c>
      <c r="AC89" s="141" t="s">
        <v>2818</v>
      </c>
      <c r="AD89" s="142" t="s">
        <v>2819</v>
      </c>
      <c r="AE89" s="141" t="s">
        <v>2821</v>
      </c>
      <c r="AF89" s="142" t="s">
        <v>2822</v>
      </c>
      <c r="AG89" s="141" t="s">
        <v>2823</v>
      </c>
      <c r="AH89" s="142" t="s">
        <v>2824</v>
      </c>
      <c r="AI89" s="141" t="s">
        <v>2825</v>
      </c>
      <c r="AJ89" s="142" t="s">
        <v>2826</v>
      </c>
      <c r="AK89" s="141" t="s">
        <v>2827</v>
      </c>
      <c r="AL89" s="142" t="s">
        <v>2831</v>
      </c>
      <c r="AM89" s="141" t="s">
        <v>2832</v>
      </c>
      <c r="AN89" s="142" t="s">
        <v>2833</v>
      </c>
      <c r="AO89" s="141" t="s">
        <v>2834</v>
      </c>
      <c r="AP89" s="142" t="s">
        <v>3011</v>
      </c>
      <c r="AQ89" s="141" t="s">
        <v>3012</v>
      </c>
      <c r="AR89" s="318" t="s">
        <v>3013</v>
      </c>
      <c r="AS89" s="180" t="s">
        <v>3014</v>
      </c>
      <c r="AT89" s="318" t="s">
        <v>3015</v>
      </c>
      <c r="AU89" s="180" t="s">
        <v>3206</v>
      </c>
      <c r="AV89" s="142" t="s">
        <v>3207</v>
      </c>
      <c r="AW89" s="141" t="s">
        <v>3272</v>
      </c>
      <c r="AX89" s="163" t="s">
        <v>3273</v>
      </c>
      <c r="AY89" s="1079" t="e">
        <f t="shared" si="159"/>
        <v>#VALUE!</v>
      </c>
      <c r="AZ89" s="1079"/>
      <c r="BA89" s="1079"/>
      <c r="BB89" s="1079"/>
      <c r="BC89" s="1079"/>
      <c r="BD89" s="1079"/>
      <c r="BE89" s="1079"/>
      <c r="BF89" s="1079"/>
      <c r="BG89" s="1079"/>
      <c r="BH89" s="1079"/>
      <c r="BI89" s="1079"/>
      <c r="BJ89" s="884"/>
      <c r="BK89" s="884"/>
      <c r="BL89" s="884"/>
      <c r="BM89" s="884"/>
      <c r="BV89" s="885"/>
      <c r="BW89" s="885"/>
      <c r="BX89" s="885"/>
      <c r="CB89" s="2077" t="str">
        <f t="shared" si="160"/>
        <v xml:space="preserve">* El total de Reactivos NO DEBE ser superior al total de Procesados. </v>
      </c>
      <c r="CC89" s="2077" t="e">
        <f t="shared" si="161"/>
        <v>#VALUE!</v>
      </c>
      <c r="CD89" s="2077" t="e">
        <f t="shared" si="162"/>
        <v>#VALUE!</v>
      </c>
      <c r="CE89" s="2077" t="str">
        <f t="shared" si="163"/>
        <v xml:space="preserve">* La columna Pueblos Originarios NO DEBE ser superior al total de Procesados. </v>
      </c>
      <c r="CF89" s="2077" t="str">
        <f t="shared" si="164"/>
        <v xml:space="preserve">* La columna Migrantes NO DEBE ser superior al total de Procesados. </v>
      </c>
      <c r="CG89" s="2077" t="str">
        <f t="shared" si="192"/>
        <v>* El total de procesados debe ser mayor o igual al total de Reactivos en el grupo de edad Menor de 6 meses</v>
      </c>
      <c r="CH89" s="2077" t="str">
        <f t="shared" si="193"/>
        <v>* El total de procesados debe ser mayor o igual al total de Reactivos en el grupo de edad 6 a 11 meses</v>
      </c>
      <c r="CI89" s="2077" t="str">
        <f t="shared" si="194"/>
        <v>* El total de procesados debe ser mayor o igual al total de Reactivos en el grupo de edad 12-24 meses</v>
      </c>
      <c r="CJ89" s="2077" t="str">
        <f t="shared" si="195"/>
        <v>* El total de procesados debe ser mayor o igual al total de Reactivos en el grupo de edad 3 a 4</v>
      </c>
      <c r="CK89" s="2077" t="str">
        <f t="shared" si="196"/>
        <v>* El total de procesados debe ser mayor o igual al total de Reactivos en el grupo de edad 5 a 9</v>
      </c>
      <c r="CL89" s="2077" t="str">
        <f t="shared" si="197"/>
        <v>* El total de procesados debe ser mayor o igual al total de Reactivos en el grupo de edad 10 - 14</v>
      </c>
      <c r="CM89" s="2077" t="str">
        <f t="shared" si="198"/>
        <v>* El total de procesados debe ser mayor o igual al total de Reactivos en el grupo de edad 15 - 19</v>
      </c>
      <c r="CN89" s="2077" t="str">
        <f t="shared" si="199"/>
        <v>* El total de procesados debe ser mayor o igual al total de Reactivos en el grupo de edad 20 - 24</v>
      </c>
      <c r="CO89" s="2077" t="str">
        <f t="shared" si="200"/>
        <v>* El total de procesados debe ser mayor o igual al total de Reactivos en el grupo de edad 25 a 29</v>
      </c>
      <c r="CP89" s="2077" t="str">
        <f t="shared" si="201"/>
        <v>* El total de procesados debe ser mayor o igual al total de Reactivos en el grupo de edad 30 a 34</v>
      </c>
      <c r="CQ89" s="2077" t="str">
        <f t="shared" si="202"/>
        <v>* El total de procesados debe ser mayor o igual al total de Reactivos en el grupo de edad 35 a 39</v>
      </c>
      <c r="CR89" s="2077" t="str">
        <f t="shared" si="203"/>
        <v>* El total de procesados debe ser mayor o igual al total de Reactivos en el grupo de edad 40 a 44</v>
      </c>
      <c r="CS89" s="2077" t="str">
        <f t="shared" si="204"/>
        <v>* El total de procesados debe ser mayor o igual al total de Reactivos en el grupo de edad 45 a 49</v>
      </c>
      <c r="CT89" s="2077" t="str">
        <f t="shared" si="205"/>
        <v>* El total de procesados debe ser mayor o igual al total de Reactivos en el grupo de edad 50 a 54</v>
      </c>
      <c r="CU89" s="2077" t="str">
        <f t="shared" si="206"/>
        <v>* El total de procesados debe ser mayor o igual al total de Reactivos en el grupo de edad 55 a 59</v>
      </c>
      <c r="CV89" s="2077" t="str">
        <f t="shared" si="207"/>
        <v>* El total de procesados debe ser mayor o igual al total de Reactivos en el grupo de edad 60 a 64</v>
      </c>
      <c r="CW89" s="2077" t="str">
        <f t="shared" si="208"/>
        <v>* El total de procesados debe ser mayor o igual al total de Reactivos en el grupo de edad 65 a 69</v>
      </c>
      <c r="CX89" s="2077" t="str">
        <f t="shared" si="209"/>
        <v>* El total de procesados debe ser mayor o igual al total de Reactivos en el grupo de edad 70 a 74</v>
      </c>
      <c r="CY89" s="2077" t="str">
        <f t="shared" si="210"/>
        <v>* El total de procesados debe ser mayor o igual al total de Reactivos en el grupo de edad 75 a 79</v>
      </c>
      <c r="CZ89" s="2077" t="str">
        <f t="shared" si="211"/>
        <v>* El total de procesados debe ser mayor o igual al total de Reactivos en el grupo de edad 80 y más</v>
      </c>
      <c r="DA89" s="2077" t="str">
        <f t="shared" si="165"/>
        <v/>
      </c>
      <c r="DB89" s="1363">
        <f t="shared" si="166"/>
        <v>1</v>
      </c>
      <c r="DC89" s="1363" t="e">
        <f t="shared" si="167"/>
        <v>#VALUE!</v>
      </c>
      <c r="DD89" s="1363" t="e">
        <f t="shared" si="168"/>
        <v>#VALUE!</v>
      </c>
      <c r="DE89" s="1363">
        <f t="shared" si="169"/>
        <v>1</v>
      </c>
      <c r="DF89" s="1363">
        <f t="shared" si="170"/>
        <v>1</v>
      </c>
      <c r="DG89" s="1363">
        <f t="shared" si="171"/>
        <v>1</v>
      </c>
      <c r="DH89" s="1363">
        <f t="shared" si="172"/>
        <v>1</v>
      </c>
      <c r="DI89" s="1363">
        <f t="shared" si="173"/>
        <v>1</v>
      </c>
      <c r="DJ89" s="1363">
        <f t="shared" si="174"/>
        <v>1</v>
      </c>
      <c r="DK89" s="1363">
        <f t="shared" si="175"/>
        <v>1</v>
      </c>
      <c r="DL89" s="1363">
        <f t="shared" si="176"/>
        <v>1</v>
      </c>
      <c r="DM89" s="1363">
        <f t="shared" si="177"/>
        <v>1</v>
      </c>
      <c r="DN89" s="1363">
        <f t="shared" si="178"/>
        <v>1</v>
      </c>
      <c r="DO89" s="1363">
        <f t="shared" si="179"/>
        <v>1</v>
      </c>
      <c r="DP89" s="1363">
        <f t="shared" si="180"/>
        <v>1</v>
      </c>
      <c r="DQ89" s="1363">
        <f t="shared" si="181"/>
        <v>1</v>
      </c>
      <c r="DR89" s="1363">
        <f t="shared" si="182"/>
        <v>1</v>
      </c>
      <c r="DS89" s="1363">
        <f t="shared" si="183"/>
        <v>1</v>
      </c>
      <c r="DT89" s="1363">
        <f t="shared" si="184"/>
        <v>1</v>
      </c>
      <c r="DU89" s="1363">
        <f t="shared" si="185"/>
        <v>1</v>
      </c>
      <c r="DV89" s="1363">
        <f t="shared" si="186"/>
        <v>1</v>
      </c>
      <c r="DW89" s="1363">
        <f t="shared" si="187"/>
        <v>1</v>
      </c>
      <c r="DX89" s="1363">
        <f t="shared" si="188"/>
        <v>1</v>
      </c>
      <c r="DY89" s="1363">
        <f t="shared" si="189"/>
        <v>1</v>
      </c>
      <c r="DZ89" s="1363">
        <f t="shared" si="190"/>
        <v>1</v>
      </c>
      <c r="EA89" s="1363">
        <f t="shared" si="191"/>
        <v>0</v>
      </c>
    </row>
    <row r="90" spans="1:131" ht="16.350000000000001" customHeight="1" x14ac:dyDescent="0.25">
      <c r="A90" s="2458">
        <v>11056430</v>
      </c>
      <c r="B90" s="140" t="s">
        <v>2271</v>
      </c>
      <c r="C90" s="707" t="s">
        <v>2777</v>
      </c>
      <c r="D90" s="281" t="s">
        <v>2778</v>
      </c>
      <c r="E90" s="180" t="s">
        <v>2779</v>
      </c>
      <c r="F90" s="142" t="s">
        <v>2780</v>
      </c>
      <c r="G90" s="141" t="s">
        <v>2781</v>
      </c>
      <c r="H90" s="142" t="s">
        <v>2782</v>
      </c>
      <c r="I90" s="141" t="s">
        <v>2783</v>
      </c>
      <c r="J90" s="163" t="s">
        <v>2784</v>
      </c>
      <c r="K90" s="180" t="s">
        <v>2785</v>
      </c>
      <c r="L90" s="180" t="s">
        <v>2786</v>
      </c>
      <c r="M90" s="141" t="s">
        <v>2787</v>
      </c>
      <c r="N90" s="163" t="s">
        <v>2788</v>
      </c>
      <c r="O90" s="180" t="s">
        <v>2789</v>
      </c>
      <c r="P90" s="142" t="s">
        <v>2790</v>
      </c>
      <c r="Q90" s="141" t="s">
        <v>2791</v>
      </c>
      <c r="R90" s="142" t="s">
        <v>2792</v>
      </c>
      <c r="S90" s="141" t="s">
        <v>2793</v>
      </c>
      <c r="T90" s="142" t="s">
        <v>2794</v>
      </c>
      <c r="U90" s="141" t="s">
        <v>2795</v>
      </c>
      <c r="V90" s="142" t="s">
        <v>2796</v>
      </c>
      <c r="W90" s="141" t="s">
        <v>2797</v>
      </c>
      <c r="X90" s="142" t="s">
        <v>2798</v>
      </c>
      <c r="Y90" s="141" t="s">
        <v>2799</v>
      </c>
      <c r="Z90" s="142" t="s">
        <v>2800</v>
      </c>
      <c r="AA90" s="141" t="s">
        <v>2801</v>
      </c>
      <c r="AB90" s="142" t="s">
        <v>2817</v>
      </c>
      <c r="AC90" s="141" t="s">
        <v>2818</v>
      </c>
      <c r="AD90" s="142" t="s">
        <v>2819</v>
      </c>
      <c r="AE90" s="141" t="s">
        <v>2821</v>
      </c>
      <c r="AF90" s="142" t="s">
        <v>2822</v>
      </c>
      <c r="AG90" s="141" t="s">
        <v>2823</v>
      </c>
      <c r="AH90" s="142" t="s">
        <v>2824</v>
      </c>
      <c r="AI90" s="141" t="s">
        <v>2825</v>
      </c>
      <c r="AJ90" s="142" t="s">
        <v>2826</v>
      </c>
      <c r="AK90" s="141" t="s">
        <v>2827</v>
      </c>
      <c r="AL90" s="142" t="s">
        <v>2831</v>
      </c>
      <c r="AM90" s="141" t="s">
        <v>2832</v>
      </c>
      <c r="AN90" s="142" t="s">
        <v>2833</v>
      </c>
      <c r="AO90" s="141" t="s">
        <v>2834</v>
      </c>
      <c r="AP90" s="142" t="s">
        <v>3011</v>
      </c>
      <c r="AQ90" s="141" t="s">
        <v>3012</v>
      </c>
      <c r="AR90" s="318" t="s">
        <v>3013</v>
      </c>
      <c r="AS90" s="180" t="s">
        <v>3014</v>
      </c>
      <c r="AT90" s="318" t="s">
        <v>3015</v>
      </c>
      <c r="AU90" s="180" t="s">
        <v>3206</v>
      </c>
      <c r="AV90" s="142" t="s">
        <v>3207</v>
      </c>
      <c r="AW90" s="141" t="s">
        <v>3272</v>
      </c>
      <c r="AX90" s="163" t="s">
        <v>3273</v>
      </c>
      <c r="AY90" s="1079" t="e">
        <f t="shared" si="159"/>
        <v>#VALUE!</v>
      </c>
      <c r="AZ90" s="1079"/>
      <c r="BA90" s="1079"/>
      <c r="BB90" s="1079"/>
      <c r="BC90" s="1079"/>
      <c r="BD90" s="1079"/>
      <c r="BE90" s="1079"/>
      <c r="BF90" s="1079"/>
      <c r="BG90" s="1079"/>
      <c r="BH90" s="1079"/>
      <c r="BI90" s="1079"/>
      <c r="BJ90" s="884"/>
      <c r="BK90" s="884"/>
      <c r="BL90" s="884"/>
      <c r="BM90" s="884"/>
      <c r="BV90" s="885"/>
      <c r="BW90" s="885"/>
      <c r="BX90" s="885"/>
      <c r="CB90" s="2077" t="str">
        <f t="shared" si="160"/>
        <v xml:space="preserve">* El total de Reactivos NO DEBE ser superior al total de Procesados. </v>
      </c>
      <c r="CC90" s="2077" t="e">
        <f t="shared" si="161"/>
        <v>#VALUE!</v>
      </c>
      <c r="CD90" s="2077" t="e">
        <f t="shared" si="162"/>
        <v>#VALUE!</v>
      </c>
      <c r="CE90" s="2077" t="str">
        <f t="shared" si="163"/>
        <v xml:space="preserve">* La columna Pueblos Originarios NO DEBE ser superior al total de Procesados. </v>
      </c>
      <c r="CF90" s="2077" t="str">
        <f t="shared" si="164"/>
        <v xml:space="preserve">* La columna Migrantes NO DEBE ser superior al total de Procesados. </v>
      </c>
      <c r="CG90" s="2077" t="str">
        <f t="shared" si="192"/>
        <v>* El total de procesados debe ser mayor o igual al total de Reactivos en el grupo de edad Menor de 6 meses</v>
      </c>
      <c r="CH90" s="2077" t="str">
        <f t="shared" si="193"/>
        <v>* El total de procesados debe ser mayor o igual al total de Reactivos en el grupo de edad 6 a 11 meses</v>
      </c>
      <c r="CI90" s="2077" t="str">
        <f t="shared" si="194"/>
        <v>* El total de procesados debe ser mayor o igual al total de Reactivos en el grupo de edad 12-24 meses</v>
      </c>
      <c r="CJ90" s="2077" t="str">
        <f t="shared" si="195"/>
        <v>* El total de procesados debe ser mayor o igual al total de Reactivos en el grupo de edad 3 a 4</v>
      </c>
      <c r="CK90" s="2077" t="str">
        <f t="shared" si="196"/>
        <v>* El total de procesados debe ser mayor o igual al total de Reactivos en el grupo de edad 5 a 9</v>
      </c>
      <c r="CL90" s="2077" t="str">
        <f t="shared" si="197"/>
        <v>* El total de procesados debe ser mayor o igual al total de Reactivos en el grupo de edad 10 - 14</v>
      </c>
      <c r="CM90" s="2077" t="str">
        <f t="shared" si="198"/>
        <v>* El total de procesados debe ser mayor o igual al total de Reactivos en el grupo de edad 15 - 19</v>
      </c>
      <c r="CN90" s="2077" t="str">
        <f t="shared" si="199"/>
        <v>* El total de procesados debe ser mayor o igual al total de Reactivos en el grupo de edad 20 - 24</v>
      </c>
      <c r="CO90" s="2077" t="str">
        <f t="shared" si="200"/>
        <v>* El total de procesados debe ser mayor o igual al total de Reactivos en el grupo de edad 25 a 29</v>
      </c>
      <c r="CP90" s="2077" t="str">
        <f t="shared" si="201"/>
        <v>* El total de procesados debe ser mayor o igual al total de Reactivos en el grupo de edad 30 a 34</v>
      </c>
      <c r="CQ90" s="2077" t="str">
        <f t="shared" si="202"/>
        <v>* El total de procesados debe ser mayor o igual al total de Reactivos en el grupo de edad 35 a 39</v>
      </c>
      <c r="CR90" s="2077" t="str">
        <f t="shared" si="203"/>
        <v>* El total de procesados debe ser mayor o igual al total de Reactivos en el grupo de edad 40 a 44</v>
      </c>
      <c r="CS90" s="2077" t="str">
        <f t="shared" si="204"/>
        <v>* El total de procesados debe ser mayor o igual al total de Reactivos en el grupo de edad 45 a 49</v>
      </c>
      <c r="CT90" s="2077" t="str">
        <f t="shared" si="205"/>
        <v>* El total de procesados debe ser mayor o igual al total de Reactivos en el grupo de edad 50 a 54</v>
      </c>
      <c r="CU90" s="2077" t="str">
        <f t="shared" si="206"/>
        <v>* El total de procesados debe ser mayor o igual al total de Reactivos en el grupo de edad 55 a 59</v>
      </c>
      <c r="CV90" s="2077" t="str">
        <f t="shared" si="207"/>
        <v>* El total de procesados debe ser mayor o igual al total de Reactivos en el grupo de edad 60 a 64</v>
      </c>
      <c r="CW90" s="2077" t="str">
        <f t="shared" si="208"/>
        <v>* El total de procesados debe ser mayor o igual al total de Reactivos en el grupo de edad 65 a 69</v>
      </c>
      <c r="CX90" s="2077" t="str">
        <f t="shared" si="209"/>
        <v>* El total de procesados debe ser mayor o igual al total de Reactivos en el grupo de edad 70 a 74</v>
      </c>
      <c r="CY90" s="2077" t="str">
        <f t="shared" si="210"/>
        <v>* El total de procesados debe ser mayor o igual al total de Reactivos en el grupo de edad 75 a 79</v>
      </c>
      <c r="CZ90" s="2077" t="str">
        <f t="shared" si="211"/>
        <v>* El total de procesados debe ser mayor o igual al total de Reactivos en el grupo de edad 80 y más</v>
      </c>
      <c r="DA90" s="2077" t="str">
        <f t="shared" si="165"/>
        <v/>
      </c>
      <c r="DB90" s="1363">
        <f t="shared" si="166"/>
        <v>1</v>
      </c>
      <c r="DC90" s="1363" t="e">
        <f t="shared" si="167"/>
        <v>#VALUE!</v>
      </c>
      <c r="DD90" s="1363" t="e">
        <f t="shared" si="168"/>
        <v>#VALUE!</v>
      </c>
      <c r="DE90" s="1363">
        <f t="shared" si="169"/>
        <v>1</v>
      </c>
      <c r="DF90" s="1363">
        <f t="shared" si="170"/>
        <v>1</v>
      </c>
      <c r="DG90" s="1363">
        <f t="shared" si="171"/>
        <v>1</v>
      </c>
      <c r="DH90" s="1363">
        <f t="shared" si="172"/>
        <v>1</v>
      </c>
      <c r="DI90" s="1363">
        <f t="shared" si="173"/>
        <v>1</v>
      </c>
      <c r="DJ90" s="1363">
        <f t="shared" si="174"/>
        <v>1</v>
      </c>
      <c r="DK90" s="1363">
        <f t="shared" si="175"/>
        <v>1</v>
      </c>
      <c r="DL90" s="1363">
        <f t="shared" si="176"/>
        <v>1</v>
      </c>
      <c r="DM90" s="1363">
        <f t="shared" si="177"/>
        <v>1</v>
      </c>
      <c r="DN90" s="1363">
        <f t="shared" si="178"/>
        <v>1</v>
      </c>
      <c r="DO90" s="1363">
        <f t="shared" si="179"/>
        <v>1</v>
      </c>
      <c r="DP90" s="1363">
        <f t="shared" si="180"/>
        <v>1</v>
      </c>
      <c r="DQ90" s="1363">
        <f t="shared" si="181"/>
        <v>1</v>
      </c>
      <c r="DR90" s="1363">
        <f t="shared" si="182"/>
        <v>1</v>
      </c>
      <c r="DS90" s="1363">
        <f t="shared" si="183"/>
        <v>1</v>
      </c>
      <c r="DT90" s="1363">
        <f t="shared" si="184"/>
        <v>1</v>
      </c>
      <c r="DU90" s="1363">
        <f t="shared" si="185"/>
        <v>1</v>
      </c>
      <c r="DV90" s="1363">
        <f t="shared" si="186"/>
        <v>1</v>
      </c>
      <c r="DW90" s="1363">
        <f t="shared" si="187"/>
        <v>1</v>
      </c>
      <c r="DX90" s="1363">
        <f t="shared" si="188"/>
        <v>1</v>
      </c>
      <c r="DY90" s="1363">
        <f t="shared" si="189"/>
        <v>1</v>
      </c>
      <c r="DZ90" s="1363">
        <f t="shared" si="190"/>
        <v>1</v>
      </c>
      <c r="EA90" s="1363">
        <f t="shared" si="191"/>
        <v>0</v>
      </c>
    </row>
    <row r="91" spans="1:131" ht="16.350000000000001" customHeight="1" x14ac:dyDescent="0.25">
      <c r="A91" s="2458">
        <v>11056431</v>
      </c>
      <c r="B91" s="140" t="s">
        <v>2272</v>
      </c>
      <c r="C91" s="707" t="s">
        <v>2777</v>
      </c>
      <c r="D91" s="281" t="s">
        <v>2778</v>
      </c>
      <c r="E91" s="161" t="s">
        <v>2779</v>
      </c>
      <c r="F91" s="145" t="s">
        <v>2780</v>
      </c>
      <c r="G91" s="173" t="s">
        <v>2781</v>
      </c>
      <c r="H91" s="145" t="s">
        <v>2782</v>
      </c>
      <c r="I91" s="173" t="s">
        <v>2783</v>
      </c>
      <c r="J91" s="145" t="s">
        <v>2784</v>
      </c>
      <c r="K91" s="173" t="s">
        <v>2785</v>
      </c>
      <c r="L91" s="145" t="s">
        <v>2786</v>
      </c>
      <c r="M91" s="173" t="s">
        <v>2787</v>
      </c>
      <c r="N91" s="162" t="s">
        <v>2788</v>
      </c>
      <c r="O91" s="161" t="s">
        <v>2789</v>
      </c>
      <c r="P91" s="145" t="s">
        <v>2790</v>
      </c>
      <c r="Q91" s="141" t="s">
        <v>2791</v>
      </c>
      <c r="R91" s="142" t="s">
        <v>2792</v>
      </c>
      <c r="S91" s="141" t="s">
        <v>2793</v>
      </c>
      <c r="T91" s="142" t="s">
        <v>2794</v>
      </c>
      <c r="U91" s="141" t="s">
        <v>2795</v>
      </c>
      <c r="V91" s="142" t="s">
        <v>2796</v>
      </c>
      <c r="W91" s="141" t="s">
        <v>2797</v>
      </c>
      <c r="X91" s="142" t="s">
        <v>2798</v>
      </c>
      <c r="Y91" s="141" t="s">
        <v>2799</v>
      </c>
      <c r="Z91" s="142" t="s">
        <v>2800</v>
      </c>
      <c r="AA91" s="141" t="s">
        <v>2801</v>
      </c>
      <c r="AB91" s="142" t="s">
        <v>2817</v>
      </c>
      <c r="AC91" s="141" t="s">
        <v>2818</v>
      </c>
      <c r="AD91" s="142" t="s">
        <v>2819</v>
      </c>
      <c r="AE91" s="141" t="s">
        <v>2821</v>
      </c>
      <c r="AF91" s="142" t="s">
        <v>2822</v>
      </c>
      <c r="AG91" s="141" t="s">
        <v>2823</v>
      </c>
      <c r="AH91" s="142" t="s">
        <v>2824</v>
      </c>
      <c r="AI91" s="141" t="s">
        <v>2825</v>
      </c>
      <c r="AJ91" s="142" t="s">
        <v>2826</v>
      </c>
      <c r="AK91" s="141" t="s">
        <v>2827</v>
      </c>
      <c r="AL91" s="142" t="s">
        <v>2831</v>
      </c>
      <c r="AM91" s="141" t="s">
        <v>2832</v>
      </c>
      <c r="AN91" s="142" t="s">
        <v>2833</v>
      </c>
      <c r="AO91" s="141" t="s">
        <v>2834</v>
      </c>
      <c r="AP91" s="142" t="s">
        <v>3011</v>
      </c>
      <c r="AQ91" s="141" t="s">
        <v>3012</v>
      </c>
      <c r="AR91" s="318" t="s">
        <v>3013</v>
      </c>
      <c r="AS91" s="180" t="s">
        <v>3014</v>
      </c>
      <c r="AT91" s="318" t="s">
        <v>3015</v>
      </c>
      <c r="AU91" s="180" t="s">
        <v>3206</v>
      </c>
      <c r="AV91" s="142" t="s">
        <v>3207</v>
      </c>
      <c r="AW91" s="141" t="s">
        <v>3272</v>
      </c>
      <c r="AX91" s="163" t="s">
        <v>3273</v>
      </c>
      <c r="AY91" s="1079" t="e">
        <f t="shared" si="159"/>
        <v>#VALUE!</v>
      </c>
      <c r="AZ91" s="1079"/>
      <c r="BA91" s="1079"/>
      <c r="BB91" s="1079"/>
      <c r="BC91" s="1079"/>
      <c r="BD91" s="1079"/>
      <c r="BE91" s="1079"/>
      <c r="BF91" s="1079"/>
      <c r="BG91" s="1079"/>
      <c r="BH91" s="1079"/>
      <c r="BI91" s="1079"/>
      <c r="BJ91" s="884"/>
      <c r="BK91" s="884"/>
      <c r="BL91" s="884"/>
      <c r="BM91" s="884"/>
      <c r="BV91" s="885"/>
      <c r="BW91" s="885"/>
      <c r="BX91" s="885"/>
      <c r="CB91" s="2077" t="str">
        <f t="shared" si="160"/>
        <v xml:space="preserve">* El total de Reactivos NO DEBE ser superior al total de Procesados. </v>
      </c>
      <c r="CC91" s="2077" t="e">
        <f t="shared" si="161"/>
        <v>#VALUE!</v>
      </c>
      <c r="CD91" s="2077" t="e">
        <f t="shared" si="162"/>
        <v>#VALUE!</v>
      </c>
      <c r="CE91" s="2077" t="str">
        <f t="shared" si="163"/>
        <v xml:space="preserve">* La columna Pueblos Originarios NO DEBE ser superior al total de Procesados. </v>
      </c>
      <c r="CF91" s="2077" t="str">
        <f t="shared" si="164"/>
        <v xml:space="preserve">* La columna Migrantes NO DEBE ser superior al total de Procesados. </v>
      </c>
      <c r="CG91" s="2077" t="str">
        <f t="shared" si="192"/>
        <v>* El total de procesados debe ser mayor o igual al total de Reactivos en el grupo de edad Menor de 6 meses</v>
      </c>
      <c r="CH91" s="2077" t="str">
        <f t="shared" si="193"/>
        <v>* El total de procesados debe ser mayor o igual al total de Reactivos en el grupo de edad 6 a 11 meses</v>
      </c>
      <c r="CI91" s="2077" t="str">
        <f t="shared" si="194"/>
        <v>* El total de procesados debe ser mayor o igual al total de Reactivos en el grupo de edad 12-24 meses</v>
      </c>
      <c r="CJ91" s="2077" t="str">
        <f t="shared" si="195"/>
        <v>* El total de procesados debe ser mayor o igual al total de Reactivos en el grupo de edad 3 a 4</v>
      </c>
      <c r="CK91" s="2077" t="str">
        <f t="shared" si="196"/>
        <v>* El total de procesados debe ser mayor o igual al total de Reactivos en el grupo de edad 5 a 9</v>
      </c>
      <c r="CL91" s="2077" t="str">
        <f t="shared" si="197"/>
        <v>* El total de procesados debe ser mayor o igual al total de Reactivos en el grupo de edad 10 - 14</v>
      </c>
      <c r="CM91" s="2077" t="str">
        <f t="shared" si="198"/>
        <v>* El total de procesados debe ser mayor o igual al total de Reactivos en el grupo de edad 15 - 19</v>
      </c>
      <c r="CN91" s="2077" t="str">
        <f t="shared" si="199"/>
        <v>* El total de procesados debe ser mayor o igual al total de Reactivos en el grupo de edad 20 - 24</v>
      </c>
      <c r="CO91" s="2077" t="str">
        <f t="shared" si="200"/>
        <v>* El total de procesados debe ser mayor o igual al total de Reactivos en el grupo de edad 25 a 29</v>
      </c>
      <c r="CP91" s="2077" t="str">
        <f t="shared" si="201"/>
        <v>* El total de procesados debe ser mayor o igual al total de Reactivos en el grupo de edad 30 a 34</v>
      </c>
      <c r="CQ91" s="2077" t="str">
        <f t="shared" si="202"/>
        <v>* El total de procesados debe ser mayor o igual al total de Reactivos en el grupo de edad 35 a 39</v>
      </c>
      <c r="CR91" s="2077" t="str">
        <f t="shared" si="203"/>
        <v>* El total de procesados debe ser mayor o igual al total de Reactivos en el grupo de edad 40 a 44</v>
      </c>
      <c r="CS91" s="2077" t="str">
        <f t="shared" si="204"/>
        <v>* El total de procesados debe ser mayor o igual al total de Reactivos en el grupo de edad 45 a 49</v>
      </c>
      <c r="CT91" s="2077" t="str">
        <f t="shared" si="205"/>
        <v>* El total de procesados debe ser mayor o igual al total de Reactivos en el grupo de edad 50 a 54</v>
      </c>
      <c r="CU91" s="2077" t="str">
        <f t="shared" si="206"/>
        <v>* El total de procesados debe ser mayor o igual al total de Reactivos en el grupo de edad 55 a 59</v>
      </c>
      <c r="CV91" s="2077" t="str">
        <f t="shared" si="207"/>
        <v>* El total de procesados debe ser mayor o igual al total de Reactivos en el grupo de edad 60 a 64</v>
      </c>
      <c r="CW91" s="2077" t="str">
        <f t="shared" si="208"/>
        <v>* El total de procesados debe ser mayor o igual al total de Reactivos en el grupo de edad 65 a 69</v>
      </c>
      <c r="CX91" s="2077" t="str">
        <f t="shared" si="209"/>
        <v>* El total de procesados debe ser mayor o igual al total de Reactivos en el grupo de edad 70 a 74</v>
      </c>
      <c r="CY91" s="2077" t="str">
        <f t="shared" si="210"/>
        <v>* El total de procesados debe ser mayor o igual al total de Reactivos en el grupo de edad 75 a 79</v>
      </c>
      <c r="CZ91" s="2077" t="str">
        <f t="shared" si="211"/>
        <v>* El total de procesados debe ser mayor o igual al total de Reactivos en el grupo de edad 80 y más</v>
      </c>
      <c r="DA91" s="2077" t="str">
        <f t="shared" si="165"/>
        <v/>
      </c>
      <c r="DB91" s="1363">
        <f t="shared" si="166"/>
        <v>1</v>
      </c>
      <c r="DC91" s="1363" t="e">
        <f t="shared" si="167"/>
        <v>#VALUE!</v>
      </c>
      <c r="DD91" s="1363" t="e">
        <f t="shared" si="168"/>
        <v>#VALUE!</v>
      </c>
      <c r="DE91" s="1363">
        <f t="shared" si="169"/>
        <v>1</v>
      </c>
      <c r="DF91" s="1363">
        <f t="shared" si="170"/>
        <v>1</v>
      </c>
      <c r="DG91" s="1363">
        <f t="shared" si="171"/>
        <v>1</v>
      </c>
      <c r="DH91" s="1363">
        <f t="shared" si="172"/>
        <v>1</v>
      </c>
      <c r="DI91" s="1363">
        <f t="shared" si="173"/>
        <v>1</v>
      </c>
      <c r="DJ91" s="1363">
        <f t="shared" si="174"/>
        <v>1</v>
      </c>
      <c r="DK91" s="1363">
        <f t="shared" si="175"/>
        <v>1</v>
      </c>
      <c r="DL91" s="1363">
        <f t="shared" si="176"/>
        <v>1</v>
      </c>
      <c r="DM91" s="1363">
        <f t="shared" si="177"/>
        <v>1</v>
      </c>
      <c r="DN91" s="1363">
        <f t="shared" si="178"/>
        <v>1</v>
      </c>
      <c r="DO91" s="1363">
        <f t="shared" si="179"/>
        <v>1</v>
      </c>
      <c r="DP91" s="1363">
        <f t="shared" si="180"/>
        <v>1</v>
      </c>
      <c r="DQ91" s="1363">
        <f t="shared" si="181"/>
        <v>1</v>
      </c>
      <c r="DR91" s="1363">
        <f t="shared" si="182"/>
        <v>1</v>
      </c>
      <c r="DS91" s="1363">
        <f t="shared" si="183"/>
        <v>1</v>
      </c>
      <c r="DT91" s="1363">
        <f t="shared" si="184"/>
        <v>1</v>
      </c>
      <c r="DU91" s="1363">
        <f t="shared" si="185"/>
        <v>1</v>
      </c>
      <c r="DV91" s="1363">
        <f t="shared" si="186"/>
        <v>1</v>
      </c>
      <c r="DW91" s="1363">
        <f t="shared" si="187"/>
        <v>1</v>
      </c>
      <c r="DX91" s="1363">
        <f t="shared" si="188"/>
        <v>1</v>
      </c>
      <c r="DY91" s="1363">
        <f t="shared" si="189"/>
        <v>1</v>
      </c>
      <c r="DZ91" s="1363">
        <f t="shared" si="190"/>
        <v>1</v>
      </c>
      <c r="EA91" s="1363">
        <f t="shared" si="191"/>
        <v>0</v>
      </c>
    </row>
    <row r="92" spans="1:131" ht="16.350000000000001" customHeight="1" x14ac:dyDescent="0.25">
      <c r="A92" s="2458">
        <v>11056432</v>
      </c>
      <c r="B92" s="140" t="s">
        <v>2273</v>
      </c>
      <c r="C92" s="707" t="s">
        <v>2777</v>
      </c>
      <c r="D92" s="281" t="s">
        <v>2778</v>
      </c>
      <c r="E92" s="161" t="s">
        <v>2779</v>
      </c>
      <c r="F92" s="145" t="s">
        <v>2780</v>
      </c>
      <c r="G92" s="173" t="s">
        <v>2781</v>
      </c>
      <c r="H92" s="145" t="s">
        <v>2782</v>
      </c>
      <c r="I92" s="173" t="s">
        <v>2783</v>
      </c>
      <c r="J92" s="145" t="s">
        <v>2784</v>
      </c>
      <c r="K92" s="173" t="s">
        <v>2785</v>
      </c>
      <c r="L92" s="145" t="s">
        <v>2786</v>
      </c>
      <c r="M92" s="173" t="s">
        <v>2787</v>
      </c>
      <c r="N92" s="162" t="s">
        <v>2788</v>
      </c>
      <c r="O92" s="161" t="s">
        <v>2789</v>
      </c>
      <c r="P92" s="145" t="s">
        <v>2790</v>
      </c>
      <c r="Q92" s="141" t="s">
        <v>2791</v>
      </c>
      <c r="R92" s="142" t="s">
        <v>2792</v>
      </c>
      <c r="S92" s="141" t="s">
        <v>2793</v>
      </c>
      <c r="T92" s="142" t="s">
        <v>2794</v>
      </c>
      <c r="U92" s="141" t="s">
        <v>2795</v>
      </c>
      <c r="V92" s="142" t="s">
        <v>2796</v>
      </c>
      <c r="W92" s="141" t="s">
        <v>2797</v>
      </c>
      <c r="X92" s="142" t="s">
        <v>2798</v>
      </c>
      <c r="Y92" s="141" t="s">
        <v>2799</v>
      </c>
      <c r="Z92" s="142" t="s">
        <v>2800</v>
      </c>
      <c r="AA92" s="141" t="s">
        <v>2801</v>
      </c>
      <c r="AB92" s="142" t="s">
        <v>2817</v>
      </c>
      <c r="AC92" s="141" t="s">
        <v>2818</v>
      </c>
      <c r="AD92" s="142" t="s">
        <v>2819</v>
      </c>
      <c r="AE92" s="141" t="s">
        <v>2821</v>
      </c>
      <c r="AF92" s="142" t="s">
        <v>2822</v>
      </c>
      <c r="AG92" s="141" t="s">
        <v>2823</v>
      </c>
      <c r="AH92" s="142" t="s">
        <v>2824</v>
      </c>
      <c r="AI92" s="141" t="s">
        <v>2825</v>
      </c>
      <c r="AJ92" s="142" t="s">
        <v>2826</v>
      </c>
      <c r="AK92" s="173" t="s">
        <v>2827</v>
      </c>
      <c r="AL92" s="145" t="s">
        <v>2831</v>
      </c>
      <c r="AM92" s="173" t="s">
        <v>2832</v>
      </c>
      <c r="AN92" s="145" t="s">
        <v>2833</v>
      </c>
      <c r="AO92" s="173" t="s">
        <v>2834</v>
      </c>
      <c r="AP92" s="145" t="s">
        <v>3011</v>
      </c>
      <c r="AQ92" s="173" t="s">
        <v>3012</v>
      </c>
      <c r="AR92" s="507" t="s">
        <v>3013</v>
      </c>
      <c r="AS92" s="180" t="s">
        <v>3014</v>
      </c>
      <c r="AT92" s="318" t="s">
        <v>3015</v>
      </c>
      <c r="AU92" s="180" t="s">
        <v>3206</v>
      </c>
      <c r="AV92" s="142" t="s">
        <v>3207</v>
      </c>
      <c r="AW92" s="141" t="s">
        <v>3272</v>
      </c>
      <c r="AX92" s="163" t="s">
        <v>3273</v>
      </c>
      <c r="AY92" s="1079" t="e">
        <f t="shared" si="159"/>
        <v>#VALUE!</v>
      </c>
      <c r="AZ92" s="1079"/>
      <c r="BA92" s="1079"/>
      <c r="BB92" s="1079"/>
      <c r="BC92" s="1079"/>
      <c r="BD92" s="1079"/>
      <c r="BE92" s="1079"/>
      <c r="BF92" s="1079"/>
      <c r="BG92" s="1079"/>
      <c r="BH92" s="1079"/>
      <c r="BI92" s="1079"/>
      <c r="BJ92" s="884"/>
      <c r="BK92" s="884"/>
      <c r="BL92" s="884"/>
      <c r="BM92" s="884"/>
      <c r="BV92" s="885"/>
      <c r="BW92" s="885"/>
      <c r="BX92" s="885"/>
      <c r="CB92" s="2077" t="str">
        <f t="shared" si="160"/>
        <v xml:space="preserve">* El total de Reactivos NO DEBE ser superior al total de Procesados. </v>
      </c>
      <c r="CC92" s="2077" t="e">
        <f t="shared" si="161"/>
        <v>#VALUE!</v>
      </c>
      <c r="CD92" s="2077" t="e">
        <f t="shared" si="162"/>
        <v>#VALUE!</v>
      </c>
      <c r="CE92" s="2077" t="str">
        <f t="shared" si="163"/>
        <v xml:space="preserve">* La columna Pueblos Originarios NO DEBE ser superior al total de Procesados. </v>
      </c>
      <c r="CF92" s="2077" t="str">
        <f t="shared" si="164"/>
        <v xml:space="preserve">* La columna Migrantes NO DEBE ser superior al total de Procesados. </v>
      </c>
      <c r="CG92" s="2077" t="str">
        <f t="shared" si="192"/>
        <v>* El total de procesados debe ser mayor o igual al total de Reactivos en el grupo de edad Menor de 6 meses</v>
      </c>
      <c r="CH92" s="2077" t="str">
        <f t="shared" si="193"/>
        <v>* El total de procesados debe ser mayor o igual al total de Reactivos en el grupo de edad 6 a 11 meses</v>
      </c>
      <c r="CI92" s="2077" t="str">
        <f t="shared" si="194"/>
        <v>* El total de procesados debe ser mayor o igual al total de Reactivos en el grupo de edad 12-24 meses</v>
      </c>
      <c r="CJ92" s="2077" t="str">
        <f t="shared" si="195"/>
        <v>* El total de procesados debe ser mayor o igual al total de Reactivos en el grupo de edad 3 a 4</v>
      </c>
      <c r="CK92" s="2077" t="str">
        <f t="shared" si="196"/>
        <v>* El total de procesados debe ser mayor o igual al total de Reactivos en el grupo de edad 5 a 9</v>
      </c>
      <c r="CL92" s="2077" t="str">
        <f t="shared" si="197"/>
        <v>* El total de procesados debe ser mayor o igual al total de Reactivos en el grupo de edad 10 - 14</v>
      </c>
      <c r="CM92" s="2077" t="str">
        <f t="shared" si="198"/>
        <v>* El total de procesados debe ser mayor o igual al total de Reactivos en el grupo de edad 15 - 19</v>
      </c>
      <c r="CN92" s="2077" t="str">
        <f t="shared" si="199"/>
        <v>* El total de procesados debe ser mayor o igual al total de Reactivos en el grupo de edad 20 - 24</v>
      </c>
      <c r="CO92" s="2077" t="str">
        <f t="shared" si="200"/>
        <v>* El total de procesados debe ser mayor o igual al total de Reactivos en el grupo de edad 25 a 29</v>
      </c>
      <c r="CP92" s="2077" t="str">
        <f t="shared" si="201"/>
        <v>* El total de procesados debe ser mayor o igual al total de Reactivos en el grupo de edad 30 a 34</v>
      </c>
      <c r="CQ92" s="2077" t="str">
        <f t="shared" si="202"/>
        <v>* El total de procesados debe ser mayor o igual al total de Reactivos en el grupo de edad 35 a 39</v>
      </c>
      <c r="CR92" s="2077" t="str">
        <f t="shared" si="203"/>
        <v>* El total de procesados debe ser mayor o igual al total de Reactivos en el grupo de edad 40 a 44</v>
      </c>
      <c r="CS92" s="2077" t="str">
        <f t="shared" si="204"/>
        <v>* El total de procesados debe ser mayor o igual al total de Reactivos en el grupo de edad 45 a 49</v>
      </c>
      <c r="CT92" s="2077" t="str">
        <f t="shared" si="205"/>
        <v>* El total de procesados debe ser mayor o igual al total de Reactivos en el grupo de edad 50 a 54</v>
      </c>
      <c r="CU92" s="2077" t="str">
        <f t="shared" si="206"/>
        <v>* El total de procesados debe ser mayor o igual al total de Reactivos en el grupo de edad 55 a 59</v>
      </c>
      <c r="CV92" s="2077" t="str">
        <f t="shared" si="207"/>
        <v>* El total de procesados debe ser mayor o igual al total de Reactivos en el grupo de edad 60 a 64</v>
      </c>
      <c r="CW92" s="2077" t="str">
        <f t="shared" si="208"/>
        <v>* El total de procesados debe ser mayor o igual al total de Reactivos en el grupo de edad 65 a 69</v>
      </c>
      <c r="CX92" s="2077" t="str">
        <f t="shared" si="209"/>
        <v>* El total de procesados debe ser mayor o igual al total de Reactivos en el grupo de edad 70 a 74</v>
      </c>
      <c r="CY92" s="2077" t="str">
        <f t="shared" si="210"/>
        <v>* El total de procesados debe ser mayor o igual al total de Reactivos en el grupo de edad 75 a 79</v>
      </c>
      <c r="CZ92" s="2077" t="str">
        <f t="shared" si="211"/>
        <v>* El total de procesados debe ser mayor o igual al total de Reactivos en el grupo de edad 80 y más</v>
      </c>
      <c r="DA92" s="2077" t="str">
        <f t="shared" si="165"/>
        <v/>
      </c>
      <c r="DB92" s="1363">
        <f t="shared" si="166"/>
        <v>1</v>
      </c>
      <c r="DC92" s="1363" t="e">
        <f t="shared" si="167"/>
        <v>#VALUE!</v>
      </c>
      <c r="DD92" s="1363" t="e">
        <f t="shared" si="168"/>
        <v>#VALUE!</v>
      </c>
      <c r="DE92" s="1363">
        <f t="shared" si="169"/>
        <v>1</v>
      </c>
      <c r="DF92" s="1363">
        <f t="shared" si="170"/>
        <v>1</v>
      </c>
      <c r="DG92" s="1363">
        <f t="shared" si="171"/>
        <v>1</v>
      </c>
      <c r="DH92" s="1363">
        <f t="shared" si="172"/>
        <v>1</v>
      </c>
      <c r="DI92" s="1363">
        <f t="shared" si="173"/>
        <v>1</v>
      </c>
      <c r="DJ92" s="1363">
        <f t="shared" si="174"/>
        <v>1</v>
      </c>
      <c r="DK92" s="1363">
        <f t="shared" si="175"/>
        <v>1</v>
      </c>
      <c r="DL92" s="1363">
        <f t="shared" si="176"/>
        <v>1</v>
      </c>
      <c r="DM92" s="1363">
        <f t="shared" si="177"/>
        <v>1</v>
      </c>
      <c r="DN92" s="1363">
        <f t="shared" si="178"/>
        <v>1</v>
      </c>
      <c r="DO92" s="1363">
        <f t="shared" si="179"/>
        <v>1</v>
      </c>
      <c r="DP92" s="1363">
        <f t="shared" si="180"/>
        <v>1</v>
      </c>
      <c r="DQ92" s="1363">
        <f t="shared" si="181"/>
        <v>1</v>
      </c>
      <c r="DR92" s="1363">
        <f t="shared" si="182"/>
        <v>1</v>
      </c>
      <c r="DS92" s="1363">
        <f t="shared" si="183"/>
        <v>1</v>
      </c>
      <c r="DT92" s="1363">
        <f t="shared" si="184"/>
        <v>1</v>
      </c>
      <c r="DU92" s="1363">
        <f t="shared" si="185"/>
        <v>1</v>
      </c>
      <c r="DV92" s="1363">
        <f t="shared" si="186"/>
        <v>1</v>
      </c>
      <c r="DW92" s="1363">
        <f t="shared" si="187"/>
        <v>1</v>
      </c>
      <c r="DX92" s="1363">
        <f t="shared" si="188"/>
        <v>1</v>
      </c>
      <c r="DY92" s="1363">
        <f t="shared" si="189"/>
        <v>1</v>
      </c>
      <c r="DZ92" s="1363">
        <f t="shared" si="190"/>
        <v>1</v>
      </c>
      <c r="EA92" s="1363">
        <f t="shared" si="191"/>
        <v>0</v>
      </c>
    </row>
    <row r="93" spans="1:131" ht="16.350000000000001" customHeight="1" x14ac:dyDescent="0.25">
      <c r="A93" s="2458">
        <v>11056433</v>
      </c>
      <c r="B93" s="140" t="s">
        <v>2274</v>
      </c>
      <c r="C93" s="707" t="s">
        <v>2777</v>
      </c>
      <c r="D93" s="281" t="s">
        <v>2778</v>
      </c>
      <c r="E93" s="180" t="s">
        <v>2779</v>
      </c>
      <c r="F93" s="142" t="s">
        <v>2780</v>
      </c>
      <c r="G93" s="141" t="s">
        <v>2781</v>
      </c>
      <c r="H93" s="142" t="s">
        <v>2782</v>
      </c>
      <c r="I93" s="141" t="s">
        <v>2783</v>
      </c>
      <c r="J93" s="163" t="s">
        <v>2784</v>
      </c>
      <c r="K93" s="180" t="s">
        <v>2785</v>
      </c>
      <c r="L93" s="180" t="s">
        <v>2786</v>
      </c>
      <c r="M93" s="141" t="s">
        <v>2787</v>
      </c>
      <c r="N93" s="163" t="s">
        <v>2788</v>
      </c>
      <c r="O93" s="180" t="s">
        <v>2789</v>
      </c>
      <c r="P93" s="142" t="s">
        <v>2790</v>
      </c>
      <c r="Q93" s="141" t="s">
        <v>2791</v>
      </c>
      <c r="R93" s="142" t="s">
        <v>2792</v>
      </c>
      <c r="S93" s="141" t="s">
        <v>2793</v>
      </c>
      <c r="T93" s="142" t="s">
        <v>2794</v>
      </c>
      <c r="U93" s="141" t="s">
        <v>2795</v>
      </c>
      <c r="V93" s="142" t="s">
        <v>2796</v>
      </c>
      <c r="W93" s="141" t="s">
        <v>2797</v>
      </c>
      <c r="X93" s="142" t="s">
        <v>2798</v>
      </c>
      <c r="Y93" s="141" t="s">
        <v>2799</v>
      </c>
      <c r="Z93" s="142" t="s">
        <v>2800</v>
      </c>
      <c r="AA93" s="141" t="s">
        <v>2801</v>
      </c>
      <c r="AB93" s="142" t="s">
        <v>2817</v>
      </c>
      <c r="AC93" s="141" t="s">
        <v>2818</v>
      </c>
      <c r="AD93" s="142" t="s">
        <v>2819</v>
      </c>
      <c r="AE93" s="141" t="s">
        <v>2821</v>
      </c>
      <c r="AF93" s="142" t="s">
        <v>2822</v>
      </c>
      <c r="AG93" s="141" t="s">
        <v>2823</v>
      </c>
      <c r="AH93" s="142" t="s">
        <v>2824</v>
      </c>
      <c r="AI93" s="141" t="s">
        <v>2825</v>
      </c>
      <c r="AJ93" s="142" t="s">
        <v>2826</v>
      </c>
      <c r="AK93" s="141" t="s">
        <v>2827</v>
      </c>
      <c r="AL93" s="142" t="s">
        <v>2831</v>
      </c>
      <c r="AM93" s="141" t="s">
        <v>2832</v>
      </c>
      <c r="AN93" s="142" t="s">
        <v>2833</v>
      </c>
      <c r="AO93" s="141" t="s">
        <v>2834</v>
      </c>
      <c r="AP93" s="142" t="s">
        <v>3011</v>
      </c>
      <c r="AQ93" s="141" t="s">
        <v>3012</v>
      </c>
      <c r="AR93" s="318" t="s">
        <v>3013</v>
      </c>
      <c r="AS93" s="180" t="s">
        <v>3014</v>
      </c>
      <c r="AT93" s="318" t="s">
        <v>3015</v>
      </c>
      <c r="AU93" s="180" t="s">
        <v>3206</v>
      </c>
      <c r="AV93" s="142" t="s">
        <v>3207</v>
      </c>
      <c r="AW93" s="141" t="s">
        <v>3272</v>
      </c>
      <c r="AX93" s="163" t="s">
        <v>3273</v>
      </c>
      <c r="AY93" s="1079" t="e">
        <f t="shared" si="159"/>
        <v>#VALUE!</v>
      </c>
      <c r="AZ93" s="1079"/>
      <c r="BA93" s="1079"/>
      <c r="BB93" s="1079"/>
      <c r="BC93" s="1079"/>
      <c r="BD93" s="1079"/>
      <c r="BE93" s="1079"/>
      <c r="BF93" s="1079"/>
      <c r="BG93" s="1079"/>
      <c r="BH93" s="1079"/>
      <c r="BI93" s="1079"/>
      <c r="BJ93" s="884"/>
      <c r="BK93" s="884"/>
      <c r="BL93" s="884"/>
      <c r="BM93" s="884"/>
      <c r="BV93" s="885"/>
      <c r="BW93" s="885"/>
      <c r="BX93" s="885"/>
      <c r="CB93" s="2077" t="str">
        <f t="shared" si="160"/>
        <v xml:space="preserve">* El total de Reactivos NO DEBE ser superior al total de Procesados. </v>
      </c>
      <c r="CC93" s="2077" t="e">
        <f t="shared" si="161"/>
        <v>#VALUE!</v>
      </c>
      <c r="CD93" s="2077" t="e">
        <f t="shared" si="162"/>
        <v>#VALUE!</v>
      </c>
      <c r="CE93" s="2077" t="str">
        <f t="shared" si="163"/>
        <v xml:space="preserve">* La columna Pueblos Originarios NO DEBE ser superior al total de Procesados. </v>
      </c>
      <c r="CF93" s="2077" t="str">
        <f t="shared" si="164"/>
        <v xml:space="preserve">* La columna Migrantes NO DEBE ser superior al total de Procesados. </v>
      </c>
      <c r="CG93" s="2077" t="str">
        <f t="shared" si="192"/>
        <v>* El total de procesados debe ser mayor o igual al total de Reactivos en el grupo de edad Menor de 6 meses</v>
      </c>
      <c r="CH93" s="2077" t="str">
        <f t="shared" si="193"/>
        <v>* El total de procesados debe ser mayor o igual al total de Reactivos en el grupo de edad 6 a 11 meses</v>
      </c>
      <c r="CI93" s="2077" t="str">
        <f t="shared" si="194"/>
        <v>* El total de procesados debe ser mayor o igual al total de Reactivos en el grupo de edad 12-24 meses</v>
      </c>
      <c r="CJ93" s="2077" t="str">
        <f t="shared" si="195"/>
        <v>* El total de procesados debe ser mayor o igual al total de Reactivos en el grupo de edad 3 a 4</v>
      </c>
      <c r="CK93" s="2077" t="str">
        <f t="shared" si="196"/>
        <v>* El total de procesados debe ser mayor o igual al total de Reactivos en el grupo de edad 5 a 9</v>
      </c>
      <c r="CL93" s="2077" t="str">
        <f t="shared" si="197"/>
        <v>* El total de procesados debe ser mayor o igual al total de Reactivos en el grupo de edad 10 - 14</v>
      </c>
      <c r="CM93" s="2077" t="str">
        <f t="shared" si="198"/>
        <v>* El total de procesados debe ser mayor o igual al total de Reactivos en el grupo de edad 15 - 19</v>
      </c>
      <c r="CN93" s="2077" t="str">
        <f t="shared" si="199"/>
        <v>* El total de procesados debe ser mayor o igual al total de Reactivos en el grupo de edad 20 - 24</v>
      </c>
      <c r="CO93" s="2077" t="str">
        <f t="shared" si="200"/>
        <v>* El total de procesados debe ser mayor o igual al total de Reactivos en el grupo de edad 25 a 29</v>
      </c>
      <c r="CP93" s="2077" t="str">
        <f t="shared" si="201"/>
        <v>* El total de procesados debe ser mayor o igual al total de Reactivos en el grupo de edad 30 a 34</v>
      </c>
      <c r="CQ93" s="2077" t="str">
        <f t="shared" si="202"/>
        <v>* El total de procesados debe ser mayor o igual al total de Reactivos en el grupo de edad 35 a 39</v>
      </c>
      <c r="CR93" s="2077" t="str">
        <f t="shared" si="203"/>
        <v>* El total de procesados debe ser mayor o igual al total de Reactivos en el grupo de edad 40 a 44</v>
      </c>
      <c r="CS93" s="2077" t="str">
        <f t="shared" si="204"/>
        <v>* El total de procesados debe ser mayor o igual al total de Reactivos en el grupo de edad 45 a 49</v>
      </c>
      <c r="CT93" s="2077" t="str">
        <f t="shared" si="205"/>
        <v>* El total de procesados debe ser mayor o igual al total de Reactivos en el grupo de edad 50 a 54</v>
      </c>
      <c r="CU93" s="2077" t="str">
        <f t="shared" si="206"/>
        <v>* El total de procesados debe ser mayor o igual al total de Reactivos en el grupo de edad 55 a 59</v>
      </c>
      <c r="CV93" s="2077" t="str">
        <f t="shared" si="207"/>
        <v>* El total de procesados debe ser mayor o igual al total de Reactivos en el grupo de edad 60 a 64</v>
      </c>
      <c r="CW93" s="2077" t="str">
        <f t="shared" si="208"/>
        <v>* El total de procesados debe ser mayor o igual al total de Reactivos en el grupo de edad 65 a 69</v>
      </c>
      <c r="CX93" s="2077" t="str">
        <f t="shared" si="209"/>
        <v>* El total de procesados debe ser mayor o igual al total de Reactivos en el grupo de edad 70 a 74</v>
      </c>
      <c r="CY93" s="2077" t="str">
        <f t="shared" si="210"/>
        <v>* El total de procesados debe ser mayor o igual al total de Reactivos en el grupo de edad 75 a 79</v>
      </c>
      <c r="CZ93" s="2077" t="str">
        <f t="shared" si="211"/>
        <v>* El total de procesados debe ser mayor o igual al total de Reactivos en el grupo de edad 80 y más</v>
      </c>
      <c r="DA93" s="2077" t="str">
        <f t="shared" si="165"/>
        <v/>
      </c>
      <c r="DB93" s="1363">
        <f t="shared" si="166"/>
        <v>1</v>
      </c>
      <c r="DC93" s="1363" t="e">
        <f t="shared" si="167"/>
        <v>#VALUE!</v>
      </c>
      <c r="DD93" s="1363" t="e">
        <f t="shared" si="168"/>
        <v>#VALUE!</v>
      </c>
      <c r="DE93" s="1363">
        <f t="shared" si="169"/>
        <v>1</v>
      </c>
      <c r="DF93" s="1363">
        <f t="shared" si="170"/>
        <v>1</v>
      </c>
      <c r="DG93" s="1363">
        <f t="shared" si="171"/>
        <v>1</v>
      </c>
      <c r="DH93" s="1363">
        <f t="shared" si="172"/>
        <v>1</v>
      </c>
      <c r="DI93" s="1363">
        <f t="shared" si="173"/>
        <v>1</v>
      </c>
      <c r="DJ93" s="1363">
        <f t="shared" si="174"/>
        <v>1</v>
      </c>
      <c r="DK93" s="1363">
        <f t="shared" si="175"/>
        <v>1</v>
      </c>
      <c r="DL93" s="1363">
        <f t="shared" si="176"/>
        <v>1</v>
      </c>
      <c r="DM93" s="1363">
        <f t="shared" si="177"/>
        <v>1</v>
      </c>
      <c r="DN93" s="1363">
        <f t="shared" si="178"/>
        <v>1</v>
      </c>
      <c r="DO93" s="1363">
        <f t="shared" si="179"/>
        <v>1</v>
      </c>
      <c r="DP93" s="1363">
        <f t="shared" si="180"/>
        <v>1</v>
      </c>
      <c r="DQ93" s="1363">
        <f t="shared" si="181"/>
        <v>1</v>
      </c>
      <c r="DR93" s="1363">
        <f t="shared" si="182"/>
        <v>1</v>
      </c>
      <c r="DS93" s="1363">
        <f t="shared" si="183"/>
        <v>1</v>
      </c>
      <c r="DT93" s="1363">
        <f t="shared" si="184"/>
        <v>1</v>
      </c>
      <c r="DU93" s="1363">
        <f t="shared" si="185"/>
        <v>1</v>
      </c>
      <c r="DV93" s="1363">
        <f t="shared" si="186"/>
        <v>1</v>
      </c>
      <c r="DW93" s="1363">
        <f t="shared" si="187"/>
        <v>1</v>
      </c>
      <c r="DX93" s="1363">
        <f t="shared" si="188"/>
        <v>1</v>
      </c>
      <c r="DY93" s="1363">
        <f t="shared" si="189"/>
        <v>1</v>
      </c>
      <c r="DZ93" s="1363">
        <f t="shared" si="190"/>
        <v>1</v>
      </c>
      <c r="EA93" s="1363">
        <f t="shared" si="191"/>
        <v>0</v>
      </c>
    </row>
    <row r="94" spans="1:131" ht="16.350000000000001" customHeight="1" x14ac:dyDescent="0.25">
      <c r="A94" s="2458">
        <v>11056434</v>
      </c>
      <c r="B94" s="140" t="s">
        <v>2275</v>
      </c>
      <c r="C94" s="707" t="s">
        <v>2777</v>
      </c>
      <c r="D94" s="281" t="s">
        <v>2778</v>
      </c>
      <c r="E94" s="180" t="s">
        <v>2779</v>
      </c>
      <c r="F94" s="142" t="s">
        <v>2780</v>
      </c>
      <c r="G94" s="141" t="s">
        <v>2781</v>
      </c>
      <c r="H94" s="142" t="s">
        <v>2782</v>
      </c>
      <c r="I94" s="141" t="s">
        <v>2783</v>
      </c>
      <c r="J94" s="163" t="s">
        <v>2784</v>
      </c>
      <c r="K94" s="180" t="s">
        <v>2785</v>
      </c>
      <c r="L94" s="180" t="s">
        <v>2786</v>
      </c>
      <c r="M94" s="141" t="s">
        <v>2787</v>
      </c>
      <c r="N94" s="163" t="s">
        <v>2788</v>
      </c>
      <c r="O94" s="180" t="s">
        <v>2789</v>
      </c>
      <c r="P94" s="142" t="s">
        <v>2790</v>
      </c>
      <c r="Q94" s="141" t="s">
        <v>2791</v>
      </c>
      <c r="R94" s="142" t="s">
        <v>2792</v>
      </c>
      <c r="S94" s="141" t="s">
        <v>2793</v>
      </c>
      <c r="T94" s="142" t="s">
        <v>2794</v>
      </c>
      <c r="U94" s="141" t="s">
        <v>2795</v>
      </c>
      <c r="V94" s="142" t="s">
        <v>2796</v>
      </c>
      <c r="W94" s="141" t="s">
        <v>2797</v>
      </c>
      <c r="X94" s="142" t="s">
        <v>2798</v>
      </c>
      <c r="Y94" s="141" t="s">
        <v>2799</v>
      </c>
      <c r="Z94" s="142" t="s">
        <v>2800</v>
      </c>
      <c r="AA94" s="141" t="s">
        <v>2801</v>
      </c>
      <c r="AB94" s="142" t="s">
        <v>2817</v>
      </c>
      <c r="AC94" s="141" t="s">
        <v>2818</v>
      </c>
      <c r="AD94" s="142" t="s">
        <v>2819</v>
      </c>
      <c r="AE94" s="141" t="s">
        <v>2821</v>
      </c>
      <c r="AF94" s="142" t="s">
        <v>2822</v>
      </c>
      <c r="AG94" s="141" t="s">
        <v>2823</v>
      </c>
      <c r="AH94" s="142" t="s">
        <v>2824</v>
      </c>
      <c r="AI94" s="141" t="s">
        <v>2825</v>
      </c>
      <c r="AJ94" s="142" t="s">
        <v>2826</v>
      </c>
      <c r="AK94" s="141" t="s">
        <v>2827</v>
      </c>
      <c r="AL94" s="142" t="s">
        <v>2831</v>
      </c>
      <c r="AM94" s="141" t="s">
        <v>2832</v>
      </c>
      <c r="AN94" s="142" t="s">
        <v>2833</v>
      </c>
      <c r="AO94" s="141" t="s">
        <v>2834</v>
      </c>
      <c r="AP94" s="142" t="s">
        <v>3011</v>
      </c>
      <c r="AQ94" s="141" t="s">
        <v>3012</v>
      </c>
      <c r="AR94" s="318" t="s">
        <v>3013</v>
      </c>
      <c r="AS94" s="180" t="s">
        <v>3014</v>
      </c>
      <c r="AT94" s="318" t="s">
        <v>3015</v>
      </c>
      <c r="AU94" s="180" t="s">
        <v>3206</v>
      </c>
      <c r="AV94" s="142" t="s">
        <v>3207</v>
      </c>
      <c r="AW94" s="141" t="s">
        <v>3272</v>
      </c>
      <c r="AX94" s="163" t="s">
        <v>3273</v>
      </c>
      <c r="AY94" s="1079" t="e">
        <f t="shared" si="159"/>
        <v>#VALUE!</v>
      </c>
      <c r="AZ94" s="1079"/>
      <c r="BA94" s="1079"/>
      <c r="BB94" s="1079"/>
      <c r="BC94" s="1079"/>
      <c r="BD94" s="1079"/>
      <c r="BE94" s="1079"/>
      <c r="BF94" s="1079"/>
      <c r="BG94" s="1079"/>
      <c r="BH94" s="1079"/>
      <c r="BI94" s="1079"/>
      <c r="BJ94" s="884"/>
      <c r="BK94" s="884"/>
      <c r="BL94" s="884"/>
      <c r="BM94" s="884"/>
      <c r="BV94" s="885"/>
      <c r="BW94" s="885"/>
      <c r="BX94" s="885"/>
      <c r="CB94" s="2077" t="str">
        <f t="shared" si="160"/>
        <v xml:space="preserve">* El total de Reactivos NO DEBE ser superior al total de Procesados. </v>
      </c>
      <c r="CC94" s="2077" t="e">
        <f t="shared" si="161"/>
        <v>#VALUE!</v>
      </c>
      <c r="CD94" s="2077" t="e">
        <f t="shared" si="162"/>
        <v>#VALUE!</v>
      </c>
      <c r="CE94" s="2077" t="str">
        <f t="shared" si="163"/>
        <v xml:space="preserve">* La columna Pueblos Originarios NO DEBE ser superior al total de Procesados. </v>
      </c>
      <c r="CF94" s="2077" t="str">
        <f t="shared" si="164"/>
        <v xml:space="preserve">* La columna Migrantes NO DEBE ser superior al total de Procesados. </v>
      </c>
      <c r="CG94" s="2077" t="str">
        <f t="shared" si="192"/>
        <v>* El total de procesados debe ser mayor o igual al total de Reactivos en el grupo de edad Menor de 6 meses</v>
      </c>
      <c r="CH94" s="2077" t="str">
        <f t="shared" si="193"/>
        <v>* El total de procesados debe ser mayor o igual al total de Reactivos en el grupo de edad 6 a 11 meses</v>
      </c>
      <c r="CI94" s="2077" t="str">
        <f t="shared" si="194"/>
        <v>* El total de procesados debe ser mayor o igual al total de Reactivos en el grupo de edad 12-24 meses</v>
      </c>
      <c r="CJ94" s="2077" t="str">
        <f t="shared" si="195"/>
        <v>* El total de procesados debe ser mayor o igual al total de Reactivos en el grupo de edad 3 a 4</v>
      </c>
      <c r="CK94" s="2077" t="str">
        <f t="shared" si="196"/>
        <v>* El total de procesados debe ser mayor o igual al total de Reactivos en el grupo de edad 5 a 9</v>
      </c>
      <c r="CL94" s="2077" t="str">
        <f t="shared" si="197"/>
        <v>* El total de procesados debe ser mayor o igual al total de Reactivos en el grupo de edad 10 - 14</v>
      </c>
      <c r="CM94" s="2077" t="str">
        <f t="shared" si="198"/>
        <v>* El total de procesados debe ser mayor o igual al total de Reactivos en el grupo de edad 15 - 19</v>
      </c>
      <c r="CN94" s="2077" t="str">
        <f t="shared" si="199"/>
        <v>* El total de procesados debe ser mayor o igual al total de Reactivos en el grupo de edad 20 - 24</v>
      </c>
      <c r="CO94" s="2077" t="str">
        <f t="shared" si="200"/>
        <v>* El total de procesados debe ser mayor o igual al total de Reactivos en el grupo de edad 25 a 29</v>
      </c>
      <c r="CP94" s="2077" t="str">
        <f t="shared" si="201"/>
        <v>* El total de procesados debe ser mayor o igual al total de Reactivos en el grupo de edad 30 a 34</v>
      </c>
      <c r="CQ94" s="2077" t="str">
        <f t="shared" si="202"/>
        <v>* El total de procesados debe ser mayor o igual al total de Reactivos en el grupo de edad 35 a 39</v>
      </c>
      <c r="CR94" s="2077" t="str">
        <f t="shared" si="203"/>
        <v>* El total de procesados debe ser mayor o igual al total de Reactivos en el grupo de edad 40 a 44</v>
      </c>
      <c r="CS94" s="2077" t="str">
        <f t="shared" si="204"/>
        <v>* El total de procesados debe ser mayor o igual al total de Reactivos en el grupo de edad 45 a 49</v>
      </c>
      <c r="CT94" s="2077" t="str">
        <f t="shared" si="205"/>
        <v>* El total de procesados debe ser mayor o igual al total de Reactivos en el grupo de edad 50 a 54</v>
      </c>
      <c r="CU94" s="2077" t="str">
        <f t="shared" si="206"/>
        <v>* El total de procesados debe ser mayor o igual al total de Reactivos en el grupo de edad 55 a 59</v>
      </c>
      <c r="CV94" s="2077" t="str">
        <f t="shared" si="207"/>
        <v>* El total de procesados debe ser mayor o igual al total de Reactivos en el grupo de edad 60 a 64</v>
      </c>
      <c r="CW94" s="2077" t="str">
        <f t="shared" si="208"/>
        <v>* El total de procesados debe ser mayor o igual al total de Reactivos en el grupo de edad 65 a 69</v>
      </c>
      <c r="CX94" s="2077" t="str">
        <f t="shared" si="209"/>
        <v>* El total de procesados debe ser mayor o igual al total de Reactivos en el grupo de edad 70 a 74</v>
      </c>
      <c r="CY94" s="2077" t="str">
        <f t="shared" si="210"/>
        <v>* El total de procesados debe ser mayor o igual al total de Reactivos en el grupo de edad 75 a 79</v>
      </c>
      <c r="CZ94" s="2077" t="str">
        <f t="shared" si="211"/>
        <v>* El total de procesados debe ser mayor o igual al total de Reactivos en el grupo de edad 80 y más</v>
      </c>
      <c r="DA94" s="2077" t="str">
        <f t="shared" si="165"/>
        <v/>
      </c>
      <c r="DB94" s="1363">
        <f t="shared" si="166"/>
        <v>1</v>
      </c>
      <c r="DC94" s="1363" t="e">
        <f t="shared" si="167"/>
        <v>#VALUE!</v>
      </c>
      <c r="DD94" s="1363" t="e">
        <f t="shared" si="168"/>
        <v>#VALUE!</v>
      </c>
      <c r="DE94" s="1363">
        <f t="shared" si="169"/>
        <v>1</v>
      </c>
      <c r="DF94" s="1363">
        <f t="shared" si="170"/>
        <v>1</v>
      </c>
      <c r="DG94" s="1363">
        <f t="shared" si="171"/>
        <v>1</v>
      </c>
      <c r="DH94" s="1363">
        <f t="shared" si="172"/>
        <v>1</v>
      </c>
      <c r="DI94" s="1363">
        <f t="shared" si="173"/>
        <v>1</v>
      </c>
      <c r="DJ94" s="1363">
        <f t="shared" si="174"/>
        <v>1</v>
      </c>
      <c r="DK94" s="1363">
        <f t="shared" si="175"/>
        <v>1</v>
      </c>
      <c r="DL94" s="1363">
        <f t="shared" si="176"/>
        <v>1</v>
      </c>
      <c r="DM94" s="1363">
        <f t="shared" si="177"/>
        <v>1</v>
      </c>
      <c r="DN94" s="1363">
        <f t="shared" si="178"/>
        <v>1</v>
      </c>
      <c r="DO94" s="1363">
        <f t="shared" si="179"/>
        <v>1</v>
      </c>
      <c r="DP94" s="1363">
        <f t="shared" si="180"/>
        <v>1</v>
      </c>
      <c r="DQ94" s="1363">
        <f t="shared" si="181"/>
        <v>1</v>
      </c>
      <c r="DR94" s="1363">
        <f t="shared" si="182"/>
        <v>1</v>
      </c>
      <c r="DS94" s="1363">
        <f t="shared" si="183"/>
        <v>1</v>
      </c>
      <c r="DT94" s="1363">
        <f t="shared" si="184"/>
        <v>1</v>
      </c>
      <c r="DU94" s="1363">
        <f t="shared" si="185"/>
        <v>1</v>
      </c>
      <c r="DV94" s="1363">
        <f t="shared" si="186"/>
        <v>1</v>
      </c>
      <c r="DW94" s="1363">
        <f t="shared" si="187"/>
        <v>1</v>
      </c>
      <c r="DX94" s="1363">
        <f t="shared" si="188"/>
        <v>1</v>
      </c>
      <c r="DY94" s="1363">
        <f t="shared" si="189"/>
        <v>1</v>
      </c>
      <c r="DZ94" s="1363">
        <f t="shared" si="190"/>
        <v>1</v>
      </c>
      <c r="EA94" s="1363">
        <f t="shared" si="191"/>
        <v>0</v>
      </c>
    </row>
    <row r="95" spans="1:131" ht="16.350000000000001" customHeight="1" x14ac:dyDescent="0.25">
      <c r="A95" s="2549">
        <v>11056435</v>
      </c>
      <c r="B95" s="100" t="s">
        <v>2276</v>
      </c>
      <c r="C95" s="587" t="s">
        <v>2777</v>
      </c>
      <c r="D95" s="1853" t="s">
        <v>2778</v>
      </c>
      <c r="E95" s="126" t="s">
        <v>2779</v>
      </c>
      <c r="F95" s="102" t="s">
        <v>2780</v>
      </c>
      <c r="G95" s="166" t="s">
        <v>2781</v>
      </c>
      <c r="H95" s="102" t="s">
        <v>2782</v>
      </c>
      <c r="I95" s="166" t="s">
        <v>2783</v>
      </c>
      <c r="J95" s="125" t="s">
        <v>2784</v>
      </c>
      <c r="K95" s="126" t="s">
        <v>2785</v>
      </c>
      <c r="L95" s="126" t="s">
        <v>2786</v>
      </c>
      <c r="M95" s="166" t="s">
        <v>2787</v>
      </c>
      <c r="N95" s="125" t="s">
        <v>2788</v>
      </c>
      <c r="O95" s="126" t="s">
        <v>2789</v>
      </c>
      <c r="P95" s="102" t="s">
        <v>2790</v>
      </c>
      <c r="Q95" s="166" t="s">
        <v>2791</v>
      </c>
      <c r="R95" s="102" t="s">
        <v>2792</v>
      </c>
      <c r="S95" s="166" t="s">
        <v>2793</v>
      </c>
      <c r="T95" s="102" t="s">
        <v>2794</v>
      </c>
      <c r="U95" s="166" t="s">
        <v>2795</v>
      </c>
      <c r="V95" s="102" t="s">
        <v>2796</v>
      </c>
      <c r="W95" s="166" t="s">
        <v>2797</v>
      </c>
      <c r="X95" s="102" t="s">
        <v>2798</v>
      </c>
      <c r="Y95" s="166" t="s">
        <v>2799</v>
      </c>
      <c r="Z95" s="102" t="s">
        <v>2800</v>
      </c>
      <c r="AA95" s="166" t="s">
        <v>2801</v>
      </c>
      <c r="AB95" s="102" t="s">
        <v>2817</v>
      </c>
      <c r="AC95" s="166" t="s">
        <v>2818</v>
      </c>
      <c r="AD95" s="102" t="s">
        <v>2819</v>
      </c>
      <c r="AE95" s="166" t="s">
        <v>2821</v>
      </c>
      <c r="AF95" s="102" t="s">
        <v>2822</v>
      </c>
      <c r="AG95" s="166" t="s">
        <v>2823</v>
      </c>
      <c r="AH95" s="102" t="s">
        <v>2824</v>
      </c>
      <c r="AI95" s="166" t="s">
        <v>2825</v>
      </c>
      <c r="AJ95" s="102" t="s">
        <v>2826</v>
      </c>
      <c r="AK95" s="166" t="s">
        <v>2827</v>
      </c>
      <c r="AL95" s="102" t="s">
        <v>2831</v>
      </c>
      <c r="AM95" s="166" t="s">
        <v>2832</v>
      </c>
      <c r="AN95" s="102" t="s">
        <v>2833</v>
      </c>
      <c r="AO95" s="166" t="s">
        <v>2834</v>
      </c>
      <c r="AP95" s="102" t="s">
        <v>3011</v>
      </c>
      <c r="AQ95" s="166" t="s">
        <v>3012</v>
      </c>
      <c r="AR95" s="319" t="s">
        <v>3013</v>
      </c>
      <c r="AS95" s="126" t="s">
        <v>3014</v>
      </c>
      <c r="AT95" s="319" t="s">
        <v>3015</v>
      </c>
      <c r="AU95" s="126" t="s">
        <v>3206</v>
      </c>
      <c r="AV95" s="102" t="s">
        <v>3207</v>
      </c>
      <c r="AW95" s="166" t="s">
        <v>3272</v>
      </c>
      <c r="AX95" s="125" t="s">
        <v>3273</v>
      </c>
      <c r="AY95" s="1079" t="e">
        <f t="shared" si="159"/>
        <v>#VALUE!</v>
      </c>
      <c r="AZ95" s="1079"/>
      <c r="BA95" s="1079"/>
      <c r="BB95" s="1079"/>
      <c r="BC95" s="1079"/>
      <c r="BD95" s="1079"/>
      <c r="BE95" s="1079"/>
      <c r="BF95" s="1079"/>
      <c r="BG95" s="1079"/>
      <c r="BH95" s="1079"/>
      <c r="BI95" s="1079"/>
      <c r="BJ95" s="884"/>
      <c r="BK95" s="884"/>
      <c r="BL95" s="884"/>
      <c r="BM95" s="884"/>
      <c r="BV95" s="885"/>
      <c r="BW95" s="885"/>
      <c r="BX95" s="885"/>
      <c r="CB95" s="2077" t="str">
        <f t="shared" si="160"/>
        <v xml:space="preserve">* El total de Reactivos NO DEBE ser superior al total de Procesados. </v>
      </c>
      <c r="CC95" s="2077" t="e">
        <f t="shared" si="161"/>
        <v>#VALUE!</v>
      </c>
      <c r="CD95" s="2077" t="e">
        <f t="shared" si="162"/>
        <v>#VALUE!</v>
      </c>
      <c r="CE95" s="2077" t="str">
        <f t="shared" si="163"/>
        <v xml:space="preserve">* La columna Pueblos Originarios NO DEBE ser superior al total de Procesados. </v>
      </c>
      <c r="CF95" s="2077" t="str">
        <f t="shared" si="164"/>
        <v xml:space="preserve">* La columna Migrantes NO DEBE ser superior al total de Procesados. </v>
      </c>
      <c r="CG95" s="2077" t="str">
        <f t="shared" si="192"/>
        <v>* El total de procesados debe ser mayor o igual al total de Reactivos en el grupo de edad Menor de 6 meses</v>
      </c>
      <c r="CH95" s="2077" t="str">
        <f t="shared" si="193"/>
        <v>* El total de procesados debe ser mayor o igual al total de Reactivos en el grupo de edad 6 a 11 meses</v>
      </c>
      <c r="CI95" s="2077" t="str">
        <f t="shared" si="194"/>
        <v>* El total de procesados debe ser mayor o igual al total de Reactivos en el grupo de edad 12-24 meses</v>
      </c>
      <c r="CJ95" s="2077" t="str">
        <f t="shared" si="195"/>
        <v>* El total de procesados debe ser mayor o igual al total de Reactivos en el grupo de edad 3 a 4</v>
      </c>
      <c r="CK95" s="2077" t="str">
        <f t="shared" si="196"/>
        <v>* El total de procesados debe ser mayor o igual al total de Reactivos en el grupo de edad 5 a 9</v>
      </c>
      <c r="CL95" s="2077" t="str">
        <f t="shared" si="197"/>
        <v>* El total de procesados debe ser mayor o igual al total de Reactivos en el grupo de edad 10 - 14</v>
      </c>
      <c r="CM95" s="2077" t="str">
        <f t="shared" si="198"/>
        <v>* El total de procesados debe ser mayor o igual al total de Reactivos en el grupo de edad 15 - 19</v>
      </c>
      <c r="CN95" s="2077" t="str">
        <f t="shared" si="199"/>
        <v>* El total de procesados debe ser mayor o igual al total de Reactivos en el grupo de edad 20 - 24</v>
      </c>
      <c r="CO95" s="2077" t="str">
        <f t="shared" si="200"/>
        <v>* El total de procesados debe ser mayor o igual al total de Reactivos en el grupo de edad 25 a 29</v>
      </c>
      <c r="CP95" s="2077" t="str">
        <f t="shared" si="201"/>
        <v>* El total de procesados debe ser mayor o igual al total de Reactivos en el grupo de edad 30 a 34</v>
      </c>
      <c r="CQ95" s="2077" t="str">
        <f t="shared" si="202"/>
        <v>* El total de procesados debe ser mayor o igual al total de Reactivos en el grupo de edad 35 a 39</v>
      </c>
      <c r="CR95" s="2077" t="str">
        <f t="shared" si="203"/>
        <v>* El total de procesados debe ser mayor o igual al total de Reactivos en el grupo de edad 40 a 44</v>
      </c>
      <c r="CS95" s="2077" t="str">
        <f t="shared" si="204"/>
        <v>* El total de procesados debe ser mayor o igual al total de Reactivos en el grupo de edad 45 a 49</v>
      </c>
      <c r="CT95" s="2077" t="str">
        <f t="shared" si="205"/>
        <v>* El total de procesados debe ser mayor o igual al total de Reactivos en el grupo de edad 50 a 54</v>
      </c>
      <c r="CU95" s="2077" t="str">
        <f t="shared" si="206"/>
        <v>* El total de procesados debe ser mayor o igual al total de Reactivos en el grupo de edad 55 a 59</v>
      </c>
      <c r="CV95" s="2077" t="str">
        <f t="shared" si="207"/>
        <v>* El total de procesados debe ser mayor o igual al total de Reactivos en el grupo de edad 60 a 64</v>
      </c>
      <c r="CW95" s="2077" t="str">
        <f t="shared" si="208"/>
        <v>* El total de procesados debe ser mayor o igual al total de Reactivos en el grupo de edad 65 a 69</v>
      </c>
      <c r="CX95" s="2077" t="str">
        <f t="shared" si="209"/>
        <v>* El total de procesados debe ser mayor o igual al total de Reactivos en el grupo de edad 70 a 74</v>
      </c>
      <c r="CY95" s="2077" t="str">
        <f t="shared" si="210"/>
        <v>* El total de procesados debe ser mayor o igual al total de Reactivos en el grupo de edad 75 a 79</v>
      </c>
      <c r="CZ95" s="2077" t="str">
        <f t="shared" si="211"/>
        <v>* El total de procesados debe ser mayor o igual al total de Reactivos en el grupo de edad 80 y más</v>
      </c>
      <c r="DA95" s="2077" t="str">
        <f t="shared" si="165"/>
        <v/>
      </c>
      <c r="DB95" s="1363">
        <f t="shared" si="166"/>
        <v>1</v>
      </c>
      <c r="DC95" s="1363" t="e">
        <f t="shared" si="167"/>
        <v>#VALUE!</v>
      </c>
      <c r="DD95" s="1363" t="e">
        <f t="shared" si="168"/>
        <v>#VALUE!</v>
      </c>
      <c r="DE95" s="1363">
        <f t="shared" si="169"/>
        <v>1</v>
      </c>
      <c r="DF95" s="1363">
        <f t="shared" si="170"/>
        <v>1</v>
      </c>
      <c r="DG95" s="1363">
        <f t="shared" si="171"/>
        <v>1</v>
      </c>
      <c r="DH95" s="1363">
        <f t="shared" si="172"/>
        <v>1</v>
      </c>
      <c r="DI95" s="1363">
        <f t="shared" si="173"/>
        <v>1</v>
      </c>
      <c r="DJ95" s="1363">
        <f t="shared" si="174"/>
        <v>1</v>
      </c>
      <c r="DK95" s="1363">
        <f t="shared" si="175"/>
        <v>1</v>
      </c>
      <c r="DL95" s="1363">
        <f t="shared" si="176"/>
        <v>1</v>
      </c>
      <c r="DM95" s="1363">
        <f t="shared" si="177"/>
        <v>1</v>
      </c>
      <c r="DN95" s="1363">
        <f t="shared" si="178"/>
        <v>1</v>
      </c>
      <c r="DO95" s="1363">
        <f t="shared" si="179"/>
        <v>1</v>
      </c>
      <c r="DP95" s="1363">
        <f t="shared" si="180"/>
        <v>1</v>
      </c>
      <c r="DQ95" s="1363">
        <f t="shared" si="181"/>
        <v>1</v>
      </c>
      <c r="DR95" s="1363">
        <f t="shared" si="182"/>
        <v>1</v>
      </c>
      <c r="DS95" s="1363">
        <f t="shared" si="183"/>
        <v>1</v>
      </c>
      <c r="DT95" s="1363">
        <f t="shared" si="184"/>
        <v>1</v>
      </c>
      <c r="DU95" s="1363">
        <f t="shared" si="185"/>
        <v>1</v>
      </c>
      <c r="DV95" s="1363">
        <f t="shared" si="186"/>
        <v>1</v>
      </c>
      <c r="DW95" s="1363">
        <f t="shared" si="187"/>
        <v>1</v>
      </c>
      <c r="DX95" s="1363">
        <f t="shared" si="188"/>
        <v>1</v>
      </c>
      <c r="DY95" s="1363">
        <f t="shared" si="189"/>
        <v>1</v>
      </c>
      <c r="DZ95" s="1363">
        <f t="shared" si="190"/>
        <v>1</v>
      </c>
      <c r="EA95" s="1363">
        <f t="shared" si="191"/>
        <v>0</v>
      </c>
    </row>
    <row r="96" spans="1:131" ht="32.1" customHeight="1" x14ac:dyDescent="0.25">
      <c r="B96" s="2026" t="s">
        <v>2281</v>
      </c>
      <c r="C96" s="2027"/>
      <c r="D96" s="2027"/>
      <c r="E96" s="177"/>
      <c r="F96" s="177"/>
      <c r="G96" s="177"/>
      <c r="H96" s="177"/>
      <c r="I96" s="177"/>
      <c r="J96" s="177"/>
      <c r="K96" s="139"/>
      <c r="L96" s="139"/>
      <c r="M96" s="139"/>
      <c r="N96" s="139"/>
      <c r="O96" s="139"/>
      <c r="P96" s="139"/>
      <c r="Q96" s="139"/>
      <c r="R96" s="190"/>
      <c r="AY96" s="2035"/>
      <c r="AZ96" s="2035"/>
      <c r="BA96" s="2035"/>
      <c r="BB96" s="884"/>
      <c r="BC96" s="884"/>
      <c r="BD96" s="884"/>
      <c r="BE96" s="884"/>
      <c r="BF96" s="884"/>
      <c r="BG96" s="884"/>
      <c r="BH96" s="884"/>
      <c r="BI96" s="884"/>
      <c r="BJ96" s="884"/>
      <c r="BK96" s="884"/>
      <c r="BL96" s="884"/>
      <c r="BM96" s="884"/>
      <c r="BN96" s="884"/>
      <c r="BU96" s="211"/>
      <c r="BV96" s="211"/>
      <c r="BW96" s="885"/>
      <c r="BX96" s="885"/>
    </row>
    <row r="97" spans="1:131" ht="32.1" customHeight="1" x14ac:dyDescent="0.25">
      <c r="B97" s="5158" t="s">
        <v>2255</v>
      </c>
      <c r="C97" s="6208" t="s">
        <v>42</v>
      </c>
      <c r="D97" s="6209"/>
      <c r="E97" s="5160" t="s">
        <v>425</v>
      </c>
      <c r="F97" s="5161"/>
      <c r="G97" s="5161"/>
      <c r="H97" s="5161"/>
      <c r="I97" s="5161"/>
      <c r="J97" s="5161"/>
      <c r="K97" s="5161"/>
      <c r="L97" s="5161"/>
      <c r="M97" s="5161"/>
      <c r="N97" s="5161"/>
      <c r="O97" s="5161"/>
      <c r="P97" s="5161"/>
      <c r="Q97" s="5161"/>
      <c r="R97" s="5161"/>
      <c r="S97" s="5161"/>
      <c r="T97" s="5161"/>
      <c r="U97" s="5161"/>
      <c r="V97" s="5161"/>
      <c r="W97" s="5161"/>
      <c r="X97" s="5161"/>
      <c r="Y97" s="5161"/>
      <c r="Z97" s="5161"/>
      <c r="AA97" s="5161"/>
      <c r="AB97" s="5161"/>
      <c r="AC97" s="5161"/>
      <c r="AD97" s="5161"/>
      <c r="AE97" s="5161"/>
      <c r="AF97" s="5161"/>
      <c r="AG97" s="5161"/>
      <c r="AH97" s="5161"/>
      <c r="AI97" s="5161"/>
      <c r="AJ97" s="5161"/>
      <c r="AK97" s="5161"/>
      <c r="AL97" s="5161"/>
      <c r="AM97" s="5161"/>
      <c r="AN97" s="5161"/>
      <c r="AO97" s="5161"/>
      <c r="AP97" s="5161"/>
      <c r="AQ97" s="5161"/>
      <c r="AR97" s="6212"/>
      <c r="AS97" s="5540" t="s">
        <v>2256</v>
      </c>
      <c r="AT97" s="6213"/>
      <c r="AU97" s="6214" t="s">
        <v>411</v>
      </c>
      <c r="AV97" s="6215"/>
      <c r="AW97" s="6218" t="s">
        <v>1359</v>
      </c>
      <c r="AX97" s="6219" t="s">
        <v>1358</v>
      </c>
      <c r="AY97" s="2035"/>
      <c r="AZ97" s="2035"/>
      <c r="BA97" s="884"/>
      <c r="BB97" s="884"/>
      <c r="BC97" s="884"/>
      <c r="BD97" s="884"/>
      <c r="BE97" s="884"/>
      <c r="BF97" s="884"/>
      <c r="BG97" s="884"/>
      <c r="BH97" s="884"/>
      <c r="BI97" s="884"/>
      <c r="BJ97" s="884"/>
      <c r="BK97" s="884"/>
      <c r="BL97" s="884"/>
      <c r="BM97" s="884"/>
      <c r="BV97" s="884"/>
      <c r="BW97" s="885"/>
      <c r="BX97" s="885"/>
    </row>
    <row r="98" spans="1:131" ht="16.350000000000001" customHeight="1" x14ac:dyDescent="0.25">
      <c r="B98" s="5113"/>
      <c r="C98" s="6210"/>
      <c r="D98" s="6211"/>
      <c r="E98" s="5165" t="s">
        <v>426</v>
      </c>
      <c r="F98" s="5540"/>
      <c r="G98" s="5165" t="s">
        <v>1382</v>
      </c>
      <c r="H98" s="5540"/>
      <c r="I98" s="5165" t="s">
        <v>1355</v>
      </c>
      <c r="J98" s="5167"/>
      <c r="K98" s="5540" t="s">
        <v>620</v>
      </c>
      <c r="L98" s="5540"/>
      <c r="M98" s="5165" t="s">
        <v>275</v>
      </c>
      <c r="N98" s="5540"/>
      <c r="O98" s="5165" t="s">
        <v>352</v>
      </c>
      <c r="P98" s="5540"/>
      <c r="Q98" s="5165" t="s">
        <v>319</v>
      </c>
      <c r="R98" s="5540"/>
      <c r="S98" s="5165" t="s">
        <v>10</v>
      </c>
      <c r="T98" s="5540"/>
      <c r="U98" s="5165" t="s">
        <v>151</v>
      </c>
      <c r="V98" s="5167"/>
      <c r="W98" s="5165" t="s">
        <v>152</v>
      </c>
      <c r="X98" s="5167"/>
      <c r="Y98" s="5165" t="s">
        <v>153</v>
      </c>
      <c r="Z98" s="5167"/>
      <c r="AA98" s="5165" t="s">
        <v>154</v>
      </c>
      <c r="AB98" s="5167"/>
      <c r="AC98" s="5165" t="s">
        <v>155</v>
      </c>
      <c r="AD98" s="5167"/>
      <c r="AE98" s="5165" t="s">
        <v>156</v>
      </c>
      <c r="AF98" s="5167"/>
      <c r="AG98" s="5165" t="s">
        <v>157</v>
      </c>
      <c r="AH98" s="5167"/>
      <c r="AI98" s="5165" t="s">
        <v>158</v>
      </c>
      <c r="AJ98" s="5167"/>
      <c r="AK98" s="5165" t="s">
        <v>159</v>
      </c>
      <c r="AL98" s="5167"/>
      <c r="AM98" s="5165" t="s">
        <v>160</v>
      </c>
      <c r="AN98" s="5167"/>
      <c r="AO98" s="5165" t="s">
        <v>161</v>
      </c>
      <c r="AP98" s="5167"/>
      <c r="AQ98" s="5165" t="s">
        <v>162</v>
      </c>
      <c r="AR98" s="6213"/>
      <c r="AS98" s="6220" t="s">
        <v>24</v>
      </c>
      <c r="AT98" s="6222" t="s">
        <v>25</v>
      </c>
      <c r="AU98" s="6216"/>
      <c r="AV98" s="6217"/>
      <c r="AW98" s="5121"/>
      <c r="AX98" s="5123"/>
      <c r="AY98" s="2035"/>
      <c r="AZ98" s="2035"/>
      <c r="BA98" s="884"/>
      <c r="BB98" s="884"/>
      <c r="BC98" s="884"/>
      <c r="BD98" s="884"/>
      <c r="BE98" s="884"/>
      <c r="BF98" s="884"/>
      <c r="BG98" s="884"/>
      <c r="BH98" s="884"/>
      <c r="BI98" s="884"/>
      <c r="BJ98" s="884"/>
      <c r="BK98" s="884"/>
      <c r="BL98" s="884"/>
      <c r="BM98" s="884"/>
      <c r="BV98" s="884"/>
    </row>
    <row r="99" spans="1:131" ht="16.350000000000001" customHeight="1" x14ac:dyDescent="0.25">
      <c r="B99" s="5159"/>
      <c r="C99" s="1749" t="s">
        <v>2257</v>
      </c>
      <c r="D99" s="2036" t="s">
        <v>2258</v>
      </c>
      <c r="E99" s="1597" t="s">
        <v>2257</v>
      </c>
      <c r="F99" s="1695" t="s">
        <v>2258</v>
      </c>
      <c r="G99" s="1597" t="s">
        <v>2257</v>
      </c>
      <c r="H99" s="1695" t="s">
        <v>2258</v>
      </c>
      <c r="I99" s="1597" t="s">
        <v>2257</v>
      </c>
      <c r="J99" s="2036" t="s">
        <v>2258</v>
      </c>
      <c r="K99" s="1749" t="s">
        <v>2257</v>
      </c>
      <c r="L99" s="1695" t="s">
        <v>2258</v>
      </c>
      <c r="M99" s="1597" t="s">
        <v>2257</v>
      </c>
      <c r="N99" s="1695" t="s">
        <v>2258</v>
      </c>
      <c r="O99" s="1597" t="s">
        <v>2257</v>
      </c>
      <c r="P99" s="1695" t="s">
        <v>2258</v>
      </c>
      <c r="Q99" s="1597" t="s">
        <v>2257</v>
      </c>
      <c r="R99" s="1695" t="s">
        <v>2258</v>
      </c>
      <c r="S99" s="1597" t="s">
        <v>2257</v>
      </c>
      <c r="T99" s="1695" t="s">
        <v>2258</v>
      </c>
      <c r="U99" s="1597" t="s">
        <v>2257</v>
      </c>
      <c r="V99" s="1695" t="s">
        <v>2258</v>
      </c>
      <c r="W99" s="1597" t="s">
        <v>2257</v>
      </c>
      <c r="X99" s="1695" t="s">
        <v>2258</v>
      </c>
      <c r="Y99" s="1597" t="s">
        <v>2257</v>
      </c>
      <c r="Z99" s="1695" t="s">
        <v>2258</v>
      </c>
      <c r="AA99" s="1597" t="s">
        <v>2257</v>
      </c>
      <c r="AB99" s="1695" t="s">
        <v>2258</v>
      </c>
      <c r="AC99" s="1597" t="s">
        <v>2257</v>
      </c>
      <c r="AD99" s="1695" t="s">
        <v>2258</v>
      </c>
      <c r="AE99" s="1597" t="s">
        <v>2257</v>
      </c>
      <c r="AF99" s="1695" t="s">
        <v>2258</v>
      </c>
      <c r="AG99" s="1597" t="s">
        <v>2257</v>
      </c>
      <c r="AH99" s="1695" t="s">
        <v>2258</v>
      </c>
      <c r="AI99" s="1597" t="s">
        <v>2257</v>
      </c>
      <c r="AJ99" s="1695" t="s">
        <v>2258</v>
      </c>
      <c r="AK99" s="1597" t="s">
        <v>2257</v>
      </c>
      <c r="AL99" s="1695" t="s">
        <v>2258</v>
      </c>
      <c r="AM99" s="1597" t="s">
        <v>2257</v>
      </c>
      <c r="AN99" s="1695" t="s">
        <v>2258</v>
      </c>
      <c r="AO99" s="1597" t="s">
        <v>2257</v>
      </c>
      <c r="AP99" s="1695" t="s">
        <v>2258</v>
      </c>
      <c r="AQ99" s="1597" t="s">
        <v>2257</v>
      </c>
      <c r="AR99" s="2030" t="s">
        <v>2258</v>
      </c>
      <c r="AS99" s="6221"/>
      <c r="AT99" s="6223"/>
      <c r="AU99" s="2031" t="s">
        <v>1350</v>
      </c>
      <c r="AV99" s="1901" t="s">
        <v>1351</v>
      </c>
      <c r="AW99" s="5799"/>
      <c r="AX99" s="5403"/>
      <c r="AY99" s="2035"/>
      <c r="AZ99" s="2035"/>
      <c r="BA99" s="884"/>
      <c r="BB99" s="884"/>
      <c r="BC99" s="884"/>
      <c r="BD99" s="884"/>
      <c r="BE99" s="884"/>
      <c r="BF99" s="884"/>
      <c r="BG99" s="884"/>
      <c r="BH99" s="884"/>
      <c r="BI99" s="884"/>
      <c r="BJ99" s="884"/>
      <c r="BK99" s="884"/>
      <c r="BL99" s="884"/>
      <c r="BM99" s="884"/>
      <c r="BV99" s="884"/>
    </row>
    <row r="100" spans="1:131" ht="16.350000000000001" customHeight="1" x14ac:dyDescent="0.25">
      <c r="A100" s="2458">
        <v>11056436</v>
      </c>
      <c r="B100" s="107" t="s">
        <v>2259</v>
      </c>
      <c r="C100" s="2032" t="s">
        <v>2777</v>
      </c>
      <c r="D100" s="1855" t="s">
        <v>2778</v>
      </c>
      <c r="E100" s="161" t="s">
        <v>2779</v>
      </c>
      <c r="F100" s="145" t="s">
        <v>2780</v>
      </c>
      <c r="G100" s="173" t="s">
        <v>2781</v>
      </c>
      <c r="H100" s="145" t="s">
        <v>2782</v>
      </c>
      <c r="I100" s="173" t="s">
        <v>2783</v>
      </c>
      <c r="J100" s="145" t="s">
        <v>2784</v>
      </c>
      <c r="K100" s="173" t="s">
        <v>2785</v>
      </c>
      <c r="L100" s="145" t="s">
        <v>2786</v>
      </c>
      <c r="M100" s="173" t="s">
        <v>2787</v>
      </c>
      <c r="N100" s="162" t="s">
        <v>2788</v>
      </c>
      <c r="O100" s="180" t="s">
        <v>2789</v>
      </c>
      <c r="P100" s="142" t="s">
        <v>2790</v>
      </c>
      <c r="Q100" s="141" t="s">
        <v>2791</v>
      </c>
      <c r="R100" s="142" t="s">
        <v>2792</v>
      </c>
      <c r="S100" s="141" t="s">
        <v>2793</v>
      </c>
      <c r="T100" s="142" t="s">
        <v>2794</v>
      </c>
      <c r="U100" s="141" t="s">
        <v>2795</v>
      </c>
      <c r="V100" s="142" t="s">
        <v>2796</v>
      </c>
      <c r="W100" s="141" t="s">
        <v>2797</v>
      </c>
      <c r="X100" s="142" t="s">
        <v>2798</v>
      </c>
      <c r="Y100" s="141" t="s">
        <v>2799</v>
      </c>
      <c r="Z100" s="142" t="s">
        <v>2800</v>
      </c>
      <c r="AA100" s="141" t="s">
        <v>2801</v>
      </c>
      <c r="AB100" s="142" t="s">
        <v>2817</v>
      </c>
      <c r="AC100" s="141" t="s">
        <v>2818</v>
      </c>
      <c r="AD100" s="142" t="s">
        <v>2819</v>
      </c>
      <c r="AE100" s="141" t="s">
        <v>2821</v>
      </c>
      <c r="AF100" s="142" t="s">
        <v>2822</v>
      </c>
      <c r="AG100" s="141" t="s">
        <v>2823</v>
      </c>
      <c r="AH100" s="142" t="s">
        <v>2824</v>
      </c>
      <c r="AI100" s="141" t="s">
        <v>2825</v>
      </c>
      <c r="AJ100" s="142" t="s">
        <v>2826</v>
      </c>
      <c r="AK100" s="141" t="s">
        <v>2827</v>
      </c>
      <c r="AL100" s="142" t="s">
        <v>2831</v>
      </c>
      <c r="AM100" s="141" t="s">
        <v>2832</v>
      </c>
      <c r="AN100" s="142" t="s">
        <v>2833</v>
      </c>
      <c r="AO100" s="141" t="s">
        <v>2834</v>
      </c>
      <c r="AP100" s="142" t="s">
        <v>3011</v>
      </c>
      <c r="AQ100" s="141" t="s">
        <v>3012</v>
      </c>
      <c r="AR100" s="318" t="s">
        <v>3013</v>
      </c>
      <c r="AS100" s="1703" t="s">
        <v>3014</v>
      </c>
      <c r="AT100" s="318" t="s">
        <v>3015</v>
      </c>
      <c r="AU100" s="180" t="s">
        <v>3206</v>
      </c>
      <c r="AV100" s="142" t="s">
        <v>3207</v>
      </c>
      <c r="AW100" s="141" t="s">
        <v>3272</v>
      </c>
      <c r="AX100" s="163" t="s">
        <v>3273</v>
      </c>
      <c r="AY100" s="1079" t="e">
        <f t="shared" ref="AY100:AY117" si="212">$CB100&amp;$CC100&amp;$CD100&amp;$CE100&amp;$CF100&amp;$CG100&amp;$CH100&amp;$CI100&amp;$CJ100&amp;$CK100&amp;$CL100&amp;$CM100&amp;$CN100&amp;$CO100&amp;$CP100&amp;$CQ100&amp;$CR100&amp;$CS100&amp;$CT100&amp;$CU100&amp;$CV100&amp;$CW100&amp;$CX100&amp;$CY100&amp;$CZ100&amp;$DA100</f>
        <v>#VALUE!</v>
      </c>
      <c r="AZ100" s="1079"/>
      <c r="BA100" s="1079"/>
      <c r="BB100" s="1079"/>
      <c r="BC100" s="1079"/>
      <c r="BD100" s="1079"/>
      <c r="BE100" s="1079"/>
      <c r="BF100" s="1079"/>
      <c r="BG100" s="1079"/>
      <c r="BH100" s="1079"/>
      <c r="BI100" s="1079"/>
      <c r="BJ100" s="884"/>
      <c r="BK100" s="884"/>
      <c r="BL100" s="884"/>
      <c r="BM100" s="884"/>
      <c r="BV100" s="884"/>
      <c r="BX100" s="885"/>
      <c r="CB100" s="2077" t="str">
        <f t="shared" ref="CB100:CB117" si="213">IF(C100&lt;D100,"* El total de Reactivos NO DEBE ser superior al total de Procesados. ","")</f>
        <v xml:space="preserve">* El total de Reactivos NO DEBE ser superior al total de Procesados. </v>
      </c>
      <c r="CC100" s="2077" t="e">
        <f t="shared" ref="CC100:CC117" si="214">IF(C100&lt;&gt;(AS100+ AT100),"* La suma de las columnas Sexo DEBE SER IGUAL a los Procesados. ","")</f>
        <v>#VALUE!</v>
      </c>
      <c r="CD100" s="2077" t="e">
        <f t="shared" ref="CD100:CD117" si="215">IF(C100&lt;(AU100+ AV100),"* La suma de las columna Trans NO DEBE ser superior al total de Procesados. ","")</f>
        <v>#VALUE!</v>
      </c>
      <c r="CE100" s="2077" t="str">
        <f t="shared" ref="CE100:CE117" si="216">IF(C100&lt;AW100,"* La columna Pueblos Originarios NO DEBE ser superior al total de Procesados. ","")</f>
        <v xml:space="preserve">* La columna Pueblos Originarios NO DEBE ser superior al total de Procesados. </v>
      </c>
      <c r="CF100" s="2077" t="str">
        <f t="shared" ref="CF100:CF117" si="217">IF(C100&lt;AX100,"* La columna Migrantes NO DEBE ser superior al total de Procesados. ","")</f>
        <v xml:space="preserve">* La columna Migrantes NO DEBE ser superior al total de Procesados. </v>
      </c>
      <c r="CG100" s="2077" t="str">
        <f>IF(E100&lt;F100,CONCATENATE("* El total de procesados debe ser mayor o igual al total de Reactivos en el grupo de edad ",$E$98),"")</f>
        <v>* El total de procesados debe ser mayor o igual al total de Reactivos en el grupo de edad Menor de 6 meses</v>
      </c>
      <c r="CH100" s="2077" t="str">
        <f>IF(G100&lt;H100,CONCATENATE("* El total de procesados debe ser mayor o igual al total de Reactivos en el grupo de edad ",$G$98),"")</f>
        <v>* El total de procesados debe ser mayor o igual al total de Reactivos en el grupo de edad 6 a 11 meses</v>
      </c>
      <c r="CI100" s="2077" t="str">
        <f>IF(I100&lt;J100,CONCATENATE("* El total de procesados debe ser mayor o igual al total de Reactivos en el grupo de edad ",$I$98),"")</f>
        <v>* El total de procesados debe ser mayor o igual al total de Reactivos en el grupo de edad 12-24 meses</v>
      </c>
      <c r="CJ100" s="2077" t="str">
        <f>IF(K100&lt;L100,CONCATENATE("* El total de procesados debe ser mayor o igual al total de Reactivos en el grupo de edad ",$K$98),"")</f>
        <v>* El total de procesados debe ser mayor o igual al total de Reactivos en el grupo de edad 3 a 4</v>
      </c>
      <c r="CK100" s="2077" t="str">
        <f>IF(M100&lt;N100,CONCATENATE("* El total de procesados debe ser mayor o igual al total de Reactivos en el grupo de edad ",$M$98),"")</f>
        <v>* El total de procesados debe ser mayor o igual al total de Reactivos en el grupo de edad 5 a 9</v>
      </c>
      <c r="CL100" s="2077" t="str">
        <f>IF(O100&lt;P100,CONCATENATE("* El total de procesados debe ser mayor o igual al total de Reactivos en el grupo de edad ",$O$98),"")</f>
        <v>* El total de procesados debe ser mayor o igual al total de Reactivos en el grupo de edad 10 - 14</v>
      </c>
      <c r="CM100" s="2077" t="str">
        <f>IF(Q100&lt;R100,CONCATENATE("* El total de procesados debe ser mayor o igual al total de Reactivos en el grupo de edad ",$Q$98),"")</f>
        <v>* El total de procesados debe ser mayor o igual al total de Reactivos en el grupo de edad 15 - 19</v>
      </c>
      <c r="CN100" s="2077" t="str">
        <f>IF(S100&lt;T100,CONCATENATE("* El total de procesados debe ser mayor o igual al total de Reactivos en el grupo de edad ",$S$98),"")</f>
        <v>* El total de procesados debe ser mayor o igual al total de Reactivos en el grupo de edad 20 - 24</v>
      </c>
      <c r="CO100" s="2077" t="str">
        <f>IF(U100&lt;V100,CONCATENATE("* El total de procesados debe ser mayor o igual al total de Reactivos en el grupo de edad ",$U$98),"")</f>
        <v>* El total de procesados debe ser mayor o igual al total de Reactivos en el grupo de edad 25 a 29</v>
      </c>
      <c r="CP100" s="2077" t="str">
        <f>IF(W100&lt;X100,CONCATENATE("* El total de procesados debe ser mayor o igual al total de Reactivos en el grupo de edad ",$W$98),"")</f>
        <v>* El total de procesados debe ser mayor o igual al total de Reactivos en el grupo de edad 30 a 34</v>
      </c>
      <c r="CQ100" s="2077" t="str">
        <f>IF(Y100&lt;Z100,CONCATENATE("* El total de procesados debe ser mayor o igual al total de Reactivos en el grupo de edad ",$Y$98),"")</f>
        <v>* El total de procesados debe ser mayor o igual al total de Reactivos en el grupo de edad 35 a 39</v>
      </c>
      <c r="CR100" s="2077" t="str">
        <f>IF(AA100&lt;AB100,CONCATENATE("* El total de procesados debe ser mayor o igual al total de Reactivos en el grupo de edad ",$AA$98),"")</f>
        <v>* El total de procesados debe ser mayor o igual al total de Reactivos en el grupo de edad 40 a 44</v>
      </c>
      <c r="CS100" s="2077" t="str">
        <f>IF(AC100&lt;AD100,CONCATENATE("* El total de procesados debe ser mayor o igual al total de Reactivos en el grupo de edad ",$AC$98),"")</f>
        <v>* El total de procesados debe ser mayor o igual al total de Reactivos en el grupo de edad 45 a 49</v>
      </c>
      <c r="CT100" s="2077" t="str">
        <f>IF(AE100&lt;AF100,CONCATENATE("* El total de procesados debe ser mayor o igual al total de Reactivos en el grupo de edad ",$AE$98),"")</f>
        <v>* El total de procesados debe ser mayor o igual al total de Reactivos en el grupo de edad 50 a 54</v>
      </c>
      <c r="CU100" s="2077" t="str">
        <f>IF(AG100&lt;AH100,CONCATENATE("* El total de procesados debe ser mayor o igual al total de Reactivos en el grupo de edad ",$AG$98),"")</f>
        <v>* El total de procesados debe ser mayor o igual al total de Reactivos en el grupo de edad 55 a 59</v>
      </c>
      <c r="CV100" s="2077" t="str">
        <f>IF(AI100&lt;AJ100,CONCATENATE("* El total de procesados debe ser mayor o igual al total de Reactivos en el grupo de edad ",$AI$98),"")</f>
        <v>* El total de procesados debe ser mayor o igual al total de Reactivos en el grupo de edad 60 a 64</v>
      </c>
      <c r="CW100" s="2077" t="str">
        <f>IF(AK100&lt;AL100,CONCATENATE("* El total de procesados debe ser mayor o igual al total de Reactivos en el grupo de edad ",$AK$98),"")</f>
        <v>* El total de procesados debe ser mayor o igual al total de Reactivos en el grupo de edad 65 a 69</v>
      </c>
      <c r="CX100" s="2077" t="str">
        <f>IF(AM100&lt;AN100,CONCATENATE("* El total de procesados debe ser mayor o igual al total de Reactivos en el grupo de edad ",$AM$98),"")</f>
        <v>* El total de procesados debe ser mayor o igual al total de Reactivos en el grupo de edad 70 a 74</v>
      </c>
      <c r="CY100" s="2077" t="str">
        <f>IF(AO100&lt;AP100,CONCATENATE("* El total de procesados debe ser mayor o igual al total de Reactivos en el grupo de edad ",$AO$98),"")</f>
        <v>* El total de procesados debe ser mayor o igual al total de Reactivos en el grupo de edad 75 a 79</v>
      </c>
      <c r="CZ100" s="2077" t="str">
        <f>IF(AQ100&lt;AR100,CONCATENATE("* El total de procesados debe ser mayor o igual al total de Reactivos en el grupo de edad ",$AQ$98),"")</f>
        <v>* El total de procesados debe ser mayor o igual al total de Reactivos en el grupo de edad 80 y más</v>
      </c>
      <c r="DA100" s="2077" t="str">
        <f t="shared" ref="DA100:DA117" si="218">IF(AND(C100&lt;&gt;0,OR(AU100="",AV100="",AW100="",AX100="")),"* No olvide digitar la columna Trans y/o Pueblos Originarios y/o Migrantes (Digite Cero si no tiene). ","")</f>
        <v/>
      </c>
      <c r="DB100" s="1363">
        <f t="shared" ref="DB100:DB117" si="219">IF(C100&lt;   D100,1,0)</f>
        <v>1</v>
      </c>
      <c r="DC100" s="1363" t="e">
        <f t="shared" ref="DC100:DC117" si="220">IF(C100&lt;&gt; AS100+AT100,1,0)</f>
        <v>#VALUE!</v>
      </c>
      <c r="DD100" s="1363" t="e">
        <f t="shared" ref="DD100:DD117" si="221">IF(C100&lt;  AU100+AV100,1,0)</f>
        <v>#VALUE!</v>
      </c>
      <c r="DE100" s="1363">
        <f t="shared" ref="DE100:DE117" si="222">IF(C100&lt;  AW100,1,0)</f>
        <v>1</v>
      </c>
      <c r="DF100" s="1363">
        <f t="shared" ref="DF100:DF117" si="223">IF(C100&lt;  AX100,1,0)</f>
        <v>1</v>
      </c>
      <c r="DG100" s="1363">
        <f t="shared" ref="DG100:DG117" si="224">IF(E100&lt;F100,1,0)</f>
        <v>1</v>
      </c>
      <c r="DH100" s="1363">
        <f t="shared" ref="DH100:DH117" si="225">IF(G100&lt;H100,1,0)</f>
        <v>1</v>
      </c>
      <c r="DI100" s="1363">
        <f t="shared" ref="DI100:DI117" si="226">IF(I100&lt;J100,1,0)</f>
        <v>1</v>
      </c>
      <c r="DJ100" s="1363">
        <f t="shared" ref="DJ100:DJ117" si="227">IF(K100&lt;L100,1,0)</f>
        <v>1</v>
      </c>
      <c r="DK100" s="1363">
        <f t="shared" ref="DK100:DK117" si="228">IF(M100&lt;N100,1,0)</f>
        <v>1</v>
      </c>
      <c r="DL100" s="1363">
        <f t="shared" ref="DL100:DL117" si="229">IF(O100&lt;P100,1,0)</f>
        <v>1</v>
      </c>
      <c r="DM100" s="1363">
        <f t="shared" ref="DM100:DM117" si="230">IF(Q100&lt;R100,1,0)</f>
        <v>1</v>
      </c>
      <c r="DN100" s="1363">
        <f t="shared" ref="DN100:DN117" si="231">IF(S100&lt;T100,1,0)</f>
        <v>1</v>
      </c>
      <c r="DO100" s="1363">
        <f t="shared" ref="DO100:DO117" si="232">IF(U100&lt;V100,1,0)</f>
        <v>1</v>
      </c>
      <c r="DP100" s="1363">
        <f t="shared" ref="DP100:DP117" si="233">IF(W100&lt;X100,1,0)</f>
        <v>1</v>
      </c>
      <c r="DQ100" s="1363">
        <f t="shared" ref="DQ100:DQ117" si="234">IF(Y100&lt;Z100,1,0)</f>
        <v>1</v>
      </c>
      <c r="DR100" s="1363">
        <f t="shared" ref="DR100:DR117" si="235">IF(AA100&lt;AB100,1,0)</f>
        <v>1</v>
      </c>
      <c r="DS100" s="1363">
        <f t="shared" ref="DS100:DS117" si="236">IF(AC100&lt;AD100,1,0)</f>
        <v>1</v>
      </c>
      <c r="DT100" s="1363">
        <f t="shared" ref="DT100:DT117" si="237">IF(AE100&lt;AF100,1,0)</f>
        <v>1</v>
      </c>
      <c r="DU100" s="1363">
        <f t="shared" ref="DU100:DU117" si="238">IF(AG100&lt;AH100,1,0)</f>
        <v>1</v>
      </c>
      <c r="DV100" s="1363">
        <f t="shared" ref="DV100:DV117" si="239">IF(AI100&lt;AJ100,1,0)</f>
        <v>1</v>
      </c>
      <c r="DW100" s="1363">
        <f t="shared" ref="DW100:DW117" si="240">IF(AK100&lt;AL100,1,0)</f>
        <v>1</v>
      </c>
      <c r="DX100" s="1363">
        <f t="shared" ref="DX100:DX117" si="241">IF(AM100&lt;AN100,1,0)</f>
        <v>1</v>
      </c>
      <c r="DY100" s="1363">
        <f t="shared" ref="DY100:DY117" si="242">IF(AO100&lt;AP100,1,0)</f>
        <v>1</v>
      </c>
      <c r="DZ100" s="1363">
        <f t="shared" ref="DZ100:DZ117" si="243">IF(AQ100&lt;AR100,1,0)</f>
        <v>1</v>
      </c>
      <c r="EA100" s="1363">
        <f t="shared" ref="EA100:EA117" si="244">IF(AND(C100&lt;&gt;0,OR(AU100="",AV100="",AW100="",AX100="")),1,0)</f>
        <v>0</v>
      </c>
    </row>
    <row r="101" spans="1:131" ht="16.350000000000001" customHeight="1" x14ac:dyDescent="0.25">
      <c r="A101" s="2458">
        <v>11056437</v>
      </c>
      <c r="B101" s="107" t="s">
        <v>2260</v>
      </c>
      <c r="C101" s="707" t="s">
        <v>2777</v>
      </c>
      <c r="D101" s="281" t="s">
        <v>2778</v>
      </c>
      <c r="E101" s="161" t="s">
        <v>2779</v>
      </c>
      <c r="F101" s="145" t="s">
        <v>2780</v>
      </c>
      <c r="G101" s="173" t="s">
        <v>2781</v>
      </c>
      <c r="H101" s="145" t="s">
        <v>2782</v>
      </c>
      <c r="I101" s="173" t="s">
        <v>2783</v>
      </c>
      <c r="J101" s="145" t="s">
        <v>2784</v>
      </c>
      <c r="K101" s="173" t="s">
        <v>2785</v>
      </c>
      <c r="L101" s="145" t="s">
        <v>2786</v>
      </c>
      <c r="M101" s="173" t="s">
        <v>2787</v>
      </c>
      <c r="N101" s="162" t="s">
        <v>2788</v>
      </c>
      <c r="O101" s="180" t="s">
        <v>2789</v>
      </c>
      <c r="P101" s="142" t="s">
        <v>2790</v>
      </c>
      <c r="Q101" s="141" t="s">
        <v>2791</v>
      </c>
      <c r="R101" s="142" t="s">
        <v>2792</v>
      </c>
      <c r="S101" s="141" t="s">
        <v>2793</v>
      </c>
      <c r="T101" s="142" t="s">
        <v>2794</v>
      </c>
      <c r="U101" s="141" t="s">
        <v>2795</v>
      </c>
      <c r="V101" s="142" t="s">
        <v>2796</v>
      </c>
      <c r="W101" s="141" t="s">
        <v>2797</v>
      </c>
      <c r="X101" s="142" t="s">
        <v>2798</v>
      </c>
      <c r="Y101" s="141" t="s">
        <v>2799</v>
      </c>
      <c r="Z101" s="142" t="s">
        <v>2800</v>
      </c>
      <c r="AA101" s="141" t="s">
        <v>2801</v>
      </c>
      <c r="AB101" s="142" t="s">
        <v>2817</v>
      </c>
      <c r="AC101" s="141" t="s">
        <v>2818</v>
      </c>
      <c r="AD101" s="142" t="s">
        <v>2819</v>
      </c>
      <c r="AE101" s="141" t="s">
        <v>2821</v>
      </c>
      <c r="AF101" s="142" t="s">
        <v>2822</v>
      </c>
      <c r="AG101" s="141" t="s">
        <v>2823</v>
      </c>
      <c r="AH101" s="142" t="s">
        <v>2824</v>
      </c>
      <c r="AI101" s="141" t="s">
        <v>2825</v>
      </c>
      <c r="AJ101" s="142" t="s">
        <v>2826</v>
      </c>
      <c r="AK101" s="141" t="s">
        <v>2827</v>
      </c>
      <c r="AL101" s="142" t="s">
        <v>2831</v>
      </c>
      <c r="AM101" s="141" t="s">
        <v>2832</v>
      </c>
      <c r="AN101" s="142" t="s">
        <v>2833</v>
      </c>
      <c r="AO101" s="141" t="s">
        <v>2834</v>
      </c>
      <c r="AP101" s="142" t="s">
        <v>3011</v>
      </c>
      <c r="AQ101" s="141" t="s">
        <v>3012</v>
      </c>
      <c r="AR101" s="318" t="s">
        <v>3013</v>
      </c>
      <c r="AS101" s="1703" t="s">
        <v>3014</v>
      </c>
      <c r="AT101" s="318" t="s">
        <v>3015</v>
      </c>
      <c r="AU101" s="180" t="s">
        <v>3206</v>
      </c>
      <c r="AV101" s="142" t="s">
        <v>3207</v>
      </c>
      <c r="AW101" s="141" t="s">
        <v>3272</v>
      </c>
      <c r="AX101" s="163" t="s">
        <v>3273</v>
      </c>
      <c r="AY101" s="1079" t="e">
        <f t="shared" si="212"/>
        <v>#VALUE!</v>
      </c>
      <c r="AZ101" s="1079"/>
      <c r="BA101" s="1079"/>
      <c r="BB101" s="1079"/>
      <c r="BC101" s="1079"/>
      <c r="BD101" s="1079"/>
      <c r="BE101" s="1079"/>
      <c r="BF101" s="1079"/>
      <c r="BG101" s="1079"/>
      <c r="BH101" s="1079"/>
      <c r="BI101" s="1079"/>
      <c r="BJ101" s="884"/>
      <c r="BK101" s="884"/>
      <c r="BL101" s="884"/>
      <c r="BM101" s="884"/>
      <c r="BV101" s="884"/>
      <c r="BX101" s="885"/>
      <c r="CB101" s="2077" t="str">
        <f t="shared" si="213"/>
        <v xml:space="preserve">* El total de Reactivos NO DEBE ser superior al total de Procesados. </v>
      </c>
      <c r="CC101" s="2077" t="e">
        <f t="shared" si="214"/>
        <v>#VALUE!</v>
      </c>
      <c r="CD101" s="2077" t="e">
        <f t="shared" si="215"/>
        <v>#VALUE!</v>
      </c>
      <c r="CE101" s="2077" t="str">
        <f t="shared" si="216"/>
        <v xml:space="preserve">* La columna Pueblos Originarios NO DEBE ser superior al total de Procesados. </v>
      </c>
      <c r="CF101" s="2077" t="str">
        <f t="shared" si="217"/>
        <v xml:space="preserve">* La columna Migrantes NO DEBE ser superior al total de Procesados. </v>
      </c>
      <c r="CG101" s="2077" t="str">
        <f t="shared" ref="CG101:CG117" si="245">IF(E101&lt;F101,CONCATENATE("* El total de procesados debe ser mayor o igual al total de Reactivos en el grupo de edad ",$E$98),"")</f>
        <v>* El total de procesados debe ser mayor o igual al total de Reactivos en el grupo de edad Menor de 6 meses</v>
      </c>
      <c r="CH101" s="2077" t="str">
        <f t="shared" ref="CH101:CH117" si="246">IF(G101&lt;H101,CONCATENATE("* El total de procesados debe ser mayor o igual al total de Reactivos en el grupo de edad ",$G$98),"")</f>
        <v>* El total de procesados debe ser mayor o igual al total de Reactivos en el grupo de edad 6 a 11 meses</v>
      </c>
      <c r="CI101" s="2077" t="str">
        <f t="shared" ref="CI101:CI117" si="247">IF(I101&lt;J101,CONCATENATE("* El total de procesados debe ser mayor o igual al total de Reactivos en el grupo de edad ",$I$98),"")</f>
        <v>* El total de procesados debe ser mayor o igual al total de Reactivos en el grupo de edad 12-24 meses</v>
      </c>
      <c r="CJ101" s="2077" t="str">
        <f t="shared" ref="CJ101:CJ117" si="248">IF(K101&lt;L101,CONCATENATE("* El total de procesados debe ser mayor o igual al total de Reactivos en el grupo de edad ",$K$98),"")</f>
        <v>* El total de procesados debe ser mayor o igual al total de Reactivos en el grupo de edad 3 a 4</v>
      </c>
      <c r="CK101" s="2077" t="str">
        <f t="shared" ref="CK101:CK117" si="249">IF(M101&lt;N101,CONCATENATE("* El total de procesados debe ser mayor o igual al total de Reactivos en el grupo de edad ",$M$98),"")</f>
        <v>* El total de procesados debe ser mayor o igual al total de Reactivos en el grupo de edad 5 a 9</v>
      </c>
      <c r="CL101" s="2077" t="str">
        <f t="shared" ref="CL101:CL117" si="250">IF(O101&lt;P101,CONCATENATE("* El total de procesados debe ser mayor o igual al total de Reactivos en el grupo de edad ",$O$98),"")</f>
        <v>* El total de procesados debe ser mayor o igual al total de Reactivos en el grupo de edad 10 - 14</v>
      </c>
      <c r="CM101" s="2077" t="str">
        <f t="shared" ref="CM101:CM117" si="251">IF(Q101&lt;R101,CONCATENATE("* El total de procesados debe ser mayor o igual al total de Reactivos en el grupo de edad ",$Q$98),"")</f>
        <v>* El total de procesados debe ser mayor o igual al total de Reactivos en el grupo de edad 15 - 19</v>
      </c>
      <c r="CN101" s="2077" t="str">
        <f t="shared" ref="CN101:CN117" si="252">IF(S101&lt;T101,CONCATENATE("* El total de procesados debe ser mayor o igual al total de Reactivos en el grupo de edad ",$S$98),"")</f>
        <v>* El total de procesados debe ser mayor o igual al total de Reactivos en el grupo de edad 20 - 24</v>
      </c>
      <c r="CO101" s="2077" t="str">
        <f t="shared" ref="CO101:CO117" si="253">IF(U101&lt;V101,CONCATENATE("* El total de procesados debe ser mayor o igual al total de Reactivos en el grupo de edad ",$U$98),"")</f>
        <v>* El total de procesados debe ser mayor o igual al total de Reactivos en el grupo de edad 25 a 29</v>
      </c>
      <c r="CP101" s="2077" t="str">
        <f t="shared" ref="CP101:CP117" si="254">IF(W101&lt;X101,CONCATENATE("* El total de procesados debe ser mayor o igual al total de Reactivos en el grupo de edad ",$W$98),"")</f>
        <v>* El total de procesados debe ser mayor o igual al total de Reactivos en el grupo de edad 30 a 34</v>
      </c>
      <c r="CQ101" s="2077" t="str">
        <f t="shared" ref="CQ101:CQ117" si="255">IF(Y101&lt;Z101,CONCATENATE("* El total de procesados debe ser mayor o igual al total de Reactivos en el grupo de edad ",$Y$98),"")</f>
        <v>* El total de procesados debe ser mayor o igual al total de Reactivos en el grupo de edad 35 a 39</v>
      </c>
      <c r="CR101" s="2077" t="str">
        <f t="shared" ref="CR101:CR117" si="256">IF(AA101&lt;AB101,CONCATENATE("* El total de procesados debe ser mayor o igual al total de Reactivos en el grupo de edad ",$AA$98),"")</f>
        <v>* El total de procesados debe ser mayor o igual al total de Reactivos en el grupo de edad 40 a 44</v>
      </c>
      <c r="CS101" s="2077" t="str">
        <f t="shared" ref="CS101:CS117" si="257">IF(AC101&lt;AD101,CONCATENATE("* El total de procesados debe ser mayor o igual al total de Reactivos en el grupo de edad ",$AC$98),"")</f>
        <v>* El total de procesados debe ser mayor o igual al total de Reactivos en el grupo de edad 45 a 49</v>
      </c>
      <c r="CT101" s="2077" t="str">
        <f t="shared" ref="CT101:CT117" si="258">IF(AE101&lt;AF101,CONCATENATE("* El total de procesados debe ser mayor o igual al total de Reactivos en el grupo de edad ",$AE$98),"")</f>
        <v>* El total de procesados debe ser mayor o igual al total de Reactivos en el grupo de edad 50 a 54</v>
      </c>
      <c r="CU101" s="2077" t="str">
        <f t="shared" ref="CU101:CU117" si="259">IF(AG101&lt;AH101,CONCATENATE("* El total de procesados debe ser mayor o igual al total de Reactivos en el grupo de edad ",$AG$98),"")</f>
        <v>* El total de procesados debe ser mayor o igual al total de Reactivos en el grupo de edad 55 a 59</v>
      </c>
      <c r="CV101" s="2077" t="str">
        <f t="shared" ref="CV101:CV117" si="260">IF(AI101&lt;AJ101,CONCATENATE("* El total de procesados debe ser mayor o igual al total de Reactivos en el grupo de edad ",$AI$98),"")</f>
        <v>* El total de procesados debe ser mayor o igual al total de Reactivos en el grupo de edad 60 a 64</v>
      </c>
      <c r="CW101" s="2077" t="str">
        <f t="shared" ref="CW101:CW117" si="261">IF(AK101&lt;AL101,CONCATENATE("* El total de procesados debe ser mayor o igual al total de Reactivos en el grupo de edad ",$AK$98),"")</f>
        <v>* El total de procesados debe ser mayor o igual al total de Reactivos en el grupo de edad 65 a 69</v>
      </c>
      <c r="CX101" s="2077" t="str">
        <f t="shared" ref="CX101:CX117" si="262">IF(AM101&lt;AN101,CONCATENATE("* El total de procesados debe ser mayor o igual al total de Reactivos en el grupo de edad ",$AM$98),"")</f>
        <v>* El total de procesados debe ser mayor o igual al total de Reactivos en el grupo de edad 70 a 74</v>
      </c>
      <c r="CY101" s="2077" t="str">
        <f t="shared" ref="CY101:CY117" si="263">IF(AO101&lt;AP101,CONCATENATE("* El total de procesados debe ser mayor o igual al total de Reactivos en el grupo de edad ",$AO$98),"")</f>
        <v>* El total de procesados debe ser mayor o igual al total de Reactivos en el grupo de edad 75 a 79</v>
      </c>
      <c r="CZ101" s="2077" t="str">
        <f t="shared" ref="CZ101:CZ117" si="264">IF(AQ101&lt;AR101,CONCATENATE("* El total de procesados debe ser mayor o igual al total de Reactivos en el grupo de edad ",$AQ$98),"")</f>
        <v>* El total de procesados debe ser mayor o igual al total de Reactivos en el grupo de edad 80 y más</v>
      </c>
      <c r="DA101" s="2077" t="str">
        <f t="shared" si="218"/>
        <v/>
      </c>
      <c r="DB101" s="1363">
        <f t="shared" si="219"/>
        <v>1</v>
      </c>
      <c r="DC101" s="1363" t="e">
        <f t="shared" si="220"/>
        <v>#VALUE!</v>
      </c>
      <c r="DD101" s="1363" t="e">
        <f t="shared" si="221"/>
        <v>#VALUE!</v>
      </c>
      <c r="DE101" s="1363">
        <f t="shared" si="222"/>
        <v>1</v>
      </c>
      <c r="DF101" s="1363">
        <f t="shared" si="223"/>
        <v>1</v>
      </c>
      <c r="DG101" s="1363">
        <f t="shared" si="224"/>
        <v>1</v>
      </c>
      <c r="DH101" s="1363">
        <f t="shared" si="225"/>
        <v>1</v>
      </c>
      <c r="DI101" s="1363">
        <f t="shared" si="226"/>
        <v>1</v>
      </c>
      <c r="DJ101" s="1363">
        <f t="shared" si="227"/>
        <v>1</v>
      </c>
      <c r="DK101" s="1363">
        <f t="shared" si="228"/>
        <v>1</v>
      </c>
      <c r="DL101" s="1363">
        <f t="shared" si="229"/>
        <v>1</v>
      </c>
      <c r="DM101" s="1363">
        <f t="shared" si="230"/>
        <v>1</v>
      </c>
      <c r="DN101" s="1363">
        <f t="shared" si="231"/>
        <v>1</v>
      </c>
      <c r="DO101" s="1363">
        <f t="shared" si="232"/>
        <v>1</v>
      </c>
      <c r="DP101" s="1363">
        <f t="shared" si="233"/>
        <v>1</v>
      </c>
      <c r="DQ101" s="1363">
        <f t="shared" si="234"/>
        <v>1</v>
      </c>
      <c r="DR101" s="1363">
        <f t="shared" si="235"/>
        <v>1</v>
      </c>
      <c r="DS101" s="1363">
        <f t="shared" si="236"/>
        <v>1</v>
      </c>
      <c r="DT101" s="1363">
        <f t="shared" si="237"/>
        <v>1</v>
      </c>
      <c r="DU101" s="1363">
        <f t="shared" si="238"/>
        <v>1</v>
      </c>
      <c r="DV101" s="1363">
        <f t="shared" si="239"/>
        <v>1</v>
      </c>
      <c r="DW101" s="1363">
        <f t="shared" si="240"/>
        <v>1</v>
      </c>
      <c r="DX101" s="1363">
        <f t="shared" si="241"/>
        <v>1</v>
      </c>
      <c r="DY101" s="1363">
        <f t="shared" si="242"/>
        <v>1</v>
      </c>
      <c r="DZ101" s="1363">
        <f t="shared" si="243"/>
        <v>1</v>
      </c>
      <c r="EA101" s="1363">
        <f t="shared" si="244"/>
        <v>0</v>
      </c>
    </row>
    <row r="102" spans="1:131" ht="16.350000000000001" customHeight="1" x14ac:dyDescent="0.25">
      <c r="A102" s="2458">
        <v>11056438</v>
      </c>
      <c r="B102" s="107" t="s">
        <v>2261</v>
      </c>
      <c r="C102" s="707" t="s">
        <v>2777</v>
      </c>
      <c r="D102" s="281" t="s">
        <v>2778</v>
      </c>
      <c r="E102" s="161" t="s">
        <v>2779</v>
      </c>
      <c r="F102" s="145" t="s">
        <v>2780</v>
      </c>
      <c r="G102" s="173" t="s">
        <v>2781</v>
      </c>
      <c r="H102" s="145" t="s">
        <v>2782</v>
      </c>
      <c r="I102" s="173" t="s">
        <v>2783</v>
      </c>
      <c r="J102" s="145" t="s">
        <v>2784</v>
      </c>
      <c r="K102" s="173" t="s">
        <v>2785</v>
      </c>
      <c r="L102" s="145" t="s">
        <v>2786</v>
      </c>
      <c r="M102" s="173" t="s">
        <v>2787</v>
      </c>
      <c r="N102" s="162" t="s">
        <v>2788</v>
      </c>
      <c r="O102" s="180" t="s">
        <v>2789</v>
      </c>
      <c r="P102" s="142" t="s">
        <v>2790</v>
      </c>
      <c r="Q102" s="141" t="s">
        <v>2791</v>
      </c>
      <c r="R102" s="142" t="s">
        <v>2792</v>
      </c>
      <c r="S102" s="141" t="s">
        <v>2793</v>
      </c>
      <c r="T102" s="142" t="s">
        <v>2794</v>
      </c>
      <c r="U102" s="141" t="s">
        <v>2795</v>
      </c>
      <c r="V102" s="142" t="s">
        <v>2796</v>
      </c>
      <c r="W102" s="141" t="s">
        <v>2797</v>
      </c>
      <c r="X102" s="142" t="s">
        <v>2798</v>
      </c>
      <c r="Y102" s="141" t="s">
        <v>2799</v>
      </c>
      <c r="Z102" s="142" t="s">
        <v>2800</v>
      </c>
      <c r="AA102" s="141" t="s">
        <v>2801</v>
      </c>
      <c r="AB102" s="142" t="s">
        <v>2817</v>
      </c>
      <c r="AC102" s="141" t="s">
        <v>2818</v>
      </c>
      <c r="AD102" s="142" t="s">
        <v>2819</v>
      </c>
      <c r="AE102" s="141" t="s">
        <v>2821</v>
      </c>
      <c r="AF102" s="142" t="s">
        <v>2822</v>
      </c>
      <c r="AG102" s="141" t="s">
        <v>2823</v>
      </c>
      <c r="AH102" s="142" t="s">
        <v>2824</v>
      </c>
      <c r="AI102" s="141" t="s">
        <v>2825</v>
      </c>
      <c r="AJ102" s="142" t="s">
        <v>2826</v>
      </c>
      <c r="AK102" s="141" t="s">
        <v>2827</v>
      </c>
      <c r="AL102" s="142" t="s">
        <v>2831</v>
      </c>
      <c r="AM102" s="141" t="s">
        <v>2832</v>
      </c>
      <c r="AN102" s="142" t="s">
        <v>2833</v>
      </c>
      <c r="AO102" s="141" t="s">
        <v>2834</v>
      </c>
      <c r="AP102" s="142" t="s">
        <v>3011</v>
      </c>
      <c r="AQ102" s="141" t="s">
        <v>3012</v>
      </c>
      <c r="AR102" s="318" t="s">
        <v>3013</v>
      </c>
      <c r="AS102" s="1703" t="s">
        <v>3014</v>
      </c>
      <c r="AT102" s="318" t="s">
        <v>3015</v>
      </c>
      <c r="AU102" s="180" t="s">
        <v>3206</v>
      </c>
      <c r="AV102" s="142" t="s">
        <v>3207</v>
      </c>
      <c r="AW102" s="141" t="s">
        <v>3272</v>
      </c>
      <c r="AX102" s="163" t="s">
        <v>3273</v>
      </c>
      <c r="AY102" s="1079" t="e">
        <f t="shared" si="212"/>
        <v>#VALUE!</v>
      </c>
      <c r="AZ102" s="1079"/>
      <c r="BA102" s="1079"/>
      <c r="BB102" s="1079"/>
      <c r="BC102" s="1079"/>
      <c r="BD102" s="1079"/>
      <c r="BE102" s="1079"/>
      <c r="BF102" s="1079"/>
      <c r="BG102" s="1079"/>
      <c r="BH102" s="1079"/>
      <c r="BI102" s="1079"/>
      <c r="BJ102" s="884"/>
      <c r="BK102" s="884"/>
      <c r="BL102" s="884"/>
      <c r="BM102" s="884"/>
      <c r="BV102" s="884"/>
      <c r="BX102" s="885"/>
      <c r="CB102" s="2077" t="str">
        <f t="shared" si="213"/>
        <v xml:space="preserve">* El total de Reactivos NO DEBE ser superior al total de Procesados. </v>
      </c>
      <c r="CC102" s="2077" t="e">
        <f t="shared" si="214"/>
        <v>#VALUE!</v>
      </c>
      <c r="CD102" s="2077" t="e">
        <f t="shared" si="215"/>
        <v>#VALUE!</v>
      </c>
      <c r="CE102" s="2077" t="str">
        <f t="shared" si="216"/>
        <v xml:space="preserve">* La columna Pueblos Originarios NO DEBE ser superior al total de Procesados. </v>
      </c>
      <c r="CF102" s="2077" t="str">
        <f t="shared" si="217"/>
        <v xml:space="preserve">* La columna Migrantes NO DEBE ser superior al total de Procesados. </v>
      </c>
      <c r="CG102" s="2077" t="str">
        <f t="shared" si="245"/>
        <v>* El total de procesados debe ser mayor o igual al total de Reactivos en el grupo de edad Menor de 6 meses</v>
      </c>
      <c r="CH102" s="2077" t="str">
        <f t="shared" si="246"/>
        <v>* El total de procesados debe ser mayor o igual al total de Reactivos en el grupo de edad 6 a 11 meses</v>
      </c>
      <c r="CI102" s="2077" t="str">
        <f t="shared" si="247"/>
        <v>* El total de procesados debe ser mayor o igual al total de Reactivos en el grupo de edad 12-24 meses</v>
      </c>
      <c r="CJ102" s="2077" t="str">
        <f t="shared" si="248"/>
        <v>* El total de procesados debe ser mayor o igual al total de Reactivos en el grupo de edad 3 a 4</v>
      </c>
      <c r="CK102" s="2077" t="str">
        <f t="shared" si="249"/>
        <v>* El total de procesados debe ser mayor o igual al total de Reactivos en el grupo de edad 5 a 9</v>
      </c>
      <c r="CL102" s="2077" t="str">
        <f t="shared" si="250"/>
        <v>* El total de procesados debe ser mayor o igual al total de Reactivos en el grupo de edad 10 - 14</v>
      </c>
      <c r="CM102" s="2077" t="str">
        <f t="shared" si="251"/>
        <v>* El total de procesados debe ser mayor o igual al total de Reactivos en el grupo de edad 15 - 19</v>
      </c>
      <c r="CN102" s="2077" t="str">
        <f t="shared" si="252"/>
        <v>* El total de procesados debe ser mayor o igual al total de Reactivos en el grupo de edad 20 - 24</v>
      </c>
      <c r="CO102" s="2077" t="str">
        <f t="shared" si="253"/>
        <v>* El total de procesados debe ser mayor o igual al total de Reactivos en el grupo de edad 25 a 29</v>
      </c>
      <c r="CP102" s="2077" t="str">
        <f t="shared" si="254"/>
        <v>* El total de procesados debe ser mayor o igual al total de Reactivos en el grupo de edad 30 a 34</v>
      </c>
      <c r="CQ102" s="2077" t="str">
        <f t="shared" si="255"/>
        <v>* El total de procesados debe ser mayor o igual al total de Reactivos en el grupo de edad 35 a 39</v>
      </c>
      <c r="CR102" s="2077" t="str">
        <f t="shared" si="256"/>
        <v>* El total de procesados debe ser mayor o igual al total de Reactivos en el grupo de edad 40 a 44</v>
      </c>
      <c r="CS102" s="2077" t="str">
        <f t="shared" si="257"/>
        <v>* El total de procesados debe ser mayor o igual al total de Reactivos en el grupo de edad 45 a 49</v>
      </c>
      <c r="CT102" s="2077" t="str">
        <f t="shared" si="258"/>
        <v>* El total de procesados debe ser mayor o igual al total de Reactivos en el grupo de edad 50 a 54</v>
      </c>
      <c r="CU102" s="2077" t="str">
        <f t="shared" si="259"/>
        <v>* El total de procesados debe ser mayor o igual al total de Reactivos en el grupo de edad 55 a 59</v>
      </c>
      <c r="CV102" s="2077" t="str">
        <f t="shared" si="260"/>
        <v>* El total de procesados debe ser mayor o igual al total de Reactivos en el grupo de edad 60 a 64</v>
      </c>
      <c r="CW102" s="2077" t="str">
        <f t="shared" si="261"/>
        <v>* El total de procesados debe ser mayor o igual al total de Reactivos en el grupo de edad 65 a 69</v>
      </c>
      <c r="CX102" s="2077" t="str">
        <f t="shared" si="262"/>
        <v>* El total de procesados debe ser mayor o igual al total de Reactivos en el grupo de edad 70 a 74</v>
      </c>
      <c r="CY102" s="2077" t="str">
        <f t="shared" si="263"/>
        <v>* El total de procesados debe ser mayor o igual al total de Reactivos en el grupo de edad 75 a 79</v>
      </c>
      <c r="CZ102" s="2077" t="str">
        <f t="shared" si="264"/>
        <v>* El total de procesados debe ser mayor o igual al total de Reactivos en el grupo de edad 80 y más</v>
      </c>
      <c r="DA102" s="2077" t="str">
        <f t="shared" si="218"/>
        <v/>
      </c>
      <c r="DB102" s="1363">
        <f t="shared" si="219"/>
        <v>1</v>
      </c>
      <c r="DC102" s="1363" t="e">
        <f t="shared" si="220"/>
        <v>#VALUE!</v>
      </c>
      <c r="DD102" s="1363" t="e">
        <f t="shared" si="221"/>
        <v>#VALUE!</v>
      </c>
      <c r="DE102" s="1363">
        <f t="shared" si="222"/>
        <v>1</v>
      </c>
      <c r="DF102" s="1363">
        <f t="shared" si="223"/>
        <v>1</v>
      </c>
      <c r="DG102" s="1363">
        <f t="shared" si="224"/>
        <v>1</v>
      </c>
      <c r="DH102" s="1363">
        <f t="shared" si="225"/>
        <v>1</v>
      </c>
      <c r="DI102" s="1363">
        <f t="shared" si="226"/>
        <v>1</v>
      </c>
      <c r="DJ102" s="1363">
        <f t="shared" si="227"/>
        <v>1</v>
      </c>
      <c r="DK102" s="1363">
        <f t="shared" si="228"/>
        <v>1</v>
      </c>
      <c r="DL102" s="1363">
        <f t="shared" si="229"/>
        <v>1</v>
      </c>
      <c r="DM102" s="1363">
        <f t="shared" si="230"/>
        <v>1</v>
      </c>
      <c r="DN102" s="1363">
        <f t="shared" si="231"/>
        <v>1</v>
      </c>
      <c r="DO102" s="1363">
        <f t="shared" si="232"/>
        <v>1</v>
      </c>
      <c r="DP102" s="1363">
        <f t="shared" si="233"/>
        <v>1</v>
      </c>
      <c r="DQ102" s="1363">
        <f t="shared" si="234"/>
        <v>1</v>
      </c>
      <c r="DR102" s="1363">
        <f t="shared" si="235"/>
        <v>1</v>
      </c>
      <c r="DS102" s="1363">
        <f t="shared" si="236"/>
        <v>1</v>
      </c>
      <c r="DT102" s="1363">
        <f t="shared" si="237"/>
        <v>1</v>
      </c>
      <c r="DU102" s="1363">
        <f t="shared" si="238"/>
        <v>1</v>
      </c>
      <c r="DV102" s="1363">
        <f t="shared" si="239"/>
        <v>1</v>
      </c>
      <c r="DW102" s="1363">
        <f t="shared" si="240"/>
        <v>1</v>
      </c>
      <c r="DX102" s="1363">
        <f t="shared" si="241"/>
        <v>1</v>
      </c>
      <c r="DY102" s="1363">
        <f t="shared" si="242"/>
        <v>1</v>
      </c>
      <c r="DZ102" s="1363">
        <f t="shared" si="243"/>
        <v>1</v>
      </c>
      <c r="EA102" s="1363">
        <f t="shared" si="244"/>
        <v>0</v>
      </c>
    </row>
    <row r="103" spans="1:131" ht="16.350000000000001" customHeight="1" x14ac:dyDescent="0.25">
      <c r="A103" s="2458">
        <v>11056439</v>
      </c>
      <c r="B103" s="107" t="s">
        <v>2262</v>
      </c>
      <c r="C103" s="707" t="s">
        <v>2777</v>
      </c>
      <c r="D103" s="281" t="s">
        <v>2778</v>
      </c>
      <c r="E103" s="161" t="s">
        <v>2779</v>
      </c>
      <c r="F103" s="145" t="s">
        <v>2780</v>
      </c>
      <c r="G103" s="173" t="s">
        <v>2781</v>
      </c>
      <c r="H103" s="145" t="s">
        <v>2782</v>
      </c>
      <c r="I103" s="173" t="s">
        <v>2783</v>
      </c>
      <c r="J103" s="145" t="s">
        <v>2784</v>
      </c>
      <c r="K103" s="173" t="s">
        <v>2785</v>
      </c>
      <c r="L103" s="145" t="s">
        <v>2786</v>
      </c>
      <c r="M103" s="173" t="s">
        <v>2787</v>
      </c>
      <c r="N103" s="162" t="s">
        <v>2788</v>
      </c>
      <c r="O103" s="180" t="s">
        <v>2789</v>
      </c>
      <c r="P103" s="142" t="s">
        <v>2790</v>
      </c>
      <c r="Q103" s="141" t="s">
        <v>2791</v>
      </c>
      <c r="R103" s="142" t="s">
        <v>2792</v>
      </c>
      <c r="S103" s="141" t="s">
        <v>2793</v>
      </c>
      <c r="T103" s="142" t="s">
        <v>2794</v>
      </c>
      <c r="U103" s="141" t="s">
        <v>2795</v>
      </c>
      <c r="V103" s="142" t="s">
        <v>2796</v>
      </c>
      <c r="W103" s="141" t="s">
        <v>2797</v>
      </c>
      <c r="X103" s="142" t="s">
        <v>2798</v>
      </c>
      <c r="Y103" s="141" t="s">
        <v>2799</v>
      </c>
      <c r="Z103" s="142" t="s">
        <v>2800</v>
      </c>
      <c r="AA103" s="141" t="s">
        <v>2801</v>
      </c>
      <c r="AB103" s="142" t="s">
        <v>2817</v>
      </c>
      <c r="AC103" s="141" t="s">
        <v>2818</v>
      </c>
      <c r="AD103" s="142" t="s">
        <v>2819</v>
      </c>
      <c r="AE103" s="141" t="s">
        <v>2821</v>
      </c>
      <c r="AF103" s="142" t="s">
        <v>2822</v>
      </c>
      <c r="AG103" s="141" t="s">
        <v>2823</v>
      </c>
      <c r="AH103" s="142" t="s">
        <v>2824</v>
      </c>
      <c r="AI103" s="141" t="s">
        <v>2825</v>
      </c>
      <c r="AJ103" s="142" t="s">
        <v>2826</v>
      </c>
      <c r="AK103" s="141" t="s">
        <v>2827</v>
      </c>
      <c r="AL103" s="142" t="s">
        <v>2831</v>
      </c>
      <c r="AM103" s="141" t="s">
        <v>2832</v>
      </c>
      <c r="AN103" s="142" t="s">
        <v>2833</v>
      </c>
      <c r="AO103" s="141" t="s">
        <v>2834</v>
      </c>
      <c r="AP103" s="142" t="s">
        <v>3011</v>
      </c>
      <c r="AQ103" s="141" t="s">
        <v>3012</v>
      </c>
      <c r="AR103" s="318" t="s">
        <v>3013</v>
      </c>
      <c r="AS103" s="1703" t="s">
        <v>3014</v>
      </c>
      <c r="AT103" s="318" t="s">
        <v>3015</v>
      </c>
      <c r="AU103" s="180" t="s">
        <v>3206</v>
      </c>
      <c r="AV103" s="142" t="s">
        <v>3207</v>
      </c>
      <c r="AW103" s="141" t="s">
        <v>3272</v>
      </c>
      <c r="AX103" s="163" t="s">
        <v>3273</v>
      </c>
      <c r="AY103" s="1079" t="e">
        <f t="shared" si="212"/>
        <v>#VALUE!</v>
      </c>
      <c r="AZ103" s="1079"/>
      <c r="BA103" s="1079"/>
      <c r="BB103" s="1079"/>
      <c r="BC103" s="1079"/>
      <c r="BD103" s="1079"/>
      <c r="BE103" s="1079"/>
      <c r="BF103" s="1079"/>
      <c r="BG103" s="1079"/>
      <c r="BH103" s="1079"/>
      <c r="BI103" s="1079"/>
      <c r="BJ103" s="884"/>
      <c r="BK103" s="884"/>
      <c r="BL103" s="884"/>
      <c r="BM103" s="884"/>
      <c r="BV103" s="884"/>
      <c r="BX103" s="885"/>
      <c r="CB103" s="2077" t="str">
        <f t="shared" si="213"/>
        <v xml:space="preserve">* El total de Reactivos NO DEBE ser superior al total de Procesados. </v>
      </c>
      <c r="CC103" s="2077" t="e">
        <f t="shared" si="214"/>
        <v>#VALUE!</v>
      </c>
      <c r="CD103" s="2077" t="e">
        <f t="shared" si="215"/>
        <v>#VALUE!</v>
      </c>
      <c r="CE103" s="2077" t="str">
        <f t="shared" si="216"/>
        <v xml:space="preserve">* La columna Pueblos Originarios NO DEBE ser superior al total de Procesados. </v>
      </c>
      <c r="CF103" s="2077" t="str">
        <f t="shared" si="217"/>
        <v xml:space="preserve">* La columna Migrantes NO DEBE ser superior al total de Procesados. </v>
      </c>
      <c r="CG103" s="2077" t="str">
        <f t="shared" si="245"/>
        <v>* El total de procesados debe ser mayor o igual al total de Reactivos en el grupo de edad Menor de 6 meses</v>
      </c>
      <c r="CH103" s="2077" t="str">
        <f t="shared" si="246"/>
        <v>* El total de procesados debe ser mayor o igual al total de Reactivos en el grupo de edad 6 a 11 meses</v>
      </c>
      <c r="CI103" s="2077" t="str">
        <f t="shared" si="247"/>
        <v>* El total de procesados debe ser mayor o igual al total de Reactivos en el grupo de edad 12-24 meses</v>
      </c>
      <c r="CJ103" s="2077" t="str">
        <f t="shared" si="248"/>
        <v>* El total de procesados debe ser mayor o igual al total de Reactivos en el grupo de edad 3 a 4</v>
      </c>
      <c r="CK103" s="2077" t="str">
        <f t="shared" si="249"/>
        <v>* El total de procesados debe ser mayor o igual al total de Reactivos en el grupo de edad 5 a 9</v>
      </c>
      <c r="CL103" s="2077" t="str">
        <f t="shared" si="250"/>
        <v>* El total de procesados debe ser mayor o igual al total de Reactivos en el grupo de edad 10 - 14</v>
      </c>
      <c r="CM103" s="2077" t="str">
        <f t="shared" si="251"/>
        <v>* El total de procesados debe ser mayor o igual al total de Reactivos en el grupo de edad 15 - 19</v>
      </c>
      <c r="CN103" s="2077" t="str">
        <f t="shared" si="252"/>
        <v>* El total de procesados debe ser mayor o igual al total de Reactivos en el grupo de edad 20 - 24</v>
      </c>
      <c r="CO103" s="2077" t="str">
        <f t="shared" si="253"/>
        <v>* El total de procesados debe ser mayor o igual al total de Reactivos en el grupo de edad 25 a 29</v>
      </c>
      <c r="CP103" s="2077" t="str">
        <f t="shared" si="254"/>
        <v>* El total de procesados debe ser mayor o igual al total de Reactivos en el grupo de edad 30 a 34</v>
      </c>
      <c r="CQ103" s="2077" t="str">
        <f t="shared" si="255"/>
        <v>* El total de procesados debe ser mayor o igual al total de Reactivos en el grupo de edad 35 a 39</v>
      </c>
      <c r="CR103" s="2077" t="str">
        <f t="shared" si="256"/>
        <v>* El total de procesados debe ser mayor o igual al total de Reactivos en el grupo de edad 40 a 44</v>
      </c>
      <c r="CS103" s="2077" t="str">
        <f t="shared" si="257"/>
        <v>* El total de procesados debe ser mayor o igual al total de Reactivos en el grupo de edad 45 a 49</v>
      </c>
      <c r="CT103" s="2077" t="str">
        <f t="shared" si="258"/>
        <v>* El total de procesados debe ser mayor o igual al total de Reactivos en el grupo de edad 50 a 54</v>
      </c>
      <c r="CU103" s="2077" t="str">
        <f t="shared" si="259"/>
        <v>* El total de procesados debe ser mayor o igual al total de Reactivos en el grupo de edad 55 a 59</v>
      </c>
      <c r="CV103" s="2077" t="str">
        <f t="shared" si="260"/>
        <v>* El total de procesados debe ser mayor o igual al total de Reactivos en el grupo de edad 60 a 64</v>
      </c>
      <c r="CW103" s="2077" t="str">
        <f t="shared" si="261"/>
        <v>* El total de procesados debe ser mayor o igual al total de Reactivos en el grupo de edad 65 a 69</v>
      </c>
      <c r="CX103" s="2077" t="str">
        <f t="shared" si="262"/>
        <v>* El total de procesados debe ser mayor o igual al total de Reactivos en el grupo de edad 70 a 74</v>
      </c>
      <c r="CY103" s="2077" t="str">
        <f t="shared" si="263"/>
        <v>* El total de procesados debe ser mayor o igual al total de Reactivos en el grupo de edad 75 a 79</v>
      </c>
      <c r="CZ103" s="2077" t="str">
        <f t="shared" si="264"/>
        <v>* El total de procesados debe ser mayor o igual al total de Reactivos en el grupo de edad 80 y más</v>
      </c>
      <c r="DA103" s="2077" t="str">
        <f t="shared" si="218"/>
        <v/>
      </c>
      <c r="DB103" s="1363">
        <f t="shared" si="219"/>
        <v>1</v>
      </c>
      <c r="DC103" s="1363" t="e">
        <f t="shared" si="220"/>
        <v>#VALUE!</v>
      </c>
      <c r="DD103" s="1363" t="e">
        <f t="shared" si="221"/>
        <v>#VALUE!</v>
      </c>
      <c r="DE103" s="1363">
        <f t="shared" si="222"/>
        <v>1</v>
      </c>
      <c r="DF103" s="1363">
        <f t="shared" si="223"/>
        <v>1</v>
      </c>
      <c r="DG103" s="1363">
        <f t="shared" si="224"/>
        <v>1</v>
      </c>
      <c r="DH103" s="1363">
        <f t="shared" si="225"/>
        <v>1</v>
      </c>
      <c r="DI103" s="1363">
        <f t="shared" si="226"/>
        <v>1</v>
      </c>
      <c r="DJ103" s="1363">
        <f t="shared" si="227"/>
        <v>1</v>
      </c>
      <c r="DK103" s="1363">
        <f t="shared" si="228"/>
        <v>1</v>
      </c>
      <c r="DL103" s="1363">
        <f t="shared" si="229"/>
        <v>1</v>
      </c>
      <c r="DM103" s="1363">
        <f t="shared" si="230"/>
        <v>1</v>
      </c>
      <c r="DN103" s="1363">
        <f t="shared" si="231"/>
        <v>1</v>
      </c>
      <c r="DO103" s="1363">
        <f t="shared" si="232"/>
        <v>1</v>
      </c>
      <c r="DP103" s="1363">
        <f t="shared" si="233"/>
        <v>1</v>
      </c>
      <c r="DQ103" s="1363">
        <f t="shared" si="234"/>
        <v>1</v>
      </c>
      <c r="DR103" s="1363">
        <f t="shared" si="235"/>
        <v>1</v>
      </c>
      <c r="DS103" s="1363">
        <f t="shared" si="236"/>
        <v>1</v>
      </c>
      <c r="DT103" s="1363">
        <f t="shared" si="237"/>
        <v>1</v>
      </c>
      <c r="DU103" s="1363">
        <f t="shared" si="238"/>
        <v>1</v>
      </c>
      <c r="DV103" s="1363">
        <f t="shared" si="239"/>
        <v>1</v>
      </c>
      <c r="DW103" s="1363">
        <f t="shared" si="240"/>
        <v>1</v>
      </c>
      <c r="DX103" s="1363">
        <f t="shared" si="241"/>
        <v>1</v>
      </c>
      <c r="DY103" s="1363">
        <f t="shared" si="242"/>
        <v>1</v>
      </c>
      <c r="DZ103" s="1363">
        <f t="shared" si="243"/>
        <v>1</v>
      </c>
      <c r="EA103" s="1363">
        <f t="shared" si="244"/>
        <v>0</v>
      </c>
    </row>
    <row r="104" spans="1:131" ht="16.350000000000001" customHeight="1" x14ac:dyDescent="0.25">
      <c r="A104" s="2458">
        <v>11056440</v>
      </c>
      <c r="B104" s="371" t="s">
        <v>2263</v>
      </c>
      <c r="C104" s="707" t="s">
        <v>2777</v>
      </c>
      <c r="D104" s="281" t="s">
        <v>2778</v>
      </c>
      <c r="E104" s="161" t="s">
        <v>2779</v>
      </c>
      <c r="F104" s="145" t="s">
        <v>2780</v>
      </c>
      <c r="G104" s="173" t="s">
        <v>2781</v>
      </c>
      <c r="H104" s="145" t="s">
        <v>2782</v>
      </c>
      <c r="I104" s="173" t="s">
        <v>2783</v>
      </c>
      <c r="J104" s="145" t="s">
        <v>2784</v>
      </c>
      <c r="K104" s="173" t="s">
        <v>2785</v>
      </c>
      <c r="L104" s="145" t="s">
        <v>2786</v>
      </c>
      <c r="M104" s="173" t="s">
        <v>2787</v>
      </c>
      <c r="N104" s="162" t="s">
        <v>2788</v>
      </c>
      <c r="O104" s="180" t="s">
        <v>2789</v>
      </c>
      <c r="P104" s="142" t="s">
        <v>2790</v>
      </c>
      <c r="Q104" s="141" t="s">
        <v>2791</v>
      </c>
      <c r="R104" s="142" t="s">
        <v>2792</v>
      </c>
      <c r="S104" s="141" t="s">
        <v>2793</v>
      </c>
      <c r="T104" s="142" t="s">
        <v>2794</v>
      </c>
      <c r="U104" s="141" t="s">
        <v>2795</v>
      </c>
      <c r="V104" s="142" t="s">
        <v>2796</v>
      </c>
      <c r="W104" s="141" t="s">
        <v>2797</v>
      </c>
      <c r="X104" s="142" t="s">
        <v>2798</v>
      </c>
      <c r="Y104" s="141" t="s">
        <v>2799</v>
      </c>
      <c r="Z104" s="142" t="s">
        <v>2800</v>
      </c>
      <c r="AA104" s="141" t="s">
        <v>2801</v>
      </c>
      <c r="AB104" s="142" t="s">
        <v>2817</v>
      </c>
      <c r="AC104" s="141" t="s">
        <v>2818</v>
      </c>
      <c r="AD104" s="142" t="s">
        <v>2819</v>
      </c>
      <c r="AE104" s="141" t="s">
        <v>2821</v>
      </c>
      <c r="AF104" s="142" t="s">
        <v>2822</v>
      </c>
      <c r="AG104" s="141" t="s">
        <v>2823</v>
      </c>
      <c r="AH104" s="142" t="s">
        <v>2824</v>
      </c>
      <c r="AI104" s="141" t="s">
        <v>2825</v>
      </c>
      <c r="AJ104" s="142" t="s">
        <v>2826</v>
      </c>
      <c r="AK104" s="141" t="s">
        <v>2827</v>
      </c>
      <c r="AL104" s="142" t="s">
        <v>2831</v>
      </c>
      <c r="AM104" s="141" t="s">
        <v>2832</v>
      </c>
      <c r="AN104" s="142" t="s">
        <v>2833</v>
      </c>
      <c r="AO104" s="141" t="s">
        <v>2834</v>
      </c>
      <c r="AP104" s="142" t="s">
        <v>3011</v>
      </c>
      <c r="AQ104" s="141" t="s">
        <v>3012</v>
      </c>
      <c r="AR104" s="318" t="s">
        <v>3013</v>
      </c>
      <c r="AS104" s="1703" t="s">
        <v>3014</v>
      </c>
      <c r="AT104" s="318" t="s">
        <v>3015</v>
      </c>
      <c r="AU104" s="180" t="s">
        <v>3206</v>
      </c>
      <c r="AV104" s="142" t="s">
        <v>3207</v>
      </c>
      <c r="AW104" s="141" t="s">
        <v>3272</v>
      </c>
      <c r="AX104" s="163" t="s">
        <v>3273</v>
      </c>
      <c r="AY104" s="1079" t="e">
        <f t="shared" si="212"/>
        <v>#VALUE!</v>
      </c>
      <c r="AZ104" s="1079"/>
      <c r="BA104" s="1079"/>
      <c r="BB104" s="1079"/>
      <c r="BC104" s="1079"/>
      <c r="BD104" s="1079"/>
      <c r="BE104" s="1079"/>
      <c r="BF104" s="1079"/>
      <c r="BG104" s="1079"/>
      <c r="BH104" s="1079"/>
      <c r="BI104" s="1079"/>
      <c r="BJ104" s="884"/>
      <c r="BK104" s="884"/>
      <c r="BL104" s="884"/>
      <c r="BM104" s="884"/>
      <c r="BV104" s="884"/>
      <c r="BX104" s="885"/>
      <c r="CB104" s="2077" t="str">
        <f t="shared" si="213"/>
        <v xml:space="preserve">* El total de Reactivos NO DEBE ser superior al total de Procesados. </v>
      </c>
      <c r="CC104" s="2077" t="e">
        <f t="shared" si="214"/>
        <v>#VALUE!</v>
      </c>
      <c r="CD104" s="2077" t="e">
        <f t="shared" si="215"/>
        <v>#VALUE!</v>
      </c>
      <c r="CE104" s="2077" t="str">
        <f t="shared" si="216"/>
        <v xml:space="preserve">* La columna Pueblos Originarios NO DEBE ser superior al total de Procesados. </v>
      </c>
      <c r="CF104" s="2077" t="str">
        <f t="shared" si="217"/>
        <v xml:space="preserve">* La columna Migrantes NO DEBE ser superior al total de Procesados. </v>
      </c>
      <c r="CG104" s="2077" t="str">
        <f t="shared" si="245"/>
        <v>* El total de procesados debe ser mayor o igual al total de Reactivos en el grupo de edad Menor de 6 meses</v>
      </c>
      <c r="CH104" s="2077" t="str">
        <f t="shared" si="246"/>
        <v>* El total de procesados debe ser mayor o igual al total de Reactivos en el grupo de edad 6 a 11 meses</v>
      </c>
      <c r="CI104" s="2077" t="str">
        <f t="shared" si="247"/>
        <v>* El total de procesados debe ser mayor o igual al total de Reactivos en el grupo de edad 12-24 meses</v>
      </c>
      <c r="CJ104" s="2077" t="str">
        <f t="shared" si="248"/>
        <v>* El total de procesados debe ser mayor o igual al total de Reactivos en el grupo de edad 3 a 4</v>
      </c>
      <c r="CK104" s="2077" t="str">
        <f t="shared" si="249"/>
        <v>* El total de procesados debe ser mayor o igual al total de Reactivos en el grupo de edad 5 a 9</v>
      </c>
      <c r="CL104" s="2077" t="str">
        <f t="shared" si="250"/>
        <v>* El total de procesados debe ser mayor o igual al total de Reactivos en el grupo de edad 10 - 14</v>
      </c>
      <c r="CM104" s="2077" t="str">
        <f t="shared" si="251"/>
        <v>* El total de procesados debe ser mayor o igual al total de Reactivos en el grupo de edad 15 - 19</v>
      </c>
      <c r="CN104" s="2077" t="str">
        <f t="shared" si="252"/>
        <v>* El total de procesados debe ser mayor o igual al total de Reactivos en el grupo de edad 20 - 24</v>
      </c>
      <c r="CO104" s="2077" t="str">
        <f t="shared" si="253"/>
        <v>* El total de procesados debe ser mayor o igual al total de Reactivos en el grupo de edad 25 a 29</v>
      </c>
      <c r="CP104" s="2077" t="str">
        <f t="shared" si="254"/>
        <v>* El total de procesados debe ser mayor o igual al total de Reactivos en el grupo de edad 30 a 34</v>
      </c>
      <c r="CQ104" s="2077" t="str">
        <f t="shared" si="255"/>
        <v>* El total de procesados debe ser mayor o igual al total de Reactivos en el grupo de edad 35 a 39</v>
      </c>
      <c r="CR104" s="2077" t="str">
        <f t="shared" si="256"/>
        <v>* El total de procesados debe ser mayor o igual al total de Reactivos en el grupo de edad 40 a 44</v>
      </c>
      <c r="CS104" s="2077" t="str">
        <f t="shared" si="257"/>
        <v>* El total de procesados debe ser mayor o igual al total de Reactivos en el grupo de edad 45 a 49</v>
      </c>
      <c r="CT104" s="2077" t="str">
        <f t="shared" si="258"/>
        <v>* El total de procesados debe ser mayor o igual al total de Reactivos en el grupo de edad 50 a 54</v>
      </c>
      <c r="CU104" s="2077" t="str">
        <f t="shared" si="259"/>
        <v>* El total de procesados debe ser mayor o igual al total de Reactivos en el grupo de edad 55 a 59</v>
      </c>
      <c r="CV104" s="2077" t="str">
        <f t="shared" si="260"/>
        <v>* El total de procesados debe ser mayor o igual al total de Reactivos en el grupo de edad 60 a 64</v>
      </c>
      <c r="CW104" s="2077" t="str">
        <f t="shared" si="261"/>
        <v>* El total de procesados debe ser mayor o igual al total de Reactivos en el grupo de edad 65 a 69</v>
      </c>
      <c r="CX104" s="2077" t="str">
        <f t="shared" si="262"/>
        <v>* El total de procesados debe ser mayor o igual al total de Reactivos en el grupo de edad 70 a 74</v>
      </c>
      <c r="CY104" s="2077" t="str">
        <f t="shared" si="263"/>
        <v>* El total de procesados debe ser mayor o igual al total de Reactivos en el grupo de edad 75 a 79</v>
      </c>
      <c r="CZ104" s="2077" t="str">
        <f t="shared" si="264"/>
        <v>* El total de procesados debe ser mayor o igual al total de Reactivos en el grupo de edad 80 y más</v>
      </c>
      <c r="DA104" s="2077" t="str">
        <f t="shared" si="218"/>
        <v/>
      </c>
      <c r="DB104" s="1363">
        <f t="shared" si="219"/>
        <v>1</v>
      </c>
      <c r="DC104" s="1363" t="e">
        <f t="shared" si="220"/>
        <v>#VALUE!</v>
      </c>
      <c r="DD104" s="1363" t="e">
        <f t="shared" si="221"/>
        <v>#VALUE!</v>
      </c>
      <c r="DE104" s="1363">
        <f t="shared" si="222"/>
        <v>1</v>
      </c>
      <c r="DF104" s="1363">
        <f t="shared" si="223"/>
        <v>1</v>
      </c>
      <c r="DG104" s="1363">
        <f t="shared" si="224"/>
        <v>1</v>
      </c>
      <c r="DH104" s="1363">
        <f t="shared" si="225"/>
        <v>1</v>
      </c>
      <c r="DI104" s="1363">
        <f t="shared" si="226"/>
        <v>1</v>
      </c>
      <c r="DJ104" s="1363">
        <f t="shared" si="227"/>
        <v>1</v>
      </c>
      <c r="DK104" s="1363">
        <f t="shared" si="228"/>
        <v>1</v>
      </c>
      <c r="DL104" s="1363">
        <f t="shared" si="229"/>
        <v>1</v>
      </c>
      <c r="DM104" s="1363">
        <f t="shared" si="230"/>
        <v>1</v>
      </c>
      <c r="DN104" s="1363">
        <f t="shared" si="231"/>
        <v>1</v>
      </c>
      <c r="DO104" s="1363">
        <f t="shared" si="232"/>
        <v>1</v>
      </c>
      <c r="DP104" s="1363">
        <f t="shared" si="233"/>
        <v>1</v>
      </c>
      <c r="DQ104" s="1363">
        <f t="shared" si="234"/>
        <v>1</v>
      </c>
      <c r="DR104" s="1363">
        <f t="shared" si="235"/>
        <v>1</v>
      </c>
      <c r="DS104" s="1363">
        <f t="shared" si="236"/>
        <v>1</v>
      </c>
      <c r="DT104" s="1363">
        <f t="shared" si="237"/>
        <v>1</v>
      </c>
      <c r="DU104" s="1363">
        <f t="shared" si="238"/>
        <v>1</v>
      </c>
      <c r="DV104" s="1363">
        <f t="shared" si="239"/>
        <v>1</v>
      </c>
      <c r="DW104" s="1363">
        <f t="shared" si="240"/>
        <v>1</v>
      </c>
      <c r="DX104" s="1363">
        <f t="shared" si="241"/>
        <v>1</v>
      </c>
      <c r="DY104" s="1363">
        <f t="shared" si="242"/>
        <v>1</v>
      </c>
      <c r="DZ104" s="1363">
        <f t="shared" si="243"/>
        <v>1</v>
      </c>
      <c r="EA104" s="1363">
        <f t="shared" si="244"/>
        <v>0</v>
      </c>
    </row>
    <row r="105" spans="1:131" ht="15.95" customHeight="1" x14ac:dyDescent="0.25">
      <c r="A105" s="2458">
        <v>11056441</v>
      </c>
      <c r="B105" s="371" t="s">
        <v>2264</v>
      </c>
      <c r="C105" s="707" t="s">
        <v>2777</v>
      </c>
      <c r="D105" s="281" t="s">
        <v>2778</v>
      </c>
      <c r="E105" s="161" t="s">
        <v>2779</v>
      </c>
      <c r="F105" s="145" t="s">
        <v>2780</v>
      </c>
      <c r="G105" s="173" t="s">
        <v>2781</v>
      </c>
      <c r="H105" s="145" t="s">
        <v>2782</v>
      </c>
      <c r="I105" s="173" t="s">
        <v>2783</v>
      </c>
      <c r="J105" s="145" t="s">
        <v>2784</v>
      </c>
      <c r="K105" s="173" t="s">
        <v>2785</v>
      </c>
      <c r="L105" s="145" t="s">
        <v>2786</v>
      </c>
      <c r="M105" s="173" t="s">
        <v>2787</v>
      </c>
      <c r="N105" s="162" t="s">
        <v>2788</v>
      </c>
      <c r="O105" s="180" t="s">
        <v>2789</v>
      </c>
      <c r="P105" s="142" t="s">
        <v>2790</v>
      </c>
      <c r="Q105" s="141" t="s">
        <v>2791</v>
      </c>
      <c r="R105" s="142" t="s">
        <v>2792</v>
      </c>
      <c r="S105" s="141" t="s">
        <v>2793</v>
      </c>
      <c r="T105" s="142" t="s">
        <v>2794</v>
      </c>
      <c r="U105" s="141" t="s">
        <v>2795</v>
      </c>
      <c r="V105" s="142" t="s">
        <v>2796</v>
      </c>
      <c r="W105" s="141" t="s">
        <v>2797</v>
      </c>
      <c r="X105" s="142" t="s">
        <v>2798</v>
      </c>
      <c r="Y105" s="141" t="s">
        <v>2799</v>
      </c>
      <c r="Z105" s="142" t="s">
        <v>2800</v>
      </c>
      <c r="AA105" s="141" t="s">
        <v>2801</v>
      </c>
      <c r="AB105" s="142" t="s">
        <v>2817</v>
      </c>
      <c r="AC105" s="141" t="s">
        <v>2818</v>
      </c>
      <c r="AD105" s="142" t="s">
        <v>2819</v>
      </c>
      <c r="AE105" s="141" t="s">
        <v>2821</v>
      </c>
      <c r="AF105" s="142" t="s">
        <v>2822</v>
      </c>
      <c r="AG105" s="141" t="s">
        <v>2823</v>
      </c>
      <c r="AH105" s="142" t="s">
        <v>2824</v>
      </c>
      <c r="AI105" s="141" t="s">
        <v>2825</v>
      </c>
      <c r="AJ105" s="142" t="s">
        <v>2826</v>
      </c>
      <c r="AK105" s="141" t="s">
        <v>2827</v>
      </c>
      <c r="AL105" s="142" t="s">
        <v>2831</v>
      </c>
      <c r="AM105" s="141" t="s">
        <v>2832</v>
      </c>
      <c r="AN105" s="142" t="s">
        <v>2833</v>
      </c>
      <c r="AO105" s="141" t="s">
        <v>2834</v>
      </c>
      <c r="AP105" s="142" t="s">
        <v>3011</v>
      </c>
      <c r="AQ105" s="141" t="s">
        <v>3012</v>
      </c>
      <c r="AR105" s="318" t="s">
        <v>3013</v>
      </c>
      <c r="AS105" s="180" t="s">
        <v>3014</v>
      </c>
      <c r="AT105" s="318" t="s">
        <v>3015</v>
      </c>
      <c r="AU105" s="180" t="s">
        <v>3206</v>
      </c>
      <c r="AV105" s="142" t="s">
        <v>3207</v>
      </c>
      <c r="AW105" s="141" t="s">
        <v>3272</v>
      </c>
      <c r="AX105" s="163" t="s">
        <v>3273</v>
      </c>
      <c r="AY105" s="1079" t="e">
        <f t="shared" si="212"/>
        <v>#VALUE!</v>
      </c>
      <c r="AZ105" s="1079"/>
      <c r="BA105" s="1079"/>
      <c r="BB105" s="1079"/>
      <c r="BC105" s="1079"/>
      <c r="BD105" s="1079"/>
      <c r="BE105" s="1079"/>
      <c r="BF105" s="1079"/>
      <c r="BG105" s="1079"/>
      <c r="BH105" s="1079"/>
      <c r="BI105" s="1079"/>
      <c r="BJ105" s="884"/>
      <c r="BK105" s="884"/>
      <c r="BL105" s="884"/>
      <c r="BM105" s="884"/>
      <c r="BV105" s="884"/>
      <c r="BX105" s="885"/>
      <c r="CB105" s="2077" t="str">
        <f t="shared" si="213"/>
        <v xml:space="preserve">* El total de Reactivos NO DEBE ser superior al total de Procesados. </v>
      </c>
      <c r="CC105" s="2077" t="e">
        <f t="shared" si="214"/>
        <v>#VALUE!</v>
      </c>
      <c r="CD105" s="2077" t="e">
        <f t="shared" si="215"/>
        <v>#VALUE!</v>
      </c>
      <c r="CE105" s="2077" t="str">
        <f t="shared" si="216"/>
        <v xml:space="preserve">* La columna Pueblos Originarios NO DEBE ser superior al total de Procesados. </v>
      </c>
      <c r="CF105" s="2077" t="str">
        <f t="shared" si="217"/>
        <v xml:space="preserve">* La columna Migrantes NO DEBE ser superior al total de Procesados. </v>
      </c>
      <c r="CG105" s="2077" t="str">
        <f t="shared" si="245"/>
        <v>* El total de procesados debe ser mayor o igual al total de Reactivos en el grupo de edad Menor de 6 meses</v>
      </c>
      <c r="CH105" s="2077" t="str">
        <f t="shared" si="246"/>
        <v>* El total de procesados debe ser mayor o igual al total de Reactivos en el grupo de edad 6 a 11 meses</v>
      </c>
      <c r="CI105" s="2077" t="str">
        <f t="shared" si="247"/>
        <v>* El total de procesados debe ser mayor o igual al total de Reactivos en el grupo de edad 12-24 meses</v>
      </c>
      <c r="CJ105" s="2077" t="str">
        <f t="shared" si="248"/>
        <v>* El total de procesados debe ser mayor o igual al total de Reactivos en el grupo de edad 3 a 4</v>
      </c>
      <c r="CK105" s="2077" t="str">
        <f t="shared" si="249"/>
        <v>* El total de procesados debe ser mayor o igual al total de Reactivos en el grupo de edad 5 a 9</v>
      </c>
      <c r="CL105" s="2077" t="str">
        <f t="shared" si="250"/>
        <v>* El total de procesados debe ser mayor o igual al total de Reactivos en el grupo de edad 10 - 14</v>
      </c>
      <c r="CM105" s="2077" t="str">
        <f t="shared" si="251"/>
        <v>* El total de procesados debe ser mayor o igual al total de Reactivos en el grupo de edad 15 - 19</v>
      </c>
      <c r="CN105" s="2077" t="str">
        <f t="shared" si="252"/>
        <v>* El total de procesados debe ser mayor o igual al total de Reactivos en el grupo de edad 20 - 24</v>
      </c>
      <c r="CO105" s="2077" t="str">
        <f t="shared" si="253"/>
        <v>* El total de procesados debe ser mayor o igual al total de Reactivos en el grupo de edad 25 a 29</v>
      </c>
      <c r="CP105" s="2077" t="str">
        <f t="shared" si="254"/>
        <v>* El total de procesados debe ser mayor o igual al total de Reactivos en el grupo de edad 30 a 34</v>
      </c>
      <c r="CQ105" s="2077" t="str">
        <f t="shared" si="255"/>
        <v>* El total de procesados debe ser mayor o igual al total de Reactivos en el grupo de edad 35 a 39</v>
      </c>
      <c r="CR105" s="2077" t="str">
        <f t="shared" si="256"/>
        <v>* El total de procesados debe ser mayor o igual al total de Reactivos en el grupo de edad 40 a 44</v>
      </c>
      <c r="CS105" s="2077" t="str">
        <f t="shared" si="257"/>
        <v>* El total de procesados debe ser mayor o igual al total de Reactivos en el grupo de edad 45 a 49</v>
      </c>
      <c r="CT105" s="2077" t="str">
        <f t="shared" si="258"/>
        <v>* El total de procesados debe ser mayor o igual al total de Reactivos en el grupo de edad 50 a 54</v>
      </c>
      <c r="CU105" s="2077" t="str">
        <f t="shared" si="259"/>
        <v>* El total de procesados debe ser mayor o igual al total de Reactivos en el grupo de edad 55 a 59</v>
      </c>
      <c r="CV105" s="2077" t="str">
        <f t="shared" si="260"/>
        <v>* El total de procesados debe ser mayor o igual al total de Reactivos en el grupo de edad 60 a 64</v>
      </c>
      <c r="CW105" s="2077" t="str">
        <f t="shared" si="261"/>
        <v>* El total de procesados debe ser mayor o igual al total de Reactivos en el grupo de edad 65 a 69</v>
      </c>
      <c r="CX105" s="2077" t="str">
        <f t="shared" si="262"/>
        <v>* El total de procesados debe ser mayor o igual al total de Reactivos en el grupo de edad 70 a 74</v>
      </c>
      <c r="CY105" s="2077" t="str">
        <f t="shared" si="263"/>
        <v>* El total de procesados debe ser mayor o igual al total de Reactivos en el grupo de edad 75 a 79</v>
      </c>
      <c r="CZ105" s="2077" t="str">
        <f t="shared" si="264"/>
        <v>* El total de procesados debe ser mayor o igual al total de Reactivos en el grupo de edad 80 y más</v>
      </c>
      <c r="DA105" s="2077" t="str">
        <f t="shared" si="218"/>
        <v/>
      </c>
      <c r="DB105" s="1363">
        <f t="shared" si="219"/>
        <v>1</v>
      </c>
      <c r="DC105" s="1363" t="e">
        <f t="shared" si="220"/>
        <v>#VALUE!</v>
      </c>
      <c r="DD105" s="1363" t="e">
        <f t="shared" si="221"/>
        <v>#VALUE!</v>
      </c>
      <c r="DE105" s="1363">
        <f t="shared" si="222"/>
        <v>1</v>
      </c>
      <c r="DF105" s="1363">
        <f t="shared" si="223"/>
        <v>1</v>
      </c>
      <c r="DG105" s="1363">
        <f t="shared" si="224"/>
        <v>1</v>
      </c>
      <c r="DH105" s="1363">
        <f t="shared" si="225"/>
        <v>1</v>
      </c>
      <c r="DI105" s="1363">
        <f t="shared" si="226"/>
        <v>1</v>
      </c>
      <c r="DJ105" s="1363">
        <f t="shared" si="227"/>
        <v>1</v>
      </c>
      <c r="DK105" s="1363">
        <f t="shared" si="228"/>
        <v>1</v>
      </c>
      <c r="DL105" s="1363">
        <f t="shared" si="229"/>
        <v>1</v>
      </c>
      <c r="DM105" s="1363">
        <f t="shared" si="230"/>
        <v>1</v>
      </c>
      <c r="DN105" s="1363">
        <f t="shared" si="231"/>
        <v>1</v>
      </c>
      <c r="DO105" s="1363">
        <f t="shared" si="232"/>
        <v>1</v>
      </c>
      <c r="DP105" s="1363">
        <f t="shared" si="233"/>
        <v>1</v>
      </c>
      <c r="DQ105" s="1363">
        <f t="shared" si="234"/>
        <v>1</v>
      </c>
      <c r="DR105" s="1363">
        <f t="shared" si="235"/>
        <v>1</v>
      </c>
      <c r="DS105" s="1363">
        <f t="shared" si="236"/>
        <v>1</v>
      </c>
      <c r="DT105" s="1363">
        <f t="shared" si="237"/>
        <v>1</v>
      </c>
      <c r="DU105" s="1363">
        <f t="shared" si="238"/>
        <v>1</v>
      </c>
      <c r="DV105" s="1363">
        <f t="shared" si="239"/>
        <v>1</v>
      </c>
      <c r="DW105" s="1363">
        <f t="shared" si="240"/>
        <v>1</v>
      </c>
      <c r="DX105" s="1363">
        <f t="shared" si="241"/>
        <v>1</v>
      </c>
      <c r="DY105" s="1363">
        <f t="shared" si="242"/>
        <v>1</v>
      </c>
      <c r="DZ105" s="1363">
        <f t="shared" si="243"/>
        <v>1</v>
      </c>
      <c r="EA105" s="1363">
        <f t="shared" si="244"/>
        <v>0</v>
      </c>
    </row>
    <row r="106" spans="1:131" ht="21" customHeight="1" x14ac:dyDescent="0.25">
      <c r="A106" s="2458">
        <v>11056442</v>
      </c>
      <c r="B106" s="3095" t="s">
        <v>2265</v>
      </c>
      <c r="C106" s="707" t="s">
        <v>2777</v>
      </c>
      <c r="D106" s="281" t="s">
        <v>2778</v>
      </c>
      <c r="E106" s="161" t="s">
        <v>2779</v>
      </c>
      <c r="F106" s="145" t="s">
        <v>2780</v>
      </c>
      <c r="G106" s="173" t="s">
        <v>2781</v>
      </c>
      <c r="H106" s="145" t="s">
        <v>2782</v>
      </c>
      <c r="I106" s="173" t="s">
        <v>2783</v>
      </c>
      <c r="J106" s="145" t="s">
        <v>2784</v>
      </c>
      <c r="K106" s="173" t="s">
        <v>2785</v>
      </c>
      <c r="L106" s="145" t="s">
        <v>2786</v>
      </c>
      <c r="M106" s="173" t="s">
        <v>2787</v>
      </c>
      <c r="N106" s="162" t="s">
        <v>2788</v>
      </c>
      <c r="O106" s="180" t="s">
        <v>2789</v>
      </c>
      <c r="P106" s="142" t="s">
        <v>2790</v>
      </c>
      <c r="Q106" s="141" t="s">
        <v>2791</v>
      </c>
      <c r="R106" s="142" t="s">
        <v>2792</v>
      </c>
      <c r="S106" s="141" t="s">
        <v>2793</v>
      </c>
      <c r="T106" s="142" t="s">
        <v>2794</v>
      </c>
      <c r="U106" s="141" t="s">
        <v>2795</v>
      </c>
      <c r="V106" s="142" t="s">
        <v>2796</v>
      </c>
      <c r="W106" s="141" t="s">
        <v>2797</v>
      </c>
      <c r="X106" s="142" t="s">
        <v>2798</v>
      </c>
      <c r="Y106" s="141" t="s">
        <v>2799</v>
      </c>
      <c r="Z106" s="142" t="s">
        <v>2800</v>
      </c>
      <c r="AA106" s="141" t="s">
        <v>2801</v>
      </c>
      <c r="AB106" s="142" t="s">
        <v>2817</v>
      </c>
      <c r="AC106" s="141" t="s">
        <v>2818</v>
      </c>
      <c r="AD106" s="142" t="s">
        <v>2819</v>
      </c>
      <c r="AE106" s="141" t="s">
        <v>2821</v>
      </c>
      <c r="AF106" s="142" t="s">
        <v>2822</v>
      </c>
      <c r="AG106" s="141" t="s">
        <v>2823</v>
      </c>
      <c r="AH106" s="142" t="s">
        <v>2824</v>
      </c>
      <c r="AI106" s="141" t="s">
        <v>2825</v>
      </c>
      <c r="AJ106" s="142" t="s">
        <v>2826</v>
      </c>
      <c r="AK106" s="141" t="s">
        <v>2827</v>
      </c>
      <c r="AL106" s="142" t="s">
        <v>2831</v>
      </c>
      <c r="AM106" s="141" t="s">
        <v>2832</v>
      </c>
      <c r="AN106" s="142" t="s">
        <v>2833</v>
      </c>
      <c r="AO106" s="141" t="s">
        <v>2834</v>
      </c>
      <c r="AP106" s="142" t="s">
        <v>3011</v>
      </c>
      <c r="AQ106" s="141" t="s">
        <v>3012</v>
      </c>
      <c r="AR106" s="318" t="s">
        <v>3013</v>
      </c>
      <c r="AS106" s="1703" t="s">
        <v>3014</v>
      </c>
      <c r="AT106" s="318" t="s">
        <v>3015</v>
      </c>
      <c r="AU106" s="180" t="s">
        <v>3206</v>
      </c>
      <c r="AV106" s="142" t="s">
        <v>3207</v>
      </c>
      <c r="AW106" s="141" t="s">
        <v>3272</v>
      </c>
      <c r="AX106" s="163" t="s">
        <v>3273</v>
      </c>
      <c r="AY106" s="1079" t="e">
        <f t="shared" si="212"/>
        <v>#VALUE!</v>
      </c>
      <c r="AZ106" s="1079"/>
      <c r="BA106" s="1079"/>
      <c r="BB106" s="1079"/>
      <c r="BC106" s="1079"/>
      <c r="BD106" s="1079"/>
      <c r="BE106" s="1079"/>
      <c r="BF106" s="1079"/>
      <c r="BG106" s="1079"/>
      <c r="BH106" s="1079"/>
      <c r="BI106" s="1079"/>
      <c r="BJ106" s="884"/>
      <c r="BK106" s="884"/>
      <c r="BL106" s="884"/>
      <c r="BM106" s="884"/>
      <c r="BV106" s="884"/>
      <c r="BX106" s="885"/>
      <c r="CB106" s="2077" t="str">
        <f t="shared" si="213"/>
        <v xml:space="preserve">* El total de Reactivos NO DEBE ser superior al total de Procesados. </v>
      </c>
      <c r="CC106" s="2077" t="e">
        <f t="shared" si="214"/>
        <v>#VALUE!</v>
      </c>
      <c r="CD106" s="2077" t="e">
        <f t="shared" si="215"/>
        <v>#VALUE!</v>
      </c>
      <c r="CE106" s="2077" t="str">
        <f t="shared" si="216"/>
        <v xml:space="preserve">* La columna Pueblos Originarios NO DEBE ser superior al total de Procesados. </v>
      </c>
      <c r="CF106" s="2077" t="str">
        <f t="shared" si="217"/>
        <v xml:space="preserve">* La columna Migrantes NO DEBE ser superior al total de Procesados. </v>
      </c>
      <c r="CG106" s="2077" t="str">
        <f t="shared" si="245"/>
        <v>* El total de procesados debe ser mayor o igual al total de Reactivos en el grupo de edad Menor de 6 meses</v>
      </c>
      <c r="CH106" s="2077" t="str">
        <f t="shared" si="246"/>
        <v>* El total de procesados debe ser mayor o igual al total de Reactivos en el grupo de edad 6 a 11 meses</v>
      </c>
      <c r="CI106" s="2077" t="str">
        <f t="shared" si="247"/>
        <v>* El total de procesados debe ser mayor o igual al total de Reactivos en el grupo de edad 12-24 meses</v>
      </c>
      <c r="CJ106" s="2077" t="str">
        <f t="shared" si="248"/>
        <v>* El total de procesados debe ser mayor o igual al total de Reactivos en el grupo de edad 3 a 4</v>
      </c>
      <c r="CK106" s="2077" t="str">
        <f t="shared" si="249"/>
        <v>* El total de procesados debe ser mayor o igual al total de Reactivos en el grupo de edad 5 a 9</v>
      </c>
      <c r="CL106" s="2077" t="str">
        <f t="shared" si="250"/>
        <v>* El total de procesados debe ser mayor o igual al total de Reactivos en el grupo de edad 10 - 14</v>
      </c>
      <c r="CM106" s="2077" t="str">
        <f t="shared" si="251"/>
        <v>* El total de procesados debe ser mayor o igual al total de Reactivos en el grupo de edad 15 - 19</v>
      </c>
      <c r="CN106" s="2077" t="str">
        <f t="shared" si="252"/>
        <v>* El total de procesados debe ser mayor o igual al total de Reactivos en el grupo de edad 20 - 24</v>
      </c>
      <c r="CO106" s="2077" t="str">
        <f t="shared" si="253"/>
        <v>* El total de procesados debe ser mayor o igual al total de Reactivos en el grupo de edad 25 a 29</v>
      </c>
      <c r="CP106" s="2077" t="str">
        <f t="shared" si="254"/>
        <v>* El total de procesados debe ser mayor o igual al total de Reactivos en el grupo de edad 30 a 34</v>
      </c>
      <c r="CQ106" s="2077" t="str">
        <f t="shared" si="255"/>
        <v>* El total de procesados debe ser mayor o igual al total de Reactivos en el grupo de edad 35 a 39</v>
      </c>
      <c r="CR106" s="2077" t="str">
        <f t="shared" si="256"/>
        <v>* El total de procesados debe ser mayor o igual al total de Reactivos en el grupo de edad 40 a 44</v>
      </c>
      <c r="CS106" s="2077" t="str">
        <f t="shared" si="257"/>
        <v>* El total de procesados debe ser mayor o igual al total de Reactivos en el grupo de edad 45 a 49</v>
      </c>
      <c r="CT106" s="2077" t="str">
        <f t="shared" si="258"/>
        <v>* El total de procesados debe ser mayor o igual al total de Reactivos en el grupo de edad 50 a 54</v>
      </c>
      <c r="CU106" s="2077" t="str">
        <f t="shared" si="259"/>
        <v>* El total de procesados debe ser mayor o igual al total de Reactivos en el grupo de edad 55 a 59</v>
      </c>
      <c r="CV106" s="2077" t="str">
        <f t="shared" si="260"/>
        <v>* El total de procesados debe ser mayor o igual al total de Reactivos en el grupo de edad 60 a 64</v>
      </c>
      <c r="CW106" s="2077" t="str">
        <f t="shared" si="261"/>
        <v>* El total de procesados debe ser mayor o igual al total de Reactivos en el grupo de edad 65 a 69</v>
      </c>
      <c r="CX106" s="2077" t="str">
        <f t="shared" si="262"/>
        <v>* El total de procesados debe ser mayor o igual al total de Reactivos en el grupo de edad 70 a 74</v>
      </c>
      <c r="CY106" s="2077" t="str">
        <f t="shared" si="263"/>
        <v>* El total de procesados debe ser mayor o igual al total de Reactivos en el grupo de edad 75 a 79</v>
      </c>
      <c r="CZ106" s="2077" t="str">
        <f t="shared" si="264"/>
        <v>* El total de procesados debe ser mayor o igual al total de Reactivos en el grupo de edad 80 y más</v>
      </c>
      <c r="DA106" s="2077" t="str">
        <f t="shared" si="218"/>
        <v/>
      </c>
      <c r="DB106" s="1363">
        <f t="shared" si="219"/>
        <v>1</v>
      </c>
      <c r="DC106" s="1363" t="e">
        <f t="shared" si="220"/>
        <v>#VALUE!</v>
      </c>
      <c r="DD106" s="1363" t="e">
        <f t="shared" si="221"/>
        <v>#VALUE!</v>
      </c>
      <c r="DE106" s="1363">
        <f t="shared" si="222"/>
        <v>1</v>
      </c>
      <c r="DF106" s="1363">
        <f t="shared" si="223"/>
        <v>1</v>
      </c>
      <c r="DG106" s="1363">
        <f t="shared" si="224"/>
        <v>1</v>
      </c>
      <c r="DH106" s="1363">
        <f t="shared" si="225"/>
        <v>1</v>
      </c>
      <c r="DI106" s="1363">
        <f t="shared" si="226"/>
        <v>1</v>
      </c>
      <c r="DJ106" s="1363">
        <f t="shared" si="227"/>
        <v>1</v>
      </c>
      <c r="DK106" s="1363">
        <f t="shared" si="228"/>
        <v>1</v>
      </c>
      <c r="DL106" s="1363">
        <f t="shared" si="229"/>
        <v>1</v>
      </c>
      <c r="DM106" s="1363">
        <f t="shared" si="230"/>
        <v>1</v>
      </c>
      <c r="DN106" s="1363">
        <f t="shared" si="231"/>
        <v>1</v>
      </c>
      <c r="DO106" s="1363">
        <f t="shared" si="232"/>
        <v>1</v>
      </c>
      <c r="DP106" s="1363">
        <f t="shared" si="233"/>
        <v>1</v>
      </c>
      <c r="DQ106" s="1363">
        <f t="shared" si="234"/>
        <v>1</v>
      </c>
      <c r="DR106" s="1363">
        <f t="shared" si="235"/>
        <v>1</v>
      </c>
      <c r="DS106" s="1363">
        <f t="shared" si="236"/>
        <v>1</v>
      </c>
      <c r="DT106" s="1363">
        <f t="shared" si="237"/>
        <v>1</v>
      </c>
      <c r="DU106" s="1363">
        <f t="shared" si="238"/>
        <v>1</v>
      </c>
      <c r="DV106" s="1363">
        <f t="shared" si="239"/>
        <v>1</v>
      </c>
      <c r="DW106" s="1363">
        <f t="shared" si="240"/>
        <v>1</v>
      </c>
      <c r="DX106" s="1363">
        <f t="shared" si="241"/>
        <v>1</v>
      </c>
      <c r="DY106" s="1363">
        <f t="shared" si="242"/>
        <v>1</v>
      </c>
      <c r="DZ106" s="1363">
        <f t="shared" si="243"/>
        <v>1</v>
      </c>
      <c r="EA106" s="1363">
        <f t="shared" si="244"/>
        <v>0</v>
      </c>
    </row>
    <row r="107" spans="1:131" ht="16.350000000000001" customHeight="1" x14ac:dyDescent="0.25">
      <c r="A107" s="2458">
        <v>11056443</v>
      </c>
      <c r="B107" s="140" t="s">
        <v>2266</v>
      </c>
      <c r="C107" s="707" t="s">
        <v>2777</v>
      </c>
      <c r="D107" s="281" t="s">
        <v>2778</v>
      </c>
      <c r="E107" s="161" t="s">
        <v>2779</v>
      </c>
      <c r="F107" s="145" t="s">
        <v>2780</v>
      </c>
      <c r="G107" s="173" t="s">
        <v>2781</v>
      </c>
      <c r="H107" s="145" t="s">
        <v>2782</v>
      </c>
      <c r="I107" s="173" t="s">
        <v>2783</v>
      </c>
      <c r="J107" s="145" t="s">
        <v>2784</v>
      </c>
      <c r="K107" s="173" t="s">
        <v>2785</v>
      </c>
      <c r="L107" s="145" t="s">
        <v>2786</v>
      </c>
      <c r="M107" s="173" t="s">
        <v>2787</v>
      </c>
      <c r="N107" s="162" t="s">
        <v>2788</v>
      </c>
      <c r="O107" s="180" t="s">
        <v>2789</v>
      </c>
      <c r="P107" s="142" t="s">
        <v>2790</v>
      </c>
      <c r="Q107" s="141" t="s">
        <v>2791</v>
      </c>
      <c r="R107" s="142" t="s">
        <v>2792</v>
      </c>
      <c r="S107" s="141" t="s">
        <v>2793</v>
      </c>
      <c r="T107" s="142" t="s">
        <v>2794</v>
      </c>
      <c r="U107" s="141" t="s">
        <v>2795</v>
      </c>
      <c r="V107" s="142" t="s">
        <v>2796</v>
      </c>
      <c r="W107" s="141" t="s">
        <v>2797</v>
      </c>
      <c r="X107" s="142" t="s">
        <v>2798</v>
      </c>
      <c r="Y107" s="141" t="s">
        <v>2799</v>
      </c>
      <c r="Z107" s="142" t="s">
        <v>2800</v>
      </c>
      <c r="AA107" s="141" t="s">
        <v>2801</v>
      </c>
      <c r="AB107" s="142" t="s">
        <v>2817</v>
      </c>
      <c r="AC107" s="141" t="s">
        <v>2818</v>
      </c>
      <c r="AD107" s="142" t="s">
        <v>2819</v>
      </c>
      <c r="AE107" s="141" t="s">
        <v>2821</v>
      </c>
      <c r="AF107" s="142" t="s">
        <v>2822</v>
      </c>
      <c r="AG107" s="141" t="s">
        <v>2823</v>
      </c>
      <c r="AH107" s="142" t="s">
        <v>2824</v>
      </c>
      <c r="AI107" s="141" t="s">
        <v>2825</v>
      </c>
      <c r="AJ107" s="142" t="s">
        <v>2826</v>
      </c>
      <c r="AK107" s="141" t="s">
        <v>2827</v>
      </c>
      <c r="AL107" s="142" t="s">
        <v>2831</v>
      </c>
      <c r="AM107" s="141" t="s">
        <v>2832</v>
      </c>
      <c r="AN107" s="142" t="s">
        <v>2833</v>
      </c>
      <c r="AO107" s="141" t="s">
        <v>2834</v>
      </c>
      <c r="AP107" s="142" t="s">
        <v>3011</v>
      </c>
      <c r="AQ107" s="141" t="s">
        <v>3012</v>
      </c>
      <c r="AR107" s="318" t="s">
        <v>3013</v>
      </c>
      <c r="AS107" s="1703" t="s">
        <v>3014</v>
      </c>
      <c r="AT107" s="318" t="s">
        <v>3015</v>
      </c>
      <c r="AU107" s="180" t="s">
        <v>3206</v>
      </c>
      <c r="AV107" s="142" t="s">
        <v>3207</v>
      </c>
      <c r="AW107" s="141" t="s">
        <v>3272</v>
      </c>
      <c r="AX107" s="163" t="s">
        <v>3273</v>
      </c>
      <c r="AY107" s="1079" t="e">
        <f t="shared" si="212"/>
        <v>#VALUE!</v>
      </c>
      <c r="AZ107" s="1079"/>
      <c r="BA107" s="1079"/>
      <c r="BB107" s="1079"/>
      <c r="BC107" s="1079"/>
      <c r="BD107" s="1079"/>
      <c r="BE107" s="1079"/>
      <c r="BF107" s="1079"/>
      <c r="BG107" s="1079"/>
      <c r="BH107" s="1079"/>
      <c r="BI107" s="1079"/>
      <c r="BJ107" s="884"/>
      <c r="BK107" s="884"/>
      <c r="BL107" s="884"/>
      <c r="BM107" s="884"/>
      <c r="BV107" s="884"/>
      <c r="BX107" s="885"/>
      <c r="CB107" s="2077" t="str">
        <f t="shared" si="213"/>
        <v xml:space="preserve">* El total de Reactivos NO DEBE ser superior al total de Procesados. </v>
      </c>
      <c r="CC107" s="2077" t="e">
        <f t="shared" si="214"/>
        <v>#VALUE!</v>
      </c>
      <c r="CD107" s="2077" t="e">
        <f t="shared" si="215"/>
        <v>#VALUE!</v>
      </c>
      <c r="CE107" s="2077" t="str">
        <f t="shared" si="216"/>
        <v xml:space="preserve">* La columna Pueblos Originarios NO DEBE ser superior al total de Procesados. </v>
      </c>
      <c r="CF107" s="2077" t="str">
        <f t="shared" si="217"/>
        <v xml:space="preserve">* La columna Migrantes NO DEBE ser superior al total de Procesados. </v>
      </c>
      <c r="CG107" s="2077" t="str">
        <f t="shared" si="245"/>
        <v>* El total de procesados debe ser mayor o igual al total de Reactivos en el grupo de edad Menor de 6 meses</v>
      </c>
      <c r="CH107" s="2077" t="str">
        <f t="shared" si="246"/>
        <v>* El total de procesados debe ser mayor o igual al total de Reactivos en el grupo de edad 6 a 11 meses</v>
      </c>
      <c r="CI107" s="2077" t="str">
        <f t="shared" si="247"/>
        <v>* El total de procesados debe ser mayor o igual al total de Reactivos en el grupo de edad 12-24 meses</v>
      </c>
      <c r="CJ107" s="2077" t="str">
        <f t="shared" si="248"/>
        <v>* El total de procesados debe ser mayor o igual al total de Reactivos en el grupo de edad 3 a 4</v>
      </c>
      <c r="CK107" s="2077" t="str">
        <f t="shared" si="249"/>
        <v>* El total de procesados debe ser mayor o igual al total de Reactivos en el grupo de edad 5 a 9</v>
      </c>
      <c r="CL107" s="2077" t="str">
        <f t="shared" si="250"/>
        <v>* El total de procesados debe ser mayor o igual al total de Reactivos en el grupo de edad 10 - 14</v>
      </c>
      <c r="CM107" s="2077" t="str">
        <f t="shared" si="251"/>
        <v>* El total de procesados debe ser mayor o igual al total de Reactivos en el grupo de edad 15 - 19</v>
      </c>
      <c r="CN107" s="2077" t="str">
        <f t="shared" si="252"/>
        <v>* El total de procesados debe ser mayor o igual al total de Reactivos en el grupo de edad 20 - 24</v>
      </c>
      <c r="CO107" s="2077" t="str">
        <f t="shared" si="253"/>
        <v>* El total de procesados debe ser mayor o igual al total de Reactivos en el grupo de edad 25 a 29</v>
      </c>
      <c r="CP107" s="2077" t="str">
        <f t="shared" si="254"/>
        <v>* El total de procesados debe ser mayor o igual al total de Reactivos en el grupo de edad 30 a 34</v>
      </c>
      <c r="CQ107" s="2077" t="str">
        <f t="shared" si="255"/>
        <v>* El total de procesados debe ser mayor o igual al total de Reactivos en el grupo de edad 35 a 39</v>
      </c>
      <c r="CR107" s="2077" t="str">
        <f t="shared" si="256"/>
        <v>* El total de procesados debe ser mayor o igual al total de Reactivos en el grupo de edad 40 a 44</v>
      </c>
      <c r="CS107" s="2077" t="str">
        <f t="shared" si="257"/>
        <v>* El total de procesados debe ser mayor o igual al total de Reactivos en el grupo de edad 45 a 49</v>
      </c>
      <c r="CT107" s="2077" t="str">
        <f t="shared" si="258"/>
        <v>* El total de procesados debe ser mayor o igual al total de Reactivos en el grupo de edad 50 a 54</v>
      </c>
      <c r="CU107" s="2077" t="str">
        <f t="shared" si="259"/>
        <v>* El total de procesados debe ser mayor o igual al total de Reactivos en el grupo de edad 55 a 59</v>
      </c>
      <c r="CV107" s="2077" t="str">
        <f t="shared" si="260"/>
        <v>* El total de procesados debe ser mayor o igual al total de Reactivos en el grupo de edad 60 a 64</v>
      </c>
      <c r="CW107" s="2077" t="str">
        <f t="shared" si="261"/>
        <v>* El total de procesados debe ser mayor o igual al total de Reactivos en el grupo de edad 65 a 69</v>
      </c>
      <c r="CX107" s="2077" t="str">
        <f t="shared" si="262"/>
        <v>* El total de procesados debe ser mayor o igual al total de Reactivos en el grupo de edad 70 a 74</v>
      </c>
      <c r="CY107" s="2077" t="str">
        <f t="shared" si="263"/>
        <v>* El total de procesados debe ser mayor o igual al total de Reactivos en el grupo de edad 75 a 79</v>
      </c>
      <c r="CZ107" s="2077" t="str">
        <f t="shared" si="264"/>
        <v>* El total de procesados debe ser mayor o igual al total de Reactivos en el grupo de edad 80 y más</v>
      </c>
      <c r="DA107" s="2077" t="str">
        <f t="shared" si="218"/>
        <v/>
      </c>
      <c r="DB107" s="1363">
        <f t="shared" si="219"/>
        <v>1</v>
      </c>
      <c r="DC107" s="1363" t="e">
        <f t="shared" si="220"/>
        <v>#VALUE!</v>
      </c>
      <c r="DD107" s="1363" t="e">
        <f t="shared" si="221"/>
        <v>#VALUE!</v>
      </c>
      <c r="DE107" s="1363">
        <f t="shared" si="222"/>
        <v>1</v>
      </c>
      <c r="DF107" s="1363">
        <f t="shared" si="223"/>
        <v>1</v>
      </c>
      <c r="DG107" s="1363">
        <f t="shared" si="224"/>
        <v>1</v>
      </c>
      <c r="DH107" s="1363">
        <f t="shared" si="225"/>
        <v>1</v>
      </c>
      <c r="DI107" s="1363">
        <f t="shared" si="226"/>
        <v>1</v>
      </c>
      <c r="DJ107" s="1363">
        <f t="shared" si="227"/>
        <v>1</v>
      </c>
      <c r="DK107" s="1363">
        <f t="shared" si="228"/>
        <v>1</v>
      </c>
      <c r="DL107" s="1363">
        <f t="shared" si="229"/>
        <v>1</v>
      </c>
      <c r="DM107" s="1363">
        <f t="shared" si="230"/>
        <v>1</v>
      </c>
      <c r="DN107" s="1363">
        <f t="shared" si="231"/>
        <v>1</v>
      </c>
      <c r="DO107" s="1363">
        <f t="shared" si="232"/>
        <v>1</v>
      </c>
      <c r="DP107" s="1363">
        <f t="shared" si="233"/>
        <v>1</v>
      </c>
      <c r="DQ107" s="1363">
        <f t="shared" si="234"/>
        <v>1</v>
      </c>
      <c r="DR107" s="1363">
        <f t="shared" si="235"/>
        <v>1</v>
      </c>
      <c r="DS107" s="1363">
        <f t="shared" si="236"/>
        <v>1</v>
      </c>
      <c r="DT107" s="1363">
        <f t="shared" si="237"/>
        <v>1</v>
      </c>
      <c r="DU107" s="1363">
        <f t="shared" si="238"/>
        <v>1</v>
      </c>
      <c r="DV107" s="1363">
        <f t="shared" si="239"/>
        <v>1</v>
      </c>
      <c r="DW107" s="1363">
        <f t="shared" si="240"/>
        <v>1</v>
      </c>
      <c r="DX107" s="1363">
        <f t="shared" si="241"/>
        <v>1</v>
      </c>
      <c r="DY107" s="1363">
        <f t="shared" si="242"/>
        <v>1</v>
      </c>
      <c r="DZ107" s="1363">
        <f t="shared" si="243"/>
        <v>1</v>
      </c>
      <c r="EA107" s="1363">
        <f t="shared" si="244"/>
        <v>0</v>
      </c>
    </row>
    <row r="108" spans="1:131" ht="16.350000000000001" customHeight="1" x14ac:dyDescent="0.25">
      <c r="A108" s="2458">
        <v>11056444</v>
      </c>
      <c r="B108" s="140" t="s">
        <v>2267</v>
      </c>
      <c r="C108" s="707" t="s">
        <v>2777</v>
      </c>
      <c r="D108" s="281" t="s">
        <v>2778</v>
      </c>
      <c r="E108" s="180" t="s">
        <v>2779</v>
      </c>
      <c r="F108" s="142" t="s">
        <v>2780</v>
      </c>
      <c r="G108" s="141" t="s">
        <v>2781</v>
      </c>
      <c r="H108" s="142" t="s">
        <v>2782</v>
      </c>
      <c r="I108" s="141" t="s">
        <v>2783</v>
      </c>
      <c r="J108" s="163" t="s">
        <v>2784</v>
      </c>
      <c r="K108" s="180" t="s">
        <v>2785</v>
      </c>
      <c r="L108" s="180" t="s">
        <v>2786</v>
      </c>
      <c r="M108" s="141" t="s">
        <v>2787</v>
      </c>
      <c r="N108" s="163" t="s">
        <v>2788</v>
      </c>
      <c r="O108" s="180" t="s">
        <v>2789</v>
      </c>
      <c r="P108" s="142" t="s">
        <v>2790</v>
      </c>
      <c r="Q108" s="141" t="s">
        <v>2791</v>
      </c>
      <c r="R108" s="142" t="s">
        <v>2792</v>
      </c>
      <c r="S108" s="141" t="s">
        <v>2793</v>
      </c>
      <c r="T108" s="142" t="s">
        <v>2794</v>
      </c>
      <c r="U108" s="141" t="s">
        <v>2795</v>
      </c>
      <c r="V108" s="142" t="s">
        <v>2796</v>
      </c>
      <c r="W108" s="141" t="s">
        <v>2797</v>
      </c>
      <c r="X108" s="142" t="s">
        <v>2798</v>
      </c>
      <c r="Y108" s="141" t="s">
        <v>2799</v>
      </c>
      <c r="Z108" s="142" t="s">
        <v>2800</v>
      </c>
      <c r="AA108" s="141" t="s">
        <v>2801</v>
      </c>
      <c r="AB108" s="142" t="s">
        <v>2817</v>
      </c>
      <c r="AC108" s="141" t="s">
        <v>2818</v>
      </c>
      <c r="AD108" s="142" t="s">
        <v>2819</v>
      </c>
      <c r="AE108" s="141" t="s">
        <v>2821</v>
      </c>
      <c r="AF108" s="142" t="s">
        <v>2822</v>
      </c>
      <c r="AG108" s="141" t="s">
        <v>2823</v>
      </c>
      <c r="AH108" s="142" t="s">
        <v>2824</v>
      </c>
      <c r="AI108" s="141" t="s">
        <v>2825</v>
      </c>
      <c r="AJ108" s="142" t="s">
        <v>2826</v>
      </c>
      <c r="AK108" s="141" t="s">
        <v>2827</v>
      </c>
      <c r="AL108" s="142" t="s">
        <v>2831</v>
      </c>
      <c r="AM108" s="141" t="s">
        <v>2832</v>
      </c>
      <c r="AN108" s="142" t="s">
        <v>2833</v>
      </c>
      <c r="AO108" s="141" t="s">
        <v>2834</v>
      </c>
      <c r="AP108" s="142" t="s">
        <v>3011</v>
      </c>
      <c r="AQ108" s="141" t="s">
        <v>3012</v>
      </c>
      <c r="AR108" s="318" t="s">
        <v>3013</v>
      </c>
      <c r="AS108" s="1703" t="s">
        <v>3014</v>
      </c>
      <c r="AT108" s="318" t="s">
        <v>3015</v>
      </c>
      <c r="AU108" s="180" t="s">
        <v>3206</v>
      </c>
      <c r="AV108" s="142" t="s">
        <v>3207</v>
      </c>
      <c r="AW108" s="141" t="s">
        <v>3272</v>
      </c>
      <c r="AX108" s="163" t="s">
        <v>3273</v>
      </c>
      <c r="AY108" s="1079" t="e">
        <f t="shared" si="212"/>
        <v>#VALUE!</v>
      </c>
      <c r="AZ108" s="1079"/>
      <c r="BA108" s="1079"/>
      <c r="BB108" s="1079"/>
      <c r="BC108" s="1079"/>
      <c r="BD108" s="1079"/>
      <c r="BE108" s="1079"/>
      <c r="BF108" s="1079"/>
      <c r="BG108" s="1079"/>
      <c r="BH108" s="1079"/>
      <c r="BI108" s="1079"/>
      <c r="BJ108" s="884"/>
      <c r="BK108" s="884"/>
      <c r="BL108" s="884"/>
      <c r="BM108" s="884"/>
      <c r="BV108" s="884"/>
      <c r="BX108" s="885"/>
      <c r="CB108" s="2077" t="str">
        <f t="shared" si="213"/>
        <v xml:space="preserve">* El total de Reactivos NO DEBE ser superior al total de Procesados. </v>
      </c>
      <c r="CC108" s="2077" t="e">
        <f t="shared" si="214"/>
        <v>#VALUE!</v>
      </c>
      <c r="CD108" s="2077" t="e">
        <f t="shared" si="215"/>
        <v>#VALUE!</v>
      </c>
      <c r="CE108" s="2077" t="str">
        <f t="shared" si="216"/>
        <v xml:space="preserve">* La columna Pueblos Originarios NO DEBE ser superior al total de Procesados. </v>
      </c>
      <c r="CF108" s="2077" t="str">
        <f t="shared" si="217"/>
        <v xml:space="preserve">* La columna Migrantes NO DEBE ser superior al total de Procesados. </v>
      </c>
      <c r="CG108" s="2077" t="str">
        <f t="shared" si="245"/>
        <v>* El total de procesados debe ser mayor o igual al total de Reactivos en el grupo de edad Menor de 6 meses</v>
      </c>
      <c r="CH108" s="2077" t="str">
        <f t="shared" si="246"/>
        <v>* El total de procesados debe ser mayor o igual al total de Reactivos en el grupo de edad 6 a 11 meses</v>
      </c>
      <c r="CI108" s="2077" t="str">
        <f t="shared" si="247"/>
        <v>* El total de procesados debe ser mayor o igual al total de Reactivos en el grupo de edad 12-24 meses</v>
      </c>
      <c r="CJ108" s="2077" t="str">
        <f t="shared" si="248"/>
        <v>* El total de procesados debe ser mayor o igual al total de Reactivos en el grupo de edad 3 a 4</v>
      </c>
      <c r="CK108" s="2077" t="str">
        <f t="shared" si="249"/>
        <v>* El total de procesados debe ser mayor o igual al total de Reactivos en el grupo de edad 5 a 9</v>
      </c>
      <c r="CL108" s="2077" t="str">
        <f t="shared" si="250"/>
        <v>* El total de procesados debe ser mayor o igual al total de Reactivos en el grupo de edad 10 - 14</v>
      </c>
      <c r="CM108" s="2077" t="str">
        <f t="shared" si="251"/>
        <v>* El total de procesados debe ser mayor o igual al total de Reactivos en el grupo de edad 15 - 19</v>
      </c>
      <c r="CN108" s="2077" t="str">
        <f t="shared" si="252"/>
        <v>* El total de procesados debe ser mayor o igual al total de Reactivos en el grupo de edad 20 - 24</v>
      </c>
      <c r="CO108" s="2077" t="str">
        <f t="shared" si="253"/>
        <v>* El total de procesados debe ser mayor o igual al total de Reactivos en el grupo de edad 25 a 29</v>
      </c>
      <c r="CP108" s="2077" t="str">
        <f t="shared" si="254"/>
        <v>* El total de procesados debe ser mayor o igual al total de Reactivos en el grupo de edad 30 a 34</v>
      </c>
      <c r="CQ108" s="2077" t="str">
        <f t="shared" si="255"/>
        <v>* El total de procesados debe ser mayor o igual al total de Reactivos en el grupo de edad 35 a 39</v>
      </c>
      <c r="CR108" s="2077" t="str">
        <f t="shared" si="256"/>
        <v>* El total de procesados debe ser mayor o igual al total de Reactivos en el grupo de edad 40 a 44</v>
      </c>
      <c r="CS108" s="2077" t="str">
        <f t="shared" si="257"/>
        <v>* El total de procesados debe ser mayor o igual al total de Reactivos en el grupo de edad 45 a 49</v>
      </c>
      <c r="CT108" s="2077" t="str">
        <f t="shared" si="258"/>
        <v>* El total de procesados debe ser mayor o igual al total de Reactivos en el grupo de edad 50 a 54</v>
      </c>
      <c r="CU108" s="2077" t="str">
        <f t="shared" si="259"/>
        <v>* El total de procesados debe ser mayor o igual al total de Reactivos en el grupo de edad 55 a 59</v>
      </c>
      <c r="CV108" s="2077" t="str">
        <f t="shared" si="260"/>
        <v>* El total de procesados debe ser mayor o igual al total de Reactivos en el grupo de edad 60 a 64</v>
      </c>
      <c r="CW108" s="2077" t="str">
        <f t="shared" si="261"/>
        <v>* El total de procesados debe ser mayor o igual al total de Reactivos en el grupo de edad 65 a 69</v>
      </c>
      <c r="CX108" s="2077" t="str">
        <f t="shared" si="262"/>
        <v>* El total de procesados debe ser mayor o igual al total de Reactivos en el grupo de edad 70 a 74</v>
      </c>
      <c r="CY108" s="2077" t="str">
        <f t="shared" si="263"/>
        <v>* El total de procesados debe ser mayor o igual al total de Reactivos en el grupo de edad 75 a 79</v>
      </c>
      <c r="CZ108" s="2077" t="str">
        <f t="shared" si="264"/>
        <v>* El total de procesados debe ser mayor o igual al total de Reactivos en el grupo de edad 80 y más</v>
      </c>
      <c r="DA108" s="2077" t="str">
        <f t="shared" si="218"/>
        <v/>
      </c>
      <c r="DB108" s="1363">
        <f t="shared" si="219"/>
        <v>1</v>
      </c>
      <c r="DC108" s="1363" t="e">
        <f t="shared" si="220"/>
        <v>#VALUE!</v>
      </c>
      <c r="DD108" s="1363" t="e">
        <f t="shared" si="221"/>
        <v>#VALUE!</v>
      </c>
      <c r="DE108" s="1363">
        <f t="shared" si="222"/>
        <v>1</v>
      </c>
      <c r="DF108" s="1363">
        <f t="shared" si="223"/>
        <v>1</v>
      </c>
      <c r="DG108" s="1363">
        <f t="shared" si="224"/>
        <v>1</v>
      </c>
      <c r="DH108" s="1363">
        <f t="shared" si="225"/>
        <v>1</v>
      </c>
      <c r="DI108" s="1363">
        <f t="shared" si="226"/>
        <v>1</v>
      </c>
      <c r="DJ108" s="1363">
        <f t="shared" si="227"/>
        <v>1</v>
      </c>
      <c r="DK108" s="1363">
        <f t="shared" si="228"/>
        <v>1</v>
      </c>
      <c r="DL108" s="1363">
        <f t="shared" si="229"/>
        <v>1</v>
      </c>
      <c r="DM108" s="1363">
        <f t="shared" si="230"/>
        <v>1</v>
      </c>
      <c r="DN108" s="1363">
        <f t="shared" si="231"/>
        <v>1</v>
      </c>
      <c r="DO108" s="1363">
        <f t="shared" si="232"/>
        <v>1</v>
      </c>
      <c r="DP108" s="1363">
        <f t="shared" si="233"/>
        <v>1</v>
      </c>
      <c r="DQ108" s="1363">
        <f t="shared" si="234"/>
        <v>1</v>
      </c>
      <c r="DR108" s="1363">
        <f t="shared" si="235"/>
        <v>1</v>
      </c>
      <c r="DS108" s="1363">
        <f t="shared" si="236"/>
        <v>1</v>
      </c>
      <c r="DT108" s="1363">
        <f t="shared" si="237"/>
        <v>1</v>
      </c>
      <c r="DU108" s="1363">
        <f t="shared" si="238"/>
        <v>1</v>
      </c>
      <c r="DV108" s="1363">
        <f t="shared" si="239"/>
        <v>1</v>
      </c>
      <c r="DW108" s="1363">
        <f t="shared" si="240"/>
        <v>1</v>
      </c>
      <c r="DX108" s="1363">
        <f t="shared" si="241"/>
        <v>1</v>
      </c>
      <c r="DY108" s="1363">
        <f t="shared" si="242"/>
        <v>1</v>
      </c>
      <c r="DZ108" s="1363">
        <f t="shared" si="243"/>
        <v>1</v>
      </c>
      <c r="EA108" s="1363">
        <f t="shared" si="244"/>
        <v>0</v>
      </c>
    </row>
    <row r="109" spans="1:131" ht="21.75" customHeight="1" x14ac:dyDescent="0.25">
      <c r="A109" s="2458">
        <v>11056445</v>
      </c>
      <c r="B109" s="3095" t="s">
        <v>2268</v>
      </c>
      <c r="C109" s="707" t="s">
        <v>2777</v>
      </c>
      <c r="D109" s="281" t="s">
        <v>2778</v>
      </c>
      <c r="E109" s="180" t="s">
        <v>2779</v>
      </c>
      <c r="F109" s="142" t="s">
        <v>2780</v>
      </c>
      <c r="G109" s="141" t="s">
        <v>2781</v>
      </c>
      <c r="H109" s="142" t="s">
        <v>2782</v>
      </c>
      <c r="I109" s="141" t="s">
        <v>2783</v>
      </c>
      <c r="J109" s="163" t="s">
        <v>2784</v>
      </c>
      <c r="K109" s="936" t="s">
        <v>2785</v>
      </c>
      <c r="L109" s="1090" t="s">
        <v>2786</v>
      </c>
      <c r="M109" s="936" t="s">
        <v>2787</v>
      </c>
      <c r="N109" s="1090" t="s">
        <v>2788</v>
      </c>
      <c r="O109" s="936" t="s">
        <v>2789</v>
      </c>
      <c r="P109" s="1090" t="s">
        <v>2790</v>
      </c>
      <c r="Q109" s="936" t="s">
        <v>2791</v>
      </c>
      <c r="R109" s="1090" t="s">
        <v>2792</v>
      </c>
      <c r="S109" s="936" t="s">
        <v>2793</v>
      </c>
      <c r="T109" s="1090" t="s">
        <v>2794</v>
      </c>
      <c r="U109" s="936" t="s">
        <v>2795</v>
      </c>
      <c r="V109" s="1090" t="s">
        <v>2796</v>
      </c>
      <c r="W109" s="936" t="s">
        <v>2797</v>
      </c>
      <c r="X109" s="1090" t="s">
        <v>2798</v>
      </c>
      <c r="Y109" s="936" t="s">
        <v>2799</v>
      </c>
      <c r="Z109" s="1090" t="s">
        <v>2800</v>
      </c>
      <c r="AA109" s="936" t="s">
        <v>2801</v>
      </c>
      <c r="AB109" s="1090" t="s">
        <v>2817</v>
      </c>
      <c r="AC109" s="936" t="s">
        <v>2818</v>
      </c>
      <c r="AD109" s="1090" t="s">
        <v>2819</v>
      </c>
      <c r="AE109" s="936" t="s">
        <v>2821</v>
      </c>
      <c r="AF109" s="1090" t="s">
        <v>2822</v>
      </c>
      <c r="AG109" s="936" t="s">
        <v>2823</v>
      </c>
      <c r="AH109" s="1090" t="s">
        <v>2824</v>
      </c>
      <c r="AI109" s="936" t="s">
        <v>2825</v>
      </c>
      <c r="AJ109" s="1090" t="s">
        <v>2826</v>
      </c>
      <c r="AK109" s="936" t="s">
        <v>2827</v>
      </c>
      <c r="AL109" s="1090" t="s">
        <v>2831</v>
      </c>
      <c r="AM109" s="936" t="s">
        <v>2832</v>
      </c>
      <c r="AN109" s="1090" t="s">
        <v>2833</v>
      </c>
      <c r="AO109" s="936" t="s">
        <v>2834</v>
      </c>
      <c r="AP109" s="1090" t="s">
        <v>3011</v>
      </c>
      <c r="AQ109" s="936" t="s">
        <v>3012</v>
      </c>
      <c r="AR109" s="2033" t="s">
        <v>3013</v>
      </c>
      <c r="AS109" s="180" t="s">
        <v>3014</v>
      </c>
      <c r="AT109" s="318" t="s">
        <v>3015</v>
      </c>
      <c r="AU109" s="180" t="s">
        <v>3206</v>
      </c>
      <c r="AV109" s="142" t="s">
        <v>3207</v>
      </c>
      <c r="AW109" s="141" t="s">
        <v>3272</v>
      </c>
      <c r="AX109" s="163" t="s">
        <v>3273</v>
      </c>
      <c r="AY109" s="1079" t="e">
        <f t="shared" si="212"/>
        <v>#VALUE!</v>
      </c>
      <c r="AZ109" s="1079"/>
      <c r="BA109" s="1079"/>
      <c r="BB109" s="1079"/>
      <c r="BC109" s="1079"/>
      <c r="BD109" s="1079"/>
      <c r="BE109" s="1079"/>
      <c r="BF109" s="1079"/>
      <c r="BG109" s="1079"/>
      <c r="BH109" s="1079"/>
      <c r="BI109" s="1079"/>
      <c r="BJ109" s="884"/>
      <c r="BK109" s="884"/>
      <c r="BL109" s="884"/>
      <c r="BM109" s="884"/>
      <c r="BV109" s="884"/>
      <c r="BX109" s="885"/>
      <c r="CB109" s="2077" t="str">
        <f t="shared" si="213"/>
        <v xml:space="preserve">* El total de Reactivos NO DEBE ser superior al total de Procesados. </v>
      </c>
      <c r="CC109" s="2077" t="e">
        <f t="shared" si="214"/>
        <v>#VALUE!</v>
      </c>
      <c r="CD109" s="2077" t="e">
        <f t="shared" si="215"/>
        <v>#VALUE!</v>
      </c>
      <c r="CE109" s="2077" t="str">
        <f t="shared" si="216"/>
        <v xml:space="preserve">* La columna Pueblos Originarios NO DEBE ser superior al total de Procesados. </v>
      </c>
      <c r="CF109" s="2077" t="str">
        <f t="shared" si="217"/>
        <v xml:space="preserve">* La columna Migrantes NO DEBE ser superior al total de Procesados. </v>
      </c>
      <c r="CG109" s="2077" t="str">
        <f t="shared" si="245"/>
        <v>* El total de procesados debe ser mayor o igual al total de Reactivos en el grupo de edad Menor de 6 meses</v>
      </c>
      <c r="CH109" s="2077" t="str">
        <f t="shared" si="246"/>
        <v>* El total de procesados debe ser mayor o igual al total de Reactivos en el grupo de edad 6 a 11 meses</v>
      </c>
      <c r="CI109" s="2077" t="str">
        <f t="shared" si="247"/>
        <v>* El total de procesados debe ser mayor o igual al total de Reactivos en el grupo de edad 12-24 meses</v>
      </c>
      <c r="CJ109" s="2077" t="str">
        <f t="shared" si="248"/>
        <v>* El total de procesados debe ser mayor o igual al total de Reactivos en el grupo de edad 3 a 4</v>
      </c>
      <c r="CK109" s="2077" t="str">
        <f t="shared" si="249"/>
        <v>* El total de procesados debe ser mayor o igual al total de Reactivos en el grupo de edad 5 a 9</v>
      </c>
      <c r="CL109" s="2077" t="str">
        <f t="shared" si="250"/>
        <v>* El total de procesados debe ser mayor o igual al total de Reactivos en el grupo de edad 10 - 14</v>
      </c>
      <c r="CM109" s="2077" t="str">
        <f t="shared" si="251"/>
        <v>* El total de procesados debe ser mayor o igual al total de Reactivos en el grupo de edad 15 - 19</v>
      </c>
      <c r="CN109" s="2077" t="str">
        <f t="shared" si="252"/>
        <v>* El total de procesados debe ser mayor o igual al total de Reactivos en el grupo de edad 20 - 24</v>
      </c>
      <c r="CO109" s="2077" t="str">
        <f t="shared" si="253"/>
        <v>* El total de procesados debe ser mayor o igual al total de Reactivos en el grupo de edad 25 a 29</v>
      </c>
      <c r="CP109" s="2077" t="str">
        <f t="shared" si="254"/>
        <v>* El total de procesados debe ser mayor o igual al total de Reactivos en el grupo de edad 30 a 34</v>
      </c>
      <c r="CQ109" s="2077" t="str">
        <f t="shared" si="255"/>
        <v>* El total de procesados debe ser mayor o igual al total de Reactivos en el grupo de edad 35 a 39</v>
      </c>
      <c r="CR109" s="2077" t="str">
        <f t="shared" si="256"/>
        <v>* El total de procesados debe ser mayor o igual al total de Reactivos en el grupo de edad 40 a 44</v>
      </c>
      <c r="CS109" s="2077" t="str">
        <f t="shared" si="257"/>
        <v>* El total de procesados debe ser mayor o igual al total de Reactivos en el grupo de edad 45 a 49</v>
      </c>
      <c r="CT109" s="2077" t="str">
        <f t="shared" si="258"/>
        <v>* El total de procesados debe ser mayor o igual al total de Reactivos en el grupo de edad 50 a 54</v>
      </c>
      <c r="CU109" s="2077" t="str">
        <f t="shared" si="259"/>
        <v>* El total de procesados debe ser mayor o igual al total de Reactivos en el grupo de edad 55 a 59</v>
      </c>
      <c r="CV109" s="2077" t="str">
        <f t="shared" si="260"/>
        <v>* El total de procesados debe ser mayor o igual al total de Reactivos en el grupo de edad 60 a 64</v>
      </c>
      <c r="CW109" s="2077" t="str">
        <f t="shared" si="261"/>
        <v>* El total de procesados debe ser mayor o igual al total de Reactivos en el grupo de edad 65 a 69</v>
      </c>
      <c r="CX109" s="2077" t="str">
        <f t="shared" si="262"/>
        <v>* El total de procesados debe ser mayor o igual al total de Reactivos en el grupo de edad 70 a 74</v>
      </c>
      <c r="CY109" s="2077" t="str">
        <f t="shared" si="263"/>
        <v>* El total de procesados debe ser mayor o igual al total de Reactivos en el grupo de edad 75 a 79</v>
      </c>
      <c r="CZ109" s="2077" t="str">
        <f t="shared" si="264"/>
        <v>* El total de procesados debe ser mayor o igual al total de Reactivos en el grupo de edad 80 y más</v>
      </c>
      <c r="DA109" s="2077" t="str">
        <f t="shared" si="218"/>
        <v/>
      </c>
      <c r="DB109" s="1363">
        <f t="shared" si="219"/>
        <v>1</v>
      </c>
      <c r="DC109" s="1363" t="e">
        <f t="shared" si="220"/>
        <v>#VALUE!</v>
      </c>
      <c r="DD109" s="1363" t="e">
        <f t="shared" si="221"/>
        <v>#VALUE!</v>
      </c>
      <c r="DE109" s="1363">
        <f t="shared" si="222"/>
        <v>1</v>
      </c>
      <c r="DF109" s="1363">
        <f t="shared" si="223"/>
        <v>1</v>
      </c>
      <c r="DG109" s="1363">
        <f t="shared" si="224"/>
        <v>1</v>
      </c>
      <c r="DH109" s="1363">
        <f t="shared" si="225"/>
        <v>1</v>
      </c>
      <c r="DI109" s="1363">
        <f t="shared" si="226"/>
        <v>1</v>
      </c>
      <c r="DJ109" s="1363">
        <f t="shared" si="227"/>
        <v>1</v>
      </c>
      <c r="DK109" s="1363">
        <f t="shared" si="228"/>
        <v>1</v>
      </c>
      <c r="DL109" s="1363">
        <f t="shared" si="229"/>
        <v>1</v>
      </c>
      <c r="DM109" s="1363">
        <f t="shared" si="230"/>
        <v>1</v>
      </c>
      <c r="DN109" s="1363">
        <f t="shared" si="231"/>
        <v>1</v>
      </c>
      <c r="DO109" s="1363">
        <f t="shared" si="232"/>
        <v>1</v>
      </c>
      <c r="DP109" s="1363">
        <f t="shared" si="233"/>
        <v>1</v>
      </c>
      <c r="DQ109" s="1363">
        <f t="shared" si="234"/>
        <v>1</v>
      </c>
      <c r="DR109" s="1363">
        <f t="shared" si="235"/>
        <v>1</v>
      </c>
      <c r="DS109" s="1363">
        <f t="shared" si="236"/>
        <v>1</v>
      </c>
      <c r="DT109" s="1363">
        <f t="shared" si="237"/>
        <v>1</v>
      </c>
      <c r="DU109" s="1363">
        <f t="shared" si="238"/>
        <v>1</v>
      </c>
      <c r="DV109" s="1363">
        <f t="shared" si="239"/>
        <v>1</v>
      </c>
      <c r="DW109" s="1363">
        <f t="shared" si="240"/>
        <v>1</v>
      </c>
      <c r="DX109" s="1363">
        <f t="shared" si="241"/>
        <v>1</v>
      </c>
      <c r="DY109" s="1363">
        <f t="shared" si="242"/>
        <v>1</v>
      </c>
      <c r="DZ109" s="1363">
        <f t="shared" si="243"/>
        <v>1</v>
      </c>
      <c r="EA109" s="1363">
        <f t="shared" si="244"/>
        <v>0</v>
      </c>
    </row>
    <row r="110" spans="1:131" ht="15.95" customHeight="1" x14ac:dyDescent="0.25">
      <c r="A110" s="2458">
        <v>11056446</v>
      </c>
      <c r="B110" s="371" t="s">
        <v>2269</v>
      </c>
      <c r="C110" s="707" t="s">
        <v>2777</v>
      </c>
      <c r="D110" s="281" t="s">
        <v>2778</v>
      </c>
      <c r="E110" s="161" t="s">
        <v>2779</v>
      </c>
      <c r="F110" s="145" t="s">
        <v>2780</v>
      </c>
      <c r="G110" s="173" t="s">
        <v>2781</v>
      </c>
      <c r="H110" s="145" t="s">
        <v>2782</v>
      </c>
      <c r="I110" s="173" t="s">
        <v>2783</v>
      </c>
      <c r="J110" s="145" t="s">
        <v>2784</v>
      </c>
      <c r="K110" s="173" t="s">
        <v>2785</v>
      </c>
      <c r="L110" s="145" t="s">
        <v>2786</v>
      </c>
      <c r="M110" s="173" t="s">
        <v>2787</v>
      </c>
      <c r="N110" s="162" t="s">
        <v>2788</v>
      </c>
      <c r="O110" s="161" t="s">
        <v>2789</v>
      </c>
      <c r="P110" s="145" t="s">
        <v>2790</v>
      </c>
      <c r="Q110" s="141" t="s">
        <v>2791</v>
      </c>
      <c r="R110" s="142" t="s">
        <v>2792</v>
      </c>
      <c r="S110" s="141" t="s">
        <v>2793</v>
      </c>
      <c r="T110" s="142" t="s">
        <v>2794</v>
      </c>
      <c r="U110" s="141" t="s">
        <v>2795</v>
      </c>
      <c r="V110" s="142" t="s">
        <v>2796</v>
      </c>
      <c r="W110" s="141" t="s">
        <v>2797</v>
      </c>
      <c r="X110" s="142" t="s">
        <v>2798</v>
      </c>
      <c r="Y110" s="141" t="s">
        <v>2799</v>
      </c>
      <c r="Z110" s="142" t="s">
        <v>2800</v>
      </c>
      <c r="AA110" s="141" t="s">
        <v>2801</v>
      </c>
      <c r="AB110" s="142" t="s">
        <v>2817</v>
      </c>
      <c r="AC110" s="141" t="s">
        <v>2818</v>
      </c>
      <c r="AD110" s="142" t="s">
        <v>2819</v>
      </c>
      <c r="AE110" s="141" t="s">
        <v>2821</v>
      </c>
      <c r="AF110" s="142" t="s">
        <v>2822</v>
      </c>
      <c r="AG110" s="141" t="s">
        <v>2823</v>
      </c>
      <c r="AH110" s="142" t="s">
        <v>2824</v>
      </c>
      <c r="AI110" s="141" t="s">
        <v>2825</v>
      </c>
      <c r="AJ110" s="142" t="s">
        <v>2826</v>
      </c>
      <c r="AK110" s="141" t="s">
        <v>2827</v>
      </c>
      <c r="AL110" s="142" t="s">
        <v>2831</v>
      </c>
      <c r="AM110" s="141" t="s">
        <v>2832</v>
      </c>
      <c r="AN110" s="142" t="s">
        <v>2833</v>
      </c>
      <c r="AO110" s="141" t="s">
        <v>2834</v>
      </c>
      <c r="AP110" s="142" t="s">
        <v>3011</v>
      </c>
      <c r="AQ110" s="141" t="s">
        <v>3012</v>
      </c>
      <c r="AR110" s="318" t="s">
        <v>3013</v>
      </c>
      <c r="AS110" s="180" t="s">
        <v>3014</v>
      </c>
      <c r="AT110" s="318" t="s">
        <v>3015</v>
      </c>
      <c r="AU110" s="180" t="s">
        <v>3206</v>
      </c>
      <c r="AV110" s="142" t="s">
        <v>3207</v>
      </c>
      <c r="AW110" s="141" t="s">
        <v>3272</v>
      </c>
      <c r="AX110" s="163" t="s">
        <v>3273</v>
      </c>
      <c r="AY110" s="1079" t="e">
        <f t="shared" si="212"/>
        <v>#VALUE!</v>
      </c>
      <c r="AZ110" s="1079"/>
      <c r="BA110" s="1079"/>
      <c r="BB110" s="1079"/>
      <c r="BC110" s="1079"/>
      <c r="BD110" s="1079"/>
      <c r="BE110" s="1079"/>
      <c r="BF110" s="1079"/>
      <c r="BG110" s="1079"/>
      <c r="BH110" s="1079"/>
      <c r="BI110" s="1079"/>
      <c r="BJ110" s="884"/>
      <c r="BK110" s="884"/>
      <c r="BL110" s="884"/>
      <c r="BM110" s="884"/>
      <c r="BV110" s="884"/>
      <c r="BX110" s="885"/>
      <c r="CB110" s="2077" t="str">
        <f t="shared" si="213"/>
        <v xml:space="preserve">* El total de Reactivos NO DEBE ser superior al total de Procesados. </v>
      </c>
      <c r="CC110" s="2077" t="e">
        <f t="shared" si="214"/>
        <v>#VALUE!</v>
      </c>
      <c r="CD110" s="2077" t="e">
        <f t="shared" si="215"/>
        <v>#VALUE!</v>
      </c>
      <c r="CE110" s="2077" t="str">
        <f t="shared" si="216"/>
        <v xml:space="preserve">* La columna Pueblos Originarios NO DEBE ser superior al total de Procesados. </v>
      </c>
      <c r="CF110" s="2077" t="str">
        <f t="shared" si="217"/>
        <v xml:space="preserve">* La columna Migrantes NO DEBE ser superior al total de Procesados. </v>
      </c>
      <c r="CG110" s="2077" t="str">
        <f t="shared" si="245"/>
        <v>* El total de procesados debe ser mayor o igual al total de Reactivos en el grupo de edad Menor de 6 meses</v>
      </c>
      <c r="CH110" s="2077" t="str">
        <f t="shared" si="246"/>
        <v>* El total de procesados debe ser mayor o igual al total de Reactivos en el grupo de edad 6 a 11 meses</v>
      </c>
      <c r="CI110" s="2077" t="str">
        <f t="shared" si="247"/>
        <v>* El total de procesados debe ser mayor o igual al total de Reactivos en el grupo de edad 12-24 meses</v>
      </c>
      <c r="CJ110" s="2077" t="str">
        <f t="shared" si="248"/>
        <v>* El total de procesados debe ser mayor o igual al total de Reactivos en el grupo de edad 3 a 4</v>
      </c>
      <c r="CK110" s="2077" t="str">
        <f t="shared" si="249"/>
        <v>* El total de procesados debe ser mayor o igual al total de Reactivos en el grupo de edad 5 a 9</v>
      </c>
      <c r="CL110" s="2077" t="str">
        <f t="shared" si="250"/>
        <v>* El total de procesados debe ser mayor o igual al total de Reactivos en el grupo de edad 10 - 14</v>
      </c>
      <c r="CM110" s="2077" t="str">
        <f t="shared" si="251"/>
        <v>* El total de procesados debe ser mayor o igual al total de Reactivos en el grupo de edad 15 - 19</v>
      </c>
      <c r="CN110" s="2077" t="str">
        <f t="shared" si="252"/>
        <v>* El total de procesados debe ser mayor o igual al total de Reactivos en el grupo de edad 20 - 24</v>
      </c>
      <c r="CO110" s="2077" t="str">
        <f t="shared" si="253"/>
        <v>* El total de procesados debe ser mayor o igual al total de Reactivos en el grupo de edad 25 a 29</v>
      </c>
      <c r="CP110" s="2077" t="str">
        <f t="shared" si="254"/>
        <v>* El total de procesados debe ser mayor o igual al total de Reactivos en el grupo de edad 30 a 34</v>
      </c>
      <c r="CQ110" s="2077" t="str">
        <f t="shared" si="255"/>
        <v>* El total de procesados debe ser mayor o igual al total de Reactivos en el grupo de edad 35 a 39</v>
      </c>
      <c r="CR110" s="2077" t="str">
        <f t="shared" si="256"/>
        <v>* El total de procesados debe ser mayor o igual al total de Reactivos en el grupo de edad 40 a 44</v>
      </c>
      <c r="CS110" s="2077" t="str">
        <f t="shared" si="257"/>
        <v>* El total de procesados debe ser mayor o igual al total de Reactivos en el grupo de edad 45 a 49</v>
      </c>
      <c r="CT110" s="2077" t="str">
        <f t="shared" si="258"/>
        <v>* El total de procesados debe ser mayor o igual al total de Reactivos en el grupo de edad 50 a 54</v>
      </c>
      <c r="CU110" s="2077" t="str">
        <f t="shared" si="259"/>
        <v>* El total de procesados debe ser mayor o igual al total de Reactivos en el grupo de edad 55 a 59</v>
      </c>
      <c r="CV110" s="2077" t="str">
        <f t="shared" si="260"/>
        <v>* El total de procesados debe ser mayor o igual al total de Reactivos en el grupo de edad 60 a 64</v>
      </c>
      <c r="CW110" s="2077" t="str">
        <f t="shared" si="261"/>
        <v>* El total de procesados debe ser mayor o igual al total de Reactivos en el grupo de edad 65 a 69</v>
      </c>
      <c r="CX110" s="2077" t="str">
        <f t="shared" si="262"/>
        <v>* El total de procesados debe ser mayor o igual al total de Reactivos en el grupo de edad 70 a 74</v>
      </c>
      <c r="CY110" s="2077" t="str">
        <f t="shared" si="263"/>
        <v>* El total de procesados debe ser mayor o igual al total de Reactivos en el grupo de edad 75 a 79</v>
      </c>
      <c r="CZ110" s="2077" t="str">
        <f t="shared" si="264"/>
        <v>* El total de procesados debe ser mayor o igual al total de Reactivos en el grupo de edad 80 y más</v>
      </c>
      <c r="DA110" s="2077" t="str">
        <f t="shared" si="218"/>
        <v/>
      </c>
      <c r="DB110" s="1363">
        <f t="shared" si="219"/>
        <v>1</v>
      </c>
      <c r="DC110" s="1363" t="e">
        <f t="shared" si="220"/>
        <v>#VALUE!</v>
      </c>
      <c r="DD110" s="1363" t="e">
        <f t="shared" si="221"/>
        <v>#VALUE!</v>
      </c>
      <c r="DE110" s="1363">
        <f t="shared" si="222"/>
        <v>1</v>
      </c>
      <c r="DF110" s="1363">
        <f t="shared" si="223"/>
        <v>1</v>
      </c>
      <c r="DG110" s="1363">
        <f t="shared" si="224"/>
        <v>1</v>
      </c>
      <c r="DH110" s="1363">
        <f t="shared" si="225"/>
        <v>1</v>
      </c>
      <c r="DI110" s="1363">
        <f t="shared" si="226"/>
        <v>1</v>
      </c>
      <c r="DJ110" s="1363">
        <f t="shared" si="227"/>
        <v>1</v>
      </c>
      <c r="DK110" s="1363">
        <f t="shared" si="228"/>
        <v>1</v>
      </c>
      <c r="DL110" s="1363">
        <f t="shared" si="229"/>
        <v>1</v>
      </c>
      <c r="DM110" s="1363">
        <f t="shared" si="230"/>
        <v>1</v>
      </c>
      <c r="DN110" s="1363">
        <f t="shared" si="231"/>
        <v>1</v>
      </c>
      <c r="DO110" s="1363">
        <f t="shared" si="232"/>
        <v>1</v>
      </c>
      <c r="DP110" s="1363">
        <f t="shared" si="233"/>
        <v>1</v>
      </c>
      <c r="DQ110" s="1363">
        <f t="shared" si="234"/>
        <v>1</v>
      </c>
      <c r="DR110" s="1363">
        <f t="shared" si="235"/>
        <v>1</v>
      </c>
      <c r="DS110" s="1363">
        <f t="shared" si="236"/>
        <v>1</v>
      </c>
      <c r="DT110" s="1363">
        <f t="shared" si="237"/>
        <v>1</v>
      </c>
      <c r="DU110" s="1363">
        <f t="shared" si="238"/>
        <v>1</v>
      </c>
      <c r="DV110" s="1363">
        <f t="shared" si="239"/>
        <v>1</v>
      </c>
      <c r="DW110" s="1363">
        <f t="shared" si="240"/>
        <v>1</v>
      </c>
      <c r="DX110" s="1363">
        <f t="shared" si="241"/>
        <v>1</v>
      </c>
      <c r="DY110" s="1363">
        <f t="shared" si="242"/>
        <v>1</v>
      </c>
      <c r="DZ110" s="1363">
        <f t="shared" si="243"/>
        <v>1</v>
      </c>
      <c r="EA110" s="1363">
        <f t="shared" si="244"/>
        <v>0</v>
      </c>
    </row>
    <row r="111" spans="1:131" ht="16.350000000000001" customHeight="1" x14ac:dyDescent="0.25">
      <c r="A111" s="2458">
        <v>11056447</v>
      </c>
      <c r="B111" s="140" t="s">
        <v>2270</v>
      </c>
      <c r="C111" s="707" t="s">
        <v>2777</v>
      </c>
      <c r="D111" s="281" t="s">
        <v>2778</v>
      </c>
      <c r="E111" s="1703" t="s">
        <v>2779</v>
      </c>
      <c r="F111" s="1090" t="s">
        <v>2780</v>
      </c>
      <c r="G111" s="936" t="s">
        <v>2781</v>
      </c>
      <c r="H111" s="1090" t="s">
        <v>2782</v>
      </c>
      <c r="I111" s="936" t="s">
        <v>2783</v>
      </c>
      <c r="J111" s="937" t="s">
        <v>2784</v>
      </c>
      <c r="K111" s="1703" t="s">
        <v>2785</v>
      </c>
      <c r="L111" s="1703" t="s">
        <v>2786</v>
      </c>
      <c r="M111" s="936" t="s">
        <v>2787</v>
      </c>
      <c r="N111" s="937" t="s">
        <v>2788</v>
      </c>
      <c r="O111" s="180" t="s">
        <v>2789</v>
      </c>
      <c r="P111" s="142" t="s">
        <v>2790</v>
      </c>
      <c r="Q111" s="141" t="s">
        <v>2791</v>
      </c>
      <c r="R111" s="142" t="s">
        <v>2792</v>
      </c>
      <c r="S111" s="141" t="s">
        <v>2793</v>
      </c>
      <c r="T111" s="142" t="s">
        <v>2794</v>
      </c>
      <c r="U111" s="141" t="s">
        <v>2795</v>
      </c>
      <c r="V111" s="142" t="s">
        <v>2796</v>
      </c>
      <c r="W111" s="141" t="s">
        <v>2797</v>
      </c>
      <c r="X111" s="142" t="s">
        <v>2798</v>
      </c>
      <c r="Y111" s="141" t="s">
        <v>2799</v>
      </c>
      <c r="Z111" s="142" t="s">
        <v>2800</v>
      </c>
      <c r="AA111" s="141" t="s">
        <v>2801</v>
      </c>
      <c r="AB111" s="142" t="s">
        <v>2817</v>
      </c>
      <c r="AC111" s="141" t="s">
        <v>2818</v>
      </c>
      <c r="AD111" s="142" t="s">
        <v>2819</v>
      </c>
      <c r="AE111" s="141" t="s">
        <v>2821</v>
      </c>
      <c r="AF111" s="142" t="s">
        <v>2822</v>
      </c>
      <c r="AG111" s="141" t="s">
        <v>2823</v>
      </c>
      <c r="AH111" s="142" t="s">
        <v>2824</v>
      </c>
      <c r="AI111" s="141" t="s">
        <v>2825</v>
      </c>
      <c r="AJ111" s="142" t="s">
        <v>2826</v>
      </c>
      <c r="AK111" s="141" t="s">
        <v>2827</v>
      </c>
      <c r="AL111" s="142" t="s">
        <v>2831</v>
      </c>
      <c r="AM111" s="141" t="s">
        <v>2832</v>
      </c>
      <c r="AN111" s="142" t="s">
        <v>2833</v>
      </c>
      <c r="AO111" s="141" t="s">
        <v>2834</v>
      </c>
      <c r="AP111" s="142" t="s">
        <v>3011</v>
      </c>
      <c r="AQ111" s="141" t="s">
        <v>3012</v>
      </c>
      <c r="AR111" s="318" t="s">
        <v>3013</v>
      </c>
      <c r="AS111" s="180" t="s">
        <v>3014</v>
      </c>
      <c r="AT111" s="318" t="s">
        <v>3015</v>
      </c>
      <c r="AU111" s="180" t="s">
        <v>3206</v>
      </c>
      <c r="AV111" s="142" t="s">
        <v>3207</v>
      </c>
      <c r="AW111" s="141" t="s">
        <v>3272</v>
      </c>
      <c r="AX111" s="163" t="s">
        <v>3273</v>
      </c>
      <c r="AY111" s="1079" t="e">
        <f t="shared" si="212"/>
        <v>#VALUE!</v>
      </c>
      <c r="AZ111" s="1079"/>
      <c r="BA111" s="1079"/>
      <c r="BB111" s="1079"/>
      <c r="BC111" s="1079"/>
      <c r="BD111" s="1079"/>
      <c r="BE111" s="1079"/>
      <c r="BF111" s="1079"/>
      <c r="BG111" s="1079"/>
      <c r="BH111" s="1079"/>
      <c r="BI111" s="1079"/>
      <c r="BJ111" s="884"/>
      <c r="BK111" s="884"/>
      <c r="BL111" s="884"/>
      <c r="BM111" s="884"/>
      <c r="BV111" s="884"/>
      <c r="BX111" s="885"/>
      <c r="CB111" s="2077" t="str">
        <f t="shared" si="213"/>
        <v xml:space="preserve">* El total de Reactivos NO DEBE ser superior al total de Procesados. </v>
      </c>
      <c r="CC111" s="2077" t="e">
        <f t="shared" si="214"/>
        <v>#VALUE!</v>
      </c>
      <c r="CD111" s="2077" t="e">
        <f t="shared" si="215"/>
        <v>#VALUE!</v>
      </c>
      <c r="CE111" s="2077" t="str">
        <f t="shared" si="216"/>
        <v xml:space="preserve">* La columna Pueblos Originarios NO DEBE ser superior al total de Procesados. </v>
      </c>
      <c r="CF111" s="2077" t="str">
        <f t="shared" si="217"/>
        <v xml:space="preserve">* La columna Migrantes NO DEBE ser superior al total de Procesados. </v>
      </c>
      <c r="CG111" s="2077" t="str">
        <f t="shared" si="245"/>
        <v>* El total de procesados debe ser mayor o igual al total de Reactivos en el grupo de edad Menor de 6 meses</v>
      </c>
      <c r="CH111" s="2077" t="str">
        <f t="shared" si="246"/>
        <v>* El total de procesados debe ser mayor o igual al total de Reactivos en el grupo de edad 6 a 11 meses</v>
      </c>
      <c r="CI111" s="2077" t="str">
        <f t="shared" si="247"/>
        <v>* El total de procesados debe ser mayor o igual al total de Reactivos en el grupo de edad 12-24 meses</v>
      </c>
      <c r="CJ111" s="2077" t="str">
        <f t="shared" si="248"/>
        <v>* El total de procesados debe ser mayor o igual al total de Reactivos en el grupo de edad 3 a 4</v>
      </c>
      <c r="CK111" s="2077" t="str">
        <f t="shared" si="249"/>
        <v>* El total de procesados debe ser mayor o igual al total de Reactivos en el grupo de edad 5 a 9</v>
      </c>
      <c r="CL111" s="2077" t="str">
        <f t="shared" si="250"/>
        <v>* El total de procesados debe ser mayor o igual al total de Reactivos en el grupo de edad 10 - 14</v>
      </c>
      <c r="CM111" s="2077" t="str">
        <f t="shared" si="251"/>
        <v>* El total de procesados debe ser mayor o igual al total de Reactivos en el grupo de edad 15 - 19</v>
      </c>
      <c r="CN111" s="2077" t="str">
        <f t="shared" si="252"/>
        <v>* El total de procesados debe ser mayor o igual al total de Reactivos en el grupo de edad 20 - 24</v>
      </c>
      <c r="CO111" s="2077" t="str">
        <f t="shared" si="253"/>
        <v>* El total de procesados debe ser mayor o igual al total de Reactivos en el grupo de edad 25 a 29</v>
      </c>
      <c r="CP111" s="2077" t="str">
        <f t="shared" si="254"/>
        <v>* El total de procesados debe ser mayor o igual al total de Reactivos en el grupo de edad 30 a 34</v>
      </c>
      <c r="CQ111" s="2077" t="str">
        <f t="shared" si="255"/>
        <v>* El total de procesados debe ser mayor o igual al total de Reactivos en el grupo de edad 35 a 39</v>
      </c>
      <c r="CR111" s="2077" t="str">
        <f t="shared" si="256"/>
        <v>* El total de procesados debe ser mayor o igual al total de Reactivos en el grupo de edad 40 a 44</v>
      </c>
      <c r="CS111" s="2077" t="str">
        <f t="shared" si="257"/>
        <v>* El total de procesados debe ser mayor o igual al total de Reactivos en el grupo de edad 45 a 49</v>
      </c>
      <c r="CT111" s="2077" t="str">
        <f t="shared" si="258"/>
        <v>* El total de procesados debe ser mayor o igual al total de Reactivos en el grupo de edad 50 a 54</v>
      </c>
      <c r="CU111" s="2077" t="str">
        <f t="shared" si="259"/>
        <v>* El total de procesados debe ser mayor o igual al total de Reactivos en el grupo de edad 55 a 59</v>
      </c>
      <c r="CV111" s="2077" t="str">
        <f t="shared" si="260"/>
        <v>* El total de procesados debe ser mayor o igual al total de Reactivos en el grupo de edad 60 a 64</v>
      </c>
      <c r="CW111" s="2077" t="str">
        <f t="shared" si="261"/>
        <v>* El total de procesados debe ser mayor o igual al total de Reactivos en el grupo de edad 65 a 69</v>
      </c>
      <c r="CX111" s="2077" t="str">
        <f t="shared" si="262"/>
        <v>* El total de procesados debe ser mayor o igual al total de Reactivos en el grupo de edad 70 a 74</v>
      </c>
      <c r="CY111" s="2077" t="str">
        <f t="shared" si="263"/>
        <v>* El total de procesados debe ser mayor o igual al total de Reactivos en el grupo de edad 75 a 79</v>
      </c>
      <c r="CZ111" s="2077" t="str">
        <f t="shared" si="264"/>
        <v>* El total de procesados debe ser mayor o igual al total de Reactivos en el grupo de edad 80 y más</v>
      </c>
      <c r="DA111" s="2077" t="str">
        <f t="shared" si="218"/>
        <v/>
      </c>
      <c r="DB111" s="1363">
        <f t="shared" si="219"/>
        <v>1</v>
      </c>
      <c r="DC111" s="1363" t="e">
        <f t="shared" si="220"/>
        <v>#VALUE!</v>
      </c>
      <c r="DD111" s="1363" t="e">
        <f t="shared" si="221"/>
        <v>#VALUE!</v>
      </c>
      <c r="DE111" s="1363">
        <f t="shared" si="222"/>
        <v>1</v>
      </c>
      <c r="DF111" s="1363">
        <f t="shared" si="223"/>
        <v>1</v>
      </c>
      <c r="DG111" s="1363">
        <f t="shared" si="224"/>
        <v>1</v>
      </c>
      <c r="DH111" s="1363">
        <f t="shared" si="225"/>
        <v>1</v>
      </c>
      <c r="DI111" s="1363">
        <f t="shared" si="226"/>
        <v>1</v>
      </c>
      <c r="DJ111" s="1363">
        <f t="shared" si="227"/>
        <v>1</v>
      </c>
      <c r="DK111" s="1363">
        <f t="shared" si="228"/>
        <v>1</v>
      </c>
      <c r="DL111" s="1363">
        <f t="shared" si="229"/>
        <v>1</v>
      </c>
      <c r="DM111" s="1363">
        <f t="shared" si="230"/>
        <v>1</v>
      </c>
      <c r="DN111" s="1363">
        <f t="shared" si="231"/>
        <v>1</v>
      </c>
      <c r="DO111" s="1363">
        <f t="shared" si="232"/>
        <v>1</v>
      </c>
      <c r="DP111" s="1363">
        <f t="shared" si="233"/>
        <v>1</v>
      </c>
      <c r="DQ111" s="1363">
        <f t="shared" si="234"/>
        <v>1</v>
      </c>
      <c r="DR111" s="1363">
        <f t="shared" si="235"/>
        <v>1</v>
      </c>
      <c r="DS111" s="1363">
        <f t="shared" si="236"/>
        <v>1</v>
      </c>
      <c r="DT111" s="1363">
        <f t="shared" si="237"/>
        <v>1</v>
      </c>
      <c r="DU111" s="1363">
        <f t="shared" si="238"/>
        <v>1</v>
      </c>
      <c r="DV111" s="1363">
        <f t="shared" si="239"/>
        <v>1</v>
      </c>
      <c r="DW111" s="1363">
        <f t="shared" si="240"/>
        <v>1</v>
      </c>
      <c r="DX111" s="1363">
        <f t="shared" si="241"/>
        <v>1</v>
      </c>
      <c r="DY111" s="1363">
        <f t="shared" si="242"/>
        <v>1</v>
      </c>
      <c r="DZ111" s="1363">
        <f t="shared" si="243"/>
        <v>1</v>
      </c>
      <c r="EA111" s="1363">
        <f t="shared" si="244"/>
        <v>0</v>
      </c>
    </row>
    <row r="112" spans="1:131" ht="16.350000000000001" customHeight="1" x14ac:dyDescent="0.25">
      <c r="A112" s="2458">
        <v>11056448</v>
      </c>
      <c r="B112" s="140" t="s">
        <v>2271</v>
      </c>
      <c r="C112" s="707" t="s">
        <v>2777</v>
      </c>
      <c r="D112" s="281" t="s">
        <v>2778</v>
      </c>
      <c r="E112" s="180" t="s">
        <v>2779</v>
      </c>
      <c r="F112" s="142" t="s">
        <v>2780</v>
      </c>
      <c r="G112" s="141" t="s">
        <v>2781</v>
      </c>
      <c r="H112" s="142" t="s">
        <v>2782</v>
      </c>
      <c r="I112" s="141" t="s">
        <v>2783</v>
      </c>
      <c r="J112" s="163" t="s">
        <v>2784</v>
      </c>
      <c r="K112" s="180" t="s">
        <v>2785</v>
      </c>
      <c r="L112" s="180" t="s">
        <v>2786</v>
      </c>
      <c r="M112" s="141" t="s">
        <v>2787</v>
      </c>
      <c r="N112" s="163" t="s">
        <v>2788</v>
      </c>
      <c r="O112" s="180" t="s">
        <v>2789</v>
      </c>
      <c r="P112" s="142" t="s">
        <v>2790</v>
      </c>
      <c r="Q112" s="141" t="s">
        <v>2791</v>
      </c>
      <c r="R112" s="142" t="s">
        <v>2792</v>
      </c>
      <c r="S112" s="141" t="s">
        <v>2793</v>
      </c>
      <c r="T112" s="142" t="s">
        <v>2794</v>
      </c>
      <c r="U112" s="141" t="s">
        <v>2795</v>
      </c>
      <c r="V112" s="142" t="s">
        <v>2796</v>
      </c>
      <c r="W112" s="141" t="s">
        <v>2797</v>
      </c>
      <c r="X112" s="142" t="s">
        <v>2798</v>
      </c>
      <c r="Y112" s="141" t="s">
        <v>2799</v>
      </c>
      <c r="Z112" s="142" t="s">
        <v>2800</v>
      </c>
      <c r="AA112" s="141" t="s">
        <v>2801</v>
      </c>
      <c r="AB112" s="142" t="s">
        <v>2817</v>
      </c>
      <c r="AC112" s="141" t="s">
        <v>2818</v>
      </c>
      <c r="AD112" s="142" t="s">
        <v>2819</v>
      </c>
      <c r="AE112" s="141" t="s">
        <v>2821</v>
      </c>
      <c r="AF112" s="142" t="s">
        <v>2822</v>
      </c>
      <c r="AG112" s="141" t="s">
        <v>2823</v>
      </c>
      <c r="AH112" s="142" t="s">
        <v>2824</v>
      </c>
      <c r="AI112" s="141" t="s">
        <v>2825</v>
      </c>
      <c r="AJ112" s="142" t="s">
        <v>2826</v>
      </c>
      <c r="AK112" s="141" t="s">
        <v>2827</v>
      </c>
      <c r="AL112" s="142" t="s">
        <v>2831</v>
      </c>
      <c r="AM112" s="141" t="s">
        <v>2832</v>
      </c>
      <c r="AN112" s="142" t="s">
        <v>2833</v>
      </c>
      <c r="AO112" s="141" t="s">
        <v>2834</v>
      </c>
      <c r="AP112" s="142" t="s">
        <v>3011</v>
      </c>
      <c r="AQ112" s="141" t="s">
        <v>3012</v>
      </c>
      <c r="AR112" s="318" t="s">
        <v>3013</v>
      </c>
      <c r="AS112" s="180" t="s">
        <v>3014</v>
      </c>
      <c r="AT112" s="318" t="s">
        <v>3015</v>
      </c>
      <c r="AU112" s="180" t="s">
        <v>3206</v>
      </c>
      <c r="AV112" s="142" t="s">
        <v>3207</v>
      </c>
      <c r="AW112" s="141" t="s">
        <v>3272</v>
      </c>
      <c r="AX112" s="163" t="s">
        <v>3273</v>
      </c>
      <c r="AY112" s="1079" t="e">
        <f t="shared" si="212"/>
        <v>#VALUE!</v>
      </c>
      <c r="AZ112" s="1079"/>
      <c r="BA112" s="1079"/>
      <c r="BB112" s="1079"/>
      <c r="BC112" s="1079"/>
      <c r="BD112" s="1079"/>
      <c r="BE112" s="1079"/>
      <c r="BF112" s="1079"/>
      <c r="BG112" s="1079"/>
      <c r="BH112" s="1079"/>
      <c r="BI112" s="1079"/>
      <c r="BJ112" s="884"/>
      <c r="BK112" s="884"/>
      <c r="BL112" s="884"/>
      <c r="BM112" s="884"/>
      <c r="BV112" s="884"/>
      <c r="BX112" s="885"/>
      <c r="CB112" s="2077" t="str">
        <f t="shared" si="213"/>
        <v xml:space="preserve">* El total de Reactivos NO DEBE ser superior al total de Procesados. </v>
      </c>
      <c r="CC112" s="2077" t="e">
        <f t="shared" si="214"/>
        <v>#VALUE!</v>
      </c>
      <c r="CD112" s="2077" t="e">
        <f t="shared" si="215"/>
        <v>#VALUE!</v>
      </c>
      <c r="CE112" s="2077" t="str">
        <f t="shared" si="216"/>
        <v xml:space="preserve">* La columna Pueblos Originarios NO DEBE ser superior al total de Procesados. </v>
      </c>
      <c r="CF112" s="2077" t="str">
        <f t="shared" si="217"/>
        <v xml:space="preserve">* La columna Migrantes NO DEBE ser superior al total de Procesados. </v>
      </c>
      <c r="CG112" s="2077" t="str">
        <f t="shared" si="245"/>
        <v>* El total de procesados debe ser mayor o igual al total de Reactivos en el grupo de edad Menor de 6 meses</v>
      </c>
      <c r="CH112" s="2077" t="str">
        <f t="shared" si="246"/>
        <v>* El total de procesados debe ser mayor o igual al total de Reactivos en el grupo de edad 6 a 11 meses</v>
      </c>
      <c r="CI112" s="2077" t="str">
        <f t="shared" si="247"/>
        <v>* El total de procesados debe ser mayor o igual al total de Reactivos en el grupo de edad 12-24 meses</v>
      </c>
      <c r="CJ112" s="2077" t="str">
        <f t="shared" si="248"/>
        <v>* El total de procesados debe ser mayor o igual al total de Reactivos en el grupo de edad 3 a 4</v>
      </c>
      <c r="CK112" s="2077" t="str">
        <f t="shared" si="249"/>
        <v>* El total de procesados debe ser mayor o igual al total de Reactivos en el grupo de edad 5 a 9</v>
      </c>
      <c r="CL112" s="2077" t="str">
        <f t="shared" si="250"/>
        <v>* El total de procesados debe ser mayor o igual al total de Reactivos en el grupo de edad 10 - 14</v>
      </c>
      <c r="CM112" s="2077" t="str">
        <f t="shared" si="251"/>
        <v>* El total de procesados debe ser mayor o igual al total de Reactivos en el grupo de edad 15 - 19</v>
      </c>
      <c r="CN112" s="2077" t="str">
        <f t="shared" si="252"/>
        <v>* El total de procesados debe ser mayor o igual al total de Reactivos en el grupo de edad 20 - 24</v>
      </c>
      <c r="CO112" s="2077" t="str">
        <f t="shared" si="253"/>
        <v>* El total de procesados debe ser mayor o igual al total de Reactivos en el grupo de edad 25 a 29</v>
      </c>
      <c r="CP112" s="2077" t="str">
        <f t="shared" si="254"/>
        <v>* El total de procesados debe ser mayor o igual al total de Reactivos en el grupo de edad 30 a 34</v>
      </c>
      <c r="CQ112" s="2077" t="str">
        <f t="shared" si="255"/>
        <v>* El total de procesados debe ser mayor o igual al total de Reactivos en el grupo de edad 35 a 39</v>
      </c>
      <c r="CR112" s="2077" t="str">
        <f t="shared" si="256"/>
        <v>* El total de procesados debe ser mayor o igual al total de Reactivos en el grupo de edad 40 a 44</v>
      </c>
      <c r="CS112" s="2077" t="str">
        <f t="shared" si="257"/>
        <v>* El total de procesados debe ser mayor o igual al total de Reactivos en el grupo de edad 45 a 49</v>
      </c>
      <c r="CT112" s="2077" t="str">
        <f t="shared" si="258"/>
        <v>* El total de procesados debe ser mayor o igual al total de Reactivos en el grupo de edad 50 a 54</v>
      </c>
      <c r="CU112" s="2077" t="str">
        <f t="shared" si="259"/>
        <v>* El total de procesados debe ser mayor o igual al total de Reactivos en el grupo de edad 55 a 59</v>
      </c>
      <c r="CV112" s="2077" t="str">
        <f t="shared" si="260"/>
        <v>* El total de procesados debe ser mayor o igual al total de Reactivos en el grupo de edad 60 a 64</v>
      </c>
      <c r="CW112" s="2077" t="str">
        <f t="shared" si="261"/>
        <v>* El total de procesados debe ser mayor o igual al total de Reactivos en el grupo de edad 65 a 69</v>
      </c>
      <c r="CX112" s="2077" t="str">
        <f t="shared" si="262"/>
        <v>* El total de procesados debe ser mayor o igual al total de Reactivos en el grupo de edad 70 a 74</v>
      </c>
      <c r="CY112" s="2077" t="str">
        <f t="shared" si="263"/>
        <v>* El total de procesados debe ser mayor o igual al total de Reactivos en el grupo de edad 75 a 79</v>
      </c>
      <c r="CZ112" s="2077" t="str">
        <f t="shared" si="264"/>
        <v>* El total de procesados debe ser mayor o igual al total de Reactivos en el grupo de edad 80 y más</v>
      </c>
      <c r="DA112" s="2077" t="str">
        <f t="shared" si="218"/>
        <v/>
      </c>
      <c r="DB112" s="1363">
        <f t="shared" si="219"/>
        <v>1</v>
      </c>
      <c r="DC112" s="1363" t="e">
        <f t="shared" si="220"/>
        <v>#VALUE!</v>
      </c>
      <c r="DD112" s="1363" t="e">
        <f t="shared" si="221"/>
        <v>#VALUE!</v>
      </c>
      <c r="DE112" s="1363">
        <f t="shared" si="222"/>
        <v>1</v>
      </c>
      <c r="DF112" s="1363">
        <f t="shared" si="223"/>
        <v>1</v>
      </c>
      <c r="DG112" s="1363">
        <f t="shared" si="224"/>
        <v>1</v>
      </c>
      <c r="DH112" s="1363">
        <f t="shared" si="225"/>
        <v>1</v>
      </c>
      <c r="DI112" s="1363">
        <f t="shared" si="226"/>
        <v>1</v>
      </c>
      <c r="DJ112" s="1363">
        <f t="shared" si="227"/>
        <v>1</v>
      </c>
      <c r="DK112" s="1363">
        <f t="shared" si="228"/>
        <v>1</v>
      </c>
      <c r="DL112" s="1363">
        <f t="shared" si="229"/>
        <v>1</v>
      </c>
      <c r="DM112" s="1363">
        <f t="shared" si="230"/>
        <v>1</v>
      </c>
      <c r="DN112" s="1363">
        <f t="shared" si="231"/>
        <v>1</v>
      </c>
      <c r="DO112" s="1363">
        <f t="shared" si="232"/>
        <v>1</v>
      </c>
      <c r="DP112" s="1363">
        <f t="shared" si="233"/>
        <v>1</v>
      </c>
      <c r="DQ112" s="1363">
        <f t="shared" si="234"/>
        <v>1</v>
      </c>
      <c r="DR112" s="1363">
        <f t="shared" si="235"/>
        <v>1</v>
      </c>
      <c r="DS112" s="1363">
        <f t="shared" si="236"/>
        <v>1</v>
      </c>
      <c r="DT112" s="1363">
        <f t="shared" si="237"/>
        <v>1</v>
      </c>
      <c r="DU112" s="1363">
        <f t="shared" si="238"/>
        <v>1</v>
      </c>
      <c r="DV112" s="1363">
        <f t="shared" si="239"/>
        <v>1</v>
      </c>
      <c r="DW112" s="1363">
        <f t="shared" si="240"/>
        <v>1</v>
      </c>
      <c r="DX112" s="1363">
        <f t="shared" si="241"/>
        <v>1</v>
      </c>
      <c r="DY112" s="1363">
        <f t="shared" si="242"/>
        <v>1</v>
      </c>
      <c r="DZ112" s="1363">
        <f t="shared" si="243"/>
        <v>1</v>
      </c>
      <c r="EA112" s="1363">
        <f t="shared" si="244"/>
        <v>0</v>
      </c>
    </row>
    <row r="113" spans="1:131" ht="16.350000000000001" customHeight="1" x14ac:dyDescent="0.25">
      <c r="A113" s="2458">
        <v>11056449</v>
      </c>
      <c r="B113" s="140" t="s">
        <v>2272</v>
      </c>
      <c r="C113" s="707" t="s">
        <v>2777</v>
      </c>
      <c r="D113" s="281" t="s">
        <v>2778</v>
      </c>
      <c r="E113" s="161" t="s">
        <v>2779</v>
      </c>
      <c r="F113" s="145" t="s">
        <v>2780</v>
      </c>
      <c r="G113" s="173" t="s">
        <v>2781</v>
      </c>
      <c r="H113" s="145" t="s">
        <v>2782</v>
      </c>
      <c r="I113" s="173" t="s">
        <v>2783</v>
      </c>
      <c r="J113" s="145" t="s">
        <v>2784</v>
      </c>
      <c r="K113" s="173" t="s">
        <v>2785</v>
      </c>
      <c r="L113" s="145" t="s">
        <v>2786</v>
      </c>
      <c r="M113" s="173" t="s">
        <v>2787</v>
      </c>
      <c r="N113" s="162" t="s">
        <v>2788</v>
      </c>
      <c r="O113" s="161" t="s">
        <v>2789</v>
      </c>
      <c r="P113" s="145" t="s">
        <v>2790</v>
      </c>
      <c r="Q113" s="141" t="s">
        <v>2791</v>
      </c>
      <c r="R113" s="142" t="s">
        <v>2792</v>
      </c>
      <c r="S113" s="141" t="s">
        <v>2793</v>
      </c>
      <c r="T113" s="142" t="s">
        <v>2794</v>
      </c>
      <c r="U113" s="141" t="s">
        <v>2795</v>
      </c>
      <c r="V113" s="142" t="s">
        <v>2796</v>
      </c>
      <c r="W113" s="141" t="s">
        <v>2797</v>
      </c>
      <c r="X113" s="142" t="s">
        <v>2798</v>
      </c>
      <c r="Y113" s="141" t="s">
        <v>2799</v>
      </c>
      <c r="Z113" s="142" t="s">
        <v>2800</v>
      </c>
      <c r="AA113" s="141" t="s">
        <v>2801</v>
      </c>
      <c r="AB113" s="142" t="s">
        <v>2817</v>
      </c>
      <c r="AC113" s="141" t="s">
        <v>2818</v>
      </c>
      <c r="AD113" s="142" t="s">
        <v>2819</v>
      </c>
      <c r="AE113" s="141" t="s">
        <v>2821</v>
      </c>
      <c r="AF113" s="142" t="s">
        <v>2822</v>
      </c>
      <c r="AG113" s="141" t="s">
        <v>2823</v>
      </c>
      <c r="AH113" s="142" t="s">
        <v>2824</v>
      </c>
      <c r="AI113" s="141" t="s">
        <v>2825</v>
      </c>
      <c r="AJ113" s="142" t="s">
        <v>2826</v>
      </c>
      <c r="AK113" s="141" t="s">
        <v>2827</v>
      </c>
      <c r="AL113" s="142" t="s">
        <v>2831</v>
      </c>
      <c r="AM113" s="141" t="s">
        <v>2832</v>
      </c>
      <c r="AN113" s="142" t="s">
        <v>2833</v>
      </c>
      <c r="AO113" s="141" t="s">
        <v>2834</v>
      </c>
      <c r="AP113" s="142" t="s">
        <v>3011</v>
      </c>
      <c r="AQ113" s="141" t="s">
        <v>3012</v>
      </c>
      <c r="AR113" s="318" t="s">
        <v>3013</v>
      </c>
      <c r="AS113" s="180" t="s">
        <v>3014</v>
      </c>
      <c r="AT113" s="318" t="s">
        <v>3015</v>
      </c>
      <c r="AU113" s="180" t="s">
        <v>3206</v>
      </c>
      <c r="AV113" s="142" t="s">
        <v>3207</v>
      </c>
      <c r="AW113" s="141" t="s">
        <v>3272</v>
      </c>
      <c r="AX113" s="163" t="s">
        <v>3273</v>
      </c>
      <c r="AY113" s="1079" t="e">
        <f t="shared" si="212"/>
        <v>#VALUE!</v>
      </c>
      <c r="AZ113" s="1079"/>
      <c r="BA113" s="1079"/>
      <c r="BB113" s="1079"/>
      <c r="BC113" s="1079"/>
      <c r="BD113" s="1079"/>
      <c r="BE113" s="1079"/>
      <c r="BF113" s="1079"/>
      <c r="BG113" s="1079"/>
      <c r="BH113" s="1079"/>
      <c r="BI113" s="1079"/>
      <c r="BJ113" s="884"/>
      <c r="BK113" s="884"/>
      <c r="BL113" s="884"/>
      <c r="BM113" s="884"/>
      <c r="BV113" s="884"/>
      <c r="BX113" s="885"/>
      <c r="CB113" s="2077" t="str">
        <f t="shared" si="213"/>
        <v xml:space="preserve">* El total de Reactivos NO DEBE ser superior al total de Procesados. </v>
      </c>
      <c r="CC113" s="2077" t="e">
        <f t="shared" si="214"/>
        <v>#VALUE!</v>
      </c>
      <c r="CD113" s="2077" t="e">
        <f t="shared" si="215"/>
        <v>#VALUE!</v>
      </c>
      <c r="CE113" s="2077" t="str">
        <f t="shared" si="216"/>
        <v xml:space="preserve">* La columna Pueblos Originarios NO DEBE ser superior al total de Procesados. </v>
      </c>
      <c r="CF113" s="2077" t="str">
        <f t="shared" si="217"/>
        <v xml:space="preserve">* La columna Migrantes NO DEBE ser superior al total de Procesados. </v>
      </c>
      <c r="CG113" s="2077" t="str">
        <f t="shared" si="245"/>
        <v>* El total de procesados debe ser mayor o igual al total de Reactivos en el grupo de edad Menor de 6 meses</v>
      </c>
      <c r="CH113" s="2077" t="str">
        <f t="shared" si="246"/>
        <v>* El total de procesados debe ser mayor o igual al total de Reactivos en el grupo de edad 6 a 11 meses</v>
      </c>
      <c r="CI113" s="2077" t="str">
        <f t="shared" si="247"/>
        <v>* El total de procesados debe ser mayor o igual al total de Reactivos en el grupo de edad 12-24 meses</v>
      </c>
      <c r="CJ113" s="2077" t="str">
        <f t="shared" si="248"/>
        <v>* El total de procesados debe ser mayor o igual al total de Reactivos en el grupo de edad 3 a 4</v>
      </c>
      <c r="CK113" s="2077" t="str">
        <f t="shared" si="249"/>
        <v>* El total de procesados debe ser mayor o igual al total de Reactivos en el grupo de edad 5 a 9</v>
      </c>
      <c r="CL113" s="2077" t="str">
        <f t="shared" si="250"/>
        <v>* El total de procesados debe ser mayor o igual al total de Reactivos en el grupo de edad 10 - 14</v>
      </c>
      <c r="CM113" s="2077" t="str">
        <f t="shared" si="251"/>
        <v>* El total de procesados debe ser mayor o igual al total de Reactivos en el grupo de edad 15 - 19</v>
      </c>
      <c r="CN113" s="2077" t="str">
        <f t="shared" si="252"/>
        <v>* El total de procesados debe ser mayor o igual al total de Reactivos en el grupo de edad 20 - 24</v>
      </c>
      <c r="CO113" s="2077" t="str">
        <f t="shared" si="253"/>
        <v>* El total de procesados debe ser mayor o igual al total de Reactivos en el grupo de edad 25 a 29</v>
      </c>
      <c r="CP113" s="2077" t="str">
        <f t="shared" si="254"/>
        <v>* El total de procesados debe ser mayor o igual al total de Reactivos en el grupo de edad 30 a 34</v>
      </c>
      <c r="CQ113" s="2077" t="str">
        <f t="shared" si="255"/>
        <v>* El total de procesados debe ser mayor o igual al total de Reactivos en el grupo de edad 35 a 39</v>
      </c>
      <c r="CR113" s="2077" t="str">
        <f t="shared" si="256"/>
        <v>* El total de procesados debe ser mayor o igual al total de Reactivos en el grupo de edad 40 a 44</v>
      </c>
      <c r="CS113" s="2077" t="str">
        <f t="shared" si="257"/>
        <v>* El total de procesados debe ser mayor o igual al total de Reactivos en el grupo de edad 45 a 49</v>
      </c>
      <c r="CT113" s="2077" t="str">
        <f t="shared" si="258"/>
        <v>* El total de procesados debe ser mayor o igual al total de Reactivos en el grupo de edad 50 a 54</v>
      </c>
      <c r="CU113" s="2077" t="str">
        <f t="shared" si="259"/>
        <v>* El total de procesados debe ser mayor o igual al total de Reactivos en el grupo de edad 55 a 59</v>
      </c>
      <c r="CV113" s="2077" t="str">
        <f t="shared" si="260"/>
        <v>* El total de procesados debe ser mayor o igual al total de Reactivos en el grupo de edad 60 a 64</v>
      </c>
      <c r="CW113" s="2077" t="str">
        <f t="shared" si="261"/>
        <v>* El total de procesados debe ser mayor o igual al total de Reactivos en el grupo de edad 65 a 69</v>
      </c>
      <c r="CX113" s="2077" t="str">
        <f t="shared" si="262"/>
        <v>* El total de procesados debe ser mayor o igual al total de Reactivos en el grupo de edad 70 a 74</v>
      </c>
      <c r="CY113" s="2077" t="str">
        <f t="shared" si="263"/>
        <v>* El total de procesados debe ser mayor o igual al total de Reactivos en el grupo de edad 75 a 79</v>
      </c>
      <c r="CZ113" s="2077" t="str">
        <f t="shared" si="264"/>
        <v>* El total de procesados debe ser mayor o igual al total de Reactivos en el grupo de edad 80 y más</v>
      </c>
      <c r="DA113" s="2077" t="str">
        <f t="shared" si="218"/>
        <v/>
      </c>
      <c r="DB113" s="1363">
        <f t="shared" si="219"/>
        <v>1</v>
      </c>
      <c r="DC113" s="1363" t="e">
        <f t="shared" si="220"/>
        <v>#VALUE!</v>
      </c>
      <c r="DD113" s="1363" t="e">
        <f t="shared" si="221"/>
        <v>#VALUE!</v>
      </c>
      <c r="DE113" s="1363">
        <f t="shared" si="222"/>
        <v>1</v>
      </c>
      <c r="DF113" s="1363">
        <f t="shared" si="223"/>
        <v>1</v>
      </c>
      <c r="DG113" s="1363">
        <f t="shared" si="224"/>
        <v>1</v>
      </c>
      <c r="DH113" s="1363">
        <f t="shared" si="225"/>
        <v>1</v>
      </c>
      <c r="DI113" s="1363">
        <f t="shared" si="226"/>
        <v>1</v>
      </c>
      <c r="DJ113" s="1363">
        <f t="shared" si="227"/>
        <v>1</v>
      </c>
      <c r="DK113" s="1363">
        <f t="shared" si="228"/>
        <v>1</v>
      </c>
      <c r="DL113" s="1363">
        <f t="shared" si="229"/>
        <v>1</v>
      </c>
      <c r="DM113" s="1363">
        <f t="shared" si="230"/>
        <v>1</v>
      </c>
      <c r="DN113" s="1363">
        <f t="shared" si="231"/>
        <v>1</v>
      </c>
      <c r="DO113" s="1363">
        <f t="shared" si="232"/>
        <v>1</v>
      </c>
      <c r="DP113" s="1363">
        <f t="shared" si="233"/>
        <v>1</v>
      </c>
      <c r="DQ113" s="1363">
        <f t="shared" si="234"/>
        <v>1</v>
      </c>
      <c r="DR113" s="1363">
        <f t="shared" si="235"/>
        <v>1</v>
      </c>
      <c r="DS113" s="1363">
        <f t="shared" si="236"/>
        <v>1</v>
      </c>
      <c r="DT113" s="1363">
        <f t="shared" si="237"/>
        <v>1</v>
      </c>
      <c r="DU113" s="1363">
        <f t="shared" si="238"/>
        <v>1</v>
      </c>
      <c r="DV113" s="1363">
        <f t="shared" si="239"/>
        <v>1</v>
      </c>
      <c r="DW113" s="1363">
        <f t="shared" si="240"/>
        <v>1</v>
      </c>
      <c r="DX113" s="1363">
        <f t="shared" si="241"/>
        <v>1</v>
      </c>
      <c r="DY113" s="1363">
        <f t="shared" si="242"/>
        <v>1</v>
      </c>
      <c r="DZ113" s="1363">
        <f t="shared" si="243"/>
        <v>1</v>
      </c>
      <c r="EA113" s="1363">
        <f t="shared" si="244"/>
        <v>0</v>
      </c>
    </row>
    <row r="114" spans="1:131" ht="16.350000000000001" customHeight="1" x14ac:dyDescent="0.25">
      <c r="A114" s="2458">
        <v>11056450</v>
      </c>
      <c r="B114" s="140" t="s">
        <v>2273</v>
      </c>
      <c r="C114" s="707" t="s">
        <v>2777</v>
      </c>
      <c r="D114" s="281" t="s">
        <v>2778</v>
      </c>
      <c r="E114" s="161" t="s">
        <v>2779</v>
      </c>
      <c r="F114" s="145" t="s">
        <v>2780</v>
      </c>
      <c r="G114" s="173" t="s">
        <v>2781</v>
      </c>
      <c r="H114" s="145" t="s">
        <v>2782</v>
      </c>
      <c r="I114" s="173" t="s">
        <v>2783</v>
      </c>
      <c r="J114" s="145" t="s">
        <v>2784</v>
      </c>
      <c r="K114" s="173" t="s">
        <v>2785</v>
      </c>
      <c r="L114" s="145" t="s">
        <v>2786</v>
      </c>
      <c r="M114" s="173" t="s">
        <v>2787</v>
      </c>
      <c r="N114" s="162" t="s">
        <v>2788</v>
      </c>
      <c r="O114" s="161" t="s">
        <v>2789</v>
      </c>
      <c r="P114" s="145" t="s">
        <v>2790</v>
      </c>
      <c r="Q114" s="141" t="s">
        <v>2791</v>
      </c>
      <c r="R114" s="142" t="s">
        <v>2792</v>
      </c>
      <c r="S114" s="141" t="s">
        <v>2793</v>
      </c>
      <c r="T114" s="142" t="s">
        <v>2794</v>
      </c>
      <c r="U114" s="141" t="s">
        <v>2795</v>
      </c>
      <c r="V114" s="142" t="s">
        <v>2796</v>
      </c>
      <c r="W114" s="141" t="s">
        <v>2797</v>
      </c>
      <c r="X114" s="142" t="s">
        <v>2798</v>
      </c>
      <c r="Y114" s="141" t="s">
        <v>2799</v>
      </c>
      <c r="Z114" s="142" t="s">
        <v>2800</v>
      </c>
      <c r="AA114" s="141" t="s">
        <v>2801</v>
      </c>
      <c r="AB114" s="142" t="s">
        <v>2817</v>
      </c>
      <c r="AC114" s="141" t="s">
        <v>2818</v>
      </c>
      <c r="AD114" s="142" t="s">
        <v>2819</v>
      </c>
      <c r="AE114" s="141" t="s">
        <v>2821</v>
      </c>
      <c r="AF114" s="142" t="s">
        <v>2822</v>
      </c>
      <c r="AG114" s="141" t="s">
        <v>2823</v>
      </c>
      <c r="AH114" s="142" t="s">
        <v>2824</v>
      </c>
      <c r="AI114" s="141" t="s">
        <v>2825</v>
      </c>
      <c r="AJ114" s="142" t="s">
        <v>2826</v>
      </c>
      <c r="AK114" s="173" t="s">
        <v>2827</v>
      </c>
      <c r="AL114" s="145" t="s">
        <v>2831</v>
      </c>
      <c r="AM114" s="173" t="s">
        <v>2832</v>
      </c>
      <c r="AN114" s="145" t="s">
        <v>2833</v>
      </c>
      <c r="AO114" s="173" t="s">
        <v>2834</v>
      </c>
      <c r="AP114" s="145" t="s">
        <v>3011</v>
      </c>
      <c r="AQ114" s="173" t="s">
        <v>3012</v>
      </c>
      <c r="AR114" s="507" t="s">
        <v>3013</v>
      </c>
      <c r="AS114" s="180" t="s">
        <v>3014</v>
      </c>
      <c r="AT114" s="318" t="s">
        <v>3015</v>
      </c>
      <c r="AU114" s="180" t="s">
        <v>3206</v>
      </c>
      <c r="AV114" s="142" t="s">
        <v>3207</v>
      </c>
      <c r="AW114" s="141" t="s">
        <v>3272</v>
      </c>
      <c r="AX114" s="163" t="s">
        <v>3273</v>
      </c>
      <c r="AY114" s="1079" t="e">
        <f t="shared" si="212"/>
        <v>#VALUE!</v>
      </c>
      <c r="AZ114" s="1079"/>
      <c r="BA114" s="1079"/>
      <c r="BB114" s="1079"/>
      <c r="BC114" s="1079"/>
      <c r="BD114" s="1079"/>
      <c r="BE114" s="1079"/>
      <c r="BF114" s="1079"/>
      <c r="BG114" s="1079"/>
      <c r="BH114" s="1079"/>
      <c r="BI114" s="1079"/>
      <c r="BJ114" s="884"/>
      <c r="BK114" s="884"/>
      <c r="BL114" s="884"/>
      <c r="BM114" s="884"/>
      <c r="BV114" s="884"/>
      <c r="BX114" s="885"/>
      <c r="CB114" s="2077" t="str">
        <f t="shared" si="213"/>
        <v xml:space="preserve">* El total de Reactivos NO DEBE ser superior al total de Procesados. </v>
      </c>
      <c r="CC114" s="2077" t="e">
        <f t="shared" si="214"/>
        <v>#VALUE!</v>
      </c>
      <c r="CD114" s="2077" t="e">
        <f t="shared" si="215"/>
        <v>#VALUE!</v>
      </c>
      <c r="CE114" s="2077" t="str">
        <f t="shared" si="216"/>
        <v xml:space="preserve">* La columna Pueblos Originarios NO DEBE ser superior al total de Procesados. </v>
      </c>
      <c r="CF114" s="2077" t="str">
        <f t="shared" si="217"/>
        <v xml:space="preserve">* La columna Migrantes NO DEBE ser superior al total de Procesados. </v>
      </c>
      <c r="CG114" s="2077" t="str">
        <f t="shared" si="245"/>
        <v>* El total de procesados debe ser mayor o igual al total de Reactivos en el grupo de edad Menor de 6 meses</v>
      </c>
      <c r="CH114" s="2077" t="str">
        <f t="shared" si="246"/>
        <v>* El total de procesados debe ser mayor o igual al total de Reactivos en el grupo de edad 6 a 11 meses</v>
      </c>
      <c r="CI114" s="2077" t="str">
        <f t="shared" si="247"/>
        <v>* El total de procesados debe ser mayor o igual al total de Reactivos en el grupo de edad 12-24 meses</v>
      </c>
      <c r="CJ114" s="2077" t="str">
        <f t="shared" si="248"/>
        <v>* El total de procesados debe ser mayor o igual al total de Reactivos en el grupo de edad 3 a 4</v>
      </c>
      <c r="CK114" s="2077" t="str">
        <f t="shared" si="249"/>
        <v>* El total de procesados debe ser mayor o igual al total de Reactivos en el grupo de edad 5 a 9</v>
      </c>
      <c r="CL114" s="2077" t="str">
        <f t="shared" si="250"/>
        <v>* El total de procesados debe ser mayor o igual al total de Reactivos en el grupo de edad 10 - 14</v>
      </c>
      <c r="CM114" s="2077" t="str">
        <f t="shared" si="251"/>
        <v>* El total de procesados debe ser mayor o igual al total de Reactivos en el grupo de edad 15 - 19</v>
      </c>
      <c r="CN114" s="2077" t="str">
        <f t="shared" si="252"/>
        <v>* El total de procesados debe ser mayor o igual al total de Reactivos en el grupo de edad 20 - 24</v>
      </c>
      <c r="CO114" s="2077" t="str">
        <f t="shared" si="253"/>
        <v>* El total de procesados debe ser mayor o igual al total de Reactivos en el grupo de edad 25 a 29</v>
      </c>
      <c r="CP114" s="2077" t="str">
        <f t="shared" si="254"/>
        <v>* El total de procesados debe ser mayor o igual al total de Reactivos en el grupo de edad 30 a 34</v>
      </c>
      <c r="CQ114" s="2077" t="str">
        <f t="shared" si="255"/>
        <v>* El total de procesados debe ser mayor o igual al total de Reactivos en el grupo de edad 35 a 39</v>
      </c>
      <c r="CR114" s="2077" t="str">
        <f t="shared" si="256"/>
        <v>* El total de procesados debe ser mayor o igual al total de Reactivos en el grupo de edad 40 a 44</v>
      </c>
      <c r="CS114" s="2077" t="str">
        <f t="shared" si="257"/>
        <v>* El total de procesados debe ser mayor o igual al total de Reactivos en el grupo de edad 45 a 49</v>
      </c>
      <c r="CT114" s="2077" t="str">
        <f t="shared" si="258"/>
        <v>* El total de procesados debe ser mayor o igual al total de Reactivos en el grupo de edad 50 a 54</v>
      </c>
      <c r="CU114" s="2077" t="str">
        <f t="shared" si="259"/>
        <v>* El total de procesados debe ser mayor o igual al total de Reactivos en el grupo de edad 55 a 59</v>
      </c>
      <c r="CV114" s="2077" t="str">
        <f t="shared" si="260"/>
        <v>* El total de procesados debe ser mayor o igual al total de Reactivos en el grupo de edad 60 a 64</v>
      </c>
      <c r="CW114" s="2077" t="str">
        <f t="shared" si="261"/>
        <v>* El total de procesados debe ser mayor o igual al total de Reactivos en el grupo de edad 65 a 69</v>
      </c>
      <c r="CX114" s="2077" t="str">
        <f t="shared" si="262"/>
        <v>* El total de procesados debe ser mayor o igual al total de Reactivos en el grupo de edad 70 a 74</v>
      </c>
      <c r="CY114" s="2077" t="str">
        <f t="shared" si="263"/>
        <v>* El total de procesados debe ser mayor o igual al total de Reactivos en el grupo de edad 75 a 79</v>
      </c>
      <c r="CZ114" s="2077" t="str">
        <f t="shared" si="264"/>
        <v>* El total de procesados debe ser mayor o igual al total de Reactivos en el grupo de edad 80 y más</v>
      </c>
      <c r="DA114" s="2077" t="str">
        <f t="shared" si="218"/>
        <v/>
      </c>
      <c r="DB114" s="1363">
        <f t="shared" si="219"/>
        <v>1</v>
      </c>
      <c r="DC114" s="1363" t="e">
        <f t="shared" si="220"/>
        <v>#VALUE!</v>
      </c>
      <c r="DD114" s="1363" t="e">
        <f t="shared" si="221"/>
        <v>#VALUE!</v>
      </c>
      <c r="DE114" s="1363">
        <f t="shared" si="222"/>
        <v>1</v>
      </c>
      <c r="DF114" s="1363">
        <f t="shared" si="223"/>
        <v>1</v>
      </c>
      <c r="DG114" s="1363">
        <f t="shared" si="224"/>
        <v>1</v>
      </c>
      <c r="DH114" s="1363">
        <f t="shared" si="225"/>
        <v>1</v>
      </c>
      <c r="DI114" s="1363">
        <f t="shared" si="226"/>
        <v>1</v>
      </c>
      <c r="DJ114" s="1363">
        <f t="shared" si="227"/>
        <v>1</v>
      </c>
      <c r="DK114" s="1363">
        <f t="shared" si="228"/>
        <v>1</v>
      </c>
      <c r="DL114" s="1363">
        <f t="shared" si="229"/>
        <v>1</v>
      </c>
      <c r="DM114" s="1363">
        <f t="shared" si="230"/>
        <v>1</v>
      </c>
      <c r="DN114" s="1363">
        <f t="shared" si="231"/>
        <v>1</v>
      </c>
      <c r="DO114" s="1363">
        <f t="shared" si="232"/>
        <v>1</v>
      </c>
      <c r="DP114" s="1363">
        <f t="shared" si="233"/>
        <v>1</v>
      </c>
      <c r="DQ114" s="1363">
        <f t="shared" si="234"/>
        <v>1</v>
      </c>
      <c r="DR114" s="1363">
        <f t="shared" si="235"/>
        <v>1</v>
      </c>
      <c r="DS114" s="1363">
        <f t="shared" si="236"/>
        <v>1</v>
      </c>
      <c r="DT114" s="1363">
        <f t="shared" si="237"/>
        <v>1</v>
      </c>
      <c r="DU114" s="1363">
        <f t="shared" si="238"/>
        <v>1</v>
      </c>
      <c r="DV114" s="1363">
        <f t="shared" si="239"/>
        <v>1</v>
      </c>
      <c r="DW114" s="1363">
        <f t="shared" si="240"/>
        <v>1</v>
      </c>
      <c r="DX114" s="1363">
        <f t="shared" si="241"/>
        <v>1</v>
      </c>
      <c r="DY114" s="1363">
        <f t="shared" si="242"/>
        <v>1</v>
      </c>
      <c r="DZ114" s="1363">
        <f t="shared" si="243"/>
        <v>1</v>
      </c>
      <c r="EA114" s="1363">
        <f t="shared" si="244"/>
        <v>0</v>
      </c>
    </row>
    <row r="115" spans="1:131" ht="16.350000000000001" customHeight="1" x14ac:dyDescent="0.25">
      <c r="A115" s="2458">
        <v>11056451</v>
      </c>
      <c r="B115" s="140" t="s">
        <v>2274</v>
      </c>
      <c r="C115" s="707" t="s">
        <v>2777</v>
      </c>
      <c r="D115" s="281" t="s">
        <v>2778</v>
      </c>
      <c r="E115" s="180" t="s">
        <v>2779</v>
      </c>
      <c r="F115" s="142" t="s">
        <v>2780</v>
      </c>
      <c r="G115" s="141" t="s">
        <v>2781</v>
      </c>
      <c r="H115" s="142" t="s">
        <v>2782</v>
      </c>
      <c r="I115" s="141" t="s">
        <v>2783</v>
      </c>
      <c r="J115" s="163" t="s">
        <v>2784</v>
      </c>
      <c r="K115" s="180" t="s">
        <v>2785</v>
      </c>
      <c r="L115" s="180" t="s">
        <v>2786</v>
      </c>
      <c r="M115" s="141" t="s">
        <v>2787</v>
      </c>
      <c r="N115" s="163" t="s">
        <v>2788</v>
      </c>
      <c r="O115" s="180" t="s">
        <v>2789</v>
      </c>
      <c r="P115" s="142" t="s">
        <v>2790</v>
      </c>
      <c r="Q115" s="141" t="s">
        <v>2791</v>
      </c>
      <c r="R115" s="142" t="s">
        <v>2792</v>
      </c>
      <c r="S115" s="141" t="s">
        <v>2793</v>
      </c>
      <c r="T115" s="142" t="s">
        <v>2794</v>
      </c>
      <c r="U115" s="141" t="s">
        <v>2795</v>
      </c>
      <c r="V115" s="142" t="s">
        <v>2796</v>
      </c>
      <c r="W115" s="141" t="s">
        <v>2797</v>
      </c>
      <c r="X115" s="142" t="s">
        <v>2798</v>
      </c>
      <c r="Y115" s="141" t="s">
        <v>2799</v>
      </c>
      <c r="Z115" s="142" t="s">
        <v>2800</v>
      </c>
      <c r="AA115" s="141" t="s">
        <v>2801</v>
      </c>
      <c r="AB115" s="142" t="s">
        <v>2817</v>
      </c>
      <c r="AC115" s="141" t="s">
        <v>2818</v>
      </c>
      <c r="AD115" s="142" t="s">
        <v>2819</v>
      </c>
      <c r="AE115" s="141" t="s">
        <v>2821</v>
      </c>
      <c r="AF115" s="142" t="s">
        <v>2822</v>
      </c>
      <c r="AG115" s="141" t="s">
        <v>2823</v>
      </c>
      <c r="AH115" s="142" t="s">
        <v>2824</v>
      </c>
      <c r="AI115" s="141" t="s">
        <v>2825</v>
      </c>
      <c r="AJ115" s="142" t="s">
        <v>2826</v>
      </c>
      <c r="AK115" s="141" t="s">
        <v>2827</v>
      </c>
      <c r="AL115" s="142" t="s">
        <v>2831</v>
      </c>
      <c r="AM115" s="141" t="s">
        <v>2832</v>
      </c>
      <c r="AN115" s="142" t="s">
        <v>2833</v>
      </c>
      <c r="AO115" s="141" t="s">
        <v>2834</v>
      </c>
      <c r="AP115" s="142" t="s">
        <v>3011</v>
      </c>
      <c r="AQ115" s="141" t="s">
        <v>3012</v>
      </c>
      <c r="AR115" s="318" t="s">
        <v>3013</v>
      </c>
      <c r="AS115" s="180" t="s">
        <v>3014</v>
      </c>
      <c r="AT115" s="318" t="s">
        <v>3015</v>
      </c>
      <c r="AU115" s="180" t="s">
        <v>3206</v>
      </c>
      <c r="AV115" s="142" t="s">
        <v>3207</v>
      </c>
      <c r="AW115" s="141" t="s">
        <v>3272</v>
      </c>
      <c r="AX115" s="163" t="s">
        <v>3273</v>
      </c>
      <c r="AY115" s="1079" t="e">
        <f t="shared" si="212"/>
        <v>#VALUE!</v>
      </c>
      <c r="AZ115" s="1079"/>
      <c r="BA115" s="1079"/>
      <c r="BB115" s="1079"/>
      <c r="BC115" s="1079"/>
      <c r="BD115" s="1079"/>
      <c r="BE115" s="1079"/>
      <c r="BF115" s="1079"/>
      <c r="BG115" s="1079"/>
      <c r="BH115" s="1079"/>
      <c r="BI115" s="1079"/>
      <c r="BJ115" s="884"/>
      <c r="BK115" s="884"/>
      <c r="BL115" s="884"/>
      <c r="BM115" s="884"/>
      <c r="BV115" s="884"/>
      <c r="BX115" s="885"/>
      <c r="CB115" s="2077" t="str">
        <f t="shared" si="213"/>
        <v xml:space="preserve">* El total de Reactivos NO DEBE ser superior al total de Procesados. </v>
      </c>
      <c r="CC115" s="2077" t="e">
        <f t="shared" si="214"/>
        <v>#VALUE!</v>
      </c>
      <c r="CD115" s="2077" t="e">
        <f t="shared" si="215"/>
        <v>#VALUE!</v>
      </c>
      <c r="CE115" s="2077" t="str">
        <f t="shared" si="216"/>
        <v xml:space="preserve">* La columna Pueblos Originarios NO DEBE ser superior al total de Procesados. </v>
      </c>
      <c r="CF115" s="2077" t="str">
        <f t="shared" si="217"/>
        <v xml:space="preserve">* La columna Migrantes NO DEBE ser superior al total de Procesados. </v>
      </c>
      <c r="CG115" s="2077" t="str">
        <f t="shared" si="245"/>
        <v>* El total de procesados debe ser mayor o igual al total de Reactivos en el grupo de edad Menor de 6 meses</v>
      </c>
      <c r="CH115" s="2077" t="str">
        <f t="shared" si="246"/>
        <v>* El total de procesados debe ser mayor o igual al total de Reactivos en el grupo de edad 6 a 11 meses</v>
      </c>
      <c r="CI115" s="2077" t="str">
        <f t="shared" si="247"/>
        <v>* El total de procesados debe ser mayor o igual al total de Reactivos en el grupo de edad 12-24 meses</v>
      </c>
      <c r="CJ115" s="2077" t="str">
        <f t="shared" si="248"/>
        <v>* El total de procesados debe ser mayor o igual al total de Reactivos en el grupo de edad 3 a 4</v>
      </c>
      <c r="CK115" s="2077" t="str">
        <f t="shared" si="249"/>
        <v>* El total de procesados debe ser mayor o igual al total de Reactivos en el grupo de edad 5 a 9</v>
      </c>
      <c r="CL115" s="2077" t="str">
        <f t="shared" si="250"/>
        <v>* El total de procesados debe ser mayor o igual al total de Reactivos en el grupo de edad 10 - 14</v>
      </c>
      <c r="CM115" s="2077" t="str">
        <f t="shared" si="251"/>
        <v>* El total de procesados debe ser mayor o igual al total de Reactivos en el grupo de edad 15 - 19</v>
      </c>
      <c r="CN115" s="2077" t="str">
        <f t="shared" si="252"/>
        <v>* El total de procesados debe ser mayor o igual al total de Reactivos en el grupo de edad 20 - 24</v>
      </c>
      <c r="CO115" s="2077" t="str">
        <f t="shared" si="253"/>
        <v>* El total de procesados debe ser mayor o igual al total de Reactivos en el grupo de edad 25 a 29</v>
      </c>
      <c r="CP115" s="2077" t="str">
        <f t="shared" si="254"/>
        <v>* El total de procesados debe ser mayor o igual al total de Reactivos en el grupo de edad 30 a 34</v>
      </c>
      <c r="CQ115" s="2077" t="str">
        <f t="shared" si="255"/>
        <v>* El total de procesados debe ser mayor o igual al total de Reactivos en el grupo de edad 35 a 39</v>
      </c>
      <c r="CR115" s="2077" t="str">
        <f t="shared" si="256"/>
        <v>* El total de procesados debe ser mayor o igual al total de Reactivos en el grupo de edad 40 a 44</v>
      </c>
      <c r="CS115" s="2077" t="str">
        <f t="shared" si="257"/>
        <v>* El total de procesados debe ser mayor o igual al total de Reactivos en el grupo de edad 45 a 49</v>
      </c>
      <c r="CT115" s="2077" t="str">
        <f t="shared" si="258"/>
        <v>* El total de procesados debe ser mayor o igual al total de Reactivos en el grupo de edad 50 a 54</v>
      </c>
      <c r="CU115" s="2077" t="str">
        <f t="shared" si="259"/>
        <v>* El total de procesados debe ser mayor o igual al total de Reactivos en el grupo de edad 55 a 59</v>
      </c>
      <c r="CV115" s="2077" t="str">
        <f t="shared" si="260"/>
        <v>* El total de procesados debe ser mayor o igual al total de Reactivos en el grupo de edad 60 a 64</v>
      </c>
      <c r="CW115" s="2077" t="str">
        <f t="shared" si="261"/>
        <v>* El total de procesados debe ser mayor o igual al total de Reactivos en el grupo de edad 65 a 69</v>
      </c>
      <c r="CX115" s="2077" t="str">
        <f t="shared" si="262"/>
        <v>* El total de procesados debe ser mayor o igual al total de Reactivos en el grupo de edad 70 a 74</v>
      </c>
      <c r="CY115" s="2077" t="str">
        <f t="shared" si="263"/>
        <v>* El total de procesados debe ser mayor o igual al total de Reactivos en el grupo de edad 75 a 79</v>
      </c>
      <c r="CZ115" s="2077" t="str">
        <f t="shared" si="264"/>
        <v>* El total de procesados debe ser mayor o igual al total de Reactivos en el grupo de edad 80 y más</v>
      </c>
      <c r="DA115" s="2077" t="str">
        <f t="shared" si="218"/>
        <v/>
      </c>
      <c r="DB115" s="1363">
        <f t="shared" si="219"/>
        <v>1</v>
      </c>
      <c r="DC115" s="1363" t="e">
        <f t="shared" si="220"/>
        <v>#VALUE!</v>
      </c>
      <c r="DD115" s="1363" t="e">
        <f t="shared" si="221"/>
        <v>#VALUE!</v>
      </c>
      <c r="DE115" s="1363">
        <f t="shared" si="222"/>
        <v>1</v>
      </c>
      <c r="DF115" s="1363">
        <f t="shared" si="223"/>
        <v>1</v>
      </c>
      <c r="DG115" s="1363">
        <f t="shared" si="224"/>
        <v>1</v>
      </c>
      <c r="DH115" s="1363">
        <f t="shared" si="225"/>
        <v>1</v>
      </c>
      <c r="DI115" s="1363">
        <f t="shared" si="226"/>
        <v>1</v>
      </c>
      <c r="DJ115" s="1363">
        <f t="shared" si="227"/>
        <v>1</v>
      </c>
      <c r="DK115" s="1363">
        <f t="shared" si="228"/>
        <v>1</v>
      </c>
      <c r="DL115" s="1363">
        <f t="shared" si="229"/>
        <v>1</v>
      </c>
      <c r="DM115" s="1363">
        <f t="shared" si="230"/>
        <v>1</v>
      </c>
      <c r="DN115" s="1363">
        <f t="shared" si="231"/>
        <v>1</v>
      </c>
      <c r="DO115" s="1363">
        <f t="shared" si="232"/>
        <v>1</v>
      </c>
      <c r="DP115" s="1363">
        <f t="shared" si="233"/>
        <v>1</v>
      </c>
      <c r="DQ115" s="1363">
        <f t="shared" si="234"/>
        <v>1</v>
      </c>
      <c r="DR115" s="1363">
        <f t="shared" si="235"/>
        <v>1</v>
      </c>
      <c r="DS115" s="1363">
        <f t="shared" si="236"/>
        <v>1</v>
      </c>
      <c r="DT115" s="1363">
        <f t="shared" si="237"/>
        <v>1</v>
      </c>
      <c r="DU115" s="1363">
        <f t="shared" si="238"/>
        <v>1</v>
      </c>
      <c r="DV115" s="1363">
        <f t="shared" si="239"/>
        <v>1</v>
      </c>
      <c r="DW115" s="1363">
        <f t="shared" si="240"/>
        <v>1</v>
      </c>
      <c r="DX115" s="1363">
        <f t="shared" si="241"/>
        <v>1</v>
      </c>
      <c r="DY115" s="1363">
        <f t="shared" si="242"/>
        <v>1</v>
      </c>
      <c r="DZ115" s="1363">
        <f t="shared" si="243"/>
        <v>1</v>
      </c>
      <c r="EA115" s="1363">
        <f t="shared" si="244"/>
        <v>0</v>
      </c>
    </row>
    <row r="116" spans="1:131" ht="16.350000000000001" customHeight="1" x14ac:dyDescent="0.25">
      <c r="A116" s="2458">
        <v>11056452</v>
      </c>
      <c r="B116" s="140" t="s">
        <v>2275</v>
      </c>
      <c r="C116" s="707" t="s">
        <v>2777</v>
      </c>
      <c r="D116" s="281" t="s">
        <v>2778</v>
      </c>
      <c r="E116" s="180" t="s">
        <v>2779</v>
      </c>
      <c r="F116" s="142" t="s">
        <v>2780</v>
      </c>
      <c r="G116" s="141" t="s">
        <v>2781</v>
      </c>
      <c r="H116" s="142" t="s">
        <v>2782</v>
      </c>
      <c r="I116" s="141" t="s">
        <v>2783</v>
      </c>
      <c r="J116" s="163" t="s">
        <v>2784</v>
      </c>
      <c r="K116" s="180" t="s">
        <v>2785</v>
      </c>
      <c r="L116" s="180" t="s">
        <v>2786</v>
      </c>
      <c r="M116" s="141" t="s">
        <v>2787</v>
      </c>
      <c r="N116" s="163" t="s">
        <v>2788</v>
      </c>
      <c r="O116" s="180" t="s">
        <v>2789</v>
      </c>
      <c r="P116" s="142" t="s">
        <v>2790</v>
      </c>
      <c r="Q116" s="141" t="s">
        <v>2791</v>
      </c>
      <c r="R116" s="142" t="s">
        <v>2792</v>
      </c>
      <c r="S116" s="141" t="s">
        <v>2793</v>
      </c>
      <c r="T116" s="142" t="s">
        <v>2794</v>
      </c>
      <c r="U116" s="141" t="s">
        <v>2795</v>
      </c>
      <c r="V116" s="142" t="s">
        <v>2796</v>
      </c>
      <c r="W116" s="141" t="s">
        <v>2797</v>
      </c>
      <c r="X116" s="142" t="s">
        <v>2798</v>
      </c>
      <c r="Y116" s="141" t="s">
        <v>2799</v>
      </c>
      <c r="Z116" s="142" t="s">
        <v>2800</v>
      </c>
      <c r="AA116" s="141" t="s">
        <v>2801</v>
      </c>
      <c r="AB116" s="142" t="s">
        <v>2817</v>
      </c>
      <c r="AC116" s="141" t="s">
        <v>2818</v>
      </c>
      <c r="AD116" s="142" t="s">
        <v>2819</v>
      </c>
      <c r="AE116" s="141" t="s">
        <v>2821</v>
      </c>
      <c r="AF116" s="142" t="s">
        <v>2822</v>
      </c>
      <c r="AG116" s="141" t="s">
        <v>2823</v>
      </c>
      <c r="AH116" s="142" t="s">
        <v>2824</v>
      </c>
      <c r="AI116" s="141" t="s">
        <v>2825</v>
      </c>
      <c r="AJ116" s="142" t="s">
        <v>2826</v>
      </c>
      <c r="AK116" s="141" t="s">
        <v>2827</v>
      </c>
      <c r="AL116" s="142" t="s">
        <v>2831</v>
      </c>
      <c r="AM116" s="141" t="s">
        <v>2832</v>
      </c>
      <c r="AN116" s="142" t="s">
        <v>2833</v>
      </c>
      <c r="AO116" s="141" t="s">
        <v>2834</v>
      </c>
      <c r="AP116" s="142" t="s">
        <v>3011</v>
      </c>
      <c r="AQ116" s="141" t="s">
        <v>3012</v>
      </c>
      <c r="AR116" s="318" t="s">
        <v>3013</v>
      </c>
      <c r="AS116" s="180" t="s">
        <v>3014</v>
      </c>
      <c r="AT116" s="318" t="s">
        <v>3015</v>
      </c>
      <c r="AU116" s="180" t="s">
        <v>3206</v>
      </c>
      <c r="AV116" s="142" t="s">
        <v>3207</v>
      </c>
      <c r="AW116" s="141" t="s">
        <v>3272</v>
      </c>
      <c r="AX116" s="163" t="s">
        <v>3273</v>
      </c>
      <c r="AY116" s="1079" t="e">
        <f t="shared" si="212"/>
        <v>#VALUE!</v>
      </c>
      <c r="AZ116" s="1079"/>
      <c r="BA116" s="1079"/>
      <c r="BB116" s="1079"/>
      <c r="BC116" s="1079"/>
      <c r="BD116" s="1079"/>
      <c r="BE116" s="1079"/>
      <c r="BF116" s="1079"/>
      <c r="BG116" s="1079"/>
      <c r="BH116" s="1079"/>
      <c r="BI116" s="1079"/>
      <c r="BJ116" s="884"/>
      <c r="BK116" s="884"/>
      <c r="BL116" s="884"/>
      <c r="BM116" s="884"/>
      <c r="BV116" s="884"/>
      <c r="BX116" s="885"/>
      <c r="CB116" s="2077" t="str">
        <f t="shared" si="213"/>
        <v xml:space="preserve">* El total de Reactivos NO DEBE ser superior al total de Procesados. </v>
      </c>
      <c r="CC116" s="2077" t="e">
        <f t="shared" si="214"/>
        <v>#VALUE!</v>
      </c>
      <c r="CD116" s="2077" t="e">
        <f t="shared" si="215"/>
        <v>#VALUE!</v>
      </c>
      <c r="CE116" s="2077" t="str">
        <f t="shared" si="216"/>
        <v xml:space="preserve">* La columna Pueblos Originarios NO DEBE ser superior al total de Procesados. </v>
      </c>
      <c r="CF116" s="2077" t="str">
        <f t="shared" si="217"/>
        <v xml:space="preserve">* La columna Migrantes NO DEBE ser superior al total de Procesados. </v>
      </c>
      <c r="CG116" s="2077" t="str">
        <f t="shared" si="245"/>
        <v>* El total de procesados debe ser mayor o igual al total de Reactivos en el grupo de edad Menor de 6 meses</v>
      </c>
      <c r="CH116" s="2077" t="str">
        <f t="shared" si="246"/>
        <v>* El total de procesados debe ser mayor o igual al total de Reactivos en el grupo de edad 6 a 11 meses</v>
      </c>
      <c r="CI116" s="2077" t="str">
        <f t="shared" si="247"/>
        <v>* El total de procesados debe ser mayor o igual al total de Reactivos en el grupo de edad 12-24 meses</v>
      </c>
      <c r="CJ116" s="2077" t="str">
        <f t="shared" si="248"/>
        <v>* El total de procesados debe ser mayor o igual al total de Reactivos en el grupo de edad 3 a 4</v>
      </c>
      <c r="CK116" s="2077" t="str">
        <f t="shared" si="249"/>
        <v>* El total de procesados debe ser mayor o igual al total de Reactivos en el grupo de edad 5 a 9</v>
      </c>
      <c r="CL116" s="2077" t="str">
        <f t="shared" si="250"/>
        <v>* El total de procesados debe ser mayor o igual al total de Reactivos en el grupo de edad 10 - 14</v>
      </c>
      <c r="CM116" s="2077" t="str">
        <f t="shared" si="251"/>
        <v>* El total de procesados debe ser mayor o igual al total de Reactivos en el grupo de edad 15 - 19</v>
      </c>
      <c r="CN116" s="2077" t="str">
        <f t="shared" si="252"/>
        <v>* El total de procesados debe ser mayor o igual al total de Reactivos en el grupo de edad 20 - 24</v>
      </c>
      <c r="CO116" s="2077" t="str">
        <f t="shared" si="253"/>
        <v>* El total de procesados debe ser mayor o igual al total de Reactivos en el grupo de edad 25 a 29</v>
      </c>
      <c r="CP116" s="2077" t="str">
        <f t="shared" si="254"/>
        <v>* El total de procesados debe ser mayor o igual al total de Reactivos en el grupo de edad 30 a 34</v>
      </c>
      <c r="CQ116" s="2077" t="str">
        <f t="shared" si="255"/>
        <v>* El total de procesados debe ser mayor o igual al total de Reactivos en el grupo de edad 35 a 39</v>
      </c>
      <c r="CR116" s="2077" t="str">
        <f t="shared" si="256"/>
        <v>* El total de procesados debe ser mayor o igual al total de Reactivos en el grupo de edad 40 a 44</v>
      </c>
      <c r="CS116" s="2077" t="str">
        <f t="shared" si="257"/>
        <v>* El total de procesados debe ser mayor o igual al total de Reactivos en el grupo de edad 45 a 49</v>
      </c>
      <c r="CT116" s="2077" t="str">
        <f t="shared" si="258"/>
        <v>* El total de procesados debe ser mayor o igual al total de Reactivos en el grupo de edad 50 a 54</v>
      </c>
      <c r="CU116" s="2077" t="str">
        <f t="shared" si="259"/>
        <v>* El total de procesados debe ser mayor o igual al total de Reactivos en el grupo de edad 55 a 59</v>
      </c>
      <c r="CV116" s="2077" t="str">
        <f t="shared" si="260"/>
        <v>* El total de procesados debe ser mayor o igual al total de Reactivos en el grupo de edad 60 a 64</v>
      </c>
      <c r="CW116" s="2077" t="str">
        <f t="shared" si="261"/>
        <v>* El total de procesados debe ser mayor o igual al total de Reactivos en el grupo de edad 65 a 69</v>
      </c>
      <c r="CX116" s="2077" t="str">
        <f t="shared" si="262"/>
        <v>* El total de procesados debe ser mayor o igual al total de Reactivos en el grupo de edad 70 a 74</v>
      </c>
      <c r="CY116" s="2077" t="str">
        <f t="shared" si="263"/>
        <v>* El total de procesados debe ser mayor o igual al total de Reactivos en el grupo de edad 75 a 79</v>
      </c>
      <c r="CZ116" s="2077" t="str">
        <f t="shared" si="264"/>
        <v>* El total de procesados debe ser mayor o igual al total de Reactivos en el grupo de edad 80 y más</v>
      </c>
      <c r="DA116" s="2077" t="str">
        <f t="shared" si="218"/>
        <v/>
      </c>
      <c r="DB116" s="1363">
        <f t="shared" si="219"/>
        <v>1</v>
      </c>
      <c r="DC116" s="1363" t="e">
        <f t="shared" si="220"/>
        <v>#VALUE!</v>
      </c>
      <c r="DD116" s="1363" t="e">
        <f t="shared" si="221"/>
        <v>#VALUE!</v>
      </c>
      <c r="DE116" s="1363">
        <f t="shared" si="222"/>
        <v>1</v>
      </c>
      <c r="DF116" s="1363">
        <f t="shared" si="223"/>
        <v>1</v>
      </c>
      <c r="DG116" s="1363">
        <f t="shared" si="224"/>
        <v>1</v>
      </c>
      <c r="DH116" s="1363">
        <f t="shared" si="225"/>
        <v>1</v>
      </c>
      <c r="DI116" s="1363">
        <f t="shared" si="226"/>
        <v>1</v>
      </c>
      <c r="DJ116" s="1363">
        <f t="shared" si="227"/>
        <v>1</v>
      </c>
      <c r="DK116" s="1363">
        <f t="shared" si="228"/>
        <v>1</v>
      </c>
      <c r="DL116" s="1363">
        <f t="shared" si="229"/>
        <v>1</v>
      </c>
      <c r="DM116" s="1363">
        <f t="shared" si="230"/>
        <v>1</v>
      </c>
      <c r="DN116" s="1363">
        <f t="shared" si="231"/>
        <v>1</v>
      </c>
      <c r="DO116" s="1363">
        <f t="shared" si="232"/>
        <v>1</v>
      </c>
      <c r="DP116" s="1363">
        <f t="shared" si="233"/>
        <v>1</v>
      </c>
      <c r="DQ116" s="1363">
        <f t="shared" si="234"/>
        <v>1</v>
      </c>
      <c r="DR116" s="1363">
        <f t="shared" si="235"/>
        <v>1</v>
      </c>
      <c r="DS116" s="1363">
        <f t="shared" si="236"/>
        <v>1</v>
      </c>
      <c r="DT116" s="1363">
        <f t="shared" si="237"/>
        <v>1</v>
      </c>
      <c r="DU116" s="1363">
        <f t="shared" si="238"/>
        <v>1</v>
      </c>
      <c r="DV116" s="1363">
        <f t="shared" si="239"/>
        <v>1</v>
      </c>
      <c r="DW116" s="1363">
        <f t="shared" si="240"/>
        <v>1</v>
      </c>
      <c r="DX116" s="1363">
        <f t="shared" si="241"/>
        <v>1</v>
      </c>
      <c r="DY116" s="1363">
        <f t="shared" si="242"/>
        <v>1</v>
      </c>
      <c r="DZ116" s="1363">
        <f t="shared" si="243"/>
        <v>1</v>
      </c>
      <c r="EA116" s="1363">
        <f t="shared" si="244"/>
        <v>0</v>
      </c>
    </row>
    <row r="117" spans="1:131" ht="16.350000000000001" customHeight="1" x14ac:dyDescent="0.25">
      <c r="A117" s="2549">
        <v>11056453</v>
      </c>
      <c r="B117" s="202" t="s">
        <v>2276</v>
      </c>
      <c r="C117" s="587" t="s">
        <v>2777</v>
      </c>
      <c r="D117" s="1853" t="s">
        <v>2778</v>
      </c>
      <c r="E117" s="126" t="s">
        <v>2779</v>
      </c>
      <c r="F117" s="102" t="s">
        <v>2780</v>
      </c>
      <c r="G117" s="166" t="s">
        <v>2781</v>
      </c>
      <c r="H117" s="102" t="s">
        <v>2782</v>
      </c>
      <c r="I117" s="166" t="s">
        <v>2783</v>
      </c>
      <c r="J117" s="125" t="s">
        <v>2784</v>
      </c>
      <c r="K117" s="126" t="s">
        <v>2785</v>
      </c>
      <c r="L117" s="126" t="s">
        <v>2786</v>
      </c>
      <c r="M117" s="166" t="s">
        <v>2787</v>
      </c>
      <c r="N117" s="125" t="s">
        <v>2788</v>
      </c>
      <c r="O117" s="126" t="s">
        <v>2789</v>
      </c>
      <c r="P117" s="102" t="s">
        <v>2790</v>
      </c>
      <c r="Q117" s="166" t="s">
        <v>2791</v>
      </c>
      <c r="R117" s="102" t="s">
        <v>2792</v>
      </c>
      <c r="S117" s="166" t="s">
        <v>2793</v>
      </c>
      <c r="T117" s="102" t="s">
        <v>2794</v>
      </c>
      <c r="U117" s="166" t="s">
        <v>2795</v>
      </c>
      <c r="V117" s="102" t="s">
        <v>2796</v>
      </c>
      <c r="W117" s="166" t="s">
        <v>2797</v>
      </c>
      <c r="X117" s="102" t="s">
        <v>2798</v>
      </c>
      <c r="Y117" s="166" t="s">
        <v>2799</v>
      </c>
      <c r="Z117" s="102" t="s">
        <v>2800</v>
      </c>
      <c r="AA117" s="166" t="s">
        <v>2801</v>
      </c>
      <c r="AB117" s="102" t="s">
        <v>2817</v>
      </c>
      <c r="AC117" s="166" t="s">
        <v>2818</v>
      </c>
      <c r="AD117" s="102" t="s">
        <v>2819</v>
      </c>
      <c r="AE117" s="166" t="s">
        <v>2821</v>
      </c>
      <c r="AF117" s="102" t="s">
        <v>2822</v>
      </c>
      <c r="AG117" s="166" t="s">
        <v>2823</v>
      </c>
      <c r="AH117" s="102" t="s">
        <v>2824</v>
      </c>
      <c r="AI117" s="166" t="s">
        <v>2825</v>
      </c>
      <c r="AJ117" s="102" t="s">
        <v>2826</v>
      </c>
      <c r="AK117" s="166" t="s">
        <v>2827</v>
      </c>
      <c r="AL117" s="102" t="s">
        <v>2831</v>
      </c>
      <c r="AM117" s="166" t="s">
        <v>2832</v>
      </c>
      <c r="AN117" s="102" t="s">
        <v>2833</v>
      </c>
      <c r="AO117" s="166" t="s">
        <v>2834</v>
      </c>
      <c r="AP117" s="102" t="s">
        <v>3011</v>
      </c>
      <c r="AQ117" s="166" t="s">
        <v>3012</v>
      </c>
      <c r="AR117" s="319" t="s">
        <v>3013</v>
      </c>
      <c r="AS117" s="126" t="s">
        <v>3014</v>
      </c>
      <c r="AT117" s="319" t="s">
        <v>3015</v>
      </c>
      <c r="AU117" s="126" t="s">
        <v>3206</v>
      </c>
      <c r="AV117" s="102" t="s">
        <v>3207</v>
      </c>
      <c r="AW117" s="166" t="s">
        <v>3272</v>
      </c>
      <c r="AX117" s="125" t="s">
        <v>3273</v>
      </c>
      <c r="AY117" s="1079" t="e">
        <f t="shared" si="212"/>
        <v>#VALUE!</v>
      </c>
      <c r="AZ117" s="1079"/>
      <c r="BA117" s="1079"/>
      <c r="BB117" s="1079"/>
      <c r="BC117" s="1079"/>
      <c r="BD117" s="1079"/>
      <c r="BE117" s="1079"/>
      <c r="BF117" s="1079"/>
      <c r="BG117" s="1079"/>
      <c r="BH117" s="1079"/>
      <c r="BI117" s="1079"/>
      <c r="BJ117" s="884"/>
      <c r="BK117" s="884"/>
      <c r="BL117" s="884"/>
      <c r="BM117" s="884"/>
      <c r="BV117" s="884"/>
      <c r="BX117" s="885"/>
      <c r="CB117" s="2077" t="str">
        <f t="shared" si="213"/>
        <v xml:space="preserve">* El total de Reactivos NO DEBE ser superior al total de Procesados. </v>
      </c>
      <c r="CC117" s="2077" t="e">
        <f t="shared" si="214"/>
        <v>#VALUE!</v>
      </c>
      <c r="CD117" s="2077" t="e">
        <f t="shared" si="215"/>
        <v>#VALUE!</v>
      </c>
      <c r="CE117" s="2077" t="str">
        <f t="shared" si="216"/>
        <v xml:space="preserve">* La columna Pueblos Originarios NO DEBE ser superior al total de Procesados. </v>
      </c>
      <c r="CF117" s="2077" t="str">
        <f t="shared" si="217"/>
        <v xml:space="preserve">* La columna Migrantes NO DEBE ser superior al total de Procesados. </v>
      </c>
      <c r="CG117" s="2077" t="str">
        <f t="shared" si="245"/>
        <v>* El total de procesados debe ser mayor o igual al total de Reactivos en el grupo de edad Menor de 6 meses</v>
      </c>
      <c r="CH117" s="2077" t="str">
        <f t="shared" si="246"/>
        <v>* El total de procesados debe ser mayor o igual al total de Reactivos en el grupo de edad 6 a 11 meses</v>
      </c>
      <c r="CI117" s="2077" t="str">
        <f t="shared" si="247"/>
        <v>* El total de procesados debe ser mayor o igual al total de Reactivos en el grupo de edad 12-24 meses</v>
      </c>
      <c r="CJ117" s="2077" t="str">
        <f t="shared" si="248"/>
        <v>* El total de procesados debe ser mayor o igual al total de Reactivos en el grupo de edad 3 a 4</v>
      </c>
      <c r="CK117" s="2077" t="str">
        <f t="shared" si="249"/>
        <v>* El total de procesados debe ser mayor o igual al total de Reactivos en el grupo de edad 5 a 9</v>
      </c>
      <c r="CL117" s="2077" t="str">
        <f t="shared" si="250"/>
        <v>* El total de procesados debe ser mayor o igual al total de Reactivos en el grupo de edad 10 - 14</v>
      </c>
      <c r="CM117" s="2077" t="str">
        <f t="shared" si="251"/>
        <v>* El total de procesados debe ser mayor o igual al total de Reactivos en el grupo de edad 15 - 19</v>
      </c>
      <c r="CN117" s="2077" t="str">
        <f t="shared" si="252"/>
        <v>* El total de procesados debe ser mayor o igual al total de Reactivos en el grupo de edad 20 - 24</v>
      </c>
      <c r="CO117" s="2077" t="str">
        <f t="shared" si="253"/>
        <v>* El total de procesados debe ser mayor o igual al total de Reactivos en el grupo de edad 25 a 29</v>
      </c>
      <c r="CP117" s="2077" t="str">
        <f t="shared" si="254"/>
        <v>* El total de procesados debe ser mayor o igual al total de Reactivos en el grupo de edad 30 a 34</v>
      </c>
      <c r="CQ117" s="2077" t="str">
        <f t="shared" si="255"/>
        <v>* El total de procesados debe ser mayor o igual al total de Reactivos en el grupo de edad 35 a 39</v>
      </c>
      <c r="CR117" s="2077" t="str">
        <f t="shared" si="256"/>
        <v>* El total de procesados debe ser mayor o igual al total de Reactivos en el grupo de edad 40 a 44</v>
      </c>
      <c r="CS117" s="2077" t="str">
        <f t="shared" si="257"/>
        <v>* El total de procesados debe ser mayor o igual al total de Reactivos en el grupo de edad 45 a 49</v>
      </c>
      <c r="CT117" s="2077" t="str">
        <f t="shared" si="258"/>
        <v>* El total de procesados debe ser mayor o igual al total de Reactivos en el grupo de edad 50 a 54</v>
      </c>
      <c r="CU117" s="2077" t="str">
        <f t="shared" si="259"/>
        <v>* El total de procesados debe ser mayor o igual al total de Reactivos en el grupo de edad 55 a 59</v>
      </c>
      <c r="CV117" s="2077" t="str">
        <f t="shared" si="260"/>
        <v>* El total de procesados debe ser mayor o igual al total de Reactivos en el grupo de edad 60 a 64</v>
      </c>
      <c r="CW117" s="2077" t="str">
        <f t="shared" si="261"/>
        <v>* El total de procesados debe ser mayor o igual al total de Reactivos en el grupo de edad 65 a 69</v>
      </c>
      <c r="CX117" s="2077" t="str">
        <f t="shared" si="262"/>
        <v>* El total de procesados debe ser mayor o igual al total de Reactivos en el grupo de edad 70 a 74</v>
      </c>
      <c r="CY117" s="2077" t="str">
        <f t="shared" si="263"/>
        <v>* El total de procesados debe ser mayor o igual al total de Reactivos en el grupo de edad 75 a 79</v>
      </c>
      <c r="CZ117" s="2077" t="str">
        <f t="shared" si="264"/>
        <v>* El total de procesados debe ser mayor o igual al total de Reactivos en el grupo de edad 80 y más</v>
      </c>
      <c r="DA117" s="2077" t="str">
        <f t="shared" si="218"/>
        <v/>
      </c>
      <c r="DB117" s="1363">
        <f t="shared" si="219"/>
        <v>1</v>
      </c>
      <c r="DC117" s="1363" t="e">
        <f t="shared" si="220"/>
        <v>#VALUE!</v>
      </c>
      <c r="DD117" s="1363" t="e">
        <f t="shared" si="221"/>
        <v>#VALUE!</v>
      </c>
      <c r="DE117" s="1363">
        <f t="shared" si="222"/>
        <v>1</v>
      </c>
      <c r="DF117" s="1363">
        <f t="shared" si="223"/>
        <v>1</v>
      </c>
      <c r="DG117" s="1363">
        <f t="shared" si="224"/>
        <v>1</v>
      </c>
      <c r="DH117" s="1363">
        <f t="shared" si="225"/>
        <v>1</v>
      </c>
      <c r="DI117" s="1363">
        <f t="shared" si="226"/>
        <v>1</v>
      </c>
      <c r="DJ117" s="1363">
        <f t="shared" si="227"/>
        <v>1</v>
      </c>
      <c r="DK117" s="1363">
        <f t="shared" si="228"/>
        <v>1</v>
      </c>
      <c r="DL117" s="1363">
        <f t="shared" si="229"/>
        <v>1</v>
      </c>
      <c r="DM117" s="1363">
        <f t="shared" si="230"/>
        <v>1</v>
      </c>
      <c r="DN117" s="1363">
        <f t="shared" si="231"/>
        <v>1</v>
      </c>
      <c r="DO117" s="1363">
        <f t="shared" si="232"/>
        <v>1</v>
      </c>
      <c r="DP117" s="1363">
        <f t="shared" si="233"/>
        <v>1</v>
      </c>
      <c r="DQ117" s="1363">
        <f t="shared" si="234"/>
        <v>1</v>
      </c>
      <c r="DR117" s="1363">
        <f t="shared" si="235"/>
        <v>1</v>
      </c>
      <c r="DS117" s="1363">
        <f t="shared" si="236"/>
        <v>1</v>
      </c>
      <c r="DT117" s="1363">
        <f t="shared" si="237"/>
        <v>1</v>
      </c>
      <c r="DU117" s="1363">
        <f t="shared" si="238"/>
        <v>1</v>
      </c>
      <c r="DV117" s="1363">
        <f t="shared" si="239"/>
        <v>1</v>
      </c>
      <c r="DW117" s="1363">
        <f t="shared" si="240"/>
        <v>1</v>
      </c>
      <c r="DX117" s="1363">
        <f t="shared" si="241"/>
        <v>1</v>
      </c>
      <c r="DY117" s="1363">
        <f t="shared" si="242"/>
        <v>1</v>
      </c>
      <c r="DZ117" s="1363">
        <f t="shared" si="243"/>
        <v>1</v>
      </c>
      <c r="EA117" s="1363">
        <f t="shared" si="244"/>
        <v>0</v>
      </c>
    </row>
    <row r="118" spans="1:131" ht="32.1" customHeight="1" x14ac:dyDescent="0.25">
      <c r="B118" s="2026" t="s">
        <v>2282</v>
      </c>
      <c r="C118" s="2027"/>
      <c r="D118" s="2027"/>
      <c r="E118" s="2027"/>
      <c r="F118" s="2027"/>
      <c r="G118" s="2027"/>
      <c r="H118" s="2027"/>
      <c r="I118" s="177"/>
      <c r="J118" s="177"/>
      <c r="K118" s="139"/>
      <c r="L118" s="139"/>
      <c r="M118" s="139"/>
      <c r="N118" s="139"/>
      <c r="O118" s="139"/>
      <c r="P118" s="139"/>
      <c r="Q118" s="139"/>
      <c r="R118" s="190"/>
      <c r="AY118" s="2035"/>
      <c r="AZ118" s="2035"/>
      <c r="BA118" s="2035"/>
      <c r="BB118" s="884"/>
      <c r="BC118" s="884"/>
      <c r="BD118" s="884"/>
      <c r="BE118" s="884"/>
      <c r="BF118" s="884"/>
      <c r="BG118" s="884"/>
      <c r="BH118" s="884"/>
      <c r="BI118" s="884"/>
      <c r="BJ118" s="884"/>
      <c r="BK118" s="884"/>
      <c r="BL118" s="884"/>
      <c r="BM118" s="884"/>
      <c r="BN118" s="884"/>
      <c r="BU118" s="211"/>
      <c r="BV118" s="211"/>
      <c r="BW118" s="885"/>
      <c r="BX118" s="885"/>
    </row>
    <row r="119" spans="1:131" ht="32.1" customHeight="1" x14ac:dyDescent="0.25">
      <c r="B119" s="5158" t="s">
        <v>2255</v>
      </c>
      <c r="C119" s="6208" t="s">
        <v>42</v>
      </c>
      <c r="D119" s="6209"/>
      <c r="E119" s="5160" t="s">
        <v>425</v>
      </c>
      <c r="F119" s="5161"/>
      <c r="G119" s="5161"/>
      <c r="H119" s="5161"/>
      <c r="I119" s="5161"/>
      <c r="J119" s="5161"/>
      <c r="K119" s="5161"/>
      <c r="L119" s="5161"/>
      <c r="M119" s="5161"/>
      <c r="N119" s="5161"/>
      <c r="O119" s="5161"/>
      <c r="P119" s="5161"/>
      <c r="Q119" s="5161"/>
      <c r="R119" s="5161"/>
      <c r="S119" s="5161"/>
      <c r="T119" s="5161"/>
      <c r="U119" s="5161"/>
      <c r="V119" s="5161"/>
      <c r="W119" s="5161"/>
      <c r="X119" s="5161"/>
      <c r="Y119" s="5161"/>
      <c r="Z119" s="5161"/>
      <c r="AA119" s="5161"/>
      <c r="AB119" s="5161"/>
      <c r="AC119" s="5161"/>
      <c r="AD119" s="5161"/>
      <c r="AE119" s="5161"/>
      <c r="AF119" s="5161"/>
      <c r="AG119" s="5161"/>
      <c r="AH119" s="5161"/>
      <c r="AI119" s="5161"/>
      <c r="AJ119" s="5161"/>
      <c r="AK119" s="5161"/>
      <c r="AL119" s="5161"/>
      <c r="AM119" s="5161"/>
      <c r="AN119" s="5161"/>
      <c r="AO119" s="5161"/>
      <c r="AP119" s="5161"/>
      <c r="AQ119" s="5161"/>
      <c r="AR119" s="6212"/>
      <c r="AS119" s="5540" t="s">
        <v>2256</v>
      </c>
      <c r="AT119" s="6213"/>
      <c r="AU119" s="6214" t="s">
        <v>411</v>
      </c>
      <c r="AV119" s="6215"/>
      <c r="AW119" s="6218" t="s">
        <v>1359</v>
      </c>
      <c r="AX119" s="6219" t="s">
        <v>1358</v>
      </c>
      <c r="AY119" s="2035"/>
      <c r="AZ119" s="2035"/>
      <c r="BA119" s="884"/>
      <c r="BB119" s="884"/>
      <c r="BC119" s="884"/>
      <c r="BD119" s="884"/>
      <c r="BE119" s="884"/>
      <c r="BF119" s="884"/>
      <c r="BG119" s="884"/>
      <c r="BH119" s="884"/>
      <c r="BI119" s="884"/>
      <c r="BJ119" s="884"/>
      <c r="BK119" s="884"/>
      <c r="BL119" s="884"/>
      <c r="BM119" s="884"/>
      <c r="BV119" s="884"/>
      <c r="BW119" s="885"/>
      <c r="BX119" s="885"/>
    </row>
    <row r="120" spans="1:131" ht="16.350000000000001" customHeight="1" x14ac:dyDescent="0.25">
      <c r="B120" s="5113"/>
      <c r="C120" s="6210"/>
      <c r="D120" s="6211"/>
      <c r="E120" s="5165" t="s">
        <v>426</v>
      </c>
      <c r="F120" s="5540"/>
      <c r="G120" s="5165" t="s">
        <v>1382</v>
      </c>
      <c r="H120" s="5540"/>
      <c r="I120" s="5165" t="s">
        <v>1355</v>
      </c>
      <c r="J120" s="5167"/>
      <c r="K120" s="5540" t="s">
        <v>620</v>
      </c>
      <c r="L120" s="5540"/>
      <c r="M120" s="5165" t="s">
        <v>275</v>
      </c>
      <c r="N120" s="5540"/>
      <c r="O120" s="5165" t="s">
        <v>352</v>
      </c>
      <c r="P120" s="5540"/>
      <c r="Q120" s="5165" t="s">
        <v>319</v>
      </c>
      <c r="R120" s="5540"/>
      <c r="S120" s="5165" t="s">
        <v>10</v>
      </c>
      <c r="T120" s="5540"/>
      <c r="U120" s="5165" t="s">
        <v>151</v>
      </c>
      <c r="V120" s="5167"/>
      <c r="W120" s="5165" t="s">
        <v>152</v>
      </c>
      <c r="X120" s="5167"/>
      <c r="Y120" s="5165" t="s">
        <v>153</v>
      </c>
      <c r="Z120" s="5167"/>
      <c r="AA120" s="5165" t="s">
        <v>154</v>
      </c>
      <c r="AB120" s="5167"/>
      <c r="AC120" s="5165" t="s">
        <v>155</v>
      </c>
      <c r="AD120" s="5167"/>
      <c r="AE120" s="5165" t="s">
        <v>156</v>
      </c>
      <c r="AF120" s="5167"/>
      <c r="AG120" s="5165" t="s">
        <v>157</v>
      </c>
      <c r="AH120" s="5167"/>
      <c r="AI120" s="5165" t="s">
        <v>158</v>
      </c>
      <c r="AJ120" s="5167"/>
      <c r="AK120" s="5165" t="s">
        <v>159</v>
      </c>
      <c r="AL120" s="5167"/>
      <c r="AM120" s="5165" t="s">
        <v>160</v>
      </c>
      <c r="AN120" s="5167"/>
      <c r="AO120" s="5165" t="s">
        <v>161</v>
      </c>
      <c r="AP120" s="5167"/>
      <c r="AQ120" s="5165" t="s">
        <v>162</v>
      </c>
      <c r="AR120" s="6213"/>
      <c r="AS120" s="6220" t="s">
        <v>24</v>
      </c>
      <c r="AT120" s="6222" t="s">
        <v>25</v>
      </c>
      <c r="AU120" s="6216"/>
      <c r="AV120" s="6217"/>
      <c r="AW120" s="5121"/>
      <c r="AX120" s="5123"/>
      <c r="AY120" s="2035"/>
      <c r="AZ120" s="2035"/>
      <c r="BA120" s="884"/>
      <c r="BB120" s="884"/>
      <c r="BC120" s="884"/>
      <c r="BD120" s="884"/>
      <c r="BE120" s="884"/>
      <c r="BF120" s="884"/>
      <c r="BG120" s="884"/>
      <c r="BH120" s="884"/>
      <c r="BI120" s="884"/>
      <c r="BJ120" s="884"/>
      <c r="BK120" s="884"/>
      <c r="BL120" s="884"/>
      <c r="BM120" s="884"/>
      <c r="BV120" s="884"/>
      <c r="BW120" s="885"/>
      <c r="BX120" s="885"/>
    </row>
    <row r="121" spans="1:131" ht="16.350000000000001" customHeight="1" x14ac:dyDescent="0.25">
      <c r="B121" s="5159"/>
      <c r="C121" s="1749" t="s">
        <v>2257</v>
      </c>
      <c r="D121" s="2036" t="s">
        <v>2258</v>
      </c>
      <c r="E121" s="1597" t="s">
        <v>2257</v>
      </c>
      <c r="F121" s="1695" t="s">
        <v>2258</v>
      </c>
      <c r="G121" s="1597" t="s">
        <v>2257</v>
      </c>
      <c r="H121" s="1695" t="s">
        <v>2258</v>
      </c>
      <c r="I121" s="1597" t="s">
        <v>2257</v>
      </c>
      <c r="J121" s="2036" t="s">
        <v>2258</v>
      </c>
      <c r="K121" s="1749" t="s">
        <v>2257</v>
      </c>
      <c r="L121" s="1695" t="s">
        <v>2258</v>
      </c>
      <c r="M121" s="1597" t="s">
        <v>2257</v>
      </c>
      <c r="N121" s="1695" t="s">
        <v>2258</v>
      </c>
      <c r="O121" s="1597" t="s">
        <v>2257</v>
      </c>
      <c r="P121" s="1695" t="s">
        <v>2258</v>
      </c>
      <c r="Q121" s="1597" t="s">
        <v>2257</v>
      </c>
      <c r="R121" s="1695" t="s">
        <v>2258</v>
      </c>
      <c r="S121" s="1597" t="s">
        <v>2257</v>
      </c>
      <c r="T121" s="1695" t="s">
        <v>2258</v>
      </c>
      <c r="U121" s="1597" t="s">
        <v>2257</v>
      </c>
      <c r="V121" s="1695" t="s">
        <v>2258</v>
      </c>
      <c r="W121" s="1597" t="s">
        <v>2257</v>
      </c>
      <c r="X121" s="1695" t="s">
        <v>2258</v>
      </c>
      <c r="Y121" s="1597" t="s">
        <v>2257</v>
      </c>
      <c r="Z121" s="1695" t="s">
        <v>2258</v>
      </c>
      <c r="AA121" s="1597" t="s">
        <v>2257</v>
      </c>
      <c r="AB121" s="1695" t="s">
        <v>2258</v>
      </c>
      <c r="AC121" s="1597" t="s">
        <v>2257</v>
      </c>
      <c r="AD121" s="1695" t="s">
        <v>2258</v>
      </c>
      <c r="AE121" s="1597" t="s">
        <v>2257</v>
      </c>
      <c r="AF121" s="1695" t="s">
        <v>2258</v>
      </c>
      <c r="AG121" s="1597" t="s">
        <v>2257</v>
      </c>
      <c r="AH121" s="1695" t="s">
        <v>2258</v>
      </c>
      <c r="AI121" s="1597" t="s">
        <v>2257</v>
      </c>
      <c r="AJ121" s="1695" t="s">
        <v>2258</v>
      </c>
      <c r="AK121" s="1597" t="s">
        <v>2257</v>
      </c>
      <c r="AL121" s="1695" t="s">
        <v>2258</v>
      </c>
      <c r="AM121" s="1597" t="s">
        <v>2257</v>
      </c>
      <c r="AN121" s="1695" t="s">
        <v>2258</v>
      </c>
      <c r="AO121" s="1597" t="s">
        <v>2257</v>
      </c>
      <c r="AP121" s="1695" t="s">
        <v>2258</v>
      </c>
      <c r="AQ121" s="1597" t="s">
        <v>2257</v>
      </c>
      <c r="AR121" s="2030" t="s">
        <v>2258</v>
      </c>
      <c r="AS121" s="6221"/>
      <c r="AT121" s="6223"/>
      <c r="AU121" s="2031" t="s">
        <v>1350</v>
      </c>
      <c r="AV121" s="1901" t="s">
        <v>1351</v>
      </c>
      <c r="AW121" s="5799"/>
      <c r="AX121" s="5403"/>
      <c r="AY121" s="2035"/>
      <c r="AZ121" s="2035"/>
      <c r="BA121" s="884"/>
      <c r="BB121" s="884"/>
      <c r="BC121" s="884"/>
      <c r="BD121" s="884"/>
      <c r="BE121" s="884"/>
      <c r="BF121" s="884"/>
      <c r="BG121" s="884"/>
      <c r="BH121" s="884"/>
      <c r="BI121" s="884"/>
      <c r="BJ121" s="884"/>
      <c r="BK121" s="884"/>
      <c r="BL121" s="884"/>
      <c r="BM121" s="884"/>
      <c r="BV121" s="884"/>
      <c r="BW121" s="885"/>
      <c r="BX121" s="885"/>
    </row>
    <row r="122" spans="1:131" ht="16.350000000000001" customHeight="1" x14ac:dyDescent="0.25">
      <c r="A122" s="2458">
        <v>11056454</v>
      </c>
      <c r="B122" s="107" t="s">
        <v>2259</v>
      </c>
      <c r="C122" s="2032" t="s">
        <v>2777</v>
      </c>
      <c r="D122" s="1855" t="s">
        <v>2778</v>
      </c>
      <c r="E122" s="161" t="s">
        <v>2779</v>
      </c>
      <c r="F122" s="145" t="s">
        <v>2780</v>
      </c>
      <c r="G122" s="173" t="s">
        <v>2781</v>
      </c>
      <c r="H122" s="145" t="s">
        <v>2782</v>
      </c>
      <c r="I122" s="173" t="s">
        <v>2783</v>
      </c>
      <c r="J122" s="145" t="s">
        <v>2784</v>
      </c>
      <c r="K122" s="173" t="s">
        <v>2785</v>
      </c>
      <c r="L122" s="145" t="s">
        <v>2786</v>
      </c>
      <c r="M122" s="173" t="s">
        <v>2787</v>
      </c>
      <c r="N122" s="162" t="s">
        <v>2788</v>
      </c>
      <c r="O122" s="180" t="s">
        <v>2789</v>
      </c>
      <c r="P122" s="142" t="s">
        <v>2790</v>
      </c>
      <c r="Q122" s="141" t="s">
        <v>2791</v>
      </c>
      <c r="R122" s="142" t="s">
        <v>2792</v>
      </c>
      <c r="S122" s="141" t="s">
        <v>2793</v>
      </c>
      <c r="T122" s="142" t="s">
        <v>2794</v>
      </c>
      <c r="U122" s="141" t="s">
        <v>2795</v>
      </c>
      <c r="V122" s="142" t="s">
        <v>2796</v>
      </c>
      <c r="W122" s="141" t="s">
        <v>2797</v>
      </c>
      <c r="X122" s="142" t="s">
        <v>2798</v>
      </c>
      <c r="Y122" s="141" t="s">
        <v>2799</v>
      </c>
      <c r="Z122" s="142" t="s">
        <v>2800</v>
      </c>
      <c r="AA122" s="141" t="s">
        <v>2801</v>
      </c>
      <c r="AB122" s="142" t="s">
        <v>2817</v>
      </c>
      <c r="AC122" s="141" t="s">
        <v>2818</v>
      </c>
      <c r="AD122" s="142" t="s">
        <v>2819</v>
      </c>
      <c r="AE122" s="141" t="s">
        <v>2821</v>
      </c>
      <c r="AF122" s="142" t="s">
        <v>2822</v>
      </c>
      <c r="AG122" s="141" t="s">
        <v>2823</v>
      </c>
      <c r="AH122" s="142" t="s">
        <v>2824</v>
      </c>
      <c r="AI122" s="141" t="s">
        <v>2825</v>
      </c>
      <c r="AJ122" s="142" t="s">
        <v>2826</v>
      </c>
      <c r="AK122" s="141" t="s">
        <v>2827</v>
      </c>
      <c r="AL122" s="142" t="s">
        <v>2831</v>
      </c>
      <c r="AM122" s="141" t="s">
        <v>2832</v>
      </c>
      <c r="AN122" s="142" t="s">
        <v>2833</v>
      </c>
      <c r="AO122" s="141" t="s">
        <v>2834</v>
      </c>
      <c r="AP122" s="142" t="s">
        <v>3011</v>
      </c>
      <c r="AQ122" s="141" t="s">
        <v>3012</v>
      </c>
      <c r="AR122" s="318" t="s">
        <v>3013</v>
      </c>
      <c r="AS122" s="1703" t="s">
        <v>3014</v>
      </c>
      <c r="AT122" s="318" t="s">
        <v>3015</v>
      </c>
      <c r="AU122" s="180" t="s">
        <v>3206</v>
      </c>
      <c r="AV122" s="142" t="s">
        <v>3207</v>
      </c>
      <c r="AW122" s="141" t="s">
        <v>3272</v>
      </c>
      <c r="AX122" s="163" t="s">
        <v>3273</v>
      </c>
      <c r="AY122" s="1079" t="e">
        <f t="shared" ref="AY122:AY139" si="265">$CB122&amp;$CC122&amp;$CD122&amp;$CE122&amp;$CF122&amp;$CG122&amp;$CH122&amp;$CI122&amp;$CJ122&amp;$CK122&amp;$CL122&amp;$CM122&amp;$CN122&amp;$CO122&amp;$CP122&amp;$CQ122&amp;$CR122&amp;$CS122&amp;$CT122&amp;$CU122&amp;$CV122&amp;$CW122&amp;$CX122&amp;$CY122&amp;$CZ122&amp;$DA122</f>
        <v>#VALUE!</v>
      </c>
      <c r="AZ122" s="1079"/>
      <c r="BA122" s="1079"/>
      <c r="BB122" s="1079"/>
      <c r="BC122" s="1079"/>
      <c r="BD122" s="1079"/>
      <c r="BE122" s="1079"/>
      <c r="BF122" s="1079"/>
      <c r="BG122" s="1079"/>
      <c r="BH122" s="1079"/>
      <c r="BI122" s="1079"/>
      <c r="BJ122" s="884"/>
      <c r="BK122" s="884"/>
      <c r="BL122" s="884"/>
      <c r="BM122" s="884"/>
      <c r="BV122" s="885"/>
      <c r="BW122" s="885"/>
      <c r="BX122" s="885"/>
      <c r="CB122" s="2077" t="str">
        <f t="shared" ref="CB122:CB139" si="266">IF(C122&lt;D122,"* El total de Reactivos NO DEBE ser superior al total de Procesados. ","")</f>
        <v xml:space="preserve">* El total de Reactivos NO DEBE ser superior al total de Procesados. </v>
      </c>
      <c r="CC122" s="2077" t="e">
        <f t="shared" ref="CC122:CC139" si="267">IF(C122&lt;&gt;(AS122+ AT122),"* La suma de las columnas Sexo DEBE SER IGUAL a los Procesados. ","")</f>
        <v>#VALUE!</v>
      </c>
      <c r="CD122" s="2077" t="e">
        <f t="shared" ref="CD122:CD139" si="268">IF(C122&lt;(AU122+ AV122),"* La suma de las columna Trans NO DEBE ser superior al total de Procesados. ","")</f>
        <v>#VALUE!</v>
      </c>
      <c r="CE122" s="2077" t="str">
        <f t="shared" ref="CE122:CE139" si="269">IF(C122&lt;AW122,"* La columna Pueblos Originarios NO DEBE ser superior al total de Procesados. ","")</f>
        <v xml:space="preserve">* La columna Pueblos Originarios NO DEBE ser superior al total de Procesados. </v>
      </c>
      <c r="CF122" s="2077" t="str">
        <f t="shared" ref="CF122:CF139" si="270">IF(C122&lt;AX122,"* La columna Migrantes NO DEBE ser superior al total de Procesados. ","")</f>
        <v xml:space="preserve">* La columna Migrantes NO DEBE ser superior al total de Procesados. </v>
      </c>
      <c r="CG122" s="2077" t="str">
        <f>IF(E122&lt;F122,CONCATENATE("* El total de procesados debe ser mayor o igual al total de Reactivos en el grupo de edad ",$E$120),"")</f>
        <v>* El total de procesados debe ser mayor o igual al total de Reactivos en el grupo de edad Menor de 6 meses</v>
      </c>
      <c r="CH122" s="2077" t="str">
        <f>IF(G122&lt;H122,CONCATENATE("* El total de procesados debe ser mayor o igual al total de Reactivos en el grupo de edad ",$G$120),"")</f>
        <v>* El total de procesados debe ser mayor o igual al total de Reactivos en el grupo de edad 6 a 11 meses</v>
      </c>
      <c r="CI122" s="2077" t="str">
        <f>IF(I122&lt;J122,CONCATENATE("* El total de procesados debe ser mayor o igual al total de Reactivos en el grupo de edad ",$I$120),"")</f>
        <v>* El total de procesados debe ser mayor o igual al total de Reactivos en el grupo de edad 12-24 meses</v>
      </c>
      <c r="CJ122" s="2077" t="str">
        <f>IF(K122&lt;L122,CONCATENATE("* El total de procesados debe ser mayor o igual al total de Reactivos en el grupo de edad ",$K$120),"")</f>
        <v>* El total de procesados debe ser mayor o igual al total de Reactivos en el grupo de edad 3 a 4</v>
      </c>
      <c r="CK122" s="2077" t="str">
        <f>IF(M122&lt;N122,CONCATENATE("* El total de procesados debe ser mayor o igual al total de Reactivos en el grupo de edad ",$M$120),"")</f>
        <v>* El total de procesados debe ser mayor o igual al total de Reactivos en el grupo de edad 5 a 9</v>
      </c>
      <c r="CL122" s="2077" t="str">
        <f>IF(O122&lt;P122,CONCATENATE("* El total de procesados debe ser mayor o igual al total de Reactivos en el grupo de edad ",$O$120),"")</f>
        <v>* El total de procesados debe ser mayor o igual al total de Reactivos en el grupo de edad 10 - 14</v>
      </c>
      <c r="CM122" s="2077" t="str">
        <f>IF(Q122&lt;R122,CONCATENATE("* El total de procesados debe ser mayor o igual al total de Reactivos en el grupo de edad ",$Q$120),"")</f>
        <v>* El total de procesados debe ser mayor o igual al total de Reactivos en el grupo de edad 15 - 19</v>
      </c>
      <c r="CN122" s="2077" t="str">
        <f>IF(S122&lt;T122,CONCATENATE("* El total de procesados debe ser mayor o igual al total de Reactivos en el grupo de edad ",$S$120),"")</f>
        <v>* El total de procesados debe ser mayor o igual al total de Reactivos en el grupo de edad 20 - 24</v>
      </c>
      <c r="CO122" s="2077" t="str">
        <f>IF(U122&lt;V122,CONCATENATE("* El total de procesados debe ser mayor o igual al total de Reactivos en el grupo de edad ",$U$120),"")</f>
        <v>* El total de procesados debe ser mayor o igual al total de Reactivos en el grupo de edad 25 a 29</v>
      </c>
      <c r="CP122" s="2077" t="str">
        <f>IF(W122&lt;X122,CONCATENATE("* El total de procesados debe ser mayor o igual al total de Reactivos en el grupo de edad ",$W$120),"")</f>
        <v>* El total de procesados debe ser mayor o igual al total de Reactivos en el grupo de edad 30 a 34</v>
      </c>
      <c r="CQ122" s="2077" t="str">
        <f>IF(Y122&lt;Z122,CONCATENATE("* El total de procesados debe ser mayor o igual al total de Reactivos en el grupo de edad ",$Y$120),"")</f>
        <v>* El total de procesados debe ser mayor o igual al total de Reactivos en el grupo de edad 35 a 39</v>
      </c>
      <c r="CR122" s="2077" t="str">
        <f>IF(AA122&lt;AB122,CONCATENATE("* El total de procesados debe ser mayor o igual al total de Reactivos en el grupo de edad ",$AA$120),"")</f>
        <v>* El total de procesados debe ser mayor o igual al total de Reactivos en el grupo de edad 40 a 44</v>
      </c>
      <c r="CS122" s="2077" t="str">
        <f>IF(AC122&lt;AD122,CONCATENATE("* El total de procesados debe ser mayor o igual al total de Reactivos en el grupo de edad ",$AC$120),"")</f>
        <v>* El total de procesados debe ser mayor o igual al total de Reactivos en el grupo de edad 45 a 49</v>
      </c>
      <c r="CT122" s="2077" t="str">
        <f>IF(AE122&lt;AF122,CONCATENATE("* El total de procesados debe ser mayor o igual al total de Reactivos en el grupo de edad ",$AE$120),"")</f>
        <v>* El total de procesados debe ser mayor o igual al total de Reactivos en el grupo de edad 50 a 54</v>
      </c>
      <c r="CU122" s="2077" t="str">
        <f>IF(AG122&lt;AH122,CONCATENATE("* El total de procesados debe ser mayor o igual al total de Reactivos en el grupo de edad ",$AG$120),"")</f>
        <v>* El total de procesados debe ser mayor o igual al total de Reactivos en el grupo de edad 55 a 59</v>
      </c>
      <c r="CV122" s="2077" t="str">
        <f>IF(AI122&lt;AJ122,CONCATENATE("* El total de procesados debe ser mayor o igual al total de Reactivos en el grupo de edad ",$AI$120),"")</f>
        <v>* El total de procesados debe ser mayor o igual al total de Reactivos en el grupo de edad 60 a 64</v>
      </c>
      <c r="CW122" s="2077" t="str">
        <f>IF(AK122&lt;AL122,CONCATENATE("* El total de procesados debe ser mayor o igual al total de Reactivos en el grupo de edad ",$AK$120),"")</f>
        <v>* El total de procesados debe ser mayor o igual al total de Reactivos en el grupo de edad 65 a 69</v>
      </c>
      <c r="CX122" s="2077" t="str">
        <f>IF(AM122&lt;AN122,CONCATENATE("* El total de procesados debe ser mayor o igual al total de Reactivos en el grupo de edad ",$AM$120),"")</f>
        <v>* El total de procesados debe ser mayor o igual al total de Reactivos en el grupo de edad 70 a 74</v>
      </c>
      <c r="CY122" s="2077" t="str">
        <f>IF(AO122&lt;AP122,CONCATENATE("* El total de procesados debe ser mayor o igual al total de Reactivos en el grupo de edad ",$AO$120),"")</f>
        <v>* El total de procesados debe ser mayor o igual al total de Reactivos en el grupo de edad 75 a 79</v>
      </c>
      <c r="CZ122" s="2077" t="str">
        <f>IF(AQ122&lt;AR122,CONCATENATE("* El total de procesados debe ser mayor o igual al total de Reactivos en el grupo de edad ",$AQ$120),"")</f>
        <v>* El total de procesados debe ser mayor o igual al total de Reactivos en el grupo de edad 80 y más</v>
      </c>
      <c r="DA122" s="2077" t="str">
        <f t="shared" ref="DA122:DA139" si="271">IF(AND(C122&lt;&gt;0,OR(AU122="",AV122="",AW122="",AX122="")),"* No olvide digitar la columna Trans y/o Pueblos Originarios y/o Migrantes (Digite Cero si no tiene). ","")</f>
        <v/>
      </c>
      <c r="DB122" s="1363">
        <f t="shared" ref="DB122:DB139" si="272">IF(C122&lt;   D122,1,0)</f>
        <v>1</v>
      </c>
      <c r="DC122" s="1363" t="e">
        <f t="shared" ref="DC122:DC139" si="273">IF(C122&lt;&gt; AS122+AT122,1,0)</f>
        <v>#VALUE!</v>
      </c>
      <c r="DD122" s="1363" t="e">
        <f t="shared" ref="DD122:DD139" si="274">IF(C122&lt;  AU122+AV122,1,0)</f>
        <v>#VALUE!</v>
      </c>
      <c r="DE122" s="1363">
        <f t="shared" ref="DE122:DE139" si="275">IF(C122&lt;  AW122,1,0)</f>
        <v>1</v>
      </c>
      <c r="DF122" s="1363">
        <f t="shared" ref="DF122:DF139" si="276">IF(C122&lt;  AX122,1,0)</f>
        <v>1</v>
      </c>
      <c r="DG122" s="1363">
        <f t="shared" ref="DG122:DG139" si="277">IF(E122&lt;F122,1,0)</f>
        <v>1</v>
      </c>
      <c r="DH122" s="1363">
        <f t="shared" ref="DH122:DH139" si="278">IF(G122&lt;H122,1,0)</f>
        <v>1</v>
      </c>
      <c r="DI122" s="1363">
        <f t="shared" ref="DI122:DI139" si="279">IF(I122&lt;J122,1,0)</f>
        <v>1</v>
      </c>
      <c r="DJ122" s="1363">
        <f t="shared" ref="DJ122:DJ139" si="280">IF(K122&lt;L122,1,0)</f>
        <v>1</v>
      </c>
      <c r="DK122" s="1363">
        <f t="shared" ref="DK122:DK139" si="281">IF(M122&lt;N122,1,0)</f>
        <v>1</v>
      </c>
      <c r="DL122" s="1363">
        <f t="shared" ref="DL122:DL139" si="282">IF(O122&lt;P122,1,0)</f>
        <v>1</v>
      </c>
      <c r="DM122" s="1363">
        <f t="shared" ref="DM122:DM139" si="283">IF(Q122&lt;R122,1,0)</f>
        <v>1</v>
      </c>
      <c r="DN122" s="1363">
        <f t="shared" ref="DN122:DN139" si="284">IF(S122&lt;T122,1,0)</f>
        <v>1</v>
      </c>
      <c r="DO122" s="1363">
        <f t="shared" ref="DO122:DO139" si="285">IF(U122&lt;V122,1,0)</f>
        <v>1</v>
      </c>
      <c r="DP122" s="1363">
        <f t="shared" ref="DP122:DP139" si="286">IF(W122&lt;X122,1,0)</f>
        <v>1</v>
      </c>
      <c r="DQ122" s="1363">
        <f t="shared" ref="DQ122:DQ139" si="287">IF(Y122&lt;Z122,1,0)</f>
        <v>1</v>
      </c>
      <c r="DR122" s="1363">
        <f t="shared" ref="DR122:DR139" si="288">IF(AA122&lt;AB122,1,0)</f>
        <v>1</v>
      </c>
      <c r="DS122" s="1363">
        <f t="shared" ref="DS122:DS139" si="289">IF(AC122&lt;AD122,1,0)</f>
        <v>1</v>
      </c>
      <c r="DT122" s="1363">
        <f t="shared" ref="DT122:DT139" si="290">IF(AE122&lt;AF122,1,0)</f>
        <v>1</v>
      </c>
      <c r="DU122" s="1363">
        <f t="shared" ref="DU122:DU139" si="291">IF(AG122&lt;AH122,1,0)</f>
        <v>1</v>
      </c>
      <c r="DV122" s="1363">
        <f t="shared" ref="DV122:DV139" si="292">IF(AI122&lt;AJ122,1,0)</f>
        <v>1</v>
      </c>
      <c r="DW122" s="1363">
        <f t="shared" ref="DW122:DW139" si="293">IF(AK122&lt;AL122,1,0)</f>
        <v>1</v>
      </c>
      <c r="DX122" s="1363">
        <f t="shared" ref="DX122:DX139" si="294">IF(AM122&lt;AN122,1,0)</f>
        <v>1</v>
      </c>
      <c r="DY122" s="1363">
        <f t="shared" ref="DY122:DY139" si="295">IF(AO122&lt;AP122,1,0)</f>
        <v>1</v>
      </c>
      <c r="DZ122" s="1363">
        <f t="shared" ref="DZ122:DZ139" si="296">IF(AQ122&lt;AR122,1,0)</f>
        <v>1</v>
      </c>
      <c r="EA122" s="1363">
        <f t="shared" ref="EA122:EA139" si="297">IF(AND(C122&lt;&gt;0,OR(AU122="",AV122="",AW122="",AX122="")),1,0)</f>
        <v>0</v>
      </c>
    </row>
    <row r="123" spans="1:131" ht="16.350000000000001" customHeight="1" x14ac:dyDescent="0.25">
      <c r="A123" s="2458">
        <v>11056455</v>
      </c>
      <c r="B123" s="107" t="s">
        <v>2260</v>
      </c>
      <c r="C123" s="707" t="s">
        <v>2777</v>
      </c>
      <c r="D123" s="281" t="s">
        <v>2778</v>
      </c>
      <c r="E123" s="161" t="s">
        <v>2779</v>
      </c>
      <c r="F123" s="145" t="s">
        <v>2780</v>
      </c>
      <c r="G123" s="173" t="s">
        <v>2781</v>
      </c>
      <c r="H123" s="145" t="s">
        <v>2782</v>
      </c>
      <c r="I123" s="173" t="s">
        <v>2783</v>
      </c>
      <c r="J123" s="145" t="s">
        <v>2784</v>
      </c>
      <c r="K123" s="173" t="s">
        <v>2785</v>
      </c>
      <c r="L123" s="145" t="s">
        <v>2786</v>
      </c>
      <c r="M123" s="173" t="s">
        <v>2787</v>
      </c>
      <c r="N123" s="162" t="s">
        <v>2788</v>
      </c>
      <c r="O123" s="180" t="s">
        <v>2789</v>
      </c>
      <c r="P123" s="142" t="s">
        <v>2790</v>
      </c>
      <c r="Q123" s="141" t="s">
        <v>2791</v>
      </c>
      <c r="R123" s="142" t="s">
        <v>2792</v>
      </c>
      <c r="S123" s="141" t="s">
        <v>2793</v>
      </c>
      <c r="T123" s="142" t="s">
        <v>2794</v>
      </c>
      <c r="U123" s="141" t="s">
        <v>2795</v>
      </c>
      <c r="V123" s="142" t="s">
        <v>2796</v>
      </c>
      <c r="W123" s="141" t="s">
        <v>2797</v>
      </c>
      <c r="X123" s="142" t="s">
        <v>2798</v>
      </c>
      <c r="Y123" s="141" t="s">
        <v>2799</v>
      </c>
      <c r="Z123" s="142" t="s">
        <v>2800</v>
      </c>
      <c r="AA123" s="141" t="s">
        <v>2801</v>
      </c>
      <c r="AB123" s="142" t="s">
        <v>2817</v>
      </c>
      <c r="AC123" s="141" t="s">
        <v>2818</v>
      </c>
      <c r="AD123" s="142" t="s">
        <v>2819</v>
      </c>
      <c r="AE123" s="141" t="s">
        <v>2821</v>
      </c>
      <c r="AF123" s="142" t="s">
        <v>2822</v>
      </c>
      <c r="AG123" s="141" t="s">
        <v>2823</v>
      </c>
      <c r="AH123" s="142" t="s">
        <v>2824</v>
      </c>
      <c r="AI123" s="141" t="s">
        <v>2825</v>
      </c>
      <c r="AJ123" s="142" t="s">
        <v>2826</v>
      </c>
      <c r="AK123" s="141" t="s">
        <v>2827</v>
      </c>
      <c r="AL123" s="142" t="s">
        <v>2831</v>
      </c>
      <c r="AM123" s="141" t="s">
        <v>2832</v>
      </c>
      <c r="AN123" s="142" t="s">
        <v>2833</v>
      </c>
      <c r="AO123" s="141" t="s">
        <v>2834</v>
      </c>
      <c r="AP123" s="142" t="s">
        <v>3011</v>
      </c>
      <c r="AQ123" s="141" t="s">
        <v>3012</v>
      </c>
      <c r="AR123" s="318" t="s">
        <v>3013</v>
      </c>
      <c r="AS123" s="1703" t="s">
        <v>3014</v>
      </c>
      <c r="AT123" s="318" t="s">
        <v>3015</v>
      </c>
      <c r="AU123" s="180" t="s">
        <v>3206</v>
      </c>
      <c r="AV123" s="142" t="s">
        <v>3207</v>
      </c>
      <c r="AW123" s="141" t="s">
        <v>3272</v>
      </c>
      <c r="AX123" s="163" t="s">
        <v>3273</v>
      </c>
      <c r="AY123" s="1079" t="e">
        <f t="shared" si="265"/>
        <v>#VALUE!</v>
      </c>
      <c r="AZ123" s="1079"/>
      <c r="BA123" s="1079"/>
      <c r="BB123" s="1079"/>
      <c r="BC123" s="1079"/>
      <c r="BD123" s="1079"/>
      <c r="BE123" s="1079"/>
      <c r="BF123" s="1079"/>
      <c r="BG123" s="1079"/>
      <c r="BH123" s="1079"/>
      <c r="BI123" s="1079"/>
      <c r="BJ123" s="884"/>
      <c r="BK123" s="884"/>
      <c r="BL123" s="884"/>
      <c r="BM123" s="884"/>
      <c r="BV123" s="885"/>
      <c r="BW123" s="885"/>
      <c r="BX123" s="885"/>
      <c r="CB123" s="2077" t="str">
        <f t="shared" si="266"/>
        <v xml:space="preserve">* El total de Reactivos NO DEBE ser superior al total de Procesados. </v>
      </c>
      <c r="CC123" s="2077" t="e">
        <f t="shared" si="267"/>
        <v>#VALUE!</v>
      </c>
      <c r="CD123" s="2077" t="e">
        <f t="shared" si="268"/>
        <v>#VALUE!</v>
      </c>
      <c r="CE123" s="2077" t="str">
        <f t="shared" si="269"/>
        <v xml:space="preserve">* La columna Pueblos Originarios NO DEBE ser superior al total de Procesados. </v>
      </c>
      <c r="CF123" s="2077" t="str">
        <f t="shared" si="270"/>
        <v xml:space="preserve">* La columna Migrantes NO DEBE ser superior al total de Procesados. </v>
      </c>
      <c r="CG123" s="2077" t="str">
        <f t="shared" ref="CG123:CG139" si="298">IF(E123&lt;F123,CONCATENATE("* El total de procesados debe ser mayor o igual al total de Reactivos en el grupo de edad ",$E$120),"")</f>
        <v>* El total de procesados debe ser mayor o igual al total de Reactivos en el grupo de edad Menor de 6 meses</v>
      </c>
      <c r="CH123" s="2077" t="str">
        <f t="shared" ref="CH123:CH139" si="299">IF(G123&lt;H123,CONCATENATE("* El total de procesados debe ser mayor o igual al total de Reactivos en el grupo de edad ",$G$120),"")</f>
        <v>* El total de procesados debe ser mayor o igual al total de Reactivos en el grupo de edad 6 a 11 meses</v>
      </c>
      <c r="CI123" s="2077" t="str">
        <f t="shared" ref="CI123:CI139" si="300">IF(I123&lt;J123,CONCATENATE("* El total de procesados debe ser mayor o igual al total de Reactivos en el grupo de edad ",$I$120),"")</f>
        <v>* El total de procesados debe ser mayor o igual al total de Reactivos en el grupo de edad 12-24 meses</v>
      </c>
      <c r="CJ123" s="2077" t="str">
        <f t="shared" ref="CJ123:CJ139" si="301">IF(K123&lt;L123,CONCATENATE("* El total de procesados debe ser mayor o igual al total de Reactivos en el grupo de edad ",$K$120),"")</f>
        <v>* El total de procesados debe ser mayor o igual al total de Reactivos en el grupo de edad 3 a 4</v>
      </c>
      <c r="CK123" s="2077" t="str">
        <f t="shared" ref="CK123:CK139" si="302">IF(M123&lt;N123,CONCATENATE("* El total de procesados debe ser mayor o igual al total de Reactivos en el grupo de edad ",$M$120),"")</f>
        <v>* El total de procesados debe ser mayor o igual al total de Reactivos en el grupo de edad 5 a 9</v>
      </c>
      <c r="CL123" s="2077" t="str">
        <f t="shared" ref="CL123:CL139" si="303">IF(O123&lt;P123,CONCATENATE("* El total de procesados debe ser mayor o igual al total de Reactivos en el grupo de edad ",$O$120),"")</f>
        <v>* El total de procesados debe ser mayor o igual al total de Reactivos en el grupo de edad 10 - 14</v>
      </c>
      <c r="CM123" s="2077" t="str">
        <f t="shared" ref="CM123:CM139" si="304">IF(Q123&lt;R123,CONCATENATE("* El total de procesados debe ser mayor o igual al total de Reactivos en el grupo de edad ",$Q$120),"")</f>
        <v>* El total de procesados debe ser mayor o igual al total de Reactivos en el grupo de edad 15 - 19</v>
      </c>
      <c r="CN123" s="2077" t="str">
        <f t="shared" ref="CN123:CN139" si="305">IF(S123&lt;T123,CONCATENATE("* El total de procesados debe ser mayor o igual al total de Reactivos en el grupo de edad ",$S$120),"")</f>
        <v>* El total de procesados debe ser mayor o igual al total de Reactivos en el grupo de edad 20 - 24</v>
      </c>
      <c r="CO123" s="2077" t="str">
        <f t="shared" ref="CO123:CO139" si="306">IF(U123&lt;V123,CONCATENATE("* El total de procesados debe ser mayor o igual al total de Reactivos en el grupo de edad ",$U$120),"")</f>
        <v>* El total de procesados debe ser mayor o igual al total de Reactivos en el grupo de edad 25 a 29</v>
      </c>
      <c r="CP123" s="2077" t="str">
        <f t="shared" ref="CP123:CP139" si="307">IF(W123&lt;X123,CONCATENATE("* El total de procesados debe ser mayor o igual al total de Reactivos en el grupo de edad ",$W$120),"")</f>
        <v>* El total de procesados debe ser mayor o igual al total de Reactivos en el grupo de edad 30 a 34</v>
      </c>
      <c r="CQ123" s="2077" t="str">
        <f t="shared" ref="CQ123:CQ139" si="308">IF(Y123&lt;Z123,CONCATENATE("* El total de procesados debe ser mayor o igual al total de Reactivos en el grupo de edad ",$Y$120),"")</f>
        <v>* El total de procesados debe ser mayor o igual al total de Reactivos en el grupo de edad 35 a 39</v>
      </c>
      <c r="CR123" s="2077" t="str">
        <f t="shared" ref="CR123:CR139" si="309">IF(AA123&lt;AB123,CONCATENATE("* El total de procesados debe ser mayor o igual al total de Reactivos en el grupo de edad ",$AA$120),"")</f>
        <v>* El total de procesados debe ser mayor o igual al total de Reactivos en el grupo de edad 40 a 44</v>
      </c>
      <c r="CS123" s="2077" t="str">
        <f t="shared" ref="CS123:CS139" si="310">IF(AC123&lt;AD123,CONCATENATE("* El total de procesados debe ser mayor o igual al total de Reactivos en el grupo de edad ",$AC$120),"")</f>
        <v>* El total de procesados debe ser mayor o igual al total de Reactivos en el grupo de edad 45 a 49</v>
      </c>
      <c r="CT123" s="2077" t="str">
        <f t="shared" ref="CT123:CT139" si="311">IF(AE123&lt;AF123,CONCATENATE("* El total de procesados debe ser mayor o igual al total de Reactivos en el grupo de edad ",$AE$120),"")</f>
        <v>* El total de procesados debe ser mayor o igual al total de Reactivos en el grupo de edad 50 a 54</v>
      </c>
      <c r="CU123" s="2077" t="str">
        <f t="shared" ref="CU123:CU139" si="312">IF(AG123&lt;AH123,CONCATENATE("* El total de procesados debe ser mayor o igual al total de Reactivos en el grupo de edad ",$AG$120),"")</f>
        <v>* El total de procesados debe ser mayor o igual al total de Reactivos en el grupo de edad 55 a 59</v>
      </c>
      <c r="CV123" s="2077" t="str">
        <f t="shared" ref="CV123:CV139" si="313">IF(AI123&lt;AJ123,CONCATENATE("* El total de procesados debe ser mayor o igual al total de Reactivos en el grupo de edad ",$AI$120),"")</f>
        <v>* El total de procesados debe ser mayor o igual al total de Reactivos en el grupo de edad 60 a 64</v>
      </c>
      <c r="CW123" s="2077" t="str">
        <f t="shared" ref="CW123:CW139" si="314">IF(AK123&lt;AL123,CONCATENATE("* El total de procesados debe ser mayor o igual al total de Reactivos en el grupo de edad ",$AK$120),"")</f>
        <v>* El total de procesados debe ser mayor o igual al total de Reactivos en el grupo de edad 65 a 69</v>
      </c>
      <c r="CX123" s="2077" t="str">
        <f t="shared" ref="CX123:CX139" si="315">IF(AM123&lt;AN123,CONCATENATE("* El total de procesados debe ser mayor o igual al total de Reactivos en el grupo de edad ",$AM$120),"")</f>
        <v>* El total de procesados debe ser mayor o igual al total de Reactivos en el grupo de edad 70 a 74</v>
      </c>
      <c r="CY123" s="2077" t="str">
        <f t="shared" ref="CY123:CY139" si="316">IF(AO123&lt;AP123,CONCATENATE("* El total de procesados debe ser mayor o igual al total de Reactivos en el grupo de edad ",$AO$120),"")</f>
        <v>* El total de procesados debe ser mayor o igual al total de Reactivos en el grupo de edad 75 a 79</v>
      </c>
      <c r="CZ123" s="2077" t="str">
        <f t="shared" ref="CZ123:CZ139" si="317">IF(AQ123&lt;AR123,CONCATENATE("* El total de procesados debe ser mayor o igual al total de Reactivos en el grupo de edad ",$AQ$120),"")</f>
        <v>* El total de procesados debe ser mayor o igual al total de Reactivos en el grupo de edad 80 y más</v>
      </c>
      <c r="DA123" s="2077" t="str">
        <f t="shared" si="271"/>
        <v/>
      </c>
      <c r="DB123" s="1363">
        <f t="shared" si="272"/>
        <v>1</v>
      </c>
      <c r="DC123" s="1363" t="e">
        <f t="shared" si="273"/>
        <v>#VALUE!</v>
      </c>
      <c r="DD123" s="1363" t="e">
        <f t="shared" si="274"/>
        <v>#VALUE!</v>
      </c>
      <c r="DE123" s="1363">
        <f t="shared" si="275"/>
        <v>1</v>
      </c>
      <c r="DF123" s="1363">
        <f t="shared" si="276"/>
        <v>1</v>
      </c>
      <c r="DG123" s="1363">
        <f t="shared" si="277"/>
        <v>1</v>
      </c>
      <c r="DH123" s="1363">
        <f t="shared" si="278"/>
        <v>1</v>
      </c>
      <c r="DI123" s="1363">
        <f t="shared" si="279"/>
        <v>1</v>
      </c>
      <c r="DJ123" s="1363">
        <f t="shared" si="280"/>
        <v>1</v>
      </c>
      <c r="DK123" s="1363">
        <f t="shared" si="281"/>
        <v>1</v>
      </c>
      <c r="DL123" s="1363">
        <f t="shared" si="282"/>
        <v>1</v>
      </c>
      <c r="DM123" s="1363">
        <f t="shared" si="283"/>
        <v>1</v>
      </c>
      <c r="DN123" s="1363">
        <f t="shared" si="284"/>
        <v>1</v>
      </c>
      <c r="DO123" s="1363">
        <f t="shared" si="285"/>
        <v>1</v>
      </c>
      <c r="DP123" s="1363">
        <f t="shared" si="286"/>
        <v>1</v>
      </c>
      <c r="DQ123" s="1363">
        <f t="shared" si="287"/>
        <v>1</v>
      </c>
      <c r="DR123" s="1363">
        <f t="shared" si="288"/>
        <v>1</v>
      </c>
      <c r="DS123" s="1363">
        <f t="shared" si="289"/>
        <v>1</v>
      </c>
      <c r="DT123" s="1363">
        <f t="shared" si="290"/>
        <v>1</v>
      </c>
      <c r="DU123" s="1363">
        <f t="shared" si="291"/>
        <v>1</v>
      </c>
      <c r="DV123" s="1363">
        <f t="shared" si="292"/>
        <v>1</v>
      </c>
      <c r="DW123" s="1363">
        <f t="shared" si="293"/>
        <v>1</v>
      </c>
      <c r="DX123" s="1363">
        <f t="shared" si="294"/>
        <v>1</v>
      </c>
      <c r="DY123" s="1363">
        <f t="shared" si="295"/>
        <v>1</v>
      </c>
      <c r="DZ123" s="1363">
        <f t="shared" si="296"/>
        <v>1</v>
      </c>
      <c r="EA123" s="1363">
        <f t="shared" si="297"/>
        <v>0</v>
      </c>
    </row>
    <row r="124" spans="1:131" ht="16.350000000000001" customHeight="1" x14ac:dyDescent="0.25">
      <c r="A124" s="2458">
        <v>11056456</v>
      </c>
      <c r="B124" s="107" t="s">
        <v>2261</v>
      </c>
      <c r="C124" s="707" t="s">
        <v>2777</v>
      </c>
      <c r="D124" s="281" t="s">
        <v>2778</v>
      </c>
      <c r="E124" s="161" t="s">
        <v>2779</v>
      </c>
      <c r="F124" s="145" t="s">
        <v>2780</v>
      </c>
      <c r="G124" s="173" t="s">
        <v>2781</v>
      </c>
      <c r="H124" s="145" t="s">
        <v>2782</v>
      </c>
      <c r="I124" s="173" t="s">
        <v>2783</v>
      </c>
      <c r="J124" s="145" t="s">
        <v>2784</v>
      </c>
      <c r="K124" s="173" t="s">
        <v>2785</v>
      </c>
      <c r="L124" s="145" t="s">
        <v>2786</v>
      </c>
      <c r="M124" s="173" t="s">
        <v>2787</v>
      </c>
      <c r="N124" s="162" t="s">
        <v>2788</v>
      </c>
      <c r="O124" s="180" t="s">
        <v>2789</v>
      </c>
      <c r="P124" s="142" t="s">
        <v>2790</v>
      </c>
      <c r="Q124" s="141" t="s">
        <v>2791</v>
      </c>
      <c r="R124" s="142" t="s">
        <v>2792</v>
      </c>
      <c r="S124" s="141" t="s">
        <v>2793</v>
      </c>
      <c r="T124" s="142" t="s">
        <v>2794</v>
      </c>
      <c r="U124" s="141" t="s">
        <v>2795</v>
      </c>
      <c r="V124" s="142" t="s">
        <v>2796</v>
      </c>
      <c r="W124" s="141" t="s">
        <v>2797</v>
      </c>
      <c r="X124" s="142" t="s">
        <v>2798</v>
      </c>
      <c r="Y124" s="141" t="s">
        <v>2799</v>
      </c>
      <c r="Z124" s="142" t="s">
        <v>2800</v>
      </c>
      <c r="AA124" s="141" t="s">
        <v>2801</v>
      </c>
      <c r="AB124" s="142" t="s">
        <v>2817</v>
      </c>
      <c r="AC124" s="141" t="s">
        <v>2818</v>
      </c>
      <c r="AD124" s="142" t="s">
        <v>2819</v>
      </c>
      <c r="AE124" s="141" t="s">
        <v>2821</v>
      </c>
      <c r="AF124" s="142" t="s">
        <v>2822</v>
      </c>
      <c r="AG124" s="141" t="s">
        <v>2823</v>
      </c>
      <c r="AH124" s="142" t="s">
        <v>2824</v>
      </c>
      <c r="AI124" s="141" t="s">
        <v>2825</v>
      </c>
      <c r="AJ124" s="142" t="s">
        <v>2826</v>
      </c>
      <c r="AK124" s="141" t="s">
        <v>2827</v>
      </c>
      <c r="AL124" s="142" t="s">
        <v>2831</v>
      </c>
      <c r="AM124" s="141" t="s">
        <v>2832</v>
      </c>
      <c r="AN124" s="142" t="s">
        <v>2833</v>
      </c>
      <c r="AO124" s="141" t="s">
        <v>2834</v>
      </c>
      <c r="AP124" s="142" t="s">
        <v>3011</v>
      </c>
      <c r="AQ124" s="141" t="s">
        <v>3012</v>
      </c>
      <c r="AR124" s="318" t="s">
        <v>3013</v>
      </c>
      <c r="AS124" s="1703" t="s">
        <v>3014</v>
      </c>
      <c r="AT124" s="318" t="s">
        <v>3015</v>
      </c>
      <c r="AU124" s="180" t="s">
        <v>3206</v>
      </c>
      <c r="AV124" s="142" t="s">
        <v>3207</v>
      </c>
      <c r="AW124" s="141" t="s">
        <v>3272</v>
      </c>
      <c r="AX124" s="163" t="s">
        <v>3273</v>
      </c>
      <c r="AY124" s="1079" t="e">
        <f t="shared" si="265"/>
        <v>#VALUE!</v>
      </c>
      <c r="AZ124" s="1079"/>
      <c r="BA124" s="1079"/>
      <c r="BB124" s="1079"/>
      <c r="BC124" s="1079"/>
      <c r="BD124" s="1079"/>
      <c r="BE124" s="1079"/>
      <c r="BF124" s="1079"/>
      <c r="BG124" s="1079"/>
      <c r="BH124" s="1079"/>
      <c r="BI124" s="1079"/>
      <c r="BJ124" s="884"/>
      <c r="BK124" s="884"/>
      <c r="BL124" s="884"/>
      <c r="BM124" s="884"/>
      <c r="BV124" s="885"/>
      <c r="BW124" s="885"/>
      <c r="BX124" s="885"/>
      <c r="CB124" s="2077" t="str">
        <f t="shared" si="266"/>
        <v xml:space="preserve">* El total de Reactivos NO DEBE ser superior al total de Procesados. </v>
      </c>
      <c r="CC124" s="2077" t="e">
        <f t="shared" si="267"/>
        <v>#VALUE!</v>
      </c>
      <c r="CD124" s="2077" t="e">
        <f t="shared" si="268"/>
        <v>#VALUE!</v>
      </c>
      <c r="CE124" s="2077" t="str">
        <f t="shared" si="269"/>
        <v xml:space="preserve">* La columna Pueblos Originarios NO DEBE ser superior al total de Procesados. </v>
      </c>
      <c r="CF124" s="2077" t="str">
        <f t="shared" si="270"/>
        <v xml:space="preserve">* La columna Migrantes NO DEBE ser superior al total de Procesados. </v>
      </c>
      <c r="CG124" s="2077" t="str">
        <f t="shared" si="298"/>
        <v>* El total de procesados debe ser mayor o igual al total de Reactivos en el grupo de edad Menor de 6 meses</v>
      </c>
      <c r="CH124" s="2077" t="str">
        <f t="shared" si="299"/>
        <v>* El total de procesados debe ser mayor o igual al total de Reactivos en el grupo de edad 6 a 11 meses</v>
      </c>
      <c r="CI124" s="2077" t="str">
        <f t="shared" si="300"/>
        <v>* El total de procesados debe ser mayor o igual al total de Reactivos en el grupo de edad 12-24 meses</v>
      </c>
      <c r="CJ124" s="2077" t="str">
        <f t="shared" si="301"/>
        <v>* El total de procesados debe ser mayor o igual al total de Reactivos en el grupo de edad 3 a 4</v>
      </c>
      <c r="CK124" s="2077" t="str">
        <f t="shared" si="302"/>
        <v>* El total de procesados debe ser mayor o igual al total de Reactivos en el grupo de edad 5 a 9</v>
      </c>
      <c r="CL124" s="2077" t="str">
        <f t="shared" si="303"/>
        <v>* El total de procesados debe ser mayor o igual al total de Reactivos en el grupo de edad 10 - 14</v>
      </c>
      <c r="CM124" s="2077" t="str">
        <f t="shared" si="304"/>
        <v>* El total de procesados debe ser mayor o igual al total de Reactivos en el grupo de edad 15 - 19</v>
      </c>
      <c r="CN124" s="2077" t="str">
        <f t="shared" si="305"/>
        <v>* El total de procesados debe ser mayor o igual al total de Reactivos en el grupo de edad 20 - 24</v>
      </c>
      <c r="CO124" s="2077" t="str">
        <f t="shared" si="306"/>
        <v>* El total de procesados debe ser mayor o igual al total de Reactivos en el grupo de edad 25 a 29</v>
      </c>
      <c r="CP124" s="2077" t="str">
        <f t="shared" si="307"/>
        <v>* El total de procesados debe ser mayor o igual al total de Reactivos en el grupo de edad 30 a 34</v>
      </c>
      <c r="CQ124" s="2077" t="str">
        <f t="shared" si="308"/>
        <v>* El total de procesados debe ser mayor o igual al total de Reactivos en el grupo de edad 35 a 39</v>
      </c>
      <c r="CR124" s="2077" t="str">
        <f t="shared" si="309"/>
        <v>* El total de procesados debe ser mayor o igual al total de Reactivos en el grupo de edad 40 a 44</v>
      </c>
      <c r="CS124" s="2077" t="str">
        <f t="shared" si="310"/>
        <v>* El total de procesados debe ser mayor o igual al total de Reactivos en el grupo de edad 45 a 49</v>
      </c>
      <c r="CT124" s="2077" t="str">
        <f t="shared" si="311"/>
        <v>* El total de procesados debe ser mayor o igual al total de Reactivos en el grupo de edad 50 a 54</v>
      </c>
      <c r="CU124" s="2077" t="str">
        <f t="shared" si="312"/>
        <v>* El total de procesados debe ser mayor o igual al total de Reactivos en el grupo de edad 55 a 59</v>
      </c>
      <c r="CV124" s="2077" t="str">
        <f t="shared" si="313"/>
        <v>* El total de procesados debe ser mayor o igual al total de Reactivos en el grupo de edad 60 a 64</v>
      </c>
      <c r="CW124" s="2077" t="str">
        <f t="shared" si="314"/>
        <v>* El total de procesados debe ser mayor o igual al total de Reactivos en el grupo de edad 65 a 69</v>
      </c>
      <c r="CX124" s="2077" t="str">
        <f t="shared" si="315"/>
        <v>* El total de procesados debe ser mayor o igual al total de Reactivos en el grupo de edad 70 a 74</v>
      </c>
      <c r="CY124" s="2077" t="str">
        <f t="shared" si="316"/>
        <v>* El total de procesados debe ser mayor o igual al total de Reactivos en el grupo de edad 75 a 79</v>
      </c>
      <c r="CZ124" s="2077" t="str">
        <f t="shared" si="317"/>
        <v>* El total de procesados debe ser mayor o igual al total de Reactivos en el grupo de edad 80 y más</v>
      </c>
      <c r="DA124" s="2077" t="str">
        <f t="shared" si="271"/>
        <v/>
      </c>
      <c r="DB124" s="1363">
        <f t="shared" si="272"/>
        <v>1</v>
      </c>
      <c r="DC124" s="1363" t="e">
        <f t="shared" si="273"/>
        <v>#VALUE!</v>
      </c>
      <c r="DD124" s="1363" t="e">
        <f t="shared" si="274"/>
        <v>#VALUE!</v>
      </c>
      <c r="DE124" s="1363">
        <f t="shared" si="275"/>
        <v>1</v>
      </c>
      <c r="DF124" s="1363">
        <f t="shared" si="276"/>
        <v>1</v>
      </c>
      <c r="DG124" s="1363">
        <f t="shared" si="277"/>
        <v>1</v>
      </c>
      <c r="DH124" s="1363">
        <f t="shared" si="278"/>
        <v>1</v>
      </c>
      <c r="DI124" s="1363">
        <f t="shared" si="279"/>
        <v>1</v>
      </c>
      <c r="DJ124" s="1363">
        <f t="shared" si="280"/>
        <v>1</v>
      </c>
      <c r="DK124" s="1363">
        <f t="shared" si="281"/>
        <v>1</v>
      </c>
      <c r="DL124" s="1363">
        <f t="shared" si="282"/>
        <v>1</v>
      </c>
      <c r="DM124" s="1363">
        <f t="shared" si="283"/>
        <v>1</v>
      </c>
      <c r="DN124" s="1363">
        <f t="shared" si="284"/>
        <v>1</v>
      </c>
      <c r="DO124" s="1363">
        <f t="shared" si="285"/>
        <v>1</v>
      </c>
      <c r="DP124" s="1363">
        <f t="shared" si="286"/>
        <v>1</v>
      </c>
      <c r="DQ124" s="1363">
        <f t="shared" si="287"/>
        <v>1</v>
      </c>
      <c r="DR124" s="1363">
        <f t="shared" si="288"/>
        <v>1</v>
      </c>
      <c r="DS124" s="1363">
        <f t="shared" si="289"/>
        <v>1</v>
      </c>
      <c r="DT124" s="1363">
        <f t="shared" si="290"/>
        <v>1</v>
      </c>
      <c r="DU124" s="1363">
        <f t="shared" si="291"/>
        <v>1</v>
      </c>
      <c r="DV124" s="1363">
        <f t="shared" si="292"/>
        <v>1</v>
      </c>
      <c r="DW124" s="1363">
        <f t="shared" si="293"/>
        <v>1</v>
      </c>
      <c r="DX124" s="1363">
        <f t="shared" si="294"/>
        <v>1</v>
      </c>
      <c r="DY124" s="1363">
        <f t="shared" si="295"/>
        <v>1</v>
      </c>
      <c r="DZ124" s="1363">
        <f t="shared" si="296"/>
        <v>1</v>
      </c>
      <c r="EA124" s="1363">
        <f t="shared" si="297"/>
        <v>0</v>
      </c>
    </row>
    <row r="125" spans="1:131" ht="16.350000000000001" customHeight="1" x14ac:dyDescent="0.25">
      <c r="A125" s="2458">
        <v>11056457</v>
      </c>
      <c r="B125" s="107" t="s">
        <v>2262</v>
      </c>
      <c r="C125" s="707" t="s">
        <v>2777</v>
      </c>
      <c r="D125" s="281" t="s">
        <v>2778</v>
      </c>
      <c r="E125" s="161" t="s">
        <v>2779</v>
      </c>
      <c r="F125" s="145" t="s">
        <v>2780</v>
      </c>
      <c r="G125" s="173" t="s">
        <v>2781</v>
      </c>
      <c r="H125" s="145" t="s">
        <v>2782</v>
      </c>
      <c r="I125" s="173" t="s">
        <v>2783</v>
      </c>
      <c r="J125" s="145" t="s">
        <v>2784</v>
      </c>
      <c r="K125" s="173" t="s">
        <v>2785</v>
      </c>
      <c r="L125" s="145" t="s">
        <v>2786</v>
      </c>
      <c r="M125" s="173" t="s">
        <v>2787</v>
      </c>
      <c r="N125" s="162" t="s">
        <v>2788</v>
      </c>
      <c r="O125" s="180" t="s">
        <v>2789</v>
      </c>
      <c r="P125" s="142" t="s">
        <v>2790</v>
      </c>
      <c r="Q125" s="141" t="s">
        <v>2791</v>
      </c>
      <c r="R125" s="142" t="s">
        <v>2792</v>
      </c>
      <c r="S125" s="141" t="s">
        <v>2793</v>
      </c>
      <c r="T125" s="142" t="s">
        <v>2794</v>
      </c>
      <c r="U125" s="141" t="s">
        <v>2795</v>
      </c>
      <c r="V125" s="142" t="s">
        <v>2796</v>
      </c>
      <c r="W125" s="141" t="s">
        <v>2797</v>
      </c>
      <c r="X125" s="142" t="s">
        <v>2798</v>
      </c>
      <c r="Y125" s="141" t="s">
        <v>2799</v>
      </c>
      <c r="Z125" s="142" t="s">
        <v>2800</v>
      </c>
      <c r="AA125" s="141" t="s">
        <v>2801</v>
      </c>
      <c r="AB125" s="142" t="s">
        <v>2817</v>
      </c>
      <c r="AC125" s="141" t="s">
        <v>2818</v>
      </c>
      <c r="AD125" s="142" t="s">
        <v>2819</v>
      </c>
      <c r="AE125" s="141" t="s">
        <v>2821</v>
      </c>
      <c r="AF125" s="142" t="s">
        <v>2822</v>
      </c>
      <c r="AG125" s="141" t="s">
        <v>2823</v>
      </c>
      <c r="AH125" s="142" t="s">
        <v>2824</v>
      </c>
      <c r="AI125" s="141" t="s">
        <v>2825</v>
      </c>
      <c r="AJ125" s="142" t="s">
        <v>2826</v>
      </c>
      <c r="AK125" s="141" t="s">
        <v>2827</v>
      </c>
      <c r="AL125" s="142" t="s">
        <v>2831</v>
      </c>
      <c r="AM125" s="141" t="s">
        <v>2832</v>
      </c>
      <c r="AN125" s="142" t="s">
        <v>2833</v>
      </c>
      <c r="AO125" s="141" t="s">
        <v>2834</v>
      </c>
      <c r="AP125" s="142" t="s">
        <v>3011</v>
      </c>
      <c r="AQ125" s="141" t="s">
        <v>3012</v>
      </c>
      <c r="AR125" s="318" t="s">
        <v>3013</v>
      </c>
      <c r="AS125" s="1703" t="s">
        <v>3014</v>
      </c>
      <c r="AT125" s="318" t="s">
        <v>3015</v>
      </c>
      <c r="AU125" s="180" t="s">
        <v>3206</v>
      </c>
      <c r="AV125" s="142" t="s">
        <v>3207</v>
      </c>
      <c r="AW125" s="141" t="s">
        <v>3272</v>
      </c>
      <c r="AX125" s="163" t="s">
        <v>3273</v>
      </c>
      <c r="AY125" s="1079" t="e">
        <f t="shared" si="265"/>
        <v>#VALUE!</v>
      </c>
      <c r="AZ125" s="1079"/>
      <c r="BA125" s="1079"/>
      <c r="BB125" s="1079"/>
      <c r="BC125" s="1079"/>
      <c r="BD125" s="1079"/>
      <c r="BE125" s="1079"/>
      <c r="BF125" s="1079"/>
      <c r="BG125" s="1079"/>
      <c r="BH125" s="1079"/>
      <c r="BI125" s="1079"/>
      <c r="BJ125" s="884"/>
      <c r="BK125" s="884"/>
      <c r="BL125" s="884"/>
      <c r="BM125" s="884"/>
      <c r="BV125" s="885"/>
      <c r="BW125" s="885"/>
      <c r="BX125" s="885"/>
      <c r="CB125" s="2077" t="str">
        <f t="shared" si="266"/>
        <v xml:space="preserve">* El total de Reactivos NO DEBE ser superior al total de Procesados. </v>
      </c>
      <c r="CC125" s="2077" t="e">
        <f t="shared" si="267"/>
        <v>#VALUE!</v>
      </c>
      <c r="CD125" s="2077" t="e">
        <f t="shared" si="268"/>
        <v>#VALUE!</v>
      </c>
      <c r="CE125" s="2077" t="str">
        <f t="shared" si="269"/>
        <v xml:space="preserve">* La columna Pueblos Originarios NO DEBE ser superior al total de Procesados. </v>
      </c>
      <c r="CF125" s="2077" t="str">
        <f t="shared" si="270"/>
        <v xml:space="preserve">* La columna Migrantes NO DEBE ser superior al total de Procesados. </v>
      </c>
      <c r="CG125" s="2077" t="str">
        <f t="shared" si="298"/>
        <v>* El total de procesados debe ser mayor o igual al total de Reactivos en el grupo de edad Menor de 6 meses</v>
      </c>
      <c r="CH125" s="2077" t="str">
        <f t="shared" si="299"/>
        <v>* El total de procesados debe ser mayor o igual al total de Reactivos en el grupo de edad 6 a 11 meses</v>
      </c>
      <c r="CI125" s="2077" t="str">
        <f t="shared" si="300"/>
        <v>* El total de procesados debe ser mayor o igual al total de Reactivos en el grupo de edad 12-24 meses</v>
      </c>
      <c r="CJ125" s="2077" t="str">
        <f t="shared" si="301"/>
        <v>* El total de procesados debe ser mayor o igual al total de Reactivos en el grupo de edad 3 a 4</v>
      </c>
      <c r="CK125" s="2077" t="str">
        <f t="shared" si="302"/>
        <v>* El total de procesados debe ser mayor o igual al total de Reactivos en el grupo de edad 5 a 9</v>
      </c>
      <c r="CL125" s="2077" t="str">
        <f t="shared" si="303"/>
        <v>* El total de procesados debe ser mayor o igual al total de Reactivos en el grupo de edad 10 - 14</v>
      </c>
      <c r="CM125" s="2077" t="str">
        <f t="shared" si="304"/>
        <v>* El total de procesados debe ser mayor o igual al total de Reactivos en el grupo de edad 15 - 19</v>
      </c>
      <c r="CN125" s="2077" t="str">
        <f t="shared" si="305"/>
        <v>* El total de procesados debe ser mayor o igual al total de Reactivos en el grupo de edad 20 - 24</v>
      </c>
      <c r="CO125" s="2077" t="str">
        <f t="shared" si="306"/>
        <v>* El total de procesados debe ser mayor o igual al total de Reactivos en el grupo de edad 25 a 29</v>
      </c>
      <c r="CP125" s="2077" t="str">
        <f t="shared" si="307"/>
        <v>* El total de procesados debe ser mayor o igual al total de Reactivos en el grupo de edad 30 a 34</v>
      </c>
      <c r="CQ125" s="2077" t="str">
        <f t="shared" si="308"/>
        <v>* El total de procesados debe ser mayor o igual al total de Reactivos en el grupo de edad 35 a 39</v>
      </c>
      <c r="CR125" s="2077" t="str">
        <f t="shared" si="309"/>
        <v>* El total de procesados debe ser mayor o igual al total de Reactivos en el grupo de edad 40 a 44</v>
      </c>
      <c r="CS125" s="2077" t="str">
        <f t="shared" si="310"/>
        <v>* El total de procesados debe ser mayor o igual al total de Reactivos en el grupo de edad 45 a 49</v>
      </c>
      <c r="CT125" s="2077" t="str">
        <f t="shared" si="311"/>
        <v>* El total de procesados debe ser mayor o igual al total de Reactivos en el grupo de edad 50 a 54</v>
      </c>
      <c r="CU125" s="2077" t="str">
        <f t="shared" si="312"/>
        <v>* El total de procesados debe ser mayor o igual al total de Reactivos en el grupo de edad 55 a 59</v>
      </c>
      <c r="CV125" s="2077" t="str">
        <f t="shared" si="313"/>
        <v>* El total de procesados debe ser mayor o igual al total de Reactivos en el grupo de edad 60 a 64</v>
      </c>
      <c r="CW125" s="2077" t="str">
        <f t="shared" si="314"/>
        <v>* El total de procesados debe ser mayor o igual al total de Reactivos en el grupo de edad 65 a 69</v>
      </c>
      <c r="CX125" s="2077" t="str">
        <f t="shared" si="315"/>
        <v>* El total de procesados debe ser mayor o igual al total de Reactivos en el grupo de edad 70 a 74</v>
      </c>
      <c r="CY125" s="2077" t="str">
        <f t="shared" si="316"/>
        <v>* El total de procesados debe ser mayor o igual al total de Reactivos en el grupo de edad 75 a 79</v>
      </c>
      <c r="CZ125" s="2077" t="str">
        <f t="shared" si="317"/>
        <v>* El total de procesados debe ser mayor o igual al total de Reactivos en el grupo de edad 80 y más</v>
      </c>
      <c r="DA125" s="2077" t="str">
        <f t="shared" si="271"/>
        <v/>
      </c>
      <c r="DB125" s="1363">
        <f t="shared" si="272"/>
        <v>1</v>
      </c>
      <c r="DC125" s="1363" t="e">
        <f t="shared" si="273"/>
        <v>#VALUE!</v>
      </c>
      <c r="DD125" s="1363" t="e">
        <f t="shared" si="274"/>
        <v>#VALUE!</v>
      </c>
      <c r="DE125" s="1363">
        <f t="shared" si="275"/>
        <v>1</v>
      </c>
      <c r="DF125" s="1363">
        <f t="shared" si="276"/>
        <v>1</v>
      </c>
      <c r="DG125" s="1363">
        <f t="shared" si="277"/>
        <v>1</v>
      </c>
      <c r="DH125" s="1363">
        <f t="shared" si="278"/>
        <v>1</v>
      </c>
      <c r="DI125" s="1363">
        <f t="shared" si="279"/>
        <v>1</v>
      </c>
      <c r="DJ125" s="1363">
        <f t="shared" si="280"/>
        <v>1</v>
      </c>
      <c r="DK125" s="1363">
        <f t="shared" si="281"/>
        <v>1</v>
      </c>
      <c r="DL125" s="1363">
        <f t="shared" si="282"/>
        <v>1</v>
      </c>
      <c r="DM125" s="1363">
        <f t="shared" si="283"/>
        <v>1</v>
      </c>
      <c r="DN125" s="1363">
        <f t="shared" si="284"/>
        <v>1</v>
      </c>
      <c r="DO125" s="1363">
        <f t="shared" si="285"/>
        <v>1</v>
      </c>
      <c r="DP125" s="1363">
        <f t="shared" si="286"/>
        <v>1</v>
      </c>
      <c r="DQ125" s="1363">
        <f t="shared" si="287"/>
        <v>1</v>
      </c>
      <c r="DR125" s="1363">
        <f t="shared" si="288"/>
        <v>1</v>
      </c>
      <c r="DS125" s="1363">
        <f t="shared" si="289"/>
        <v>1</v>
      </c>
      <c r="DT125" s="1363">
        <f t="shared" si="290"/>
        <v>1</v>
      </c>
      <c r="DU125" s="1363">
        <f t="shared" si="291"/>
        <v>1</v>
      </c>
      <c r="DV125" s="1363">
        <f t="shared" si="292"/>
        <v>1</v>
      </c>
      <c r="DW125" s="1363">
        <f t="shared" si="293"/>
        <v>1</v>
      </c>
      <c r="DX125" s="1363">
        <f t="shared" si="294"/>
        <v>1</v>
      </c>
      <c r="DY125" s="1363">
        <f t="shared" si="295"/>
        <v>1</v>
      </c>
      <c r="DZ125" s="1363">
        <f t="shared" si="296"/>
        <v>1</v>
      </c>
      <c r="EA125" s="1363">
        <f t="shared" si="297"/>
        <v>0</v>
      </c>
    </row>
    <row r="126" spans="1:131" ht="16.350000000000001" customHeight="1" x14ac:dyDescent="0.25">
      <c r="A126" s="2458">
        <v>11056458</v>
      </c>
      <c r="B126" s="371" t="s">
        <v>2263</v>
      </c>
      <c r="C126" s="707" t="s">
        <v>2777</v>
      </c>
      <c r="D126" s="281" t="s">
        <v>2778</v>
      </c>
      <c r="E126" s="161" t="s">
        <v>2779</v>
      </c>
      <c r="F126" s="145" t="s">
        <v>2780</v>
      </c>
      <c r="G126" s="173" t="s">
        <v>2781</v>
      </c>
      <c r="H126" s="145" t="s">
        <v>2782</v>
      </c>
      <c r="I126" s="173" t="s">
        <v>2783</v>
      </c>
      <c r="J126" s="145" t="s">
        <v>2784</v>
      </c>
      <c r="K126" s="173" t="s">
        <v>2785</v>
      </c>
      <c r="L126" s="145" t="s">
        <v>2786</v>
      </c>
      <c r="M126" s="173" t="s">
        <v>2787</v>
      </c>
      <c r="N126" s="162" t="s">
        <v>2788</v>
      </c>
      <c r="O126" s="180" t="s">
        <v>2789</v>
      </c>
      <c r="P126" s="142" t="s">
        <v>2790</v>
      </c>
      <c r="Q126" s="141" t="s">
        <v>2791</v>
      </c>
      <c r="R126" s="142" t="s">
        <v>2792</v>
      </c>
      <c r="S126" s="141" t="s">
        <v>2793</v>
      </c>
      <c r="T126" s="142" t="s">
        <v>2794</v>
      </c>
      <c r="U126" s="141" t="s">
        <v>2795</v>
      </c>
      <c r="V126" s="142" t="s">
        <v>2796</v>
      </c>
      <c r="W126" s="141" t="s">
        <v>2797</v>
      </c>
      <c r="X126" s="142" t="s">
        <v>2798</v>
      </c>
      <c r="Y126" s="141" t="s">
        <v>2799</v>
      </c>
      <c r="Z126" s="142" t="s">
        <v>2800</v>
      </c>
      <c r="AA126" s="141" t="s">
        <v>2801</v>
      </c>
      <c r="AB126" s="142" t="s">
        <v>2817</v>
      </c>
      <c r="AC126" s="141" t="s">
        <v>2818</v>
      </c>
      <c r="AD126" s="142" t="s">
        <v>2819</v>
      </c>
      <c r="AE126" s="141" t="s">
        <v>2821</v>
      </c>
      <c r="AF126" s="142" t="s">
        <v>2822</v>
      </c>
      <c r="AG126" s="141" t="s">
        <v>2823</v>
      </c>
      <c r="AH126" s="142" t="s">
        <v>2824</v>
      </c>
      <c r="AI126" s="141" t="s">
        <v>2825</v>
      </c>
      <c r="AJ126" s="142" t="s">
        <v>2826</v>
      </c>
      <c r="AK126" s="141" t="s">
        <v>2827</v>
      </c>
      <c r="AL126" s="142" t="s">
        <v>2831</v>
      </c>
      <c r="AM126" s="141" t="s">
        <v>2832</v>
      </c>
      <c r="AN126" s="142" t="s">
        <v>2833</v>
      </c>
      <c r="AO126" s="141" t="s">
        <v>2834</v>
      </c>
      <c r="AP126" s="142" t="s">
        <v>3011</v>
      </c>
      <c r="AQ126" s="141" t="s">
        <v>3012</v>
      </c>
      <c r="AR126" s="318" t="s">
        <v>3013</v>
      </c>
      <c r="AS126" s="1703" t="s">
        <v>3014</v>
      </c>
      <c r="AT126" s="318" t="s">
        <v>3015</v>
      </c>
      <c r="AU126" s="180" t="s">
        <v>3206</v>
      </c>
      <c r="AV126" s="142" t="s">
        <v>3207</v>
      </c>
      <c r="AW126" s="141" t="s">
        <v>3272</v>
      </c>
      <c r="AX126" s="163" t="s">
        <v>3273</v>
      </c>
      <c r="AY126" s="1079" t="e">
        <f t="shared" si="265"/>
        <v>#VALUE!</v>
      </c>
      <c r="AZ126" s="1079"/>
      <c r="BA126" s="1079"/>
      <c r="BB126" s="1079"/>
      <c r="BC126" s="1079"/>
      <c r="BD126" s="1079"/>
      <c r="BE126" s="1079"/>
      <c r="BF126" s="1079"/>
      <c r="BG126" s="1079"/>
      <c r="BH126" s="1079"/>
      <c r="BI126" s="1079"/>
      <c r="BJ126" s="884"/>
      <c r="BK126" s="884"/>
      <c r="BL126" s="884"/>
      <c r="BM126" s="884"/>
      <c r="BV126" s="885"/>
      <c r="BW126" s="885"/>
      <c r="BX126" s="885"/>
      <c r="CB126" s="2077" t="str">
        <f t="shared" si="266"/>
        <v xml:space="preserve">* El total de Reactivos NO DEBE ser superior al total de Procesados. </v>
      </c>
      <c r="CC126" s="2077" t="e">
        <f t="shared" si="267"/>
        <v>#VALUE!</v>
      </c>
      <c r="CD126" s="2077" t="e">
        <f t="shared" si="268"/>
        <v>#VALUE!</v>
      </c>
      <c r="CE126" s="2077" t="str">
        <f t="shared" si="269"/>
        <v xml:space="preserve">* La columna Pueblos Originarios NO DEBE ser superior al total de Procesados. </v>
      </c>
      <c r="CF126" s="2077" t="str">
        <f t="shared" si="270"/>
        <v xml:space="preserve">* La columna Migrantes NO DEBE ser superior al total de Procesados. </v>
      </c>
      <c r="CG126" s="2077" t="str">
        <f t="shared" si="298"/>
        <v>* El total de procesados debe ser mayor o igual al total de Reactivos en el grupo de edad Menor de 6 meses</v>
      </c>
      <c r="CH126" s="2077" t="str">
        <f t="shared" si="299"/>
        <v>* El total de procesados debe ser mayor o igual al total de Reactivos en el grupo de edad 6 a 11 meses</v>
      </c>
      <c r="CI126" s="2077" t="str">
        <f t="shared" si="300"/>
        <v>* El total de procesados debe ser mayor o igual al total de Reactivos en el grupo de edad 12-24 meses</v>
      </c>
      <c r="CJ126" s="2077" t="str">
        <f t="shared" si="301"/>
        <v>* El total de procesados debe ser mayor o igual al total de Reactivos en el grupo de edad 3 a 4</v>
      </c>
      <c r="CK126" s="2077" t="str">
        <f t="shared" si="302"/>
        <v>* El total de procesados debe ser mayor o igual al total de Reactivos en el grupo de edad 5 a 9</v>
      </c>
      <c r="CL126" s="2077" t="str">
        <f t="shared" si="303"/>
        <v>* El total de procesados debe ser mayor o igual al total de Reactivos en el grupo de edad 10 - 14</v>
      </c>
      <c r="CM126" s="2077" t="str">
        <f t="shared" si="304"/>
        <v>* El total de procesados debe ser mayor o igual al total de Reactivos en el grupo de edad 15 - 19</v>
      </c>
      <c r="CN126" s="2077" t="str">
        <f t="shared" si="305"/>
        <v>* El total de procesados debe ser mayor o igual al total de Reactivos en el grupo de edad 20 - 24</v>
      </c>
      <c r="CO126" s="2077" t="str">
        <f t="shared" si="306"/>
        <v>* El total de procesados debe ser mayor o igual al total de Reactivos en el grupo de edad 25 a 29</v>
      </c>
      <c r="CP126" s="2077" t="str">
        <f t="shared" si="307"/>
        <v>* El total de procesados debe ser mayor o igual al total de Reactivos en el grupo de edad 30 a 34</v>
      </c>
      <c r="CQ126" s="2077" t="str">
        <f t="shared" si="308"/>
        <v>* El total de procesados debe ser mayor o igual al total de Reactivos en el grupo de edad 35 a 39</v>
      </c>
      <c r="CR126" s="2077" t="str">
        <f t="shared" si="309"/>
        <v>* El total de procesados debe ser mayor o igual al total de Reactivos en el grupo de edad 40 a 44</v>
      </c>
      <c r="CS126" s="2077" t="str">
        <f t="shared" si="310"/>
        <v>* El total de procesados debe ser mayor o igual al total de Reactivos en el grupo de edad 45 a 49</v>
      </c>
      <c r="CT126" s="2077" t="str">
        <f t="shared" si="311"/>
        <v>* El total de procesados debe ser mayor o igual al total de Reactivos en el grupo de edad 50 a 54</v>
      </c>
      <c r="CU126" s="2077" t="str">
        <f t="shared" si="312"/>
        <v>* El total de procesados debe ser mayor o igual al total de Reactivos en el grupo de edad 55 a 59</v>
      </c>
      <c r="CV126" s="2077" t="str">
        <f t="shared" si="313"/>
        <v>* El total de procesados debe ser mayor o igual al total de Reactivos en el grupo de edad 60 a 64</v>
      </c>
      <c r="CW126" s="2077" t="str">
        <f t="shared" si="314"/>
        <v>* El total de procesados debe ser mayor o igual al total de Reactivos en el grupo de edad 65 a 69</v>
      </c>
      <c r="CX126" s="2077" t="str">
        <f t="shared" si="315"/>
        <v>* El total de procesados debe ser mayor o igual al total de Reactivos en el grupo de edad 70 a 74</v>
      </c>
      <c r="CY126" s="2077" t="str">
        <f t="shared" si="316"/>
        <v>* El total de procesados debe ser mayor o igual al total de Reactivos en el grupo de edad 75 a 79</v>
      </c>
      <c r="CZ126" s="2077" t="str">
        <f t="shared" si="317"/>
        <v>* El total de procesados debe ser mayor o igual al total de Reactivos en el grupo de edad 80 y más</v>
      </c>
      <c r="DA126" s="2077" t="str">
        <f t="shared" si="271"/>
        <v/>
      </c>
      <c r="DB126" s="1363">
        <f t="shared" si="272"/>
        <v>1</v>
      </c>
      <c r="DC126" s="1363" t="e">
        <f t="shared" si="273"/>
        <v>#VALUE!</v>
      </c>
      <c r="DD126" s="1363" t="e">
        <f t="shared" si="274"/>
        <v>#VALUE!</v>
      </c>
      <c r="DE126" s="1363">
        <f t="shared" si="275"/>
        <v>1</v>
      </c>
      <c r="DF126" s="1363">
        <f t="shared" si="276"/>
        <v>1</v>
      </c>
      <c r="DG126" s="1363">
        <f t="shared" si="277"/>
        <v>1</v>
      </c>
      <c r="DH126" s="1363">
        <f t="shared" si="278"/>
        <v>1</v>
      </c>
      <c r="DI126" s="1363">
        <f t="shared" si="279"/>
        <v>1</v>
      </c>
      <c r="DJ126" s="1363">
        <f t="shared" si="280"/>
        <v>1</v>
      </c>
      <c r="DK126" s="1363">
        <f t="shared" si="281"/>
        <v>1</v>
      </c>
      <c r="DL126" s="1363">
        <f t="shared" si="282"/>
        <v>1</v>
      </c>
      <c r="DM126" s="1363">
        <f t="shared" si="283"/>
        <v>1</v>
      </c>
      <c r="DN126" s="1363">
        <f t="shared" si="284"/>
        <v>1</v>
      </c>
      <c r="DO126" s="1363">
        <f t="shared" si="285"/>
        <v>1</v>
      </c>
      <c r="DP126" s="1363">
        <f t="shared" si="286"/>
        <v>1</v>
      </c>
      <c r="DQ126" s="1363">
        <f t="shared" si="287"/>
        <v>1</v>
      </c>
      <c r="DR126" s="1363">
        <f t="shared" si="288"/>
        <v>1</v>
      </c>
      <c r="DS126" s="1363">
        <f t="shared" si="289"/>
        <v>1</v>
      </c>
      <c r="DT126" s="1363">
        <f t="shared" si="290"/>
        <v>1</v>
      </c>
      <c r="DU126" s="1363">
        <f t="shared" si="291"/>
        <v>1</v>
      </c>
      <c r="DV126" s="1363">
        <f t="shared" si="292"/>
        <v>1</v>
      </c>
      <c r="DW126" s="1363">
        <f t="shared" si="293"/>
        <v>1</v>
      </c>
      <c r="DX126" s="1363">
        <f t="shared" si="294"/>
        <v>1</v>
      </c>
      <c r="DY126" s="1363">
        <f t="shared" si="295"/>
        <v>1</v>
      </c>
      <c r="DZ126" s="1363">
        <f t="shared" si="296"/>
        <v>1</v>
      </c>
      <c r="EA126" s="1363">
        <f t="shared" si="297"/>
        <v>0</v>
      </c>
    </row>
    <row r="127" spans="1:131" ht="15.95" customHeight="1" x14ac:dyDescent="0.25">
      <c r="A127" s="2458">
        <v>11056459</v>
      </c>
      <c r="B127" s="371" t="s">
        <v>2264</v>
      </c>
      <c r="C127" s="707" t="s">
        <v>2777</v>
      </c>
      <c r="D127" s="281" t="s">
        <v>2778</v>
      </c>
      <c r="E127" s="161" t="s">
        <v>2779</v>
      </c>
      <c r="F127" s="145" t="s">
        <v>2780</v>
      </c>
      <c r="G127" s="173" t="s">
        <v>2781</v>
      </c>
      <c r="H127" s="145" t="s">
        <v>2782</v>
      </c>
      <c r="I127" s="173" t="s">
        <v>2783</v>
      </c>
      <c r="J127" s="145" t="s">
        <v>2784</v>
      </c>
      <c r="K127" s="173" t="s">
        <v>2785</v>
      </c>
      <c r="L127" s="145" t="s">
        <v>2786</v>
      </c>
      <c r="M127" s="173" t="s">
        <v>2787</v>
      </c>
      <c r="N127" s="162" t="s">
        <v>2788</v>
      </c>
      <c r="O127" s="180" t="s">
        <v>2789</v>
      </c>
      <c r="P127" s="142" t="s">
        <v>2790</v>
      </c>
      <c r="Q127" s="141" t="s">
        <v>2791</v>
      </c>
      <c r="R127" s="142" t="s">
        <v>2792</v>
      </c>
      <c r="S127" s="141" t="s">
        <v>2793</v>
      </c>
      <c r="T127" s="142" t="s">
        <v>2794</v>
      </c>
      <c r="U127" s="141" t="s">
        <v>2795</v>
      </c>
      <c r="V127" s="142" t="s">
        <v>2796</v>
      </c>
      <c r="W127" s="141" t="s">
        <v>2797</v>
      </c>
      <c r="X127" s="142" t="s">
        <v>2798</v>
      </c>
      <c r="Y127" s="141" t="s">
        <v>2799</v>
      </c>
      <c r="Z127" s="142" t="s">
        <v>2800</v>
      </c>
      <c r="AA127" s="141" t="s">
        <v>2801</v>
      </c>
      <c r="AB127" s="142" t="s">
        <v>2817</v>
      </c>
      <c r="AC127" s="141" t="s">
        <v>2818</v>
      </c>
      <c r="AD127" s="142" t="s">
        <v>2819</v>
      </c>
      <c r="AE127" s="141" t="s">
        <v>2821</v>
      </c>
      <c r="AF127" s="142" t="s">
        <v>2822</v>
      </c>
      <c r="AG127" s="141" t="s">
        <v>2823</v>
      </c>
      <c r="AH127" s="142" t="s">
        <v>2824</v>
      </c>
      <c r="AI127" s="141" t="s">
        <v>2825</v>
      </c>
      <c r="AJ127" s="142" t="s">
        <v>2826</v>
      </c>
      <c r="AK127" s="141" t="s">
        <v>2827</v>
      </c>
      <c r="AL127" s="142" t="s">
        <v>2831</v>
      </c>
      <c r="AM127" s="141" t="s">
        <v>2832</v>
      </c>
      <c r="AN127" s="142" t="s">
        <v>2833</v>
      </c>
      <c r="AO127" s="141" t="s">
        <v>2834</v>
      </c>
      <c r="AP127" s="142" t="s">
        <v>3011</v>
      </c>
      <c r="AQ127" s="141" t="s">
        <v>3012</v>
      </c>
      <c r="AR127" s="318" t="s">
        <v>3013</v>
      </c>
      <c r="AS127" s="180" t="s">
        <v>3014</v>
      </c>
      <c r="AT127" s="318" t="s">
        <v>3015</v>
      </c>
      <c r="AU127" s="180" t="s">
        <v>3206</v>
      </c>
      <c r="AV127" s="142" t="s">
        <v>3207</v>
      </c>
      <c r="AW127" s="141" t="s">
        <v>3272</v>
      </c>
      <c r="AX127" s="163" t="s">
        <v>3273</v>
      </c>
      <c r="AY127" s="1079" t="e">
        <f t="shared" si="265"/>
        <v>#VALUE!</v>
      </c>
      <c r="AZ127" s="1079"/>
      <c r="BA127" s="1079"/>
      <c r="BB127" s="1079"/>
      <c r="BC127" s="1079"/>
      <c r="BD127" s="1079"/>
      <c r="BE127" s="1079"/>
      <c r="BF127" s="1079"/>
      <c r="BG127" s="1079"/>
      <c r="BH127" s="1079"/>
      <c r="BI127" s="1079"/>
      <c r="BJ127" s="884"/>
      <c r="BK127" s="884"/>
      <c r="BL127" s="884"/>
      <c r="BM127" s="884"/>
      <c r="BV127" s="885"/>
      <c r="BW127" s="885"/>
      <c r="BX127" s="885"/>
      <c r="CB127" s="2077" t="str">
        <f t="shared" si="266"/>
        <v xml:space="preserve">* El total de Reactivos NO DEBE ser superior al total de Procesados. </v>
      </c>
      <c r="CC127" s="2077" t="e">
        <f t="shared" si="267"/>
        <v>#VALUE!</v>
      </c>
      <c r="CD127" s="2077" t="e">
        <f t="shared" si="268"/>
        <v>#VALUE!</v>
      </c>
      <c r="CE127" s="2077" t="str">
        <f t="shared" si="269"/>
        <v xml:space="preserve">* La columna Pueblos Originarios NO DEBE ser superior al total de Procesados. </v>
      </c>
      <c r="CF127" s="2077" t="str">
        <f t="shared" si="270"/>
        <v xml:space="preserve">* La columna Migrantes NO DEBE ser superior al total de Procesados. </v>
      </c>
      <c r="CG127" s="2077" t="str">
        <f t="shared" si="298"/>
        <v>* El total de procesados debe ser mayor o igual al total de Reactivos en el grupo de edad Menor de 6 meses</v>
      </c>
      <c r="CH127" s="2077" t="str">
        <f t="shared" si="299"/>
        <v>* El total de procesados debe ser mayor o igual al total de Reactivos en el grupo de edad 6 a 11 meses</v>
      </c>
      <c r="CI127" s="2077" t="str">
        <f t="shared" si="300"/>
        <v>* El total de procesados debe ser mayor o igual al total de Reactivos en el grupo de edad 12-24 meses</v>
      </c>
      <c r="CJ127" s="2077" t="str">
        <f t="shared" si="301"/>
        <v>* El total de procesados debe ser mayor o igual al total de Reactivos en el grupo de edad 3 a 4</v>
      </c>
      <c r="CK127" s="2077" t="str">
        <f t="shared" si="302"/>
        <v>* El total de procesados debe ser mayor o igual al total de Reactivos en el grupo de edad 5 a 9</v>
      </c>
      <c r="CL127" s="2077" t="str">
        <f t="shared" si="303"/>
        <v>* El total de procesados debe ser mayor o igual al total de Reactivos en el grupo de edad 10 - 14</v>
      </c>
      <c r="CM127" s="2077" t="str">
        <f t="shared" si="304"/>
        <v>* El total de procesados debe ser mayor o igual al total de Reactivos en el grupo de edad 15 - 19</v>
      </c>
      <c r="CN127" s="2077" t="str">
        <f t="shared" si="305"/>
        <v>* El total de procesados debe ser mayor o igual al total de Reactivos en el grupo de edad 20 - 24</v>
      </c>
      <c r="CO127" s="2077" t="str">
        <f t="shared" si="306"/>
        <v>* El total de procesados debe ser mayor o igual al total de Reactivos en el grupo de edad 25 a 29</v>
      </c>
      <c r="CP127" s="2077" t="str">
        <f t="shared" si="307"/>
        <v>* El total de procesados debe ser mayor o igual al total de Reactivos en el grupo de edad 30 a 34</v>
      </c>
      <c r="CQ127" s="2077" t="str">
        <f t="shared" si="308"/>
        <v>* El total de procesados debe ser mayor o igual al total de Reactivos en el grupo de edad 35 a 39</v>
      </c>
      <c r="CR127" s="2077" t="str">
        <f t="shared" si="309"/>
        <v>* El total de procesados debe ser mayor o igual al total de Reactivos en el grupo de edad 40 a 44</v>
      </c>
      <c r="CS127" s="2077" t="str">
        <f t="shared" si="310"/>
        <v>* El total de procesados debe ser mayor o igual al total de Reactivos en el grupo de edad 45 a 49</v>
      </c>
      <c r="CT127" s="2077" t="str">
        <f t="shared" si="311"/>
        <v>* El total de procesados debe ser mayor o igual al total de Reactivos en el grupo de edad 50 a 54</v>
      </c>
      <c r="CU127" s="2077" t="str">
        <f t="shared" si="312"/>
        <v>* El total de procesados debe ser mayor o igual al total de Reactivos en el grupo de edad 55 a 59</v>
      </c>
      <c r="CV127" s="2077" t="str">
        <f t="shared" si="313"/>
        <v>* El total de procesados debe ser mayor o igual al total de Reactivos en el grupo de edad 60 a 64</v>
      </c>
      <c r="CW127" s="2077" t="str">
        <f t="shared" si="314"/>
        <v>* El total de procesados debe ser mayor o igual al total de Reactivos en el grupo de edad 65 a 69</v>
      </c>
      <c r="CX127" s="2077" t="str">
        <f t="shared" si="315"/>
        <v>* El total de procesados debe ser mayor o igual al total de Reactivos en el grupo de edad 70 a 74</v>
      </c>
      <c r="CY127" s="2077" t="str">
        <f t="shared" si="316"/>
        <v>* El total de procesados debe ser mayor o igual al total de Reactivos en el grupo de edad 75 a 79</v>
      </c>
      <c r="CZ127" s="2077" t="str">
        <f t="shared" si="317"/>
        <v>* El total de procesados debe ser mayor o igual al total de Reactivos en el grupo de edad 80 y más</v>
      </c>
      <c r="DA127" s="2077" t="str">
        <f t="shared" si="271"/>
        <v/>
      </c>
      <c r="DB127" s="1363">
        <f t="shared" si="272"/>
        <v>1</v>
      </c>
      <c r="DC127" s="1363" t="e">
        <f t="shared" si="273"/>
        <v>#VALUE!</v>
      </c>
      <c r="DD127" s="1363" t="e">
        <f t="shared" si="274"/>
        <v>#VALUE!</v>
      </c>
      <c r="DE127" s="1363">
        <f t="shared" si="275"/>
        <v>1</v>
      </c>
      <c r="DF127" s="1363">
        <f t="shared" si="276"/>
        <v>1</v>
      </c>
      <c r="DG127" s="1363">
        <f t="shared" si="277"/>
        <v>1</v>
      </c>
      <c r="DH127" s="1363">
        <f t="shared" si="278"/>
        <v>1</v>
      </c>
      <c r="DI127" s="1363">
        <f t="shared" si="279"/>
        <v>1</v>
      </c>
      <c r="DJ127" s="1363">
        <f t="shared" si="280"/>
        <v>1</v>
      </c>
      <c r="DK127" s="1363">
        <f t="shared" si="281"/>
        <v>1</v>
      </c>
      <c r="DL127" s="1363">
        <f t="shared" si="282"/>
        <v>1</v>
      </c>
      <c r="DM127" s="1363">
        <f t="shared" si="283"/>
        <v>1</v>
      </c>
      <c r="DN127" s="1363">
        <f t="shared" si="284"/>
        <v>1</v>
      </c>
      <c r="DO127" s="1363">
        <f t="shared" si="285"/>
        <v>1</v>
      </c>
      <c r="DP127" s="1363">
        <f t="shared" si="286"/>
        <v>1</v>
      </c>
      <c r="DQ127" s="1363">
        <f t="shared" si="287"/>
        <v>1</v>
      </c>
      <c r="DR127" s="1363">
        <f t="shared" si="288"/>
        <v>1</v>
      </c>
      <c r="DS127" s="1363">
        <f t="shared" si="289"/>
        <v>1</v>
      </c>
      <c r="DT127" s="1363">
        <f t="shared" si="290"/>
        <v>1</v>
      </c>
      <c r="DU127" s="1363">
        <f t="shared" si="291"/>
        <v>1</v>
      </c>
      <c r="DV127" s="1363">
        <f t="shared" si="292"/>
        <v>1</v>
      </c>
      <c r="DW127" s="1363">
        <f t="shared" si="293"/>
        <v>1</v>
      </c>
      <c r="DX127" s="1363">
        <f t="shared" si="294"/>
        <v>1</v>
      </c>
      <c r="DY127" s="1363">
        <f t="shared" si="295"/>
        <v>1</v>
      </c>
      <c r="DZ127" s="1363">
        <f t="shared" si="296"/>
        <v>1</v>
      </c>
      <c r="EA127" s="1363">
        <f t="shared" si="297"/>
        <v>0</v>
      </c>
    </row>
    <row r="128" spans="1:131" ht="23.25" customHeight="1" x14ac:dyDescent="0.25">
      <c r="A128" s="2458">
        <v>11056460</v>
      </c>
      <c r="B128" s="3095" t="s">
        <v>2265</v>
      </c>
      <c r="C128" s="707" t="s">
        <v>2777</v>
      </c>
      <c r="D128" s="281" t="s">
        <v>2778</v>
      </c>
      <c r="E128" s="161" t="s">
        <v>2779</v>
      </c>
      <c r="F128" s="145" t="s">
        <v>2780</v>
      </c>
      <c r="G128" s="173" t="s">
        <v>2781</v>
      </c>
      <c r="H128" s="145" t="s">
        <v>2782</v>
      </c>
      <c r="I128" s="173" t="s">
        <v>2783</v>
      </c>
      <c r="J128" s="145" t="s">
        <v>2784</v>
      </c>
      <c r="K128" s="173" t="s">
        <v>2785</v>
      </c>
      <c r="L128" s="145" t="s">
        <v>2786</v>
      </c>
      <c r="M128" s="173" t="s">
        <v>2787</v>
      </c>
      <c r="N128" s="162" t="s">
        <v>2788</v>
      </c>
      <c r="O128" s="180" t="s">
        <v>2789</v>
      </c>
      <c r="P128" s="142" t="s">
        <v>2790</v>
      </c>
      <c r="Q128" s="141" t="s">
        <v>2791</v>
      </c>
      <c r="R128" s="142" t="s">
        <v>2792</v>
      </c>
      <c r="S128" s="141" t="s">
        <v>2793</v>
      </c>
      <c r="T128" s="142" t="s">
        <v>2794</v>
      </c>
      <c r="U128" s="141" t="s">
        <v>2795</v>
      </c>
      <c r="V128" s="142" t="s">
        <v>2796</v>
      </c>
      <c r="W128" s="141" t="s">
        <v>2797</v>
      </c>
      <c r="X128" s="142" t="s">
        <v>2798</v>
      </c>
      <c r="Y128" s="141" t="s">
        <v>2799</v>
      </c>
      <c r="Z128" s="142" t="s">
        <v>2800</v>
      </c>
      <c r="AA128" s="141" t="s">
        <v>2801</v>
      </c>
      <c r="AB128" s="142" t="s">
        <v>2817</v>
      </c>
      <c r="AC128" s="141" t="s">
        <v>2818</v>
      </c>
      <c r="AD128" s="142" t="s">
        <v>2819</v>
      </c>
      <c r="AE128" s="141" t="s">
        <v>2821</v>
      </c>
      <c r="AF128" s="142" t="s">
        <v>2822</v>
      </c>
      <c r="AG128" s="141" t="s">
        <v>2823</v>
      </c>
      <c r="AH128" s="142" t="s">
        <v>2824</v>
      </c>
      <c r="AI128" s="141" t="s">
        <v>2825</v>
      </c>
      <c r="AJ128" s="142" t="s">
        <v>2826</v>
      </c>
      <c r="AK128" s="141" t="s">
        <v>2827</v>
      </c>
      <c r="AL128" s="142" t="s">
        <v>2831</v>
      </c>
      <c r="AM128" s="141" t="s">
        <v>2832</v>
      </c>
      <c r="AN128" s="142" t="s">
        <v>2833</v>
      </c>
      <c r="AO128" s="141" t="s">
        <v>2834</v>
      </c>
      <c r="AP128" s="142" t="s">
        <v>3011</v>
      </c>
      <c r="AQ128" s="141" t="s">
        <v>3012</v>
      </c>
      <c r="AR128" s="318" t="s">
        <v>3013</v>
      </c>
      <c r="AS128" s="1703" t="s">
        <v>3014</v>
      </c>
      <c r="AT128" s="318" t="s">
        <v>3015</v>
      </c>
      <c r="AU128" s="180" t="s">
        <v>3206</v>
      </c>
      <c r="AV128" s="142" t="s">
        <v>3207</v>
      </c>
      <c r="AW128" s="141" t="s">
        <v>3272</v>
      </c>
      <c r="AX128" s="163" t="s">
        <v>3273</v>
      </c>
      <c r="AY128" s="1079" t="e">
        <f t="shared" si="265"/>
        <v>#VALUE!</v>
      </c>
      <c r="AZ128" s="1079"/>
      <c r="BA128" s="1079"/>
      <c r="BB128" s="1079"/>
      <c r="BC128" s="1079"/>
      <c r="BD128" s="1079"/>
      <c r="BE128" s="1079"/>
      <c r="BF128" s="1079"/>
      <c r="BG128" s="1079"/>
      <c r="BH128" s="1079"/>
      <c r="BI128" s="1079"/>
      <c r="BJ128" s="884"/>
      <c r="BK128" s="884"/>
      <c r="BL128" s="884"/>
      <c r="BM128" s="884"/>
      <c r="BV128" s="885"/>
      <c r="BW128" s="885"/>
      <c r="BX128" s="885"/>
      <c r="CB128" s="2077" t="str">
        <f t="shared" si="266"/>
        <v xml:space="preserve">* El total de Reactivos NO DEBE ser superior al total de Procesados. </v>
      </c>
      <c r="CC128" s="2077" t="e">
        <f t="shared" si="267"/>
        <v>#VALUE!</v>
      </c>
      <c r="CD128" s="2077" t="e">
        <f t="shared" si="268"/>
        <v>#VALUE!</v>
      </c>
      <c r="CE128" s="2077" t="str">
        <f t="shared" si="269"/>
        <v xml:space="preserve">* La columna Pueblos Originarios NO DEBE ser superior al total de Procesados. </v>
      </c>
      <c r="CF128" s="2077" t="str">
        <f t="shared" si="270"/>
        <v xml:space="preserve">* La columna Migrantes NO DEBE ser superior al total de Procesados. </v>
      </c>
      <c r="CG128" s="2077" t="str">
        <f t="shared" si="298"/>
        <v>* El total de procesados debe ser mayor o igual al total de Reactivos en el grupo de edad Menor de 6 meses</v>
      </c>
      <c r="CH128" s="2077" t="str">
        <f t="shared" si="299"/>
        <v>* El total de procesados debe ser mayor o igual al total de Reactivos en el grupo de edad 6 a 11 meses</v>
      </c>
      <c r="CI128" s="2077" t="str">
        <f t="shared" si="300"/>
        <v>* El total de procesados debe ser mayor o igual al total de Reactivos en el grupo de edad 12-24 meses</v>
      </c>
      <c r="CJ128" s="2077" t="str">
        <f t="shared" si="301"/>
        <v>* El total de procesados debe ser mayor o igual al total de Reactivos en el grupo de edad 3 a 4</v>
      </c>
      <c r="CK128" s="2077" t="str">
        <f t="shared" si="302"/>
        <v>* El total de procesados debe ser mayor o igual al total de Reactivos en el grupo de edad 5 a 9</v>
      </c>
      <c r="CL128" s="2077" t="str">
        <f t="shared" si="303"/>
        <v>* El total de procesados debe ser mayor o igual al total de Reactivos en el grupo de edad 10 - 14</v>
      </c>
      <c r="CM128" s="2077" t="str">
        <f t="shared" si="304"/>
        <v>* El total de procesados debe ser mayor o igual al total de Reactivos en el grupo de edad 15 - 19</v>
      </c>
      <c r="CN128" s="2077" t="str">
        <f t="shared" si="305"/>
        <v>* El total de procesados debe ser mayor o igual al total de Reactivos en el grupo de edad 20 - 24</v>
      </c>
      <c r="CO128" s="2077" t="str">
        <f t="shared" si="306"/>
        <v>* El total de procesados debe ser mayor o igual al total de Reactivos en el grupo de edad 25 a 29</v>
      </c>
      <c r="CP128" s="2077" t="str">
        <f t="shared" si="307"/>
        <v>* El total de procesados debe ser mayor o igual al total de Reactivos en el grupo de edad 30 a 34</v>
      </c>
      <c r="CQ128" s="2077" t="str">
        <f t="shared" si="308"/>
        <v>* El total de procesados debe ser mayor o igual al total de Reactivos en el grupo de edad 35 a 39</v>
      </c>
      <c r="CR128" s="2077" t="str">
        <f t="shared" si="309"/>
        <v>* El total de procesados debe ser mayor o igual al total de Reactivos en el grupo de edad 40 a 44</v>
      </c>
      <c r="CS128" s="2077" t="str">
        <f t="shared" si="310"/>
        <v>* El total de procesados debe ser mayor o igual al total de Reactivos en el grupo de edad 45 a 49</v>
      </c>
      <c r="CT128" s="2077" t="str">
        <f t="shared" si="311"/>
        <v>* El total de procesados debe ser mayor o igual al total de Reactivos en el grupo de edad 50 a 54</v>
      </c>
      <c r="CU128" s="2077" t="str">
        <f t="shared" si="312"/>
        <v>* El total de procesados debe ser mayor o igual al total de Reactivos en el grupo de edad 55 a 59</v>
      </c>
      <c r="CV128" s="2077" t="str">
        <f t="shared" si="313"/>
        <v>* El total de procesados debe ser mayor o igual al total de Reactivos en el grupo de edad 60 a 64</v>
      </c>
      <c r="CW128" s="2077" t="str">
        <f t="shared" si="314"/>
        <v>* El total de procesados debe ser mayor o igual al total de Reactivos en el grupo de edad 65 a 69</v>
      </c>
      <c r="CX128" s="2077" t="str">
        <f t="shared" si="315"/>
        <v>* El total de procesados debe ser mayor o igual al total de Reactivos en el grupo de edad 70 a 74</v>
      </c>
      <c r="CY128" s="2077" t="str">
        <f t="shared" si="316"/>
        <v>* El total de procesados debe ser mayor o igual al total de Reactivos en el grupo de edad 75 a 79</v>
      </c>
      <c r="CZ128" s="2077" t="str">
        <f t="shared" si="317"/>
        <v>* El total de procesados debe ser mayor o igual al total de Reactivos en el grupo de edad 80 y más</v>
      </c>
      <c r="DA128" s="2077" t="str">
        <f t="shared" si="271"/>
        <v/>
      </c>
      <c r="DB128" s="1363">
        <f t="shared" si="272"/>
        <v>1</v>
      </c>
      <c r="DC128" s="1363" t="e">
        <f t="shared" si="273"/>
        <v>#VALUE!</v>
      </c>
      <c r="DD128" s="1363" t="e">
        <f t="shared" si="274"/>
        <v>#VALUE!</v>
      </c>
      <c r="DE128" s="1363">
        <f t="shared" si="275"/>
        <v>1</v>
      </c>
      <c r="DF128" s="1363">
        <f t="shared" si="276"/>
        <v>1</v>
      </c>
      <c r="DG128" s="1363">
        <f t="shared" si="277"/>
        <v>1</v>
      </c>
      <c r="DH128" s="1363">
        <f t="shared" si="278"/>
        <v>1</v>
      </c>
      <c r="DI128" s="1363">
        <f t="shared" si="279"/>
        <v>1</v>
      </c>
      <c r="DJ128" s="1363">
        <f t="shared" si="280"/>
        <v>1</v>
      </c>
      <c r="DK128" s="1363">
        <f t="shared" si="281"/>
        <v>1</v>
      </c>
      <c r="DL128" s="1363">
        <f t="shared" si="282"/>
        <v>1</v>
      </c>
      <c r="DM128" s="1363">
        <f t="shared" si="283"/>
        <v>1</v>
      </c>
      <c r="DN128" s="1363">
        <f t="shared" si="284"/>
        <v>1</v>
      </c>
      <c r="DO128" s="1363">
        <f t="shared" si="285"/>
        <v>1</v>
      </c>
      <c r="DP128" s="1363">
        <f t="shared" si="286"/>
        <v>1</v>
      </c>
      <c r="DQ128" s="1363">
        <f t="shared" si="287"/>
        <v>1</v>
      </c>
      <c r="DR128" s="1363">
        <f t="shared" si="288"/>
        <v>1</v>
      </c>
      <c r="DS128" s="1363">
        <f t="shared" si="289"/>
        <v>1</v>
      </c>
      <c r="DT128" s="1363">
        <f t="shared" si="290"/>
        <v>1</v>
      </c>
      <c r="DU128" s="1363">
        <f t="shared" si="291"/>
        <v>1</v>
      </c>
      <c r="DV128" s="1363">
        <f t="shared" si="292"/>
        <v>1</v>
      </c>
      <c r="DW128" s="1363">
        <f t="shared" si="293"/>
        <v>1</v>
      </c>
      <c r="DX128" s="1363">
        <f t="shared" si="294"/>
        <v>1</v>
      </c>
      <c r="DY128" s="1363">
        <f t="shared" si="295"/>
        <v>1</v>
      </c>
      <c r="DZ128" s="1363">
        <f t="shared" si="296"/>
        <v>1</v>
      </c>
      <c r="EA128" s="1363">
        <f t="shared" si="297"/>
        <v>0</v>
      </c>
    </row>
    <row r="129" spans="1:131" ht="16.350000000000001" customHeight="1" x14ac:dyDescent="0.25">
      <c r="A129" s="2458">
        <v>11056461</v>
      </c>
      <c r="B129" s="140" t="s">
        <v>2266</v>
      </c>
      <c r="C129" s="707" t="s">
        <v>2777</v>
      </c>
      <c r="D129" s="281" t="s">
        <v>2778</v>
      </c>
      <c r="E129" s="161" t="s">
        <v>2779</v>
      </c>
      <c r="F129" s="145" t="s">
        <v>2780</v>
      </c>
      <c r="G129" s="173" t="s">
        <v>2781</v>
      </c>
      <c r="H129" s="145" t="s">
        <v>2782</v>
      </c>
      <c r="I129" s="173" t="s">
        <v>2783</v>
      </c>
      <c r="J129" s="145" t="s">
        <v>2784</v>
      </c>
      <c r="K129" s="173" t="s">
        <v>2785</v>
      </c>
      <c r="L129" s="145" t="s">
        <v>2786</v>
      </c>
      <c r="M129" s="173" t="s">
        <v>2787</v>
      </c>
      <c r="N129" s="162" t="s">
        <v>2788</v>
      </c>
      <c r="O129" s="180" t="s">
        <v>2789</v>
      </c>
      <c r="P129" s="142" t="s">
        <v>2790</v>
      </c>
      <c r="Q129" s="141" t="s">
        <v>2791</v>
      </c>
      <c r="R129" s="142" t="s">
        <v>2792</v>
      </c>
      <c r="S129" s="141" t="s">
        <v>2793</v>
      </c>
      <c r="T129" s="142" t="s">
        <v>2794</v>
      </c>
      <c r="U129" s="141" t="s">
        <v>2795</v>
      </c>
      <c r="V129" s="142" t="s">
        <v>2796</v>
      </c>
      <c r="W129" s="141" t="s">
        <v>2797</v>
      </c>
      <c r="X129" s="142" t="s">
        <v>2798</v>
      </c>
      <c r="Y129" s="141" t="s">
        <v>2799</v>
      </c>
      <c r="Z129" s="142" t="s">
        <v>2800</v>
      </c>
      <c r="AA129" s="141" t="s">
        <v>2801</v>
      </c>
      <c r="AB129" s="142" t="s">
        <v>2817</v>
      </c>
      <c r="AC129" s="141" t="s">
        <v>2818</v>
      </c>
      <c r="AD129" s="142" t="s">
        <v>2819</v>
      </c>
      <c r="AE129" s="141" t="s">
        <v>2821</v>
      </c>
      <c r="AF129" s="142" t="s">
        <v>2822</v>
      </c>
      <c r="AG129" s="141" t="s">
        <v>2823</v>
      </c>
      <c r="AH129" s="142" t="s">
        <v>2824</v>
      </c>
      <c r="AI129" s="141" t="s">
        <v>2825</v>
      </c>
      <c r="AJ129" s="142" t="s">
        <v>2826</v>
      </c>
      <c r="AK129" s="141" t="s">
        <v>2827</v>
      </c>
      <c r="AL129" s="142" t="s">
        <v>2831</v>
      </c>
      <c r="AM129" s="141" t="s">
        <v>2832</v>
      </c>
      <c r="AN129" s="142" t="s">
        <v>2833</v>
      </c>
      <c r="AO129" s="141" t="s">
        <v>2834</v>
      </c>
      <c r="AP129" s="142" t="s">
        <v>3011</v>
      </c>
      <c r="AQ129" s="141" t="s">
        <v>3012</v>
      </c>
      <c r="AR129" s="318" t="s">
        <v>3013</v>
      </c>
      <c r="AS129" s="1703" t="s">
        <v>3014</v>
      </c>
      <c r="AT129" s="318" t="s">
        <v>3015</v>
      </c>
      <c r="AU129" s="180" t="s">
        <v>3206</v>
      </c>
      <c r="AV129" s="142" t="s">
        <v>3207</v>
      </c>
      <c r="AW129" s="141" t="s">
        <v>3272</v>
      </c>
      <c r="AX129" s="163" t="s">
        <v>3273</v>
      </c>
      <c r="AY129" s="1079" t="e">
        <f t="shared" si="265"/>
        <v>#VALUE!</v>
      </c>
      <c r="AZ129" s="1079"/>
      <c r="BA129" s="1079"/>
      <c r="BB129" s="1079"/>
      <c r="BC129" s="1079"/>
      <c r="BD129" s="1079"/>
      <c r="BE129" s="1079"/>
      <c r="BF129" s="1079"/>
      <c r="BG129" s="1079"/>
      <c r="BH129" s="1079"/>
      <c r="BI129" s="1079"/>
      <c r="BJ129" s="884"/>
      <c r="BK129" s="884"/>
      <c r="BL129" s="884"/>
      <c r="BM129" s="884"/>
      <c r="BV129" s="885"/>
      <c r="BW129" s="885"/>
      <c r="BX129" s="885"/>
      <c r="CB129" s="2077" t="str">
        <f t="shared" si="266"/>
        <v xml:space="preserve">* El total de Reactivos NO DEBE ser superior al total de Procesados. </v>
      </c>
      <c r="CC129" s="2077" t="e">
        <f t="shared" si="267"/>
        <v>#VALUE!</v>
      </c>
      <c r="CD129" s="2077" t="e">
        <f t="shared" si="268"/>
        <v>#VALUE!</v>
      </c>
      <c r="CE129" s="2077" t="str">
        <f t="shared" si="269"/>
        <v xml:space="preserve">* La columna Pueblos Originarios NO DEBE ser superior al total de Procesados. </v>
      </c>
      <c r="CF129" s="2077" t="str">
        <f t="shared" si="270"/>
        <v xml:space="preserve">* La columna Migrantes NO DEBE ser superior al total de Procesados. </v>
      </c>
      <c r="CG129" s="2077" t="str">
        <f t="shared" si="298"/>
        <v>* El total de procesados debe ser mayor o igual al total de Reactivos en el grupo de edad Menor de 6 meses</v>
      </c>
      <c r="CH129" s="2077" t="str">
        <f t="shared" si="299"/>
        <v>* El total de procesados debe ser mayor o igual al total de Reactivos en el grupo de edad 6 a 11 meses</v>
      </c>
      <c r="CI129" s="2077" t="str">
        <f t="shared" si="300"/>
        <v>* El total de procesados debe ser mayor o igual al total de Reactivos en el grupo de edad 12-24 meses</v>
      </c>
      <c r="CJ129" s="2077" t="str">
        <f t="shared" si="301"/>
        <v>* El total de procesados debe ser mayor o igual al total de Reactivos en el grupo de edad 3 a 4</v>
      </c>
      <c r="CK129" s="2077" t="str">
        <f t="shared" si="302"/>
        <v>* El total de procesados debe ser mayor o igual al total de Reactivos en el grupo de edad 5 a 9</v>
      </c>
      <c r="CL129" s="2077" t="str">
        <f t="shared" si="303"/>
        <v>* El total de procesados debe ser mayor o igual al total de Reactivos en el grupo de edad 10 - 14</v>
      </c>
      <c r="CM129" s="2077" t="str">
        <f t="shared" si="304"/>
        <v>* El total de procesados debe ser mayor o igual al total de Reactivos en el grupo de edad 15 - 19</v>
      </c>
      <c r="CN129" s="2077" t="str">
        <f t="shared" si="305"/>
        <v>* El total de procesados debe ser mayor o igual al total de Reactivos en el grupo de edad 20 - 24</v>
      </c>
      <c r="CO129" s="2077" t="str">
        <f t="shared" si="306"/>
        <v>* El total de procesados debe ser mayor o igual al total de Reactivos en el grupo de edad 25 a 29</v>
      </c>
      <c r="CP129" s="2077" t="str">
        <f t="shared" si="307"/>
        <v>* El total de procesados debe ser mayor o igual al total de Reactivos en el grupo de edad 30 a 34</v>
      </c>
      <c r="CQ129" s="2077" t="str">
        <f t="shared" si="308"/>
        <v>* El total de procesados debe ser mayor o igual al total de Reactivos en el grupo de edad 35 a 39</v>
      </c>
      <c r="CR129" s="2077" t="str">
        <f t="shared" si="309"/>
        <v>* El total de procesados debe ser mayor o igual al total de Reactivos en el grupo de edad 40 a 44</v>
      </c>
      <c r="CS129" s="2077" t="str">
        <f t="shared" si="310"/>
        <v>* El total de procesados debe ser mayor o igual al total de Reactivos en el grupo de edad 45 a 49</v>
      </c>
      <c r="CT129" s="2077" t="str">
        <f t="shared" si="311"/>
        <v>* El total de procesados debe ser mayor o igual al total de Reactivos en el grupo de edad 50 a 54</v>
      </c>
      <c r="CU129" s="2077" t="str">
        <f t="shared" si="312"/>
        <v>* El total de procesados debe ser mayor o igual al total de Reactivos en el grupo de edad 55 a 59</v>
      </c>
      <c r="CV129" s="2077" t="str">
        <f t="shared" si="313"/>
        <v>* El total de procesados debe ser mayor o igual al total de Reactivos en el grupo de edad 60 a 64</v>
      </c>
      <c r="CW129" s="2077" t="str">
        <f t="shared" si="314"/>
        <v>* El total de procesados debe ser mayor o igual al total de Reactivos en el grupo de edad 65 a 69</v>
      </c>
      <c r="CX129" s="2077" t="str">
        <f t="shared" si="315"/>
        <v>* El total de procesados debe ser mayor o igual al total de Reactivos en el grupo de edad 70 a 74</v>
      </c>
      <c r="CY129" s="2077" t="str">
        <f t="shared" si="316"/>
        <v>* El total de procesados debe ser mayor o igual al total de Reactivos en el grupo de edad 75 a 79</v>
      </c>
      <c r="CZ129" s="2077" t="str">
        <f t="shared" si="317"/>
        <v>* El total de procesados debe ser mayor o igual al total de Reactivos en el grupo de edad 80 y más</v>
      </c>
      <c r="DA129" s="2077" t="str">
        <f t="shared" si="271"/>
        <v/>
      </c>
      <c r="DB129" s="1363">
        <f t="shared" si="272"/>
        <v>1</v>
      </c>
      <c r="DC129" s="1363" t="e">
        <f t="shared" si="273"/>
        <v>#VALUE!</v>
      </c>
      <c r="DD129" s="1363" t="e">
        <f t="shared" si="274"/>
        <v>#VALUE!</v>
      </c>
      <c r="DE129" s="1363">
        <f t="shared" si="275"/>
        <v>1</v>
      </c>
      <c r="DF129" s="1363">
        <f t="shared" si="276"/>
        <v>1</v>
      </c>
      <c r="DG129" s="1363">
        <f t="shared" si="277"/>
        <v>1</v>
      </c>
      <c r="DH129" s="1363">
        <f t="shared" si="278"/>
        <v>1</v>
      </c>
      <c r="DI129" s="1363">
        <f t="shared" si="279"/>
        <v>1</v>
      </c>
      <c r="DJ129" s="1363">
        <f t="shared" si="280"/>
        <v>1</v>
      </c>
      <c r="DK129" s="1363">
        <f t="shared" si="281"/>
        <v>1</v>
      </c>
      <c r="DL129" s="1363">
        <f t="shared" si="282"/>
        <v>1</v>
      </c>
      <c r="DM129" s="1363">
        <f t="shared" si="283"/>
        <v>1</v>
      </c>
      <c r="DN129" s="1363">
        <f t="shared" si="284"/>
        <v>1</v>
      </c>
      <c r="DO129" s="1363">
        <f t="shared" si="285"/>
        <v>1</v>
      </c>
      <c r="DP129" s="1363">
        <f t="shared" si="286"/>
        <v>1</v>
      </c>
      <c r="DQ129" s="1363">
        <f t="shared" si="287"/>
        <v>1</v>
      </c>
      <c r="DR129" s="1363">
        <f t="shared" si="288"/>
        <v>1</v>
      </c>
      <c r="DS129" s="1363">
        <f t="shared" si="289"/>
        <v>1</v>
      </c>
      <c r="DT129" s="1363">
        <f t="shared" si="290"/>
        <v>1</v>
      </c>
      <c r="DU129" s="1363">
        <f t="shared" si="291"/>
        <v>1</v>
      </c>
      <c r="DV129" s="1363">
        <f t="shared" si="292"/>
        <v>1</v>
      </c>
      <c r="DW129" s="1363">
        <f t="shared" si="293"/>
        <v>1</v>
      </c>
      <c r="DX129" s="1363">
        <f t="shared" si="294"/>
        <v>1</v>
      </c>
      <c r="DY129" s="1363">
        <f t="shared" si="295"/>
        <v>1</v>
      </c>
      <c r="DZ129" s="1363">
        <f t="shared" si="296"/>
        <v>1</v>
      </c>
      <c r="EA129" s="1363">
        <f t="shared" si="297"/>
        <v>0</v>
      </c>
    </row>
    <row r="130" spans="1:131" ht="16.350000000000001" customHeight="1" x14ac:dyDescent="0.25">
      <c r="A130" s="2458">
        <v>11056462</v>
      </c>
      <c r="B130" s="140" t="s">
        <v>2267</v>
      </c>
      <c r="C130" s="707" t="s">
        <v>2777</v>
      </c>
      <c r="D130" s="281" t="s">
        <v>2778</v>
      </c>
      <c r="E130" s="180" t="s">
        <v>2779</v>
      </c>
      <c r="F130" s="142" t="s">
        <v>2780</v>
      </c>
      <c r="G130" s="141" t="s">
        <v>2781</v>
      </c>
      <c r="H130" s="142" t="s">
        <v>2782</v>
      </c>
      <c r="I130" s="141" t="s">
        <v>2783</v>
      </c>
      <c r="J130" s="163" t="s">
        <v>2784</v>
      </c>
      <c r="K130" s="180" t="s">
        <v>2785</v>
      </c>
      <c r="L130" s="180" t="s">
        <v>2786</v>
      </c>
      <c r="M130" s="141" t="s">
        <v>2787</v>
      </c>
      <c r="N130" s="163" t="s">
        <v>2788</v>
      </c>
      <c r="O130" s="180" t="s">
        <v>2789</v>
      </c>
      <c r="P130" s="142" t="s">
        <v>2790</v>
      </c>
      <c r="Q130" s="141" t="s">
        <v>2791</v>
      </c>
      <c r="R130" s="142" t="s">
        <v>2792</v>
      </c>
      <c r="S130" s="141" t="s">
        <v>2793</v>
      </c>
      <c r="T130" s="142" t="s">
        <v>2794</v>
      </c>
      <c r="U130" s="141" t="s">
        <v>2795</v>
      </c>
      <c r="V130" s="142" t="s">
        <v>2796</v>
      </c>
      <c r="W130" s="141" t="s">
        <v>2797</v>
      </c>
      <c r="X130" s="142" t="s">
        <v>2798</v>
      </c>
      <c r="Y130" s="141" t="s">
        <v>2799</v>
      </c>
      <c r="Z130" s="142" t="s">
        <v>2800</v>
      </c>
      <c r="AA130" s="141" t="s">
        <v>2801</v>
      </c>
      <c r="AB130" s="142" t="s">
        <v>2817</v>
      </c>
      <c r="AC130" s="141" t="s">
        <v>2818</v>
      </c>
      <c r="AD130" s="142" t="s">
        <v>2819</v>
      </c>
      <c r="AE130" s="141" t="s">
        <v>2821</v>
      </c>
      <c r="AF130" s="142" t="s">
        <v>2822</v>
      </c>
      <c r="AG130" s="141" t="s">
        <v>2823</v>
      </c>
      <c r="AH130" s="142" t="s">
        <v>2824</v>
      </c>
      <c r="AI130" s="141" t="s">
        <v>2825</v>
      </c>
      <c r="AJ130" s="142" t="s">
        <v>2826</v>
      </c>
      <c r="AK130" s="141" t="s">
        <v>2827</v>
      </c>
      <c r="AL130" s="142" t="s">
        <v>2831</v>
      </c>
      <c r="AM130" s="141" t="s">
        <v>2832</v>
      </c>
      <c r="AN130" s="142" t="s">
        <v>2833</v>
      </c>
      <c r="AO130" s="141" t="s">
        <v>2834</v>
      </c>
      <c r="AP130" s="142" t="s">
        <v>3011</v>
      </c>
      <c r="AQ130" s="141" t="s">
        <v>3012</v>
      </c>
      <c r="AR130" s="318" t="s">
        <v>3013</v>
      </c>
      <c r="AS130" s="1703" t="s">
        <v>3014</v>
      </c>
      <c r="AT130" s="318" t="s">
        <v>3015</v>
      </c>
      <c r="AU130" s="180" t="s">
        <v>3206</v>
      </c>
      <c r="AV130" s="142" t="s">
        <v>3207</v>
      </c>
      <c r="AW130" s="141" t="s">
        <v>3272</v>
      </c>
      <c r="AX130" s="163" t="s">
        <v>3273</v>
      </c>
      <c r="AY130" s="1079" t="e">
        <f t="shared" si="265"/>
        <v>#VALUE!</v>
      </c>
      <c r="AZ130" s="1079"/>
      <c r="BA130" s="1079"/>
      <c r="BB130" s="1079"/>
      <c r="BC130" s="1079"/>
      <c r="BD130" s="1079"/>
      <c r="BE130" s="1079"/>
      <c r="BF130" s="1079"/>
      <c r="BG130" s="1079"/>
      <c r="BH130" s="1079"/>
      <c r="BI130" s="1079"/>
      <c r="BJ130" s="884"/>
      <c r="BK130" s="884"/>
      <c r="BL130" s="884"/>
      <c r="BM130" s="884"/>
      <c r="BV130" s="885"/>
      <c r="BW130" s="885"/>
      <c r="BX130" s="885"/>
      <c r="CB130" s="2077" t="str">
        <f t="shared" si="266"/>
        <v xml:space="preserve">* El total de Reactivos NO DEBE ser superior al total de Procesados. </v>
      </c>
      <c r="CC130" s="2077" t="e">
        <f t="shared" si="267"/>
        <v>#VALUE!</v>
      </c>
      <c r="CD130" s="2077" t="e">
        <f t="shared" si="268"/>
        <v>#VALUE!</v>
      </c>
      <c r="CE130" s="2077" t="str">
        <f t="shared" si="269"/>
        <v xml:space="preserve">* La columna Pueblos Originarios NO DEBE ser superior al total de Procesados. </v>
      </c>
      <c r="CF130" s="2077" t="str">
        <f t="shared" si="270"/>
        <v xml:space="preserve">* La columna Migrantes NO DEBE ser superior al total de Procesados. </v>
      </c>
      <c r="CG130" s="2077" t="str">
        <f t="shared" si="298"/>
        <v>* El total de procesados debe ser mayor o igual al total de Reactivos en el grupo de edad Menor de 6 meses</v>
      </c>
      <c r="CH130" s="2077" t="str">
        <f t="shared" si="299"/>
        <v>* El total de procesados debe ser mayor o igual al total de Reactivos en el grupo de edad 6 a 11 meses</v>
      </c>
      <c r="CI130" s="2077" t="str">
        <f t="shared" si="300"/>
        <v>* El total de procesados debe ser mayor o igual al total de Reactivos en el grupo de edad 12-24 meses</v>
      </c>
      <c r="CJ130" s="2077" t="str">
        <f t="shared" si="301"/>
        <v>* El total de procesados debe ser mayor o igual al total de Reactivos en el grupo de edad 3 a 4</v>
      </c>
      <c r="CK130" s="2077" t="str">
        <f t="shared" si="302"/>
        <v>* El total de procesados debe ser mayor o igual al total de Reactivos en el grupo de edad 5 a 9</v>
      </c>
      <c r="CL130" s="2077" t="str">
        <f t="shared" si="303"/>
        <v>* El total de procesados debe ser mayor o igual al total de Reactivos en el grupo de edad 10 - 14</v>
      </c>
      <c r="CM130" s="2077" t="str">
        <f t="shared" si="304"/>
        <v>* El total de procesados debe ser mayor o igual al total de Reactivos en el grupo de edad 15 - 19</v>
      </c>
      <c r="CN130" s="2077" t="str">
        <f t="shared" si="305"/>
        <v>* El total de procesados debe ser mayor o igual al total de Reactivos en el grupo de edad 20 - 24</v>
      </c>
      <c r="CO130" s="2077" t="str">
        <f t="shared" si="306"/>
        <v>* El total de procesados debe ser mayor o igual al total de Reactivos en el grupo de edad 25 a 29</v>
      </c>
      <c r="CP130" s="2077" t="str">
        <f t="shared" si="307"/>
        <v>* El total de procesados debe ser mayor o igual al total de Reactivos en el grupo de edad 30 a 34</v>
      </c>
      <c r="CQ130" s="2077" t="str">
        <f t="shared" si="308"/>
        <v>* El total de procesados debe ser mayor o igual al total de Reactivos en el grupo de edad 35 a 39</v>
      </c>
      <c r="CR130" s="2077" t="str">
        <f t="shared" si="309"/>
        <v>* El total de procesados debe ser mayor o igual al total de Reactivos en el grupo de edad 40 a 44</v>
      </c>
      <c r="CS130" s="2077" t="str">
        <f t="shared" si="310"/>
        <v>* El total de procesados debe ser mayor o igual al total de Reactivos en el grupo de edad 45 a 49</v>
      </c>
      <c r="CT130" s="2077" t="str">
        <f t="shared" si="311"/>
        <v>* El total de procesados debe ser mayor o igual al total de Reactivos en el grupo de edad 50 a 54</v>
      </c>
      <c r="CU130" s="2077" t="str">
        <f t="shared" si="312"/>
        <v>* El total de procesados debe ser mayor o igual al total de Reactivos en el grupo de edad 55 a 59</v>
      </c>
      <c r="CV130" s="2077" t="str">
        <f t="shared" si="313"/>
        <v>* El total de procesados debe ser mayor o igual al total de Reactivos en el grupo de edad 60 a 64</v>
      </c>
      <c r="CW130" s="2077" t="str">
        <f t="shared" si="314"/>
        <v>* El total de procesados debe ser mayor o igual al total de Reactivos en el grupo de edad 65 a 69</v>
      </c>
      <c r="CX130" s="2077" t="str">
        <f t="shared" si="315"/>
        <v>* El total de procesados debe ser mayor o igual al total de Reactivos en el grupo de edad 70 a 74</v>
      </c>
      <c r="CY130" s="2077" t="str">
        <f t="shared" si="316"/>
        <v>* El total de procesados debe ser mayor o igual al total de Reactivos en el grupo de edad 75 a 79</v>
      </c>
      <c r="CZ130" s="2077" t="str">
        <f t="shared" si="317"/>
        <v>* El total de procesados debe ser mayor o igual al total de Reactivos en el grupo de edad 80 y más</v>
      </c>
      <c r="DA130" s="2077" t="str">
        <f t="shared" si="271"/>
        <v/>
      </c>
      <c r="DB130" s="1363">
        <f t="shared" si="272"/>
        <v>1</v>
      </c>
      <c r="DC130" s="1363" t="e">
        <f t="shared" si="273"/>
        <v>#VALUE!</v>
      </c>
      <c r="DD130" s="1363" t="e">
        <f t="shared" si="274"/>
        <v>#VALUE!</v>
      </c>
      <c r="DE130" s="1363">
        <f t="shared" si="275"/>
        <v>1</v>
      </c>
      <c r="DF130" s="1363">
        <f t="shared" si="276"/>
        <v>1</v>
      </c>
      <c r="DG130" s="1363">
        <f t="shared" si="277"/>
        <v>1</v>
      </c>
      <c r="DH130" s="1363">
        <f t="shared" si="278"/>
        <v>1</v>
      </c>
      <c r="DI130" s="1363">
        <f t="shared" si="279"/>
        <v>1</v>
      </c>
      <c r="DJ130" s="1363">
        <f t="shared" si="280"/>
        <v>1</v>
      </c>
      <c r="DK130" s="1363">
        <f t="shared" si="281"/>
        <v>1</v>
      </c>
      <c r="DL130" s="1363">
        <f t="shared" si="282"/>
        <v>1</v>
      </c>
      <c r="DM130" s="1363">
        <f t="shared" si="283"/>
        <v>1</v>
      </c>
      <c r="DN130" s="1363">
        <f t="shared" si="284"/>
        <v>1</v>
      </c>
      <c r="DO130" s="1363">
        <f t="shared" si="285"/>
        <v>1</v>
      </c>
      <c r="DP130" s="1363">
        <f t="shared" si="286"/>
        <v>1</v>
      </c>
      <c r="DQ130" s="1363">
        <f t="shared" si="287"/>
        <v>1</v>
      </c>
      <c r="DR130" s="1363">
        <f t="shared" si="288"/>
        <v>1</v>
      </c>
      <c r="DS130" s="1363">
        <f t="shared" si="289"/>
        <v>1</v>
      </c>
      <c r="DT130" s="1363">
        <f t="shared" si="290"/>
        <v>1</v>
      </c>
      <c r="DU130" s="1363">
        <f t="shared" si="291"/>
        <v>1</v>
      </c>
      <c r="DV130" s="1363">
        <f t="shared" si="292"/>
        <v>1</v>
      </c>
      <c r="DW130" s="1363">
        <f t="shared" si="293"/>
        <v>1</v>
      </c>
      <c r="DX130" s="1363">
        <f t="shared" si="294"/>
        <v>1</v>
      </c>
      <c r="DY130" s="1363">
        <f t="shared" si="295"/>
        <v>1</v>
      </c>
      <c r="DZ130" s="1363">
        <f t="shared" si="296"/>
        <v>1</v>
      </c>
      <c r="EA130" s="1363">
        <f t="shared" si="297"/>
        <v>0</v>
      </c>
    </row>
    <row r="131" spans="1:131" ht="22.5" customHeight="1" x14ac:dyDescent="0.25">
      <c r="A131" s="2458">
        <v>11056463</v>
      </c>
      <c r="B131" s="3095" t="s">
        <v>2268</v>
      </c>
      <c r="C131" s="707" t="s">
        <v>2777</v>
      </c>
      <c r="D131" s="281" t="s">
        <v>2778</v>
      </c>
      <c r="E131" s="180" t="s">
        <v>2779</v>
      </c>
      <c r="F131" s="142" t="s">
        <v>2780</v>
      </c>
      <c r="G131" s="141" t="s">
        <v>2781</v>
      </c>
      <c r="H131" s="142" t="s">
        <v>2782</v>
      </c>
      <c r="I131" s="141" t="s">
        <v>2783</v>
      </c>
      <c r="J131" s="163" t="s">
        <v>2784</v>
      </c>
      <c r="K131" s="936" t="s">
        <v>2785</v>
      </c>
      <c r="L131" s="1090" t="s">
        <v>2786</v>
      </c>
      <c r="M131" s="936" t="s">
        <v>2787</v>
      </c>
      <c r="N131" s="1090" t="s">
        <v>2788</v>
      </c>
      <c r="O131" s="936" t="s">
        <v>2789</v>
      </c>
      <c r="P131" s="1090" t="s">
        <v>2790</v>
      </c>
      <c r="Q131" s="936" t="s">
        <v>2791</v>
      </c>
      <c r="R131" s="1090" t="s">
        <v>2792</v>
      </c>
      <c r="S131" s="936" t="s">
        <v>2793</v>
      </c>
      <c r="T131" s="1090" t="s">
        <v>2794</v>
      </c>
      <c r="U131" s="936" t="s">
        <v>2795</v>
      </c>
      <c r="V131" s="1090" t="s">
        <v>2796</v>
      </c>
      <c r="W131" s="936" t="s">
        <v>2797</v>
      </c>
      <c r="X131" s="1090" t="s">
        <v>2798</v>
      </c>
      <c r="Y131" s="936" t="s">
        <v>2799</v>
      </c>
      <c r="Z131" s="1090" t="s">
        <v>2800</v>
      </c>
      <c r="AA131" s="936" t="s">
        <v>2801</v>
      </c>
      <c r="AB131" s="1090" t="s">
        <v>2817</v>
      </c>
      <c r="AC131" s="936" t="s">
        <v>2818</v>
      </c>
      <c r="AD131" s="1090" t="s">
        <v>2819</v>
      </c>
      <c r="AE131" s="936" t="s">
        <v>2821</v>
      </c>
      <c r="AF131" s="1090" t="s">
        <v>2822</v>
      </c>
      <c r="AG131" s="936" t="s">
        <v>2823</v>
      </c>
      <c r="AH131" s="1090" t="s">
        <v>2824</v>
      </c>
      <c r="AI131" s="936" t="s">
        <v>2825</v>
      </c>
      <c r="AJ131" s="1090" t="s">
        <v>2826</v>
      </c>
      <c r="AK131" s="936" t="s">
        <v>2827</v>
      </c>
      <c r="AL131" s="1090" t="s">
        <v>2831</v>
      </c>
      <c r="AM131" s="936" t="s">
        <v>2832</v>
      </c>
      <c r="AN131" s="1090" t="s">
        <v>2833</v>
      </c>
      <c r="AO131" s="936" t="s">
        <v>2834</v>
      </c>
      <c r="AP131" s="1090" t="s">
        <v>3011</v>
      </c>
      <c r="AQ131" s="936" t="s">
        <v>3012</v>
      </c>
      <c r="AR131" s="2033" t="s">
        <v>3013</v>
      </c>
      <c r="AS131" s="180" t="s">
        <v>3014</v>
      </c>
      <c r="AT131" s="318" t="s">
        <v>3015</v>
      </c>
      <c r="AU131" s="180" t="s">
        <v>3206</v>
      </c>
      <c r="AV131" s="142" t="s">
        <v>3207</v>
      </c>
      <c r="AW131" s="141" t="s">
        <v>3272</v>
      </c>
      <c r="AX131" s="163" t="s">
        <v>3273</v>
      </c>
      <c r="AY131" s="1079" t="e">
        <f t="shared" si="265"/>
        <v>#VALUE!</v>
      </c>
      <c r="AZ131" s="1079"/>
      <c r="BA131" s="1079"/>
      <c r="BB131" s="1079"/>
      <c r="BC131" s="1079"/>
      <c r="BD131" s="1079"/>
      <c r="BE131" s="1079"/>
      <c r="BF131" s="1079"/>
      <c r="BG131" s="1079"/>
      <c r="BH131" s="1079"/>
      <c r="BI131" s="1079"/>
      <c r="BJ131" s="884"/>
      <c r="BK131" s="884"/>
      <c r="BL131" s="884"/>
      <c r="BM131" s="884"/>
      <c r="BV131" s="885"/>
      <c r="BW131" s="885"/>
      <c r="BX131" s="885"/>
      <c r="CB131" s="2077" t="str">
        <f t="shared" si="266"/>
        <v xml:space="preserve">* El total de Reactivos NO DEBE ser superior al total de Procesados. </v>
      </c>
      <c r="CC131" s="2077" t="e">
        <f t="shared" si="267"/>
        <v>#VALUE!</v>
      </c>
      <c r="CD131" s="2077" t="e">
        <f t="shared" si="268"/>
        <v>#VALUE!</v>
      </c>
      <c r="CE131" s="2077" t="str">
        <f t="shared" si="269"/>
        <v xml:space="preserve">* La columna Pueblos Originarios NO DEBE ser superior al total de Procesados. </v>
      </c>
      <c r="CF131" s="2077" t="str">
        <f t="shared" si="270"/>
        <v xml:space="preserve">* La columna Migrantes NO DEBE ser superior al total de Procesados. </v>
      </c>
      <c r="CG131" s="2077" t="str">
        <f t="shared" si="298"/>
        <v>* El total de procesados debe ser mayor o igual al total de Reactivos en el grupo de edad Menor de 6 meses</v>
      </c>
      <c r="CH131" s="2077" t="str">
        <f t="shared" si="299"/>
        <v>* El total de procesados debe ser mayor o igual al total de Reactivos en el grupo de edad 6 a 11 meses</v>
      </c>
      <c r="CI131" s="2077" t="str">
        <f t="shared" si="300"/>
        <v>* El total de procesados debe ser mayor o igual al total de Reactivos en el grupo de edad 12-24 meses</v>
      </c>
      <c r="CJ131" s="2077" t="str">
        <f t="shared" si="301"/>
        <v>* El total de procesados debe ser mayor o igual al total de Reactivos en el grupo de edad 3 a 4</v>
      </c>
      <c r="CK131" s="2077" t="str">
        <f t="shared" si="302"/>
        <v>* El total de procesados debe ser mayor o igual al total de Reactivos en el grupo de edad 5 a 9</v>
      </c>
      <c r="CL131" s="2077" t="str">
        <f t="shared" si="303"/>
        <v>* El total de procesados debe ser mayor o igual al total de Reactivos en el grupo de edad 10 - 14</v>
      </c>
      <c r="CM131" s="2077" t="str">
        <f t="shared" si="304"/>
        <v>* El total de procesados debe ser mayor o igual al total de Reactivos en el grupo de edad 15 - 19</v>
      </c>
      <c r="CN131" s="2077" t="str">
        <f t="shared" si="305"/>
        <v>* El total de procesados debe ser mayor o igual al total de Reactivos en el grupo de edad 20 - 24</v>
      </c>
      <c r="CO131" s="2077" t="str">
        <f t="shared" si="306"/>
        <v>* El total de procesados debe ser mayor o igual al total de Reactivos en el grupo de edad 25 a 29</v>
      </c>
      <c r="CP131" s="2077" t="str">
        <f t="shared" si="307"/>
        <v>* El total de procesados debe ser mayor o igual al total de Reactivos en el grupo de edad 30 a 34</v>
      </c>
      <c r="CQ131" s="2077" t="str">
        <f t="shared" si="308"/>
        <v>* El total de procesados debe ser mayor o igual al total de Reactivos en el grupo de edad 35 a 39</v>
      </c>
      <c r="CR131" s="2077" t="str">
        <f t="shared" si="309"/>
        <v>* El total de procesados debe ser mayor o igual al total de Reactivos en el grupo de edad 40 a 44</v>
      </c>
      <c r="CS131" s="2077" t="str">
        <f t="shared" si="310"/>
        <v>* El total de procesados debe ser mayor o igual al total de Reactivos en el grupo de edad 45 a 49</v>
      </c>
      <c r="CT131" s="2077" t="str">
        <f t="shared" si="311"/>
        <v>* El total de procesados debe ser mayor o igual al total de Reactivos en el grupo de edad 50 a 54</v>
      </c>
      <c r="CU131" s="2077" t="str">
        <f t="shared" si="312"/>
        <v>* El total de procesados debe ser mayor o igual al total de Reactivos en el grupo de edad 55 a 59</v>
      </c>
      <c r="CV131" s="2077" t="str">
        <f t="shared" si="313"/>
        <v>* El total de procesados debe ser mayor o igual al total de Reactivos en el grupo de edad 60 a 64</v>
      </c>
      <c r="CW131" s="2077" t="str">
        <f t="shared" si="314"/>
        <v>* El total de procesados debe ser mayor o igual al total de Reactivos en el grupo de edad 65 a 69</v>
      </c>
      <c r="CX131" s="2077" t="str">
        <f t="shared" si="315"/>
        <v>* El total de procesados debe ser mayor o igual al total de Reactivos en el grupo de edad 70 a 74</v>
      </c>
      <c r="CY131" s="2077" t="str">
        <f t="shared" si="316"/>
        <v>* El total de procesados debe ser mayor o igual al total de Reactivos en el grupo de edad 75 a 79</v>
      </c>
      <c r="CZ131" s="2077" t="str">
        <f t="shared" si="317"/>
        <v>* El total de procesados debe ser mayor o igual al total de Reactivos en el grupo de edad 80 y más</v>
      </c>
      <c r="DA131" s="2077" t="str">
        <f t="shared" si="271"/>
        <v/>
      </c>
      <c r="DB131" s="1363">
        <f t="shared" si="272"/>
        <v>1</v>
      </c>
      <c r="DC131" s="1363" t="e">
        <f t="shared" si="273"/>
        <v>#VALUE!</v>
      </c>
      <c r="DD131" s="1363" t="e">
        <f t="shared" si="274"/>
        <v>#VALUE!</v>
      </c>
      <c r="DE131" s="1363">
        <f t="shared" si="275"/>
        <v>1</v>
      </c>
      <c r="DF131" s="1363">
        <f t="shared" si="276"/>
        <v>1</v>
      </c>
      <c r="DG131" s="1363">
        <f t="shared" si="277"/>
        <v>1</v>
      </c>
      <c r="DH131" s="1363">
        <f t="shared" si="278"/>
        <v>1</v>
      </c>
      <c r="DI131" s="1363">
        <f t="shared" si="279"/>
        <v>1</v>
      </c>
      <c r="DJ131" s="1363">
        <f t="shared" si="280"/>
        <v>1</v>
      </c>
      <c r="DK131" s="1363">
        <f t="shared" si="281"/>
        <v>1</v>
      </c>
      <c r="DL131" s="1363">
        <f t="shared" si="282"/>
        <v>1</v>
      </c>
      <c r="DM131" s="1363">
        <f t="shared" si="283"/>
        <v>1</v>
      </c>
      <c r="DN131" s="1363">
        <f t="shared" si="284"/>
        <v>1</v>
      </c>
      <c r="DO131" s="1363">
        <f t="shared" si="285"/>
        <v>1</v>
      </c>
      <c r="DP131" s="1363">
        <f t="shared" si="286"/>
        <v>1</v>
      </c>
      <c r="DQ131" s="1363">
        <f t="shared" si="287"/>
        <v>1</v>
      </c>
      <c r="DR131" s="1363">
        <f t="shared" si="288"/>
        <v>1</v>
      </c>
      <c r="DS131" s="1363">
        <f t="shared" si="289"/>
        <v>1</v>
      </c>
      <c r="DT131" s="1363">
        <f t="shared" si="290"/>
        <v>1</v>
      </c>
      <c r="DU131" s="1363">
        <f t="shared" si="291"/>
        <v>1</v>
      </c>
      <c r="DV131" s="1363">
        <f t="shared" si="292"/>
        <v>1</v>
      </c>
      <c r="DW131" s="1363">
        <f t="shared" si="293"/>
        <v>1</v>
      </c>
      <c r="DX131" s="1363">
        <f t="shared" si="294"/>
        <v>1</v>
      </c>
      <c r="DY131" s="1363">
        <f t="shared" si="295"/>
        <v>1</v>
      </c>
      <c r="DZ131" s="1363">
        <f t="shared" si="296"/>
        <v>1</v>
      </c>
      <c r="EA131" s="1363">
        <f t="shared" si="297"/>
        <v>0</v>
      </c>
    </row>
    <row r="132" spans="1:131" ht="15.95" customHeight="1" x14ac:dyDescent="0.25">
      <c r="A132" s="2458">
        <v>11056464</v>
      </c>
      <c r="B132" s="371" t="s">
        <v>2269</v>
      </c>
      <c r="C132" s="707" t="s">
        <v>2777</v>
      </c>
      <c r="D132" s="281" t="s">
        <v>2778</v>
      </c>
      <c r="E132" s="161" t="s">
        <v>2779</v>
      </c>
      <c r="F132" s="145" t="s">
        <v>2780</v>
      </c>
      <c r="G132" s="173" t="s">
        <v>2781</v>
      </c>
      <c r="H132" s="145" t="s">
        <v>2782</v>
      </c>
      <c r="I132" s="173" t="s">
        <v>2783</v>
      </c>
      <c r="J132" s="145" t="s">
        <v>2784</v>
      </c>
      <c r="K132" s="173" t="s">
        <v>2785</v>
      </c>
      <c r="L132" s="145" t="s">
        <v>2786</v>
      </c>
      <c r="M132" s="173" t="s">
        <v>2787</v>
      </c>
      <c r="N132" s="162" t="s">
        <v>2788</v>
      </c>
      <c r="O132" s="161" t="s">
        <v>2789</v>
      </c>
      <c r="P132" s="145" t="s">
        <v>2790</v>
      </c>
      <c r="Q132" s="141" t="s">
        <v>2791</v>
      </c>
      <c r="R132" s="142" t="s">
        <v>2792</v>
      </c>
      <c r="S132" s="141" t="s">
        <v>2793</v>
      </c>
      <c r="T132" s="142" t="s">
        <v>2794</v>
      </c>
      <c r="U132" s="141" t="s">
        <v>2795</v>
      </c>
      <c r="V132" s="142" t="s">
        <v>2796</v>
      </c>
      <c r="W132" s="141" t="s">
        <v>2797</v>
      </c>
      <c r="X132" s="142" t="s">
        <v>2798</v>
      </c>
      <c r="Y132" s="141" t="s">
        <v>2799</v>
      </c>
      <c r="Z132" s="142" t="s">
        <v>2800</v>
      </c>
      <c r="AA132" s="141" t="s">
        <v>2801</v>
      </c>
      <c r="AB132" s="142" t="s">
        <v>2817</v>
      </c>
      <c r="AC132" s="141" t="s">
        <v>2818</v>
      </c>
      <c r="AD132" s="142" t="s">
        <v>2819</v>
      </c>
      <c r="AE132" s="141" t="s">
        <v>2821</v>
      </c>
      <c r="AF132" s="142" t="s">
        <v>2822</v>
      </c>
      <c r="AG132" s="141" t="s">
        <v>2823</v>
      </c>
      <c r="AH132" s="142" t="s">
        <v>2824</v>
      </c>
      <c r="AI132" s="141" t="s">
        <v>2825</v>
      </c>
      <c r="AJ132" s="142" t="s">
        <v>2826</v>
      </c>
      <c r="AK132" s="141" t="s">
        <v>2827</v>
      </c>
      <c r="AL132" s="142" t="s">
        <v>2831</v>
      </c>
      <c r="AM132" s="141" t="s">
        <v>2832</v>
      </c>
      <c r="AN132" s="142" t="s">
        <v>2833</v>
      </c>
      <c r="AO132" s="141" t="s">
        <v>2834</v>
      </c>
      <c r="AP132" s="142" t="s">
        <v>3011</v>
      </c>
      <c r="AQ132" s="141" t="s">
        <v>3012</v>
      </c>
      <c r="AR132" s="318" t="s">
        <v>3013</v>
      </c>
      <c r="AS132" s="180" t="s">
        <v>3014</v>
      </c>
      <c r="AT132" s="318" t="s">
        <v>3015</v>
      </c>
      <c r="AU132" s="180" t="s">
        <v>3206</v>
      </c>
      <c r="AV132" s="142" t="s">
        <v>3207</v>
      </c>
      <c r="AW132" s="141" t="s">
        <v>3272</v>
      </c>
      <c r="AX132" s="163" t="s">
        <v>3273</v>
      </c>
      <c r="AY132" s="1079" t="e">
        <f t="shared" si="265"/>
        <v>#VALUE!</v>
      </c>
      <c r="AZ132" s="1079"/>
      <c r="BA132" s="1079"/>
      <c r="BB132" s="1079"/>
      <c r="BC132" s="1079"/>
      <c r="BD132" s="1079"/>
      <c r="BE132" s="1079"/>
      <c r="BF132" s="1079"/>
      <c r="BG132" s="1079"/>
      <c r="BH132" s="1079"/>
      <c r="BI132" s="1079"/>
      <c r="BJ132" s="884"/>
      <c r="BK132" s="884"/>
      <c r="BL132" s="884"/>
      <c r="BM132" s="884"/>
      <c r="BV132" s="885"/>
      <c r="BW132" s="885"/>
      <c r="BX132" s="885"/>
      <c r="CB132" s="2077" t="str">
        <f t="shared" si="266"/>
        <v xml:space="preserve">* El total de Reactivos NO DEBE ser superior al total de Procesados. </v>
      </c>
      <c r="CC132" s="2077" t="e">
        <f t="shared" si="267"/>
        <v>#VALUE!</v>
      </c>
      <c r="CD132" s="2077" t="e">
        <f t="shared" si="268"/>
        <v>#VALUE!</v>
      </c>
      <c r="CE132" s="2077" t="str">
        <f t="shared" si="269"/>
        <v xml:space="preserve">* La columna Pueblos Originarios NO DEBE ser superior al total de Procesados. </v>
      </c>
      <c r="CF132" s="2077" t="str">
        <f t="shared" si="270"/>
        <v xml:space="preserve">* La columna Migrantes NO DEBE ser superior al total de Procesados. </v>
      </c>
      <c r="CG132" s="2077" t="str">
        <f t="shared" si="298"/>
        <v>* El total de procesados debe ser mayor o igual al total de Reactivos en el grupo de edad Menor de 6 meses</v>
      </c>
      <c r="CH132" s="2077" t="str">
        <f t="shared" si="299"/>
        <v>* El total de procesados debe ser mayor o igual al total de Reactivos en el grupo de edad 6 a 11 meses</v>
      </c>
      <c r="CI132" s="2077" t="str">
        <f t="shared" si="300"/>
        <v>* El total de procesados debe ser mayor o igual al total de Reactivos en el grupo de edad 12-24 meses</v>
      </c>
      <c r="CJ132" s="2077" t="str">
        <f t="shared" si="301"/>
        <v>* El total de procesados debe ser mayor o igual al total de Reactivos en el grupo de edad 3 a 4</v>
      </c>
      <c r="CK132" s="2077" t="str">
        <f t="shared" si="302"/>
        <v>* El total de procesados debe ser mayor o igual al total de Reactivos en el grupo de edad 5 a 9</v>
      </c>
      <c r="CL132" s="2077" t="str">
        <f t="shared" si="303"/>
        <v>* El total de procesados debe ser mayor o igual al total de Reactivos en el grupo de edad 10 - 14</v>
      </c>
      <c r="CM132" s="2077" t="str">
        <f t="shared" si="304"/>
        <v>* El total de procesados debe ser mayor o igual al total de Reactivos en el grupo de edad 15 - 19</v>
      </c>
      <c r="CN132" s="2077" t="str">
        <f t="shared" si="305"/>
        <v>* El total de procesados debe ser mayor o igual al total de Reactivos en el grupo de edad 20 - 24</v>
      </c>
      <c r="CO132" s="2077" t="str">
        <f t="shared" si="306"/>
        <v>* El total de procesados debe ser mayor o igual al total de Reactivos en el grupo de edad 25 a 29</v>
      </c>
      <c r="CP132" s="2077" t="str">
        <f t="shared" si="307"/>
        <v>* El total de procesados debe ser mayor o igual al total de Reactivos en el grupo de edad 30 a 34</v>
      </c>
      <c r="CQ132" s="2077" t="str">
        <f t="shared" si="308"/>
        <v>* El total de procesados debe ser mayor o igual al total de Reactivos en el grupo de edad 35 a 39</v>
      </c>
      <c r="CR132" s="2077" t="str">
        <f t="shared" si="309"/>
        <v>* El total de procesados debe ser mayor o igual al total de Reactivos en el grupo de edad 40 a 44</v>
      </c>
      <c r="CS132" s="2077" t="str">
        <f t="shared" si="310"/>
        <v>* El total de procesados debe ser mayor o igual al total de Reactivos en el grupo de edad 45 a 49</v>
      </c>
      <c r="CT132" s="2077" t="str">
        <f t="shared" si="311"/>
        <v>* El total de procesados debe ser mayor o igual al total de Reactivos en el grupo de edad 50 a 54</v>
      </c>
      <c r="CU132" s="2077" t="str">
        <f t="shared" si="312"/>
        <v>* El total de procesados debe ser mayor o igual al total de Reactivos en el grupo de edad 55 a 59</v>
      </c>
      <c r="CV132" s="2077" t="str">
        <f t="shared" si="313"/>
        <v>* El total de procesados debe ser mayor o igual al total de Reactivos en el grupo de edad 60 a 64</v>
      </c>
      <c r="CW132" s="2077" t="str">
        <f t="shared" si="314"/>
        <v>* El total de procesados debe ser mayor o igual al total de Reactivos en el grupo de edad 65 a 69</v>
      </c>
      <c r="CX132" s="2077" t="str">
        <f t="shared" si="315"/>
        <v>* El total de procesados debe ser mayor o igual al total de Reactivos en el grupo de edad 70 a 74</v>
      </c>
      <c r="CY132" s="2077" t="str">
        <f t="shared" si="316"/>
        <v>* El total de procesados debe ser mayor o igual al total de Reactivos en el grupo de edad 75 a 79</v>
      </c>
      <c r="CZ132" s="2077" t="str">
        <f t="shared" si="317"/>
        <v>* El total de procesados debe ser mayor o igual al total de Reactivos en el grupo de edad 80 y más</v>
      </c>
      <c r="DA132" s="2077" t="str">
        <f t="shared" si="271"/>
        <v/>
      </c>
      <c r="DB132" s="1363">
        <f t="shared" si="272"/>
        <v>1</v>
      </c>
      <c r="DC132" s="1363" t="e">
        <f t="shared" si="273"/>
        <v>#VALUE!</v>
      </c>
      <c r="DD132" s="1363" t="e">
        <f t="shared" si="274"/>
        <v>#VALUE!</v>
      </c>
      <c r="DE132" s="1363">
        <f t="shared" si="275"/>
        <v>1</v>
      </c>
      <c r="DF132" s="1363">
        <f t="shared" si="276"/>
        <v>1</v>
      </c>
      <c r="DG132" s="1363">
        <f t="shared" si="277"/>
        <v>1</v>
      </c>
      <c r="DH132" s="1363">
        <f t="shared" si="278"/>
        <v>1</v>
      </c>
      <c r="DI132" s="1363">
        <f t="shared" si="279"/>
        <v>1</v>
      </c>
      <c r="DJ132" s="1363">
        <f t="shared" si="280"/>
        <v>1</v>
      </c>
      <c r="DK132" s="1363">
        <f t="shared" si="281"/>
        <v>1</v>
      </c>
      <c r="DL132" s="1363">
        <f t="shared" si="282"/>
        <v>1</v>
      </c>
      <c r="DM132" s="1363">
        <f t="shared" si="283"/>
        <v>1</v>
      </c>
      <c r="DN132" s="1363">
        <f t="shared" si="284"/>
        <v>1</v>
      </c>
      <c r="DO132" s="1363">
        <f t="shared" si="285"/>
        <v>1</v>
      </c>
      <c r="DP132" s="1363">
        <f t="shared" si="286"/>
        <v>1</v>
      </c>
      <c r="DQ132" s="1363">
        <f t="shared" si="287"/>
        <v>1</v>
      </c>
      <c r="DR132" s="1363">
        <f t="shared" si="288"/>
        <v>1</v>
      </c>
      <c r="DS132" s="1363">
        <f t="shared" si="289"/>
        <v>1</v>
      </c>
      <c r="DT132" s="1363">
        <f t="shared" si="290"/>
        <v>1</v>
      </c>
      <c r="DU132" s="1363">
        <f t="shared" si="291"/>
        <v>1</v>
      </c>
      <c r="DV132" s="1363">
        <f t="shared" si="292"/>
        <v>1</v>
      </c>
      <c r="DW132" s="1363">
        <f t="shared" si="293"/>
        <v>1</v>
      </c>
      <c r="DX132" s="1363">
        <f t="shared" si="294"/>
        <v>1</v>
      </c>
      <c r="DY132" s="1363">
        <f t="shared" si="295"/>
        <v>1</v>
      </c>
      <c r="DZ132" s="1363">
        <f t="shared" si="296"/>
        <v>1</v>
      </c>
      <c r="EA132" s="1363">
        <f t="shared" si="297"/>
        <v>0</v>
      </c>
    </row>
    <row r="133" spans="1:131" ht="16.350000000000001" customHeight="1" x14ac:dyDescent="0.25">
      <c r="A133" s="2458">
        <v>11056465</v>
      </c>
      <c r="B133" s="140" t="s">
        <v>2270</v>
      </c>
      <c r="C133" s="707" t="s">
        <v>2777</v>
      </c>
      <c r="D133" s="281" t="s">
        <v>2778</v>
      </c>
      <c r="E133" s="1703" t="s">
        <v>2779</v>
      </c>
      <c r="F133" s="1090" t="s">
        <v>2780</v>
      </c>
      <c r="G133" s="936" t="s">
        <v>2781</v>
      </c>
      <c r="H133" s="1090" t="s">
        <v>2782</v>
      </c>
      <c r="I133" s="936" t="s">
        <v>2783</v>
      </c>
      <c r="J133" s="937" t="s">
        <v>2784</v>
      </c>
      <c r="K133" s="1703" t="s">
        <v>2785</v>
      </c>
      <c r="L133" s="1703" t="s">
        <v>2786</v>
      </c>
      <c r="M133" s="936" t="s">
        <v>2787</v>
      </c>
      <c r="N133" s="937" t="s">
        <v>2788</v>
      </c>
      <c r="O133" s="180" t="s">
        <v>2789</v>
      </c>
      <c r="P133" s="142" t="s">
        <v>2790</v>
      </c>
      <c r="Q133" s="141" t="s">
        <v>2791</v>
      </c>
      <c r="R133" s="142" t="s">
        <v>2792</v>
      </c>
      <c r="S133" s="141" t="s">
        <v>2793</v>
      </c>
      <c r="T133" s="142" t="s">
        <v>2794</v>
      </c>
      <c r="U133" s="141" t="s">
        <v>2795</v>
      </c>
      <c r="V133" s="142" t="s">
        <v>2796</v>
      </c>
      <c r="W133" s="141" t="s">
        <v>2797</v>
      </c>
      <c r="X133" s="142" t="s">
        <v>2798</v>
      </c>
      <c r="Y133" s="141" t="s">
        <v>2799</v>
      </c>
      <c r="Z133" s="142" t="s">
        <v>2800</v>
      </c>
      <c r="AA133" s="141" t="s">
        <v>2801</v>
      </c>
      <c r="AB133" s="142" t="s">
        <v>2817</v>
      </c>
      <c r="AC133" s="141" t="s">
        <v>2818</v>
      </c>
      <c r="AD133" s="142" t="s">
        <v>2819</v>
      </c>
      <c r="AE133" s="141" t="s">
        <v>2821</v>
      </c>
      <c r="AF133" s="142" t="s">
        <v>2822</v>
      </c>
      <c r="AG133" s="141" t="s">
        <v>2823</v>
      </c>
      <c r="AH133" s="142" t="s">
        <v>2824</v>
      </c>
      <c r="AI133" s="141" t="s">
        <v>2825</v>
      </c>
      <c r="AJ133" s="142" t="s">
        <v>2826</v>
      </c>
      <c r="AK133" s="141" t="s">
        <v>2827</v>
      </c>
      <c r="AL133" s="142" t="s">
        <v>2831</v>
      </c>
      <c r="AM133" s="141" t="s">
        <v>2832</v>
      </c>
      <c r="AN133" s="142" t="s">
        <v>2833</v>
      </c>
      <c r="AO133" s="141" t="s">
        <v>2834</v>
      </c>
      <c r="AP133" s="142" t="s">
        <v>3011</v>
      </c>
      <c r="AQ133" s="141" t="s">
        <v>3012</v>
      </c>
      <c r="AR133" s="318" t="s">
        <v>3013</v>
      </c>
      <c r="AS133" s="180" t="s">
        <v>3014</v>
      </c>
      <c r="AT133" s="318" t="s">
        <v>3015</v>
      </c>
      <c r="AU133" s="180" t="s">
        <v>3206</v>
      </c>
      <c r="AV133" s="142" t="s">
        <v>3207</v>
      </c>
      <c r="AW133" s="141" t="s">
        <v>3272</v>
      </c>
      <c r="AX133" s="163" t="s">
        <v>3273</v>
      </c>
      <c r="AY133" s="1079" t="e">
        <f t="shared" si="265"/>
        <v>#VALUE!</v>
      </c>
      <c r="AZ133" s="1079"/>
      <c r="BA133" s="1079"/>
      <c r="BB133" s="1079"/>
      <c r="BC133" s="1079"/>
      <c r="BD133" s="1079"/>
      <c r="BE133" s="1079"/>
      <c r="BF133" s="1079"/>
      <c r="BG133" s="1079"/>
      <c r="BH133" s="1079"/>
      <c r="BI133" s="1079"/>
      <c r="BJ133" s="884"/>
      <c r="BK133" s="884"/>
      <c r="BL133" s="884"/>
      <c r="BM133" s="884"/>
      <c r="BV133" s="885"/>
      <c r="BW133" s="885"/>
      <c r="BX133" s="885"/>
      <c r="CB133" s="2077" t="str">
        <f t="shared" si="266"/>
        <v xml:space="preserve">* El total de Reactivos NO DEBE ser superior al total de Procesados. </v>
      </c>
      <c r="CC133" s="2077" t="e">
        <f t="shared" si="267"/>
        <v>#VALUE!</v>
      </c>
      <c r="CD133" s="2077" t="e">
        <f t="shared" si="268"/>
        <v>#VALUE!</v>
      </c>
      <c r="CE133" s="2077" t="str">
        <f t="shared" si="269"/>
        <v xml:space="preserve">* La columna Pueblos Originarios NO DEBE ser superior al total de Procesados. </v>
      </c>
      <c r="CF133" s="2077" t="str">
        <f t="shared" si="270"/>
        <v xml:space="preserve">* La columna Migrantes NO DEBE ser superior al total de Procesados. </v>
      </c>
      <c r="CG133" s="2077" t="str">
        <f t="shared" si="298"/>
        <v>* El total de procesados debe ser mayor o igual al total de Reactivos en el grupo de edad Menor de 6 meses</v>
      </c>
      <c r="CH133" s="2077" t="str">
        <f t="shared" si="299"/>
        <v>* El total de procesados debe ser mayor o igual al total de Reactivos en el grupo de edad 6 a 11 meses</v>
      </c>
      <c r="CI133" s="2077" t="str">
        <f t="shared" si="300"/>
        <v>* El total de procesados debe ser mayor o igual al total de Reactivos en el grupo de edad 12-24 meses</v>
      </c>
      <c r="CJ133" s="2077" t="str">
        <f t="shared" si="301"/>
        <v>* El total de procesados debe ser mayor o igual al total de Reactivos en el grupo de edad 3 a 4</v>
      </c>
      <c r="CK133" s="2077" t="str">
        <f t="shared" si="302"/>
        <v>* El total de procesados debe ser mayor o igual al total de Reactivos en el grupo de edad 5 a 9</v>
      </c>
      <c r="CL133" s="2077" t="str">
        <f t="shared" si="303"/>
        <v>* El total de procesados debe ser mayor o igual al total de Reactivos en el grupo de edad 10 - 14</v>
      </c>
      <c r="CM133" s="2077" t="str">
        <f t="shared" si="304"/>
        <v>* El total de procesados debe ser mayor o igual al total de Reactivos en el grupo de edad 15 - 19</v>
      </c>
      <c r="CN133" s="2077" t="str">
        <f t="shared" si="305"/>
        <v>* El total de procesados debe ser mayor o igual al total de Reactivos en el grupo de edad 20 - 24</v>
      </c>
      <c r="CO133" s="2077" t="str">
        <f t="shared" si="306"/>
        <v>* El total de procesados debe ser mayor o igual al total de Reactivos en el grupo de edad 25 a 29</v>
      </c>
      <c r="CP133" s="2077" t="str">
        <f t="shared" si="307"/>
        <v>* El total de procesados debe ser mayor o igual al total de Reactivos en el grupo de edad 30 a 34</v>
      </c>
      <c r="CQ133" s="2077" t="str">
        <f t="shared" si="308"/>
        <v>* El total de procesados debe ser mayor o igual al total de Reactivos en el grupo de edad 35 a 39</v>
      </c>
      <c r="CR133" s="2077" t="str">
        <f t="shared" si="309"/>
        <v>* El total de procesados debe ser mayor o igual al total de Reactivos en el grupo de edad 40 a 44</v>
      </c>
      <c r="CS133" s="2077" t="str">
        <f t="shared" si="310"/>
        <v>* El total de procesados debe ser mayor o igual al total de Reactivos en el grupo de edad 45 a 49</v>
      </c>
      <c r="CT133" s="2077" t="str">
        <f t="shared" si="311"/>
        <v>* El total de procesados debe ser mayor o igual al total de Reactivos en el grupo de edad 50 a 54</v>
      </c>
      <c r="CU133" s="2077" t="str">
        <f t="shared" si="312"/>
        <v>* El total de procesados debe ser mayor o igual al total de Reactivos en el grupo de edad 55 a 59</v>
      </c>
      <c r="CV133" s="2077" t="str">
        <f t="shared" si="313"/>
        <v>* El total de procesados debe ser mayor o igual al total de Reactivos en el grupo de edad 60 a 64</v>
      </c>
      <c r="CW133" s="2077" t="str">
        <f t="shared" si="314"/>
        <v>* El total de procesados debe ser mayor o igual al total de Reactivos en el grupo de edad 65 a 69</v>
      </c>
      <c r="CX133" s="2077" t="str">
        <f t="shared" si="315"/>
        <v>* El total de procesados debe ser mayor o igual al total de Reactivos en el grupo de edad 70 a 74</v>
      </c>
      <c r="CY133" s="2077" t="str">
        <f t="shared" si="316"/>
        <v>* El total de procesados debe ser mayor o igual al total de Reactivos en el grupo de edad 75 a 79</v>
      </c>
      <c r="CZ133" s="2077" t="str">
        <f t="shared" si="317"/>
        <v>* El total de procesados debe ser mayor o igual al total de Reactivos en el grupo de edad 80 y más</v>
      </c>
      <c r="DA133" s="2077" t="str">
        <f t="shared" si="271"/>
        <v/>
      </c>
      <c r="DB133" s="1363">
        <f t="shared" si="272"/>
        <v>1</v>
      </c>
      <c r="DC133" s="1363" t="e">
        <f t="shared" si="273"/>
        <v>#VALUE!</v>
      </c>
      <c r="DD133" s="1363" t="e">
        <f t="shared" si="274"/>
        <v>#VALUE!</v>
      </c>
      <c r="DE133" s="1363">
        <f t="shared" si="275"/>
        <v>1</v>
      </c>
      <c r="DF133" s="1363">
        <f t="shared" si="276"/>
        <v>1</v>
      </c>
      <c r="DG133" s="1363">
        <f t="shared" si="277"/>
        <v>1</v>
      </c>
      <c r="DH133" s="1363">
        <f t="shared" si="278"/>
        <v>1</v>
      </c>
      <c r="DI133" s="1363">
        <f t="shared" si="279"/>
        <v>1</v>
      </c>
      <c r="DJ133" s="1363">
        <f t="shared" si="280"/>
        <v>1</v>
      </c>
      <c r="DK133" s="1363">
        <f t="shared" si="281"/>
        <v>1</v>
      </c>
      <c r="DL133" s="1363">
        <f t="shared" si="282"/>
        <v>1</v>
      </c>
      <c r="DM133" s="1363">
        <f t="shared" si="283"/>
        <v>1</v>
      </c>
      <c r="DN133" s="1363">
        <f t="shared" si="284"/>
        <v>1</v>
      </c>
      <c r="DO133" s="1363">
        <f t="shared" si="285"/>
        <v>1</v>
      </c>
      <c r="DP133" s="1363">
        <f t="shared" si="286"/>
        <v>1</v>
      </c>
      <c r="DQ133" s="1363">
        <f t="shared" si="287"/>
        <v>1</v>
      </c>
      <c r="DR133" s="1363">
        <f t="shared" si="288"/>
        <v>1</v>
      </c>
      <c r="DS133" s="1363">
        <f t="shared" si="289"/>
        <v>1</v>
      </c>
      <c r="DT133" s="1363">
        <f t="shared" si="290"/>
        <v>1</v>
      </c>
      <c r="DU133" s="1363">
        <f t="shared" si="291"/>
        <v>1</v>
      </c>
      <c r="DV133" s="1363">
        <f t="shared" si="292"/>
        <v>1</v>
      </c>
      <c r="DW133" s="1363">
        <f t="shared" si="293"/>
        <v>1</v>
      </c>
      <c r="DX133" s="1363">
        <f t="shared" si="294"/>
        <v>1</v>
      </c>
      <c r="DY133" s="1363">
        <f t="shared" si="295"/>
        <v>1</v>
      </c>
      <c r="DZ133" s="1363">
        <f t="shared" si="296"/>
        <v>1</v>
      </c>
      <c r="EA133" s="1363">
        <f t="shared" si="297"/>
        <v>0</v>
      </c>
    </row>
    <row r="134" spans="1:131" ht="16.350000000000001" customHeight="1" x14ac:dyDescent="0.25">
      <c r="A134" s="2458">
        <v>11056466</v>
      </c>
      <c r="B134" s="140" t="s">
        <v>2271</v>
      </c>
      <c r="C134" s="707" t="s">
        <v>2777</v>
      </c>
      <c r="D134" s="281" t="s">
        <v>2778</v>
      </c>
      <c r="E134" s="180" t="s">
        <v>2779</v>
      </c>
      <c r="F134" s="142" t="s">
        <v>2780</v>
      </c>
      <c r="G134" s="141" t="s">
        <v>2781</v>
      </c>
      <c r="H134" s="142" t="s">
        <v>2782</v>
      </c>
      <c r="I134" s="141" t="s">
        <v>2783</v>
      </c>
      <c r="J134" s="163" t="s">
        <v>2784</v>
      </c>
      <c r="K134" s="180" t="s">
        <v>2785</v>
      </c>
      <c r="L134" s="180" t="s">
        <v>2786</v>
      </c>
      <c r="M134" s="141" t="s">
        <v>2787</v>
      </c>
      <c r="N134" s="163" t="s">
        <v>2788</v>
      </c>
      <c r="O134" s="180" t="s">
        <v>2789</v>
      </c>
      <c r="P134" s="142" t="s">
        <v>2790</v>
      </c>
      <c r="Q134" s="141" t="s">
        <v>2791</v>
      </c>
      <c r="R134" s="142" t="s">
        <v>2792</v>
      </c>
      <c r="S134" s="141" t="s">
        <v>2793</v>
      </c>
      <c r="T134" s="142" t="s">
        <v>2794</v>
      </c>
      <c r="U134" s="141" t="s">
        <v>2795</v>
      </c>
      <c r="V134" s="142" t="s">
        <v>2796</v>
      </c>
      <c r="W134" s="141" t="s">
        <v>2797</v>
      </c>
      <c r="X134" s="142" t="s">
        <v>2798</v>
      </c>
      <c r="Y134" s="141" t="s">
        <v>2799</v>
      </c>
      <c r="Z134" s="142" t="s">
        <v>2800</v>
      </c>
      <c r="AA134" s="141" t="s">
        <v>2801</v>
      </c>
      <c r="AB134" s="142" t="s">
        <v>2817</v>
      </c>
      <c r="AC134" s="141" t="s">
        <v>2818</v>
      </c>
      <c r="AD134" s="142" t="s">
        <v>2819</v>
      </c>
      <c r="AE134" s="141" t="s">
        <v>2821</v>
      </c>
      <c r="AF134" s="142" t="s">
        <v>2822</v>
      </c>
      <c r="AG134" s="141" t="s">
        <v>2823</v>
      </c>
      <c r="AH134" s="142" t="s">
        <v>2824</v>
      </c>
      <c r="AI134" s="141" t="s">
        <v>2825</v>
      </c>
      <c r="AJ134" s="142" t="s">
        <v>2826</v>
      </c>
      <c r="AK134" s="141" t="s">
        <v>2827</v>
      </c>
      <c r="AL134" s="142" t="s">
        <v>2831</v>
      </c>
      <c r="AM134" s="141" t="s">
        <v>2832</v>
      </c>
      <c r="AN134" s="142" t="s">
        <v>2833</v>
      </c>
      <c r="AO134" s="141" t="s">
        <v>2834</v>
      </c>
      <c r="AP134" s="142" t="s">
        <v>3011</v>
      </c>
      <c r="AQ134" s="141" t="s">
        <v>3012</v>
      </c>
      <c r="AR134" s="318" t="s">
        <v>3013</v>
      </c>
      <c r="AS134" s="180" t="s">
        <v>3014</v>
      </c>
      <c r="AT134" s="318" t="s">
        <v>3015</v>
      </c>
      <c r="AU134" s="180" t="s">
        <v>3206</v>
      </c>
      <c r="AV134" s="142" t="s">
        <v>3207</v>
      </c>
      <c r="AW134" s="141" t="s">
        <v>3272</v>
      </c>
      <c r="AX134" s="163" t="s">
        <v>3273</v>
      </c>
      <c r="AY134" s="1079" t="e">
        <f t="shared" si="265"/>
        <v>#VALUE!</v>
      </c>
      <c r="AZ134" s="1079"/>
      <c r="BA134" s="1079"/>
      <c r="BB134" s="1079"/>
      <c r="BC134" s="1079"/>
      <c r="BD134" s="1079"/>
      <c r="BE134" s="1079"/>
      <c r="BF134" s="1079"/>
      <c r="BG134" s="1079"/>
      <c r="BH134" s="1079"/>
      <c r="BI134" s="1079"/>
      <c r="BJ134" s="884"/>
      <c r="BK134" s="884"/>
      <c r="BL134" s="884"/>
      <c r="BM134" s="884"/>
      <c r="BV134" s="885"/>
      <c r="BW134" s="885"/>
      <c r="BX134" s="885"/>
      <c r="CB134" s="2077" t="str">
        <f t="shared" si="266"/>
        <v xml:space="preserve">* El total de Reactivos NO DEBE ser superior al total de Procesados. </v>
      </c>
      <c r="CC134" s="2077" t="e">
        <f t="shared" si="267"/>
        <v>#VALUE!</v>
      </c>
      <c r="CD134" s="2077" t="e">
        <f t="shared" si="268"/>
        <v>#VALUE!</v>
      </c>
      <c r="CE134" s="2077" t="str">
        <f t="shared" si="269"/>
        <v xml:space="preserve">* La columna Pueblos Originarios NO DEBE ser superior al total de Procesados. </v>
      </c>
      <c r="CF134" s="2077" t="str">
        <f t="shared" si="270"/>
        <v xml:space="preserve">* La columna Migrantes NO DEBE ser superior al total de Procesados. </v>
      </c>
      <c r="CG134" s="2077" t="str">
        <f t="shared" si="298"/>
        <v>* El total de procesados debe ser mayor o igual al total de Reactivos en el grupo de edad Menor de 6 meses</v>
      </c>
      <c r="CH134" s="2077" t="str">
        <f t="shared" si="299"/>
        <v>* El total de procesados debe ser mayor o igual al total de Reactivos en el grupo de edad 6 a 11 meses</v>
      </c>
      <c r="CI134" s="2077" t="str">
        <f t="shared" si="300"/>
        <v>* El total de procesados debe ser mayor o igual al total de Reactivos en el grupo de edad 12-24 meses</v>
      </c>
      <c r="CJ134" s="2077" t="str">
        <f t="shared" si="301"/>
        <v>* El total de procesados debe ser mayor o igual al total de Reactivos en el grupo de edad 3 a 4</v>
      </c>
      <c r="CK134" s="2077" t="str">
        <f t="shared" si="302"/>
        <v>* El total de procesados debe ser mayor o igual al total de Reactivos en el grupo de edad 5 a 9</v>
      </c>
      <c r="CL134" s="2077" t="str">
        <f t="shared" si="303"/>
        <v>* El total de procesados debe ser mayor o igual al total de Reactivos en el grupo de edad 10 - 14</v>
      </c>
      <c r="CM134" s="2077" t="str">
        <f t="shared" si="304"/>
        <v>* El total de procesados debe ser mayor o igual al total de Reactivos en el grupo de edad 15 - 19</v>
      </c>
      <c r="CN134" s="2077" t="str">
        <f t="shared" si="305"/>
        <v>* El total de procesados debe ser mayor o igual al total de Reactivos en el grupo de edad 20 - 24</v>
      </c>
      <c r="CO134" s="2077" t="str">
        <f t="shared" si="306"/>
        <v>* El total de procesados debe ser mayor o igual al total de Reactivos en el grupo de edad 25 a 29</v>
      </c>
      <c r="CP134" s="2077" t="str">
        <f t="shared" si="307"/>
        <v>* El total de procesados debe ser mayor o igual al total de Reactivos en el grupo de edad 30 a 34</v>
      </c>
      <c r="CQ134" s="2077" t="str">
        <f t="shared" si="308"/>
        <v>* El total de procesados debe ser mayor o igual al total de Reactivos en el grupo de edad 35 a 39</v>
      </c>
      <c r="CR134" s="2077" t="str">
        <f t="shared" si="309"/>
        <v>* El total de procesados debe ser mayor o igual al total de Reactivos en el grupo de edad 40 a 44</v>
      </c>
      <c r="CS134" s="2077" t="str">
        <f t="shared" si="310"/>
        <v>* El total de procesados debe ser mayor o igual al total de Reactivos en el grupo de edad 45 a 49</v>
      </c>
      <c r="CT134" s="2077" t="str">
        <f t="shared" si="311"/>
        <v>* El total de procesados debe ser mayor o igual al total de Reactivos en el grupo de edad 50 a 54</v>
      </c>
      <c r="CU134" s="2077" t="str">
        <f t="shared" si="312"/>
        <v>* El total de procesados debe ser mayor o igual al total de Reactivos en el grupo de edad 55 a 59</v>
      </c>
      <c r="CV134" s="2077" t="str">
        <f t="shared" si="313"/>
        <v>* El total de procesados debe ser mayor o igual al total de Reactivos en el grupo de edad 60 a 64</v>
      </c>
      <c r="CW134" s="2077" t="str">
        <f t="shared" si="314"/>
        <v>* El total de procesados debe ser mayor o igual al total de Reactivos en el grupo de edad 65 a 69</v>
      </c>
      <c r="CX134" s="2077" t="str">
        <f t="shared" si="315"/>
        <v>* El total de procesados debe ser mayor o igual al total de Reactivos en el grupo de edad 70 a 74</v>
      </c>
      <c r="CY134" s="2077" t="str">
        <f t="shared" si="316"/>
        <v>* El total de procesados debe ser mayor o igual al total de Reactivos en el grupo de edad 75 a 79</v>
      </c>
      <c r="CZ134" s="2077" t="str">
        <f t="shared" si="317"/>
        <v>* El total de procesados debe ser mayor o igual al total de Reactivos en el grupo de edad 80 y más</v>
      </c>
      <c r="DA134" s="2077" t="str">
        <f t="shared" si="271"/>
        <v/>
      </c>
      <c r="DB134" s="1363">
        <f t="shared" si="272"/>
        <v>1</v>
      </c>
      <c r="DC134" s="1363" t="e">
        <f t="shared" si="273"/>
        <v>#VALUE!</v>
      </c>
      <c r="DD134" s="1363" t="e">
        <f t="shared" si="274"/>
        <v>#VALUE!</v>
      </c>
      <c r="DE134" s="1363">
        <f t="shared" si="275"/>
        <v>1</v>
      </c>
      <c r="DF134" s="1363">
        <f t="shared" si="276"/>
        <v>1</v>
      </c>
      <c r="DG134" s="1363">
        <f t="shared" si="277"/>
        <v>1</v>
      </c>
      <c r="DH134" s="1363">
        <f t="shared" si="278"/>
        <v>1</v>
      </c>
      <c r="DI134" s="1363">
        <f t="shared" si="279"/>
        <v>1</v>
      </c>
      <c r="DJ134" s="1363">
        <f t="shared" si="280"/>
        <v>1</v>
      </c>
      <c r="DK134" s="1363">
        <f t="shared" si="281"/>
        <v>1</v>
      </c>
      <c r="DL134" s="1363">
        <f t="shared" si="282"/>
        <v>1</v>
      </c>
      <c r="DM134" s="1363">
        <f t="shared" si="283"/>
        <v>1</v>
      </c>
      <c r="DN134" s="1363">
        <f t="shared" si="284"/>
        <v>1</v>
      </c>
      <c r="DO134" s="1363">
        <f t="shared" si="285"/>
        <v>1</v>
      </c>
      <c r="DP134" s="1363">
        <f t="shared" si="286"/>
        <v>1</v>
      </c>
      <c r="DQ134" s="1363">
        <f t="shared" si="287"/>
        <v>1</v>
      </c>
      <c r="DR134" s="1363">
        <f t="shared" si="288"/>
        <v>1</v>
      </c>
      <c r="DS134" s="1363">
        <f t="shared" si="289"/>
        <v>1</v>
      </c>
      <c r="DT134" s="1363">
        <f t="shared" si="290"/>
        <v>1</v>
      </c>
      <c r="DU134" s="1363">
        <f t="shared" si="291"/>
        <v>1</v>
      </c>
      <c r="DV134" s="1363">
        <f t="shared" si="292"/>
        <v>1</v>
      </c>
      <c r="DW134" s="1363">
        <f t="shared" si="293"/>
        <v>1</v>
      </c>
      <c r="DX134" s="1363">
        <f t="shared" si="294"/>
        <v>1</v>
      </c>
      <c r="DY134" s="1363">
        <f t="shared" si="295"/>
        <v>1</v>
      </c>
      <c r="DZ134" s="1363">
        <f t="shared" si="296"/>
        <v>1</v>
      </c>
      <c r="EA134" s="1363">
        <f t="shared" si="297"/>
        <v>0</v>
      </c>
    </row>
    <row r="135" spans="1:131" ht="16.350000000000001" customHeight="1" x14ac:dyDescent="0.25">
      <c r="A135" s="2458">
        <v>11056467</v>
      </c>
      <c r="B135" s="140" t="s">
        <v>2272</v>
      </c>
      <c r="C135" s="707" t="s">
        <v>2777</v>
      </c>
      <c r="D135" s="281" t="s">
        <v>2778</v>
      </c>
      <c r="E135" s="161" t="s">
        <v>2779</v>
      </c>
      <c r="F135" s="145" t="s">
        <v>2780</v>
      </c>
      <c r="G135" s="173" t="s">
        <v>2781</v>
      </c>
      <c r="H135" s="145" t="s">
        <v>2782</v>
      </c>
      <c r="I135" s="173" t="s">
        <v>2783</v>
      </c>
      <c r="J135" s="145" t="s">
        <v>2784</v>
      </c>
      <c r="K135" s="173" t="s">
        <v>2785</v>
      </c>
      <c r="L135" s="145" t="s">
        <v>2786</v>
      </c>
      <c r="M135" s="173" t="s">
        <v>2787</v>
      </c>
      <c r="N135" s="162" t="s">
        <v>2788</v>
      </c>
      <c r="O135" s="161" t="s">
        <v>2789</v>
      </c>
      <c r="P135" s="145" t="s">
        <v>2790</v>
      </c>
      <c r="Q135" s="141" t="s">
        <v>2791</v>
      </c>
      <c r="R135" s="142" t="s">
        <v>2792</v>
      </c>
      <c r="S135" s="141" t="s">
        <v>2793</v>
      </c>
      <c r="T135" s="142" t="s">
        <v>2794</v>
      </c>
      <c r="U135" s="141" t="s">
        <v>2795</v>
      </c>
      <c r="V135" s="142" t="s">
        <v>2796</v>
      </c>
      <c r="W135" s="141" t="s">
        <v>2797</v>
      </c>
      <c r="X135" s="142" t="s">
        <v>2798</v>
      </c>
      <c r="Y135" s="141" t="s">
        <v>2799</v>
      </c>
      <c r="Z135" s="142" t="s">
        <v>2800</v>
      </c>
      <c r="AA135" s="141" t="s">
        <v>2801</v>
      </c>
      <c r="AB135" s="142" t="s">
        <v>2817</v>
      </c>
      <c r="AC135" s="141" t="s">
        <v>2818</v>
      </c>
      <c r="AD135" s="142" t="s">
        <v>2819</v>
      </c>
      <c r="AE135" s="141" t="s">
        <v>2821</v>
      </c>
      <c r="AF135" s="142" t="s">
        <v>2822</v>
      </c>
      <c r="AG135" s="141" t="s">
        <v>2823</v>
      </c>
      <c r="AH135" s="142" t="s">
        <v>2824</v>
      </c>
      <c r="AI135" s="141" t="s">
        <v>2825</v>
      </c>
      <c r="AJ135" s="142" t="s">
        <v>2826</v>
      </c>
      <c r="AK135" s="141" t="s">
        <v>2827</v>
      </c>
      <c r="AL135" s="142" t="s">
        <v>2831</v>
      </c>
      <c r="AM135" s="141" t="s">
        <v>2832</v>
      </c>
      <c r="AN135" s="142" t="s">
        <v>2833</v>
      </c>
      <c r="AO135" s="141" t="s">
        <v>2834</v>
      </c>
      <c r="AP135" s="142" t="s">
        <v>3011</v>
      </c>
      <c r="AQ135" s="141" t="s">
        <v>3012</v>
      </c>
      <c r="AR135" s="318" t="s">
        <v>3013</v>
      </c>
      <c r="AS135" s="180" t="s">
        <v>3014</v>
      </c>
      <c r="AT135" s="318" t="s">
        <v>3015</v>
      </c>
      <c r="AU135" s="180" t="s">
        <v>3206</v>
      </c>
      <c r="AV135" s="142" t="s">
        <v>3207</v>
      </c>
      <c r="AW135" s="141" t="s">
        <v>3272</v>
      </c>
      <c r="AX135" s="163" t="s">
        <v>3273</v>
      </c>
      <c r="AY135" s="1079" t="e">
        <f t="shared" si="265"/>
        <v>#VALUE!</v>
      </c>
      <c r="AZ135" s="1079"/>
      <c r="BA135" s="1079"/>
      <c r="BB135" s="1079"/>
      <c r="BC135" s="1079"/>
      <c r="BD135" s="1079"/>
      <c r="BE135" s="1079"/>
      <c r="BF135" s="1079"/>
      <c r="BG135" s="1079"/>
      <c r="BH135" s="1079"/>
      <c r="BI135" s="1079"/>
      <c r="BJ135" s="884"/>
      <c r="BK135" s="884"/>
      <c r="BL135" s="884"/>
      <c r="BM135" s="884"/>
      <c r="BV135" s="885"/>
      <c r="BW135" s="885"/>
      <c r="BX135" s="885"/>
      <c r="CB135" s="2077" t="str">
        <f t="shared" si="266"/>
        <v xml:space="preserve">* El total de Reactivos NO DEBE ser superior al total de Procesados. </v>
      </c>
      <c r="CC135" s="2077" t="e">
        <f t="shared" si="267"/>
        <v>#VALUE!</v>
      </c>
      <c r="CD135" s="2077" t="e">
        <f t="shared" si="268"/>
        <v>#VALUE!</v>
      </c>
      <c r="CE135" s="2077" t="str">
        <f t="shared" si="269"/>
        <v xml:space="preserve">* La columna Pueblos Originarios NO DEBE ser superior al total de Procesados. </v>
      </c>
      <c r="CF135" s="2077" t="str">
        <f t="shared" si="270"/>
        <v xml:space="preserve">* La columna Migrantes NO DEBE ser superior al total de Procesados. </v>
      </c>
      <c r="CG135" s="2077" t="str">
        <f t="shared" si="298"/>
        <v>* El total de procesados debe ser mayor o igual al total de Reactivos en el grupo de edad Menor de 6 meses</v>
      </c>
      <c r="CH135" s="2077" t="str">
        <f t="shared" si="299"/>
        <v>* El total de procesados debe ser mayor o igual al total de Reactivos en el grupo de edad 6 a 11 meses</v>
      </c>
      <c r="CI135" s="2077" t="str">
        <f t="shared" si="300"/>
        <v>* El total de procesados debe ser mayor o igual al total de Reactivos en el grupo de edad 12-24 meses</v>
      </c>
      <c r="CJ135" s="2077" t="str">
        <f t="shared" si="301"/>
        <v>* El total de procesados debe ser mayor o igual al total de Reactivos en el grupo de edad 3 a 4</v>
      </c>
      <c r="CK135" s="2077" t="str">
        <f t="shared" si="302"/>
        <v>* El total de procesados debe ser mayor o igual al total de Reactivos en el grupo de edad 5 a 9</v>
      </c>
      <c r="CL135" s="2077" t="str">
        <f t="shared" si="303"/>
        <v>* El total de procesados debe ser mayor o igual al total de Reactivos en el grupo de edad 10 - 14</v>
      </c>
      <c r="CM135" s="2077" t="str">
        <f t="shared" si="304"/>
        <v>* El total de procesados debe ser mayor o igual al total de Reactivos en el grupo de edad 15 - 19</v>
      </c>
      <c r="CN135" s="2077" t="str">
        <f t="shared" si="305"/>
        <v>* El total de procesados debe ser mayor o igual al total de Reactivos en el grupo de edad 20 - 24</v>
      </c>
      <c r="CO135" s="2077" t="str">
        <f t="shared" si="306"/>
        <v>* El total de procesados debe ser mayor o igual al total de Reactivos en el grupo de edad 25 a 29</v>
      </c>
      <c r="CP135" s="2077" t="str">
        <f t="shared" si="307"/>
        <v>* El total de procesados debe ser mayor o igual al total de Reactivos en el grupo de edad 30 a 34</v>
      </c>
      <c r="CQ135" s="2077" t="str">
        <f t="shared" si="308"/>
        <v>* El total de procesados debe ser mayor o igual al total de Reactivos en el grupo de edad 35 a 39</v>
      </c>
      <c r="CR135" s="2077" t="str">
        <f t="shared" si="309"/>
        <v>* El total de procesados debe ser mayor o igual al total de Reactivos en el grupo de edad 40 a 44</v>
      </c>
      <c r="CS135" s="2077" t="str">
        <f t="shared" si="310"/>
        <v>* El total de procesados debe ser mayor o igual al total de Reactivos en el grupo de edad 45 a 49</v>
      </c>
      <c r="CT135" s="2077" t="str">
        <f t="shared" si="311"/>
        <v>* El total de procesados debe ser mayor o igual al total de Reactivos en el grupo de edad 50 a 54</v>
      </c>
      <c r="CU135" s="2077" t="str">
        <f t="shared" si="312"/>
        <v>* El total de procesados debe ser mayor o igual al total de Reactivos en el grupo de edad 55 a 59</v>
      </c>
      <c r="CV135" s="2077" t="str">
        <f t="shared" si="313"/>
        <v>* El total de procesados debe ser mayor o igual al total de Reactivos en el grupo de edad 60 a 64</v>
      </c>
      <c r="CW135" s="2077" t="str">
        <f t="shared" si="314"/>
        <v>* El total de procesados debe ser mayor o igual al total de Reactivos en el grupo de edad 65 a 69</v>
      </c>
      <c r="CX135" s="2077" t="str">
        <f t="shared" si="315"/>
        <v>* El total de procesados debe ser mayor o igual al total de Reactivos en el grupo de edad 70 a 74</v>
      </c>
      <c r="CY135" s="2077" t="str">
        <f t="shared" si="316"/>
        <v>* El total de procesados debe ser mayor o igual al total de Reactivos en el grupo de edad 75 a 79</v>
      </c>
      <c r="CZ135" s="2077" t="str">
        <f t="shared" si="317"/>
        <v>* El total de procesados debe ser mayor o igual al total de Reactivos en el grupo de edad 80 y más</v>
      </c>
      <c r="DA135" s="2077" t="str">
        <f t="shared" si="271"/>
        <v/>
      </c>
      <c r="DB135" s="1363">
        <f t="shared" si="272"/>
        <v>1</v>
      </c>
      <c r="DC135" s="1363" t="e">
        <f t="shared" si="273"/>
        <v>#VALUE!</v>
      </c>
      <c r="DD135" s="1363" t="e">
        <f t="shared" si="274"/>
        <v>#VALUE!</v>
      </c>
      <c r="DE135" s="1363">
        <f t="shared" si="275"/>
        <v>1</v>
      </c>
      <c r="DF135" s="1363">
        <f t="shared" si="276"/>
        <v>1</v>
      </c>
      <c r="DG135" s="1363">
        <f t="shared" si="277"/>
        <v>1</v>
      </c>
      <c r="DH135" s="1363">
        <f t="shared" si="278"/>
        <v>1</v>
      </c>
      <c r="DI135" s="1363">
        <f t="shared" si="279"/>
        <v>1</v>
      </c>
      <c r="DJ135" s="1363">
        <f t="shared" si="280"/>
        <v>1</v>
      </c>
      <c r="DK135" s="1363">
        <f t="shared" si="281"/>
        <v>1</v>
      </c>
      <c r="DL135" s="1363">
        <f t="shared" si="282"/>
        <v>1</v>
      </c>
      <c r="DM135" s="1363">
        <f t="shared" si="283"/>
        <v>1</v>
      </c>
      <c r="DN135" s="1363">
        <f t="shared" si="284"/>
        <v>1</v>
      </c>
      <c r="DO135" s="1363">
        <f t="shared" si="285"/>
        <v>1</v>
      </c>
      <c r="DP135" s="1363">
        <f t="shared" si="286"/>
        <v>1</v>
      </c>
      <c r="DQ135" s="1363">
        <f t="shared" si="287"/>
        <v>1</v>
      </c>
      <c r="DR135" s="1363">
        <f t="shared" si="288"/>
        <v>1</v>
      </c>
      <c r="DS135" s="1363">
        <f t="shared" si="289"/>
        <v>1</v>
      </c>
      <c r="DT135" s="1363">
        <f t="shared" si="290"/>
        <v>1</v>
      </c>
      <c r="DU135" s="1363">
        <f t="shared" si="291"/>
        <v>1</v>
      </c>
      <c r="DV135" s="1363">
        <f t="shared" si="292"/>
        <v>1</v>
      </c>
      <c r="DW135" s="1363">
        <f t="shared" si="293"/>
        <v>1</v>
      </c>
      <c r="DX135" s="1363">
        <f t="shared" si="294"/>
        <v>1</v>
      </c>
      <c r="DY135" s="1363">
        <f t="shared" si="295"/>
        <v>1</v>
      </c>
      <c r="DZ135" s="1363">
        <f t="shared" si="296"/>
        <v>1</v>
      </c>
      <c r="EA135" s="1363">
        <f t="shared" si="297"/>
        <v>0</v>
      </c>
    </row>
    <row r="136" spans="1:131" ht="16.350000000000001" customHeight="1" x14ac:dyDescent="0.25">
      <c r="A136" s="2458">
        <v>11056468</v>
      </c>
      <c r="B136" s="140" t="s">
        <v>2273</v>
      </c>
      <c r="C136" s="707" t="s">
        <v>2777</v>
      </c>
      <c r="D136" s="281" t="s">
        <v>2778</v>
      </c>
      <c r="E136" s="161" t="s">
        <v>2779</v>
      </c>
      <c r="F136" s="145" t="s">
        <v>2780</v>
      </c>
      <c r="G136" s="173" t="s">
        <v>2781</v>
      </c>
      <c r="H136" s="145" t="s">
        <v>2782</v>
      </c>
      <c r="I136" s="173" t="s">
        <v>2783</v>
      </c>
      <c r="J136" s="145" t="s">
        <v>2784</v>
      </c>
      <c r="K136" s="173" t="s">
        <v>2785</v>
      </c>
      <c r="L136" s="145" t="s">
        <v>2786</v>
      </c>
      <c r="M136" s="173" t="s">
        <v>2787</v>
      </c>
      <c r="N136" s="162" t="s">
        <v>2788</v>
      </c>
      <c r="O136" s="161" t="s">
        <v>2789</v>
      </c>
      <c r="P136" s="145" t="s">
        <v>2790</v>
      </c>
      <c r="Q136" s="141" t="s">
        <v>2791</v>
      </c>
      <c r="R136" s="142" t="s">
        <v>2792</v>
      </c>
      <c r="S136" s="141" t="s">
        <v>2793</v>
      </c>
      <c r="T136" s="142" t="s">
        <v>2794</v>
      </c>
      <c r="U136" s="141" t="s">
        <v>2795</v>
      </c>
      <c r="V136" s="142" t="s">
        <v>2796</v>
      </c>
      <c r="W136" s="141" t="s">
        <v>2797</v>
      </c>
      <c r="X136" s="142" t="s">
        <v>2798</v>
      </c>
      <c r="Y136" s="141" t="s">
        <v>2799</v>
      </c>
      <c r="Z136" s="142" t="s">
        <v>2800</v>
      </c>
      <c r="AA136" s="141" t="s">
        <v>2801</v>
      </c>
      <c r="AB136" s="142" t="s">
        <v>2817</v>
      </c>
      <c r="AC136" s="141" t="s">
        <v>2818</v>
      </c>
      <c r="AD136" s="142" t="s">
        <v>2819</v>
      </c>
      <c r="AE136" s="141" t="s">
        <v>2821</v>
      </c>
      <c r="AF136" s="142" t="s">
        <v>2822</v>
      </c>
      <c r="AG136" s="141" t="s">
        <v>2823</v>
      </c>
      <c r="AH136" s="142" t="s">
        <v>2824</v>
      </c>
      <c r="AI136" s="141" t="s">
        <v>2825</v>
      </c>
      <c r="AJ136" s="142" t="s">
        <v>2826</v>
      </c>
      <c r="AK136" s="173" t="s">
        <v>2827</v>
      </c>
      <c r="AL136" s="145" t="s">
        <v>2831</v>
      </c>
      <c r="AM136" s="173" t="s">
        <v>2832</v>
      </c>
      <c r="AN136" s="145" t="s">
        <v>2833</v>
      </c>
      <c r="AO136" s="173" t="s">
        <v>2834</v>
      </c>
      <c r="AP136" s="145" t="s">
        <v>3011</v>
      </c>
      <c r="AQ136" s="173" t="s">
        <v>3012</v>
      </c>
      <c r="AR136" s="507" t="s">
        <v>3013</v>
      </c>
      <c r="AS136" s="180" t="s">
        <v>3014</v>
      </c>
      <c r="AT136" s="318" t="s">
        <v>3015</v>
      </c>
      <c r="AU136" s="180" t="s">
        <v>3206</v>
      </c>
      <c r="AV136" s="142" t="s">
        <v>3207</v>
      </c>
      <c r="AW136" s="141" t="s">
        <v>3272</v>
      </c>
      <c r="AX136" s="163" t="s">
        <v>3273</v>
      </c>
      <c r="AY136" s="1079" t="e">
        <f t="shared" si="265"/>
        <v>#VALUE!</v>
      </c>
      <c r="AZ136" s="1079"/>
      <c r="BA136" s="1079"/>
      <c r="BB136" s="1079"/>
      <c r="BC136" s="1079"/>
      <c r="BD136" s="1079"/>
      <c r="BE136" s="1079"/>
      <c r="BF136" s="1079"/>
      <c r="BG136" s="1079"/>
      <c r="BH136" s="1079"/>
      <c r="BI136" s="1079"/>
      <c r="BJ136" s="884"/>
      <c r="BK136" s="884"/>
      <c r="BL136" s="884"/>
      <c r="BM136" s="884"/>
      <c r="BV136" s="885"/>
      <c r="BW136" s="885"/>
      <c r="BX136" s="885"/>
      <c r="CB136" s="2077" t="str">
        <f t="shared" si="266"/>
        <v xml:space="preserve">* El total de Reactivos NO DEBE ser superior al total de Procesados. </v>
      </c>
      <c r="CC136" s="2077" t="e">
        <f t="shared" si="267"/>
        <v>#VALUE!</v>
      </c>
      <c r="CD136" s="2077" t="e">
        <f t="shared" si="268"/>
        <v>#VALUE!</v>
      </c>
      <c r="CE136" s="2077" t="str">
        <f t="shared" si="269"/>
        <v xml:space="preserve">* La columna Pueblos Originarios NO DEBE ser superior al total de Procesados. </v>
      </c>
      <c r="CF136" s="2077" t="str">
        <f t="shared" si="270"/>
        <v xml:space="preserve">* La columna Migrantes NO DEBE ser superior al total de Procesados. </v>
      </c>
      <c r="CG136" s="2077" t="str">
        <f t="shared" si="298"/>
        <v>* El total de procesados debe ser mayor o igual al total de Reactivos en el grupo de edad Menor de 6 meses</v>
      </c>
      <c r="CH136" s="2077" t="str">
        <f t="shared" si="299"/>
        <v>* El total de procesados debe ser mayor o igual al total de Reactivos en el grupo de edad 6 a 11 meses</v>
      </c>
      <c r="CI136" s="2077" t="str">
        <f t="shared" si="300"/>
        <v>* El total de procesados debe ser mayor o igual al total de Reactivos en el grupo de edad 12-24 meses</v>
      </c>
      <c r="CJ136" s="2077" t="str">
        <f t="shared" si="301"/>
        <v>* El total de procesados debe ser mayor o igual al total de Reactivos en el grupo de edad 3 a 4</v>
      </c>
      <c r="CK136" s="2077" t="str">
        <f t="shared" si="302"/>
        <v>* El total de procesados debe ser mayor o igual al total de Reactivos en el grupo de edad 5 a 9</v>
      </c>
      <c r="CL136" s="2077" t="str">
        <f t="shared" si="303"/>
        <v>* El total de procesados debe ser mayor o igual al total de Reactivos en el grupo de edad 10 - 14</v>
      </c>
      <c r="CM136" s="2077" t="str">
        <f t="shared" si="304"/>
        <v>* El total de procesados debe ser mayor o igual al total de Reactivos en el grupo de edad 15 - 19</v>
      </c>
      <c r="CN136" s="2077" t="str">
        <f t="shared" si="305"/>
        <v>* El total de procesados debe ser mayor o igual al total de Reactivos en el grupo de edad 20 - 24</v>
      </c>
      <c r="CO136" s="2077" t="str">
        <f t="shared" si="306"/>
        <v>* El total de procesados debe ser mayor o igual al total de Reactivos en el grupo de edad 25 a 29</v>
      </c>
      <c r="CP136" s="2077" t="str">
        <f t="shared" si="307"/>
        <v>* El total de procesados debe ser mayor o igual al total de Reactivos en el grupo de edad 30 a 34</v>
      </c>
      <c r="CQ136" s="2077" t="str">
        <f t="shared" si="308"/>
        <v>* El total de procesados debe ser mayor o igual al total de Reactivos en el grupo de edad 35 a 39</v>
      </c>
      <c r="CR136" s="2077" t="str">
        <f t="shared" si="309"/>
        <v>* El total de procesados debe ser mayor o igual al total de Reactivos en el grupo de edad 40 a 44</v>
      </c>
      <c r="CS136" s="2077" t="str">
        <f t="shared" si="310"/>
        <v>* El total de procesados debe ser mayor o igual al total de Reactivos en el grupo de edad 45 a 49</v>
      </c>
      <c r="CT136" s="2077" t="str">
        <f t="shared" si="311"/>
        <v>* El total de procesados debe ser mayor o igual al total de Reactivos en el grupo de edad 50 a 54</v>
      </c>
      <c r="CU136" s="2077" t="str">
        <f t="shared" si="312"/>
        <v>* El total de procesados debe ser mayor o igual al total de Reactivos en el grupo de edad 55 a 59</v>
      </c>
      <c r="CV136" s="2077" t="str">
        <f t="shared" si="313"/>
        <v>* El total de procesados debe ser mayor o igual al total de Reactivos en el grupo de edad 60 a 64</v>
      </c>
      <c r="CW136" s="2077" t="str">
        <f t="shared" si="314"/>
        <v>* El total de procesados debe ser mayor o igual al total de Reactivos en el grupo de edad 65 a 69</v>
      </c>
      <c r="CX136" s="2077" t="str">
        <f t="shared" si="315"/>
        <v>* El total de procesados debe ser mayor o igual al total de Reactivos en el grupo de edad 70 a 74</v>
      </c>
      <c r="CY136" s="2077" t="str">
        <f t="shared" si="316"/>
        <v>* El total de procesados debe ser mayor o igual al total de Reactivos en el grupo de edad 75 a 79</v>
      </c>
      <c r="CZ136" s="2077" t="str">
        <f t="shared" si="317"/>
        <v>* El total de procesados debe ser mayor o igual al total de Reactivos en el grupo de edad 80 y más</v>
      </c>
      <c r="DA136" s="2077" t="str">
        <f t="shared" si="271"/>
        <v/>
      </c>
      <c r="DB136" s="1363">
        <f t="shared" si="272"/>
        <v>1</v>
      </c>
      <c r="DC136" s="1363" t="e">
        <f t="shared" si="273"/>
        <v>#VALUE!</v>
      </c>
      <c r="DD136" s="1363" t="e">
        <f t="shared" si="274"/>
        <v>#VALUE!</v>
      </c>
      <c r="DE136" s="1363">
        <f t="shared" si="275"/>
        <v>1</v>
      </c>
      <c r="DF136" s="1363">
        <f t="shared" si="276"/>
        <v>1</v>
      </c>
      <c r="DG136" s="1363">
        <f t="shared" si="277"/>
        <v>1</v>
      </c>
      <c r="DH136" s="1363">
        <f t="shared" si="278"/>
        <v>1</v>
      </c>
      <c r="DI136" s="1363">
        <f t="shared" si="279"/>
        <v>1</v>
      </c>
      <c r="DJ136" s="1363">
        <f t="shared" si="280"/>
        <v>1</v>
      </c>
      <c r="DK136" s="1363">
        <f t="shared" si="281"/>
        <v>1</v>
      </c>
      <c r="DL136" s="1363">
        <f t="shared" si="282"/>
        <v>1</v>
      </c>
      <c r="DM136" s="1363">
        <f t="shared" si="283"/>
        <v>1</v>
      </c>
      <c r="DN136" s="1363">
        <f t="shared" si="284"/>
        <v>1</v>
      </c>
      <c r="DO136" s="1363">
        <f t="shared" si="285"/>
        <v>1</v>
      </c>
      <c r="DP136" s="1363">
        <f t="shared" si="286"/>
        <v>1</v>
      </c>
      <c r="DQ136" s="1363">
        <f t="shared" si="287"/>
        <v>1</v>
      </c>
      <c r="DR136" s="1363">
        <f t="shared" si="288"/>
        <v>1</v>
      </c>
      <c r="DS136" s="1363">
        <f t="shared" si="289"/>
        <v>1</v>
      </c>
      <c r="DT136" s="1363">
        <f t="shared" si="290"/>
        <v>1</v>
      </c>
      <c r="DU136" s="1363">
        <f t="shared" si="291"/>
        <v>1</v>
      </c>
      <c r="DV136" s="1363">
        <f t="shared" si="292"/>
        <v>1</v>
      </c>
      <c r="DW136" s="1363">
        <f t="shared" si="293"/>
        <v>1</v>
      </c>
      <c r="DX136" s="1363">
        <f t="shared" si="294"/>
        <v>1</v>
      </c>
      <c r="DY136" s="1363">
        <f t="shared" si="295"/>
        <v>1</v>
      </c>
      <c r="DZ136" s="1363">
        <f t="shared" si="296"/>
        <v>1</v>
      </c>
      <c r="EA136" s="1363">
        <f t="shared" si="297"/>
        <v>0</v>
      </c>
    </row>
    <row r="137" spans="1:131" ht="16.350000000000001" customHeight="1" x14ac:dyDescent="0.25">
      <c r="A137" s="2458">
        <v>11056469</v>
      </c>
      <c r="B137" s="140" t="s">
        <v>2274</v>
      </c>
      <c r="C137" s="707" t="s">
        <v>2777</v>
      </c>
      <c r="D137" s="281" t="s">
        <v>2778</v>
      </c>
      <c r="E137" s="180" t="s">
        <v>2779</v>
      </c>
      <c r="F137" s="142" t="s">
        <v>2780</v>
      </c>
      <c r="G137" s="141" t="s">
        <v>2781</v>
      </c>
      <c r="H137" s="142" t="s">
        <v>2782</v>
      </c>
      <c r="I137" s="141" t="s">
        <v>2783</v>
      </c>
      <c r="J137" s="163" t="s">
        <v>2784</v>
      </c>
      <c r="K137" s="180" t="s">
        <v>2785</v>
      </c>
      <c r="L137" s="180" t="s">
        <v>2786</v>
      </c>
      <c r="M137" s="141" t="s">
        <v>2787</v>
      </c>
      <c r="N137" s="163" t="s">
        <v>2788</v>
      </c>
      <c r="O137" s="180" t="s">
        <v>2789</v>
      </c>
      <c r="P137" s="142" t="s">
        <v>2790</v>
      </c>
      <c r="Q137" s="141" t="s">
        <v>2791</v>
      </c>
      <c r="R137" s="142" t="s">
        <v>2792</v>
      </c>
      <c r="S137" s="141" t="s">
        <v>2793</v>
      </c>
      <c r="T137" s="142" t="s">
        <v>2794</v>
      </c>
      <c r="U137" s="141" t="s">
        <v>2795</v>
      </c>
      <c r="V137" s="142" t="s">
        <v>2796</v>
      </c>
      <c r="W137" s="141" t="s">
        <v>2797</v>
      </c>
      <c r="X137" s="142" t="s">
        <v>2798</v>
      </c>
      <c r="Y137" s="141" t="s">
        <v>2799</v>
      </c>
      <c r="Z137" s="142" t="s">
        <v>2800</v>
      </c>
      <c r="AA137" s="141" t="s">
        <v>2801</v>
      </c>
      <c r="AB137" s="142" t="s">
        <v>2817</v>
      </c>
      <c r="AC137" s="141" t="s">
        <v>2818</v>
      </c>
      <c r="AD137" s="142" t="s">
        <v>2819</v>
      </c>
      <c r="AE137" s="141" t="s">
        <v>2821</v>
      </c>
      <c r="AF137" s="142" t="s">
        <v>2822</v>
      </c>
      <c r="AG137" s="141" t="s">
        <v>2823</v>
      </c>
      <c r="AH137" s="142" t="s">
        <v>2824</v>
      </c>
      <c r="AI137" s="141" t="s">
        <v>2825</v>
      </c>
      <c r="AJ137" s="142" t="s">
        <v>2826</v>
      </c>
      <c r="AK137" s="141" t="s">
        <v>2827</v>
      </c>
      <c r="AL137" s="142" t="s">
        <v>2831</v>
      </c>
      <c r="AM137" s="141" t="s">
        <v>2832</v>
      </c>
      <c r="AN137" s="142" t="s">
        <v>2833</v>
      </c>
      <c r="AO137" s="141" t="s">
        <v>2834</v>
      </c>
      <c r="AP137" s="142" t="s">
        <v>3011</v>
      </c>
      <c r="AQ137" s="141" t="s">
        <v>3012</v>
      </c>
      <c r="AR137" s="318" t="s">
        <v>3013</v>
      </c>
      <c r="AS137" s="180" t="s">
        <v>3014</v>
      </c>
      <c r="AT137" s="318" t="s">
        <v>3015</v>
      </c>
      <c r="AU137" s="180" t="s">
        <v>3206</v>
      </c>
      <c r="AV137" s="142" t="s">
        <v>3207</v>
      </c>
      <c r="AW137" s="141" t="s">
        <v>3272</v>
      </c>
      <c r="AX137" s="163" t="s">
        <v>3273</v>
      </c>
      <c r="AY137" s="1079" t="e">
        <f t="shared" si="265"/>
        <v>#VALUE!</v>
      </c>
      <c r="AZ137" s="1079"/>
      <c r="BA137" s="1079"/>
      <c r="BB137" s="1079"/>
      <c r="BC137" s="1079"/>
      <c r="BD137" s="1079"/>
      <c r="BE137" s="1079"/>
      <c r="BF137" s="1079"/>
      <c r="BG137" s="1079"/>
      <c r="BH137" s="1079"/>
      <c r="BI137" s="1079"/>
      <c r="BJ137" s="884"/>
      <c r="BK137" s="884"/>
      <c r="BL137" s="884"/>
      <c r="BM137" s="884"/>
      <c r="BV137" s="885"/>
      <c r="BW137" s="885"/>
      <c r="BX137" s="885"/>
      <c r="CB137" s="2077" t="str">
        <f t="shared" si="266"/>
        <v xml:space="preserve">* El total de Reactivos NO DEBE ser superior al total de Procesados. </v>
      </c>
      <c r="CC137" s="2077" t="e">
        <f t="shared" si="267"/>
        <v>#VALUE!</v>
      </c>
      <c r="CD137" s="2077" t="e">
        <f t="shared" si="268"/>
        <v>#VALUE!</v>
      </c>
      <c r="CE137" s="2077" t="str">
        <f t="shared" si="269"/>
        <v xml:space="preserve">* La columna Pueblos Originarios NO DEBE ser superior al total de Procesados. </v>
      </c>
      <c r="CF137" s="2077" t="str">
        <f t="shared" si="270"/>
        <v xml:space="preserve">* La columna Migrantes NO DEBE ser superior al total de Procesados. </v>
      </c>
      <c r="CG137" s="2077" t="str">
        <f t="shared" si="298"/>
        <v>* El total de procesados debe ser mayor o igual al total de Reactivos en el grupo de edad Menor de 6 meses</v>
      </c>
      <c r="CH137" s="2077" t="str">
        <f t="shared" si="299"/>
        <v>* El total de procesados debe ser mayor o igual al total de Reactivos en el grupo de edad 6 a 11 meses</v>
      </c>
      <c r="CI137" s="2077" t="str">
        <f t="shared" si="300"/>
        <v>* El total de procesados debe ser mayor o igual al total de Reactivos en el grupo de edad 12-24 meses</v>
      </c>
      <c r="CJ137" s="2077" t="str">
        <f t="shared" si="301"/>
        <v>* El total de procesados debe ser mayor o igual al total de Reactivos en el grupo de edad 3 a 4</v>
      </c>
      <c r="CK137" s="2077" t="str">
        <f t="shared" si="302"/>
        <v>* El total de procesados debe ser mayor o igual al total de Reactivos en el grupo de edad 5 a 9</v>
      </c>
      <c r="CL137" s="2077" t="str">
        <f t="shared" si="303"/>
        <v>* El total de procesados debe ser mayor o igual al total de Reactivos en el grupo de edad 10 - 14</v>
      </c>
      <c r="CM137" s="2077" t="str">
        <f t="shared" si="304"/>
        <v>* El total de procesados debe ser mayor o igual al total de Reactivos en el grupo de edad 15 - 19</v>
      </c>
      <c r="CN137" s="2077" t="str">
        <f t="shared" si="305"/>
        <v>* El total de procesados debe ser mayor o igual al total de Reactivos en el grupo de edad 20 - 24</v>
      </c>
      <c r="CO137" s="2077" t="str">
        <f t="shared" si="306"/>
        <v>* El total de procesados debe ser mayor o igual al total de Reactivos en el grupo de edad 25 a 29</v>
      </c>
      <c r="CP137" s="2077" t="str">
        <f t="shared" si="307"/>
        <v>* El total de procesados debe ser mayor o igual al total de Reactivos en el grupo de edad 30 a 34</v>
      </c>
      <c r="CQ137" s="2077" t="str">
        <f t="shared" si="308"/>
        <v>* El total de procesados debe ser mayor o igual al total de Reactivos en el grupo de edad 35 a 39</v>
      </c>
      <c r="CR137" s="2077" t="str">
        <f t="shared" si="309"/>
        <v>* El total de procesados debe ser mayor o igual al total de Reactivos en el grupo de edad 40 a 44</v>
      </c>
      <c r="CS137" s="2077" t="str">
        <f t="shared" si="310"/>
        <v>* El total de procesados debe ser mayor o igual al total de Reactivos en el grupo de edad 45 a 49</v>
      </c>
      <c r="CT137" s="2077" t="str">
        <f t="shared" si="311"/>
        <v>* El total de procesados debe ser mayor o igual al total de Reactivos en el grupo de edad 50 a 54</v>
      </c>
      <c r="CU137" s="2077" t="str">
        <f t="shared" si="312"/>
        <v>* El total de procesados debe ser mayor o igual al total de Reactivos en el grupo de edad 55 a 59</v>
      </c>
      <c r="CV137" s="2077" t="str">
        <f t="shared" si="313"/>
        <v>* El total de procesados debe ser mayor o igual al total de Reactivos en el grupo de edad 60 a 64</v>
      </c>
      <c r="CW137" s="2077" t="str">
        <f t="shared" si="314"/>
        <v>* El total de procesados debe ser mayor o igual al total de Reactivos en el grupo de edad 65 a 69</v>
      </c>
      <c r="CX137" s="2077" t="str">
        <f t="shared" si="315"/>
        <v>* El total de procesados debe ser mayor o igual al total de Reactivos en el grupo de edad 70 a 74</v>
      </c>
      <c r="CY137" s="2077" t="str">
        <f t="shared" si="316"/>
        <v>* El total de procesados debe ser mayor o igual al total de Reactivos en el grupo de edad 75 a 79</v>
      </c>
      <c r="CZ137" s="2077" t="str">
        <f t="shared" si="317"/>
        <v>* El total de procesados debe ser mayor o igual al total de Reactivos en el grupo de edad 80 y más</v>
      </c>
      <c r="DA137" s="2077" t="str">
        <f t="shared" si="271"/>
        <v/>
      </c>
      <c r="DB137" s="1363">
        <f t="shared" si="272"/>
        <v>1</v>
      </c>
      <c r="DC137" s="1363" t="e">
        <f t="shared" si="273"/>
        <v>#VALUE!</v>
      </c>
      <c r="DD137" s="1363" t="e">
        <f t="shared" si="274"/>
        <v>#VALUE!</v>
      </c>
      <c r="DE137" s="1363">
        <f t="shared" si="275"/>
        <v>1</v>
      </c>
      <c r="DF137" s="1363">
        <f t="shared" si="276"/>
        <v>1</v>
      </c>
      <c r="DG137" s="1363">
        <f t="shared" si="277"/>
        <v>1</v>
      </c>
      <c r="DH137" s="1363">
        <f t="shared" si="278"/>
        <v>1</v>
      </c>
      <c r="DI137" s="1363">
        <f t="shared" si="279"/>
        <v>1</v>
      </c>
      <c r="DJ137" s="1363">
        <f t="shared" si="280"/>
        <v>1</v>
      </c>
      <c r="DK137" s="1363">
        <f t="shared" si="281"/>
        <v>1</v>
      </c>
      <c r="DL137" s="1363">
        <f t="shared" si="282"/>
        <v>1</v>
      </c>
      <c r="DM137" s="1363">
        <f t="shared" si="283"/>
        <v>1</v>
      </c>
      <c r="DN137" s="1363">
        <f t="shared" si="284"/>
        <v>1</v>
      </c>
      <c r="DO137" s="1363">
        <f t="shared" si="285"/>
        <v>1</v>
      </c>
      <c r="DP137" s="1363">
        <f t="shared" si="286"/>
        <v>1</v>
      </c>
      <c r="DQ137" s="1363">
        <f t="shared" si="287"/>
        <v>1</v>
      </c>
      <c r="DR137" s="1363">
        <f t="shared" si="288"/>
        <v>1</v>
      </c>
      <c r="DS137" s="1363">
        <f t="shared" si="289"/>
        <v>1</v>
      </c>
      <c r="DT137" s="1363">
        <f t="shared" si="290"/>
        <v>1</v>
      </c>
      <c r="DU137" s="1363">
        <f t="shared" si="291"/>
        <v>1</v>
      </c>
      <c r="DV137" s="1363">
        <f t="shared" si="292"/>
        <v>1</v>
      </c>
      <c r="DW137" s="1363">
        <f t="shared" si="293"/>
        <v>1</v>
      </c>
      <c r="DX137" s="1363">
        <f t="shared" si="294"/>
        <v>1</v>
      </c>
      <c r="DY137" s="1363">
        <f t="shared" si="295"/>
        <v>1</v>
      </c>
      <c r="DZ137" s="1363">
        <f t="shared" si="296"/>
        <v>1</v>
      </c>
      <c r="EA137" s="1363">
        <f t="shared" si="297"/>
        <v>0</v>
      </c>
    </row>
    <row r="138" spans="1:131" ht="16.350000000000001" customHeight="1" x14ac:dyDescent="0.25">
      <c r="A138" s="2458">
        <v>11056470</v>
      </c>
      <c r="B138" s="140" t="s">
        <v>2275</v>
      </c>
      <c r="C138" s="707" t="s">
        <v>2777</v>
      </c>
      <c r="D138" s="281" t="s">
        <v>2778</v>
      </c>
      <c r="E138" s="180" t="s">
        <v>2779</v>
      </c>
      <c r="F138" s="142" t="s">
        <v>2780</v>
      </c>
      <c r="G138" s="141" t="s">
        <v>2781</v>
      </c>
      <c r="H138" s="142" t="s">
        <v>2782</v>
      </c>
      <c r="I138" s="141" t="s">
        <v>2783</v>
      </c>
      <c r="J138" s="163" t="s">
        <v>2784</v>
      </c>
      <c r="K138" s="180" t="s">
        <v>2785</v>
      </c>
      <c r="L138" s="180" t="s">
        <v>2786</v>
      </c>
      <c r="M138" s="141" t="s">
        <v>2787</v>
      </c>
      <c r="N138" s="163" t="s">
        <v>2788</v>
      </c>
      <c r="O138" s="180" t="s">
        <v>2789</v>
      </c>
      <c r="P138" s="142" t="s">
        <v>2790</v>
      </c>
      <c r="Q138" s="141" t="s">
        <v>2791</v>
      </c>
      <c r="R138" s="142" t="s">
        <v>2792</v>
      </c>
      <c r="S138" s="141" t="s">
        <v>2793</v>
      </c>
      <c r="T138" s="142" t="s">
        <v>2794</v>
      </c>
      <c r="U138" s="141" t="s">
        <v>2795</v>
      </c>
      <c r="V138" s="142" t="s">
        <v>2796</v>
      </c>
      <c r="W138" s="141" t="s">
        <v>2797</v>
      </c>
      <c r="X138" s="142" t="s">
        <v>2798</v>
      </c>
      <c r="Y138" s="141" t="s">
        <v>2799</v>
      </c>
      <c r="Z138" s="142" t="s">
        <v>2800</v>
      </c>
      <c r="AA138" s="141" t="s">
        <v>2801</v>
      </c>
      <c r="AB138" s="142" t="s">
        <v>2817</v>
      </c>
      <c r="AC138" s="141" t="s">
        <v>2818</v>
      </c>
      <c r="AD138" s="142" t="s">
        <v>2819</v>
      </c>
      <c r="AE138" s="141" t="s">
        <v>2821</v>
      </c>
      <c r="AF138" s="142" t="s">
        <v>2822</v>
      </c>
      <c r="AG138" s="141" t="s">
        <v>2823</v>
      </c>
      <c r="AH138" s="142" t="s">
        <v>2824</v>
      </c>
      <c r="AI138" s="141" t="s">
        <v>2825</v>
      </c>
      <c r="AJ138" s="142" t="s">
        <v>2826</v>
      </c>
      <c r="AK138" s="141" t="s">
        <v>2827</v>
      </c>
      <c r="AL138" s="142" t="s">
        <v>2831</v>
      </c>
      <c r="AM138" s="141" t="s">
        <v>2832</v>
      </c>
      <c r="AN138" s="142" t="s">
        <v>2833</v>
      </c>
      <c r="AO138" s="141" t="s">
        <v>2834</v>
      </c>
      <c r="AP138" s="142" t="s">
        <v>3011</v>
      </c>
      <c r="AQ138" s="141" t="s">
        <v>3012</v>
      </c>
      <c r="AR138" s="318" t="s">
        <v>3013</v>
      </c>
      <c r="AS138" s="180" t="s">
        <v>3014</v>
      </c>
      <c r="AT138" s="318" t="s">
        <v>3015</v>
      </c>
      <c r="AU138" s="180" t="s">
        <v>3206</v>
      </c>
      <c r="AV138" s="142" t="s">
        <v>3207</v>
      </c>
      <c r="AW138" s="141" t="s">
        <v>3272</v>
      </c>
      <c r="AX138" s="163" t="s">
        <v>3273</v>
      </c>
      <c r="AY138" s="1079" t="e">
        <f t="shared" si="265"/>
        <v>#VALUE!</v>
      </c>
      <c r="AZ138" s="1079"/>
      <c r="BA138" s="1079"/>
      <c r="BB138" s="1079"/>
      <c r="BC138" s="1079"/>
      <c r="BD138" s="1079"/>
      <c r="BE138" s="1079"/>
      <c r="BF138" s="1079"/>
      <c r="BG138" s="1079"/>
      <c r="BH138" s="1079"/>
      <c r="BI138" s="1079"/>
      <c r="BJ138" s="884"/>
      <c r="BK138" s="884"/>
      <c r="BL138" s="884"/>
      <c r="BM138" s="884"/>
      <c r="BV138" s="885"/>
      <c r="BW138" s="885"/>
      <c r="BX138" s="885"/>
      <c r="CB138" s="2077" t="str">
        <f t="shared" si="266"/>
        <v xml:space="preserve">* El total de Reactivos NO DEBE ser superior al total de Procesados. </v>
      </c>
      <c r="CC138" s="2077" t="e">
        <f t="shared" si="267"/>
        <v>#VALUE!</v>
      </c>
      <c r="CD138" s="2077" t="e">
        <f t="shared" si="268"/>
        <v>#VALUE!</v>
      </c>
      <c r="CE138" s="2077" t="str">
        <f t="shared" si="269"/>
        <v xml:space="preserve">* La columna Pueblos Originarios NO DEBE ser superior al total de Procesados. </v>
      </c>
      <c r="CF138" s="2077" t="str">
        <f t="shared" si="270"/>
        <v xml:space="preserve">* La columna Migrantes NO DEBE ser superior al total de Procesados. </v>
      </c>
      <c r="CG138" s="2077" t="str">
        <f t="shared" si="298"/>
        <v>* El total de procesados debe ser mayor o igual al total de Reactivos en el grupo de edad Menor de 6 meses</v>
      </c>
      <c r="CH138" s="2077" t="str">
        <f t="shared" si="299"/>
        <v>* El total de procesados debe ser mayor o igual al total de Reactivos en el grupo de edad 6 a 11 meses</v>
      </c>
      <c r="CI138" s="2077" t="str">
        <f t="shared" si="300"/>
        <v>* El total de procesados debe ser mayor o igual al total de Reactivos en el grupo de edad 12-24 meses</v>
      </c>
      <c r="CJ138" s="2077" t="str">
        <f t="shared" si="301"/>
        <v>* El total de procesados debe ser mayor o igual al total de Reactivos en el grupo de edad 3 a 4</v>
      </c>
      <c r="CK138" s="2077" t="str">
        <f t="shared" si="302"/>
        <v>* El total de procesados debe ser mayor o igual al total de Reactivos en el grupo de edad 5 a 9</v>
      </c>
      <c r="CL138" s="2077" t="str">
        <f t="shared" si="303"/>
        <v>* El total de procesados debe ser mayor o igual al total de Reactivos en el grupo de edad 10 - 14</v>
      </c>
      <c r="CM138" s="2077" t="str">
        <f t="shared" si="304"/>
        <v>* El total de procesados debe ser mayor o igual al total de Reactivos en el grupo de edad 15 - 19</v>
      </c>
      <c r="CN138" s="2077" t="str">
        <f t="shared" si="305"/>
        <v>* El total de procesados debe ser mayor o igual al total de Reactivos en el grupo de edad 20 - 24</v>
      </c>
      <c r="CO138" s="2077" t="str">
        <f t="shared" si="306"/>
        <v>* El total de procesados debe ser mayor o igual al total de Reactivos en el grupo de edad 25 a 29</v>
      </c>
      <c r="CP138" s="2077" t="str">
        <f t="shared" si="307"/>
        <v>* El total de procesados debe ser mayor o igual al total de Reactivos en el grupo de edad 30 a 34</v>
      </c>
      <c r="CQ138" s="2077" t="str">
        <f t="shared" si="308"/>
        <v>* El total de procesados debe ser mayor o igual al total de Reactivos en el grupo de edad 35 a 39</v>
      </c>
      <c r="CR138" s="2077" t="str">
        <f t="shared" si="309"/>
        <v>* El total de procesados debe ser mayor o igual al total de Reactivos en el grupo de edad 40 a 44</v>
      </c>
      <c r="CS138" s="2077" t="str">
        <f t="shared" si="310"/>
        <v>* El total de procesados debe ser mayor o igual al total de Reactivos en el grupo de edad 45 a 49</v>
      </c>
      <c r="CT138" s="2077" t="str">
        <f t="shared" si="311"/>
        <v>* El total de procesados debe ser mayor o igual al total de Reactivos en el grupo de edad 50 a 54</v>
      </c>
      <c r="CU138" s="2077" t="str">
        <f t="shared" si="312"/>
        <v>* El total de procesados debe ser mayor o igual al total de Reactivos en el grupo de edad 55 a 59</v>
      </c>
      <c r="CV138" s="2077" t="str">
        <f t="shared" si="313"/>
        <v>* El total de procesados debe ser mayor o igual al total de Reactivos en el grupo de edad 60 a 64</v>
      </c>
      <c r="CW138" s="2077" t="str">
        <f t="shared" si="314"/>
        <v>* El total de procesados debe ser mayor o igual al total de Reactivos en el grupo de edad 65 a 69</v>
      </c>
      <c r="CX138" s="2077" t="str">
        <f t="shared" si="315"/>
        <v>* El total de procesados debe ser mayor o igual al total de Reactivos en el grupo de edad 70 a 74</v>
      </c>
      <c r="CY138" s="2077" t="str">
        <f t="shared" si="316"/>
        <v>* El total de procesados debe ser mayor o igual al total de Reactivos en el grupo de edad 75 a 79</v>
      </c>
      <c r="CZ138" s="2077" t="str">
        <f t="shared" si="317"/>
        <v>* El total de procesados debe ser mayor o igual al total de Reactivos en el grupo de edad 80 y más</v>
      </c>
      <c r="DA138" s="2077" t="str">
        <f t="shared" si="271"/>
        <v/>
      </c>
      <c r="DB138" s="1363">
        <f t="shared" si="272"/>
        <v>1</v>
      </c>
      <c r="DC138" s="1363" t="e">
        <f t="shared" si="273"/>
        <v>#VALUE!</v>
      </c>
      <c r="DD138" s="1363" t="e">
        <f t="shared" si="274"/>
        <v>#VALUE!</v>
      </c>
      <c r="DE138" s="1363">
        <f t="shared" si="275"/>
        <v>1</v>
      </c>
      <c r="DF138" s="1363">
        <f t="shared" si="276"/>
        <v>1</v>
      </c>
      <c r="DG138" s="1363">
        <f t="shared" si="277"/>
        <v>1</v>
      </c>
      <c r="DH138" s="1363">
        <f t="shared" si="278"/>
        <v>1</v>
      </c>
      <c r="DI138" s="1363">
        <f t="shared" si="279"/>
        <v>1</v>
      </c>
      <c r="DJ138" s="1363">
        <f t="shared" si="280"/>
        <v>1</v>
      </c>
      <c r="DK138" s="1363">
        <f t="shared" si="281"/>
        <v>1</v>
      </c>
      <c r="DL138" s="1363">
        <f t="shared" si="282"/>
        <v>1</v>
      </c>
      <c r="DM138" s="1363">
        <f t="shared" si="283"/>
        <v>1</v>
      </c>
      <c r="DN138" s="1363">
        <f t="shared" si="284"/>
        <v>1</v>
      </c>
      <c r="DO138" s="1363">
        <f t="shared" si="285"/>
        <v>1</v>
      </c>
      <c r="DP138" s="1363">
        <f t="shared" si="286"/>
        <v>1</v>
      </c>
      <c r="DQ138" s="1363">
        <f t="shared" si="287"/>
        <v>1</v>
      </c>
      <c r="DR138" s="1363">
        <f t="shared" si="288"/>
        <v>1</v>
      </c>
      <c r="DS138" s="1363">
        <f t="shared" si="289"/>
        <v>1</v>
      </c>
      <c r="DT138" s="1363">
        <f t="shared" si="290"/>
        <v>1</v>
      </c>
      <c r="DU138" s="1363">
        <f t="shared" si="291"/>
        <v>1</v>
      </c>
      <c r="DV138" s="1363">
        <f t="shared" si="292"/>
        <v>1</v>
      </c>
      <c r="DW138" s="1363">
        <f t="shared" si="293"/>
        <v>1</v>
      </c>
      <c r="DX138" s="1363">
        <f t="shared" si="294"/>
        <v>1</v>
      </c>
      <c r="DY138" s="1363">
        <f t="shared" si="295"/>
        <v>1</v>
      </c>
      <c r="DZ138" s="1363">
        <f t="shared" si="296"/>
        <v>1</v>
      </c>
      <c r="EA138" s="1363">
        <f t="shared" si="297"/>
        <v>0</v>
      </c>
    </row>
    <row r="139" spans="1:131" ht="16.350000000000001" customHeight="1" x14ac:dyDescent="0.25">
      <c r="A139" s="2549">
        <v>11056471</v>
      </c>
      <c r="B139" s="100" t="s">
        <v>2276</v>
      </c>
      <c r="C139" s="587" t="s">
        <v>2777</v>
      </c>
      <c r="D139" s="1853" t="s">
        <v>2778</v>
      </c>
      <c r="E139" s="126" t="s">
        <v>2779</v>
      </c>
      <c r="F139" s="102" t="s">
        <v>2780</v>
      </c>
      <c r="G139" s="166" t="s">
        <v>2781</v>
      </c>
      <c r="H139" s="102" t="s">
        <v>2782</v>
      </c>
      <c r="I139" s="166" t="s">
        <v>2783</v>
      </c>
      <c r="J139" s="125" t="s">
        <v>2784</v>
      </c>
      <c r="K139" s="126" t="s">
        <v>2785</v>
      </c>
      <c r="L139" s="126" t="s">
        <v>2786</v>
      </c>
      <c r="M139" s="166" t="s">
        <v>2787</v>
      </c>
      <c r="N139" s="125" t="s">
        <v>2788</v>
      </c>
      <c r="O139" s="126" t="s">
        <v>2789</v>
      </c>
      <c r="P139" s="102" t="s">
        <v>2790</v>
      </c>
      <c r="Q139" s="166" t="s">
        <v>2791</v>
      </c>
      <c r="R139" s="102" t="s">
        <v>2792</v>
      </c>
      <c r="S139" s="166" t="s">
        <v>2793</v>
      </c>
      <c r="T139" s="102" t="s">
        <v>2794</v>
      </c>
      <c r="U139" s="166" t="s">
        <v>2795</v>
      </c>
      <c r="V139" s="102" t="s">
        <v>2796</v>
      </c>
      <c r="W139" s="166" t="s">
        <v>2797</v>
      </c>
      <c r="X139" s="102" t="s">
        <v>2798</v>
      </c>
      <c r="Y139" s="166" t="s">
        <v>2799</v>
      </c>
      <c r="Z139" s="102" t="s">
        <v>2800</v>
      </c>
      <c r="AA139" s="166" t="s">
        <v>2801</v>
      </c>
      <c r="AB139" s="102" t="s">
        <v>2817</v>
      </c>
      <c r="AC139" s="166" t="s">
        <v>2818</v>
      </c>
      <c r="AD139" s="102" t="s">
        <v>2819</v>
      </c>
      <c r="AE139" s="166" t="s">
        <v>2821</v>
      </c>
      <c r="AF139" s="102" t="s">
        <v>2822</v>
      </c>
      <c r="AG139" s="166" t="s">
        <v>2823</v>
      </c>
      <c r="AH139" s="102" t="s">
        <v>2824</v>
      </c>
      <c r="AI139" s="166" t="s">
        <v>2825</v>
      </c>
      <c r="AJ139" s="102" t="s">
        <v>2826</v>
      </c>
      <c r="AK139" s="166" t="s">
        <v>2827</v>
      </c>
      <c r="AL139" s="102" t="s">
        <v>2831</v>
      </c>
      <c r="AM139" s="166" t="s">
        <v>2832</v>
      </c>
      <c r="AN139" s="102" t="s">
        <v>2833</v>
      </c>
      <c r="AO139" s="166" t="s">
        <v>2834</v>
      </c>
      <c r="AP139" s="102" t="s">
        <v>3011</v>
      </c>
      <c r="AQ139" s="166" t="s">
        <v>3012</v>
      </c>
      <c r="AR139" s="319" t="s">
        <v>3013</v>
      </c>
      <c r="AS139" s="126" t="s">
        <v>3014</v>
      </c>
      <c r="AT139" s="319" t="s">
        <v>3015</v>
      </c>
      <c r="AU139" s="126" t="s">
        <v>3206</v>
      </c>
      <c r="AV139" s="102" t="s">
        <v>3207</v>
      </c>
      <c r="AW139" s="166" t="s">
        <v>3272</v>
      </c>
      <c r="AX139" s="125" t="s">
        <v>3273</v>
      </c>
      <c r="AY139" s="1079" t="e">
        <f t="shared" si="265"/>
        <v>#VALUE!</v>
      </c>
      <c r="AZ139" s="1079"/>
      <c r="BA139" s="1079"/>
      <c r="BB139" s="1079"/>
      <c r="BC139" s="1079"/>
      <c r="BD139" s="1079"/>
      <c r="BE139" s="1079"/>
      <c r="BF139" s="1079"/>
      <c r="BG139" s="1079"/>
      <c r="BH139" s="1079"/>
      <c r="BI139" s="1079"/>
      <c r="BJ139" s="884"/>
      <c r="BK139" s="884"/>
      <c r="BL139" s="884"/>
      <c r="BM139" s="884"/>
      <c r="BV139" s="885"/>
      <c r="BW139" s="885"/>
      <c r="BX139" s="885"/>
      <c r="CB139" s="2077" t="str">
        <f t="shared" si="266"/>
        <v xml:space="preserve">* El total de Reactivos NO DEBE ser superior al total de Procesados. </v>
      </c>
      <c r="CC139" s="2077" t="e">
        <f t="shared" si="267"/>
        <v>#VALUE!</v>
      </c>
      <c r="CD139" s="2077" t="e">
        <f t="shared" si="268"/>
        <v>#VALUE!</v>
      </c>
      <c r="CE139" s="2077" t="str">
        <f t="shared" si="269"/>
        <v xml:space="preserve">* La columna Pueblos Originarios NO DEBE ser superior al total de Procesados. </v>
      </c>
      <c r="CF139" s="2077" t="str">
        <f t="shared" si="270"/>
        <v xml:space="preserve">* La columna Migrantes NO DEBE ser superior al total de Procesados. </v>
      </c>
      <c r="CG139" s="2077" t="str">
        <f t="shared" si="298"/>
        <v>* El total de procesados debe ser mayor o igual al total de Reactivos en el grupo de edad Menor de 6 meses</v>
      </c>
      <c r="CH139" s="2077" t="str">
        <f t="shared" si="299"/>
        <v>* El total de procesados debe ser mayor o igual al total de Reactivos en el grupo de edad 6 a 11 meses</v>
      </c>
      <c r="CI139" s="2077" t="str">
        <f t="shared" si="300"/>
        <v>* El total de procesados debe ser mayor o igual al total de Reactivos en el grupo de edad 12-24 meses</v>
      </c>
      <c r="CJ139" s="2077" t="str">
        <f t="shared" si="301"/>
        <v>* El total de procesados debe ser mayor o igual al total de Reactivos en el grupo de edad 3 a 4</v>
      </c>
      <c r="CK139" s="2077" t="str">
        <f t="shared" si="302"/>
        <v>* El total de procesados debe ser mayor o igual al total de Reactivos en el grupo de edad 5 a 9</v>
      </c>
      <c r="CL139" s="2077" t="str">
        <f t="shared" si="303"/>
        <v>* El total de procesados debe ser mayor o igual al total de Reactivos en el grupo de edad 10 - 14</v>
      </c>
      <c r="CM139" s="2077" t="str">
        <f t="shared" si="304"/>
        <v>* El total de procesados debe ser mayor o igual al total de Reactivos en el grupo de edad 15 - 19</v>
      </c>
      <c r="CN139" s="2077" t="str">
        <f t="shared" si="305"/>
        <v>* El total de procesados debe ser mayor o igual al total de Reactivos en el grupo de edad 20 - 24</v>
      </c>
      <c r="CO139" s="2077" t="str">
        <f t="shared" si="306"/>
        <v>* El total de procesados debe ser mayor o igual al total de Reactivos en el grupo de edad 25 a 29</v>
      </c>
      <c r="CP139" s="2077" t="str">
        <f t="shared" si="307"/>
        <v>* El total de procesados debe ser mayor o igual al total de Reactivos en el grupo de edad 30 a 34</v>
      </c>
      <c r="CQ139" s="2077" t="str">
        <f t="shared" si="308"/>
        <v>* El total de procesados debe ser mayor o igual al total de Reactivos en el grupo de edad 35 a 39</v>
      </c>
      <c r="CR139" s="2077" t="str">
        <f t="shared" si="309"/>
        <v>* El total de procesados debe ser mayor o igual al total de Reactivos en el grupo de edad 40 a 44</v>
      </c>
      <c r="CS139" s="2077" t="str">
        <f t="shared" si="310"/>
        <v>* El total de procesados debe ser mayor o igual al total de Reactivos en el grupo de edad 45 a 49</v>
      </c>
      <c r="CT139" s="2077" t="str">
        <f t="shared" si="311"/>
        <v>* El total de procesados debe ser mayor o igual al total de Reactivos en el grupo de edad 50 a 54</v>
      </c>
      <c r="CU139" s="2077" t="str">
        <f t="shared" si="312"/>
        <v>* El total de procesados debe ser mayor o igual al total de Reactivos en el grupo de edad 55 a 59</v>
      </c>
      <c r="CV139" s="2077" t="str">
        <f t="shared" si="313"/>
        <v>* El total de procesados debe ser mayor o igual al total de Reactivos en el grupo de edad 60 a 64</v>
      </c>
      <c r="CW139" s="2077" t="str">
        <f t="shared" si="314"/>
        <v>* El total de procesados debe ser mayor o igual al total de Reactivos en el grupo de edad 65 a 69</v>
      </c>
      <c r="CX139" s="2077" t="str">
        <f t="shared" si="315"/>
        <v>* El total de procesados debe ser mayor o igual al total de Reactivos en el grupo de edad 70 a 74</v>
      </c>
      <c r="CY139" s="2077" t="str">
        <f t="shared" si="316"/>
        <v>* El total de procesados debe ser mayor o igual al total de Reactivos en el grupo de edad 75 a 79</v>
      </c>
      <c r="CZ139" s="2077" t="str">
        <f t="shared" si="317"/>
        <v>* El total de procesados debe ser mayor o igual al total de Reactivos en el grupo de edad 80 y más</v>
      </c>
      <c r="DA139" s="2077" t="str">
        <f t="shared" si="271"/>
        <v/>
      </c>
      <c r="DB139" s="1363">
        <f t="shared" si="272"/>
        <v>1</v>
      </c>
      <c r="DC139" s="1363" t="e">
        <f t="shared" si="273"/>
        <v>#VALUE!</v>
      </c>
      <c r="DD139" s="1363" t="e">
        <f t="shared" si="274"/>
        <v>#VALUE!</v>
      </c>
      <c r="DE139" s="1363">
        <f t="shared" si="275"/>
        <v>1</v>
      </c>
      <c r="DF139" s="1363">
        <f t="shared" si="276"/>
        <v>1</v>
      </c>
      <c r="DG139" s="1363">
        <f t="shared" si="277"/>
        <v>1</v>
      </c>
      <c r="DH139" s="1363">
        <f t="shared" si="278"/>
        <v>1</v>
      </c>
      <c r="DI139" s="1363">
        <f t="shared" si="279"/>
        <v>1</v>
      </c>
      <c r="DJ139" s="1363">
        <f t="shared" si="280"/>
        <v>1</v>
      </c>
      <c r="DK139" s="1363">
        <f t="shared" si="281"/>
        <v>1</v>
      </c>
      <c r="DL139" s="1363">
        <f t="shared" si="282"/>
        <v>1</v>
      </c>
      <c r="DM139" s="1363">
        <f t="shared" si="283"/>
        <v>1</v>
      </c>
      <c r="DN139" s="1363">
        <f t="shared" si="284"/>
        <v>1</v>
      </c>
      <c r="DO139" s="1363">
        <f t="shared" si="285"/>
        <v>1</v>
      </c>
      <c r="DP139" s="1363">
        <f t="shared" si="286"/>
        <v>1</v>
      </c>
      <c r="DQ139" s="1363">
        <f t="shared" si="287"/>
        <v>1</v>
      </c>
      <c r="DR139" s="1363">
        <f t="shared" si="288"/>
        <v>1</v>
      </c>
      <c r="DS139" s="1363">
        <f t="shared" si="289"/>
        <v>1</v>
      </c>
      <c r="DT139" s="1363">
        <f t="shared" si="290"/>
        <v>1</v>
      </c>
      <c r="DU139" s="1363">
        <f t="shared" si="291"/>
        <v>1</v>
      </c>
      <c r="DV139" s="1363">
        <f t="shared" si="292"/>
        <v>1</v>
      </c>
      <c r="DW139" s="1363">
        <f t="shared" si="293"/>
        <v>1</v>
      </c>
      <c r="DX139" s="1363">
        <f t="shared" si="294"/>
        <v>1</v>
      </c>
      <c r="DY139" s="1363">
        <f t="shared" si="295"/>
        <v>1</v>
      </c>
      <c r="DZ139" s="1363">
        <f t="shared" si="296"/>
        <v>1</v>
      </c>
      <c r="EA139" s="1363">
        <f t="shared" si="297"/>
        <v>0</v>
      </c>
    </row>
    <row r="140" spans="1:131" ht="32.1" customHeight="1" x14ac:dyDescent="0.25">
      <c r="B140" s="6224" t="s">
        <v>2283</v>
      </c>
      <c r="C140" s="6224"/>
      <c r="D140" s="6224"/>
      <c r="E140" s="6224"/>
      <c r="F140" s="6224"/>
      <c r="G140" s="6224"/>
      <c r="H140" s="6224"/>
      <c r="I140" s="6224"/>
      <c r="J140" s="6224"/>
      <c r="K140" s="6224"/>
      <c r="L140" s="6224"/>
      <c r="M140" s="6224"/>
      <c r="N140" s="6224"/>
      <c r="O140" s="6224"/>
      <c r="P140" s="6224"/>
      <c r="Q140" s="6224"/>
      <c r="R140" s="6225"/>
      <c r="S140" s="190"/>
      <c r="T140" s="190"/>
      <c r="U140" s="190"/>
      <c r="V140" s="190"/>
      <c r="W140" s="190"/>
      <c r="X140" s="190"/>
      <c r="Y140" s="190"/>
      <c r="Z140" s="190"/>
      <c r="AA140" s="190"/>
      <c r="AB140" s="190"/>
      <c r="AC140" s="190"/>
      <c r="AD140" s="219"/>
      <c r="AE140" s="262"/>
      <c r="AF140" s="219"/>
      <c r="AG140" s="219"/>
      <c r="AH140" s="190"/>
      <c r="AI140" s="190"/>
      <c r="AY140" s="884"/>
      <c r="AZ140" s="884"/>
      <c r="BA140" s="884"/>
      <c r="BB140" s="884"/>
      <c r="BC140" s="884"/>
      <c r="BD140" s="884"/>
      <c r="BE140" s="884"/>
      <c r="BF140" s="884"/>
      <c r="BG140" s="884"/>
      <c r="BH140" s="884"/>
      <c r="BI140" s="884"/>
      <c r="BJ140" s="884"/>
      <c r="BK140" s="884"/>
      <c r="BL140" s="884"/>
      <c r="BM140" s="884"/>
      <c r="BN140" s="884"/>
    </row>
    <row r="141" spans="1:131" ht="16.350000000000001" customHeight="1" x14ac:dyDescent="0.25">
      <c r="B141" s="6218" t="s">
        <v>2284</v>
      </c>
      <c r="C141" s="6219"/>
      <c r="D141" s="5160" t="s">
        <v>2285</v>
      </c>
      <c r="E141" s="5161"/>
      <c r="F141" s="5162"/>
      <c r="G141" s="6226" t="s">
        <v>2286</v>
      </c>
      <c r="H141" s="6226"/>
      <c r="I141" s="6226"/>
      <c r="J141" s="6226" t="s">
        <v>2287</v>
      </c>
      <c r="K141" s="6226"/>
      <c r="L141" s="6226"/>
      <c r="M141" s="6226" t="s">
        <v>2288</v>
      </c>
      <c r="N141" s="6226"/>
      <c r="O141" s="6226"/>
      <c r="P141" s="5160" t="s">
        <v>302</v>
      </c>
      <c r="Q141" s="5162"/>
      <c r="R141" s="195"/>
      <c r="AY141" s="884"/>
      <c r="AZ141" s="884"/>
      <c r="BA141" s="884"/>
      <c r="BB141" s="884"/>
      <c r="BC141" s="884"/>
      <c r="BD141" s="884"/>
      <c r="BE141" s="884"/>
      <c r="BF141" s="884"/>
      <c r="BG141" s="884"/>
      <c r="BH141" s="884"/>
      <c r="BI141" s="884"/>
      <c r="BJ141" s="884"/>
      <c r="BK141" s="884"/>
      <c r="BL141" s="884"/>
      <c r="BM141" s="884"/>
      <c r="BN141" s="884"/>
    </row>
    <row r="142" spans="1:131" ht="16.350000000000001" customHeight="1" x14ac:dyDescent="0.25">
      <c r="B142" s="5799"/>
      <c r="C142" s="5403"/>
      <c r="D142" s="1597" t="s">
        <v>2257</v>
      </c>
      <c r="E142" s="1695" t="s">
        <v>2258</v>
      </c>
      <c r="F142" s="1918" t="s">
        <v>2289</v>
      </c>
      <c r="G142" s="1597" t="s">
        <v>2257</v>
      </c>
      <c r="H142" s="1695" t="s">
        <v>2258</v>
      </c>
      <c r="I142" s="1918" t="s">
        <v>2289</v>
      </c>
      <c r="J142" s="1597" t="s">
        <v>2257</v>
      </c>
      <c r="K142" s="1695" t="s">
        <v>2258</v>
      </c>
      <c r="L142" s="1918" t="s">
        <v>2289</v>
      </c>
      <c r="M142" s="1597" t="s">
        <v>2257</v>
      </c>
      <c r="N142" s="1695" t="s">
        <v>2258</v>
      </c>
      <c r="O142" s="1918" t="s">
        <v>2289</v>
      </c>
      <c r="P142" s="1597" t="s">
        <v>2257</v>
      </c>
      <c r="Q142" s="2036" t="s">
        <v>2258</v>
      </c>
      <c r="R142" s="881"/>
      <c r="S142" s="884"/>
      <c r="T142" s="884"/>
      <c r="U142" s="884"/>
      <c r="V142" s="884"/>
      <c r="W142" s="884"/>
      <c r="X142" s="884"/>
      <c r="Y142" s="884"/>
      <c r="Z142" s="884"/>
      <c r="AA142" s="884"/>
      <c r="AB142" s="884"/>
      <c r="AC142" s="884"/>
      <c r="AD142" s="884"/>
      <c r="AE142" s="884"/>
      <c r="AY142" s="884"/>
      <c r="AZ142" s="884"/>
      <c r="BA142" s="884"/>
      <c r="BB142" s="884"/>
      <c r="BC142" s="884"/>
      <c r="BD142" s="884"/>
      <c r="BE142" s="884"/>
      <c r="BF142" s="884"/>
      <c r="BG142" s="884"/>
      <c r="BH142" s="884"/>
      <c r="BI142" s="884"/>
      <c r="BJ142" s="884"/>
      <c r="BK142" s="884"/>
      <c r="BL142" s="884"/>
      <c r="BM142" s="884"/>
      <c r="BN142" s="884"/>
      <c r="DB142" s="1363"/>
      <c r="DC142" s="1363"/>
      <c r="DD142" s="1363"/>
      <c r="DE142" s="1363"/>
      <c r="DF142" s="1363"/>
      <c r="DG142" s="1363"/>
    </row>
    <row r="143" spans="1:131" ht="23.25" customHeight="1" x14ac:dyDescent="0.25">
      <c r="A143" s="2458">
        <v>11054300</v>
      </c>
      <c r="B143" s="6227" t="s">
        <v>2290</v>
      </c>
      <c r="C143" s="6228"/>
      <c r="D143" s="2037" t="s">
        <v>2777</v>
      </c>
      <c r="E143" s="2038" t="s">
        <v>2778</v>
      </c>
      <c r="F143" s="467" t="s">
        <v>2779</v>
      </c>
      <c r="G143" s="2037" t="s">
        <v>2780</v>
      </c>
      <c r="H143" s="2038" t="s">
        <v>2781</v>
      </c>
      <c r="I143" s="467" t="s">
        <v>2782</v>
      </c>
      <c r="J143" s="2037" t="s">
        <v>2783</v>
      </c>
      <c r="K143" s="2038" t="s">
        <v>2784</v>
      </c>
      <c r="L143" s="467" t="s">
        <v>2785</v>
      </c>
      <c r="M143" s="2037" t="s">
        <v>2786</v>
      </c>
      <c r="N143" s="2038" t="s">
        <v>2787</v>
      </c>
      <c r="O143" s="467" t="s">
        <v>2788</v>
      </c>
      <c r="P143" s="2037" t="s">
        <v>2789</v>
      </c>
      <c r="Q143" s="2039" t="s">
        <v>2790</v>
      </c>
      <c r="R143" s="1165" t="str">
        <f>CB143&amp;CC143&amp;CD143&amp;CE143&amp;CF143</f>
        <v xml:space="preserve">* Los exámenes Reactivos de Hepatitis B NO DEBEN ser mayor a los exámenes Procesados. * Los exámenes Reactivos de Hepatitis C NO DEBEN ser mayor a los exámenes Procesados. * Los exámenes Reactivos de CHAGAS NO DEBEN ser mayor a los exámenes Procesados. * Los exámenes Reactivos de HTLV1 NO DEBEN ser mayor a los exámenes Procesados. * Los exámenes Reactivos de SIFILIS NO DEBEN ser mayor a los exámenes Procesados. </v>
      </c>
      <c r="S143" s="1079"/>
      <c r="T143" s="1079"/>
      <c r="U143" s="1079"/>
      <c r="V143" s="1079"/>
      <c r="W143" s="1079"/>
      <c r="X143" s="1079"/>
      <c r="Y143" s="1079"/>
      <c r="Z143" s="1079"/>
      <c r="AA143" s="1079"/>
      <c r="AB143" s="1079"/>
      <c r="AC143" s="1079"/>
      <c r="AD143" s="884"/>
      <c r="AE143" s="884"/>
      <c r="AY143" s="884"/>
      <c r="AZ143" s="884"/>
      <c r="BA143" s="884"/>
      <c r="BB143" s="884"/>
      <c r="BC143" s="884"/>
      <c r="BD143" s="884"/>
      <c r="BE143" s="884"/>
      <c r="BF143" s="884"/>
      <c r="BG143" s="884"/>
      <c r="BH143" s="884"/>
      <c r="BI143" s="884"/>
      <c r="BJ143" s="884"/>
      <c r="BK143" s="884"/>
      <c r="BL143" s="884"/>
      <c r="BM143" s="884"/>
      <c r="BN143" s="884"/>
      <c r="CB143" s="2077" t="str">
        <f>IF(D143&gt;=E143,"","* Los exámenes Reactivos de Hepatitis B NO DEBEN ser mayor a los exámenes Procesados. ")</f>
        <v xml:space="preserve">* Los exámenes Reactivos de Hepatitis B NO DEBEN ser mayor a los exámenes Procesados. </v>
      </c>
      <c r="CC143" s="2077" t="str">
        <f>IF(G143&gt;=H143,"","* Los exámenes Reactivos de Hepatitis C NO DEBEN ser mayor a los exámenes Procesados. ")</f>
        <v xml:space="preserve">* Los exámenes Reactivos de Hepatitis C NO DEBEN ser mayor a los exámenes Procesados. </v>
      </c>
      <c r="CD143" s="2077" t="str">
        <f>IF(J143&gt;=K143,"","* Los exámenes Reactivos de CHAGAS NO DEBEN ser mayor a los exámenes Procesados. ")</f>
        <v xml:space="preserve">* Los exámenes Reactivos de CHAGAS NO DEBEN ser mayor a los exámenes Procesados. </v>
      </c>
      <c r="CE143" s="2077" t="str">
        <f>IF(M143&gt;=N143,"","* Los exámenes Reactivos de HTLV1 NO DEBEN ser mayor a los exámenes Procesados. ")</f>
        <v xml:space="preserve">* Los exámenes Reactivos de HTLV1 NO DEBEN ser mayor a los exámenes Procesados. </v>
      </c>
      <c r="CF143" s="2077" t="str">
        <f>IF(P143&gt;=Q143,"","* Los exámenes Reactivos de SIFILIS NO DEBEN ser mayor a los exámenes Procesados. ")</f>
        <v xml:space="preserve">* Los exámenes Reactivos de SIFILIS NO DEBEN ser mayor a los exámenes Procesados. </v>
      </c>
      <c r="DB143" s="1363">
        <f>IF(D143&gt;=E143,0,1)</f>
        <v>1</v>
      </c>
      <c r="DC143" s="1363">
        <f>IF(G143&gt;=H143,0,1)</f>
        <v>1</v>
      </c>
      <c r="DD143" s="1363">
        <f>IF(J143&gt;=K143,0,1)</f>
        <v>1</v>
      </c>
      <c r="DE143" s="1363">
        <f>IF(M143&gt;=N143,0,1)</f>
        <v>1</v>
      </c>
      <c r="DF143" s="1363">
        <f>IF(P143&gt;=Q143,0,1)</f>
        <v>1</v>
      </c>
      <c r="DG143" s="1363"/>
    </row>
    <row r="144" spans="1:131" ht="27.75" customHeight="1" x14ac:dyDescent="0.25">
      <c r="A144" s="2458">
        <v>11054400</v>
      </c>
      <c r="B144" s="6229" t="s">
        <v>2291</v>
      </c>
      <c r="C144" s="1743" t="s">
        <v>2292</v>
      </c>
      <c r="D144" s="137" t="s">
        <v>2777</v>
      </c>
      <c r="E144" s="110" t="s">
        <v>2778</v>
      </c>
      <c r="F144" s="1603" t="s">
        <v>2779</v>
      </c>
      <c r="G144" s="137" t="s">
        <v>2780</v>
      </c>
      <c r="H144" s="110" t="s">
        <v>2781</v>
      </c>
      <c r="I144" s="1603" t="s">
        <v>2782</v>
      </c>
      <c r="J144" s="137" t="s">
        <v>2783</v>
      </c>
      <c r="K144" s="110" t="s">
        <v>2784</v>
      </c>
      <c r="L144" s="1603" t="s">
        <v>2785</v>
      </c>
      <c r="M144" s="137" t="s">
        <v>2786</v>
      </c>
      <c r="N144" s="110" t="s">
        <v>2787</v>
      </c>
      <c r="O144" s="1603" t="s">
        <v>2788</v>
      </c>
      <c r="P144" s="137" t="s">
        <v>2789</v>
      </c>
      <c r="Q144" s="123" t="s">
        <v>2790</v>
      </c>
      <c r="R144" s="1165" t="str">
        <f t="shared" ref="R144:R147" si="318">CB144&amp;CC144&amp;CD144&amp;CE144&amp;CF144</f>
        <v xml:space="preserve">* Los exámenes Reactivos de Hepatitis B NO DEBEN ser mayor a los exámenes Procesados. * Los exámenes Reactivos de Hepatitis C NO DEBEN ser mayor a los exámenes Procesados. * Los exámenes Reactivos de CHAGAS NO DEBEN ser mayor a los exámenes Procesados. * Los exámenes Reactivos de HTLV1 NO DEBEN ser mayor a los exámenes Procesados. * Los exámenes Reactivos de SIFILIS NO DEBEN ser mayor a los exámenes Procesados. </v>
      </c>
      <c r="S144" s="1079"/>
      <c r="T144" s="1079"/>
      <c r="U144" s="1079"/>
      <c r="V144" s="1079"/>
      <c r="W144" s="1079"/>
      <c r="X144" s="1079"/>
      <c r="Y144" s="1079"/>
      <c r="Z144" s="1079"/>
      <c r="AA144" s="1079"/>
      <c r="AB144" s="1079"/>
      <c r="AC144" s="1079"/>
      <c r="AD144" s="884"/>
      <c r="AE144" s="884"/>
      <c r="AY144" s="884"/>
      <c r="AZ144" s="884"/>
      <c r="BA144" s="884"/>
      <c r="BB144" s="884"/>
      <c r="BC144" s="884"/>
      <c r="BD144" s="884"/>
      <c r="BE144" s="884"/>
      <c r="BF144" s="884"/>
      <c r="BG144" s="884"/>
      <c r="BH144" s="884"/>
      <c r="BI144" s="884"/>
      <c r="BJ144" s="884"/>
      <c r="BK144" s="884"/>
      <c r="BL144" s="884"/>
      <c r="BM144" s="884"/>
      <c r="BN144" s="884"/>
      <c r="CB144" s="2077" t="str">
        <f>IF(D144&gt;=E144,"","* Los exámenes Reactivos de Hepatitis B NO DEBEN ser mayor a los exámenes Procesados. ")</f>
        <v xml:space="preserve">* Los exámenes Reactivos de Hepatitis B NO DEBEN ser mayor a los exámenes Procesados. </v>
      </c>
      <c r="CC144" s="2077" t="str">
        <f>IF(G144&gt;=H144,"","* Los exámenes Reactivos de Hepatitis C NO DEBEN ser mayor a los exámenes Procesados. ")</f>
        <v xml:space="preserve">* Los exámenes Reactivos de Hepatitis C NO DEBEN ser mayor a los exámenes Procesados. </v>
      </c>
      <c r="CD144" s="2077" t="str">
        <f>IF(J144&gt;=K144,"","* Los exámenes Reactivos de CHAGAS NO DEBEN ser mayor a los exámenes Procesados. ")</f>
        <v xml:space="preserve">* Los exámenes Reactivos de CHAGAS NO DEBEN ser mayor a los exámenes Procesados. </v>
      </c>
      <c r="CE144" s="2077" t="str">
        <f>IF(M144&gt;=N144,"","* Los exámenes Reactivos de HTLV1 NO DEBEN ser mayor a los exámenes Procesados. ")</f>
        <v xml:space="preserve">* Los exámenes Reactivos de HTLV1 NO DEBEN ser mayor a los exámenes Procesados. </v>
      </c>
      <c r="CF144" s="2077" t="str">
        <f>IF(P144&gt;=Q144,"","* Los exámenes Reactivos de SIFILIS NO DEBEN ser mayor a los exámenes Procesados. ")</f>
        <v xml:space="preserve">* Los exámenes Reactivos de SIFILIS NO DEBEN ser mayor a los exámenes Procesados. </v>
      </c>
      <c r="DB144" s="1363">
        <f>IF(D144&gt;=E144,0,1)</f>
        <v>1</v>
      </c>
      <c r="DC144" s="1363">
        <f>IF(G144&gt;=H144,0,1)</f>
        <v>1</v>
      </c>
      <c r="DD144" s="1363">
        <f>IF(J144&gt;=K144,0,1)</f>
        <v>1</v>
      </c>
      <c r="DE144" s="1363">
        <f>IF(M144&gt;=N144,0,1)</f>
        <v>1</v>
      </c>
      <c r="DF144" s="1363">
        <f>IF(P144&gt;=Q144,0,1)</f>
        <v>1</v>
      </c>
      <c r="DG144" s="1363"/>
    </row>
    <row r="145" spans="1:131" ht="28.5" customHeight="1" x14ac:dyDescent="0.25">
      <c r="A145" s="2458">
        <v>11055100</v>
      </c>
      <c r="B145" s="5252"/>
      <c r="C145" s="1249" t="s">
        <v>2293</v>
      </c>
      <c r="D145" s="170" t="s">
        <v>2777</v>
      </c>
      <c r="E145" s="97" t="s">
        <v>2778</v>
      </c>
      <c r="F145" s="197" t="s">
        <v>2779</v>
      </c>
      <c r="G145" s="170" t="s">
        <v>2780</v>
      </c>
      <c r="H145" s="97" t="s">
        <v>2781</v>
      </c>
      <c r="I145" s="197" t="s">
        <v>2782</v>
      </c>
      <c r="J145" s="170" t="s">
        <v>2783</v>
      </c>
      <c r="K145" s="97" t="s">
        <v>2784</v>
      </c>
      <c r="L145" s="197" t="s">
        <v>2785</v>
      </c>
      <c r="M145" s="170" t="s">
        <v>2786</v>
      </c>
      <c r="N145" s="97" t="s">
        <v>2787</v>
      </c>
      <c r="O145" s="197" t="s">
        <v>2788</v>
      </c>
      <c r="P145" s="170" t="s">
        <v>2789</v>
      </c>
      <c r="Q145" s="171" t="s">
        <v>2790</v>
      </c>
      <c r="R145" s="1165" t="str">
        <f t="shared" si="318"/>
        <v xml:space="preserve">* Los exámenes Reactivos de Hepatitis B NO DEBEN ser mayor a los exámenes Procesados. * Los exámenes Reactivos de Hepatitis C NO DEBEN ser mayor a los exámenes Procesados. * Los exámenes Reactivos de CHAGAS NO DEBEN ser mayor a los exámenes Procesados. * Los exámenes Reactivos de HTLV1 NO DEBEN ser mayor a los exámenes Procesados. * Los exámenes Reactivos de SIFILIS NO DEBEN ser mayor a los exámenes Procesados. </v>
      </c>
      <c r="S145" s="1079"/>
      <c r="T145" s="1079"/>
      <c r="U145" s="1079"/>
      <c r="V145" s="1079"/>
      <c r="W145" s="1079"/>
      <c r="X145" s="1079"/>
      <c r="Y145" s="1079"/>
      <c r="Z145" s="1079"/>
      <c r="AA145" s="1079"/>
      <c r="AB145" s="1079"/>
      <c r="AC145" s="1079"/>
      <c r="AD145" s="884"/>
      <c r="AE145" s="884"/>
      <c r="AY145" s="884"/>
      <c r="AZ145" s="884"/>
      <c r="BA145" s="884"/>
      <c r="BB145" s="884"/>
      <c r="BC145" s="884"/>
      <c r="BD145" s="884"/>
      <c r="BE145" s="884"/>
      <c r="BF145" s="884"/>
      <c r="BG145" s="884"/>
      <c r="BH145" s="884"/>
      <c r="BI145" s="884"/>
      <c r="BJ145" s="884"/>
      <c r="BK145" s="884"/>
      <c r="BL145" s="884"/>
      <c r="BM145" s="884"/>
      <c r="BN145" s="884"/>
      <c r="CB145" s="2077" t="str">
        <f>IF(D145&gt;=E145,"","* Los exámenes Reactivos de Hepatitis B NO DEBEN ser mayor a los exámenes Procesados. ")</f>
        <v xml:space="preserve">* Los exámenes Reactivos de Hepatitis B NO DEBEN ser mayor a los exámenes Procesados. </v>
      </c>
      <c r="CC145" s="2077" t="str">
        <f>IF(G145&gt;=H145,"","* Los exámenes Reactivos de Hepatitis C NO DEBEN ser mayor a los exámenes Procesados. ")</f>
        <v xml:space="preserve">* Los exámenes Reactivos de Hepatitis C NO DEBEN ser mayor a los exámenes Procesados. </v>
      </c>
      <c r="CD145" s="2077" t="str">
        <f>IF(J145&gt;=K145,"","* Los exámenes Reactivos de CHAGAS NO DEBEN ser mayor a los exámenes Procesados. ")</f>
        <v xml:space="preserve">* Los exámenes Reactivos de CHAGAS NO DEBEN ser mayor a los exámenes Procesados. </v>
      </c>
      <c r="CE145" s="2077" t="str">
        <f>IF(M145&gt;=N145,"","* Los exámenes Reactivos de HTLV1 NO DEBEN ser mayor a los exámenes Procesados. ")</f>
        <v xml:space="preserve">* Los exámenes Reactivos de HTLV1 NO DEBEN ser mayor a los exámenes Procesados. </v>
      </c>
      <c r="CF145" s="2077" t="str">
        <f>IF(P145&gt;=Q145,"","* Los exámenes Reactivos de SIFILIS NO DEBEN ser mayor a los exámenes Procesados. ")</f>
        <v xml:space="preserve">* Los exámenes Reactivos de SIFILIS NO DEBEN ser mayor a los exámenes Procesados. </v>
      </c>
      <c r="DB145" s="1363">
        <f>IF(D145&gt;=E145,0,1)</f>
        <v>1</v>
      </c>
      <c r="DC145" s="1363">
        <f>IF(G145&gt;=H145,0,1)</f>
        <v>1</v>
      </c>
      <c r="DD145" s="1363">
        <f>IF(J145&gt;=K145,0,1)</f>
        <v>1</v>
      </c>
      <c r="DE145" s="1363">
        <f>IF(M145&gt;=N145,0,1)</f>
        <v>1</v>
      </c>
      <c r="DF145" s="1363">
        <f>IF(P145&gt;=Q145,0,1)</f>
        <v>1</v>
      </c>
      <c r="DG145" s="1363"/>
    </row>
    <row r="146" spans="1:131" ht="26.25" customHeight="1" x14ac:dyDescent="0.25">
      <c r="A146" s="2458">
        <v>11055110</v>
      </c>
      <c r="B146" s="5253"/>
      <c r="C146" s="2040" t="s">
        <v>2294</v>
      </c>
      <c r="D146" s="203" t="s">
        <v>2777</v>
      </c>
      <c r="E146" s="117" t="s">
        <v>2778</v>
      </c>
      <c r="F146" s="1367" t="s">
        <v>2779</v>
      </c>
      <c r="G146" s="203" t="s">
        <v>2780</v>
      </c>
      <c r="H146" s="117" t="s">
        <v>2781</v>
      </c>
      <c r="I146" s="1367" t="s">
        <v>2782</v>
      </c>
      <c r="J146" s="203" t="s">
        <v>2783</v>
      </c>
      <c r="K146" s="117" t="s">
        <v>2784</v>
      </c>
      <c r="L146" s="1367" t="s">
        <v>2785</v>
      </c>
      <c r="M146" s="203" t="s">
        <v>2786</v>
      </c>
      <c r="N146" s="117" t="s">
        <v>2787</v>
      </c>
      <c r="O146" s="1367" t="s">
        <v>2788</v>
      </c>
      <c r="P146" s="203" t="s">
        <v>2789</v>
      </c>
      <c r="Q146" s="204" t="s">
        <v>2790</v>
      </c>
      <c r="R146" s="1165" t="str">
        <f t="shared" si="318"/>
        <v xml:space="preserve">* Los exámenes Reactivos de Hepatitis B NO DEBEN ser mayor a los exámenes Procesados. * Los exámenes Reactivos de Hepatitis C NO DEBEN ser mayor a los exámenes Procesados. * Los exámenes Reactivos de CHAGAS NO DEBEN ser mayor a los exámenes Procesados. * Los exámenes Reactivos de HTLV1 NO DEBEN ser mayor a los exámenes Procesados. * Los exámenes Reactivos de SIFILIS NO DEBEN ser mayor a los exámenes Procesados. </v>
      </c>
      <c r="S146" s="1079"/>
      <c r="T146" s="1079"/>
      <c r="U146" s="1079"/>
      <c r="V146" s="1079"/>
      <c r="W146" s="1079"/>
      <c r="X146" s="1079"/>
      <c r="Y146" s="1079"/>
      <c r="Z146" s="1079"/>
      <c r="AA146" s="1079"/>
      <c r="AB146" s="1079"/>
      <c r="AC146" s="1079"/>
      <c r="AD146" s="884"/>
      <c r="AE146" s="884"/>
      <c r="AY146" s="884"/>
      <c r="AZ146" s="884"/>
      <c r="BA146" s="884"/>
      <c r="BB146" s="884"/>
      <c r="BC146" s="884"/>
      <c r="BD146" s="884"/>
      <c r="BE146" s="884"/>
      <c r="BF146" s="884"/>
      <c r="BG146" s="884"/>
      <c r="BH146" s="884"/>
      <c r="BI146" s="884"/>
      <c r="BJ146" s="884"/>
      <c r="BK146" s="884"/>
      <c r="BL146" s="884"/>
      <c r="BM146" s="884"/>
      <c r="BN146" s="884"/>
      <c r="CB146" s="2077" t="str">
        <f>IF(D146&gt;=E146,"","* Los exámenes Reactivos de Hepatitis B NO DEBEN ser mayor a los exámenes Procesados. ")</f>
        <v xml:space="preserve">* Los exámenes Reactivos de Hepatitis B NO DEBEN ser mayor a los exámenes Procesados. </v>
      </c>
      <c r="CC146" s="2077" t="str">
        <f>IF(G146&gt;=H146,"","* Los exámenes Reactivos de Hepatitis C NO DEBEN ser mayor a los exámenes Procesados. ")</f>
        <v xml:space="preserve">* Los exámenes Reactivos de Hepatitis C NO DEBEN ser mayor a los exámenes Procesados. </v>
      </c>
      <c r="CD146" s="2077" t="str">
        <f>IF(J146&gt;=K146,"","* Los exámenes Reactivos de CHAGAS NO DEBEN ser mayor a los exámenes Procesados. ")</f>
        <v xml:space="preserve">* Los exámenes Reactivos de CHAGAS NO DEBEN ser mayor a los exámenes Procesados. </v>
      </c>
      <c r="CE146" s="2077" t="str">
        <f>IF(M146&gt;=N146,"","* Los exámenes Reactivos de HTLV1 NO DEBEN ser mayor a los exámenes Procesados. ")</f>
        <v xml:space="preserve">* Los exámenes Reactivos de HTLV1 NO DEBEN ser mayor a los exámenes Procesados. </v>
      </c>
      <c r="CF146" s="2077" t="str">
        <f>IF(P146&gt;=Q146,"","* Los exámenes Reactivos de SIFILIS NO DEBEN ser mayor a los exámenes Procesados. ")</f>
        <v xml:space="preserve">* Los exámenes Reactivos de SIFILIS NO DEBEN ser mayor a los exámenes Procesados. </v>
      </c>
      <c r="DB146" s="1363">
        <f>IF(D146&gt;=E146,0,1)</f>
        <v>1</v>
      </c>
      <c r="DC146" s="1363">
        <f>IF(G146&gt;=H146,0,1)</f>
        <v>1</v>
      </c>
      <c r="DD146" s="1363">
        <f>IF(J146&gt;=K146,0,1)</f>
        <v>1</v>
      </c>
      <c r="DE146" s="1363">
        <f>IF(M146&gt;=N146,0,1)</f>
        <v>1</v>
      </c>
      <c r="DF146" s="1363">
        <f>IF(P146&gt;=Q146,0,1)</f>
        <v>1</v>
      </c>
      <c r="DG146" s="1363"/>
    </row>
    <row r="147" spans="1:131" ht="24" customHeight="1" x14ac:dyDescent="0.25">
      <c r="A147" s="2458">
        <v>11055120</v>
      </c>
      <c r="B147" s="6230" t="s">
        <v>2274</v>
      </c>
      <c r="C147" s="6231"/>
      <c r="D147" s="203" t="s">
        <v>2777</v>
      </c>
      <c r="E147" s="117" t="s">
        <v>2778</v>
      </c>
      <c r="F147" s="1367" t="s">
        <v>2779</v>
      </c>
      <c r="G147" s="203" t="s">
        <v>2780</v>
      </c>
      <c r="H147" s="117" t="s">
        <v>2781</v>
      </c>
      <c r="I147" s="1367" t="s">
        <v>2782</v>
      </c>
      <c r="J147" s="203" t="s">
        <v>2783</v>
      </c>
      <c r="K147" s="117" t="s">
        <v>2784</v>
      </c>
      <c r="L147" s="1367" t="s">
        <v>2785</v>
      </c>
      <c r="M147" s="203" t="s">
        <v>2786</v>
      </c>
      <c r="N147" s="117" t="s">
        <v>2787</v>
      </c>
      <c r="O147" s="1367" t="s">
        <v>2788</v>
      </c>
      <c r="P147" s="203" t="s">
        <v>2789</v>
      </c>
      <c r="Q147" s="204" t="s">
        <v>2790</v>
      </c>
      <c r="R147" s="1165" t="str">
        <f t="shared" si="318"/>
        <v xml:space="preserve">* Los exámenes Reactivos de Hepatitis B NO DEBEN ser mayor a los exámenes Procesados. * Los exámenes Reactivos de Hepatitis C NO DEBEN ser mayor a los exámenes Procesados. * Los exámenes Reactivos de CHAGAS NO DEBEN ser mayor a los exámenes Procesados. * Los exámenes Reactivos de HTLV1 NO DEBEN ser mayor a los exámenes Procesados. * Los exámenes Reactivos de SIFILIS NO DEBEN ser mayor a los exámenes Procesados. </v>
      </c>
      <c r="S147" s="1079"/>
      <c r="T147" s="1079"/>
      <c r="U147" s="1079"/>
      <c r="V147" s="1079"/>
      <c r="W147" s="1079"/>
      <c r="X147" s="1079"/>
      <c r="Y147" s="1079"/>
      <c r="Z147" s="1079"/>
      <c r="AA147" s="1079"/>
      <c r="AB147" s="1079"/>
      <c r="AC147" s="1079"/>
      <c r="AD147" s="884"/>
      <c r="AE147" s="884"/>
      <c r="AY147" s="884"/>
      <c r="AZ147" s="884"/>
      <c r="BA147" s="884"/>
      <c r="BB147" s="884"/>
      <c r="BC147" s="884"/>
      <c r="BD147" s="884"/>
      <c r="BE147" s="884"/>
      <c r="BF147" s="884"/>
      <c r="BG147" s="884"/>
      <c r="BH147" s="884"/>
      <c r="BI147" s="884"/>
      <c r="BJ147" s="884"/>
      <c r="BK147" s="884"/>
      <c r="BL147" s="884"/>
      <c r="BM147" s="884"/>
      <c r="BN147" s="884"/>
      <c r="CB147" s="2077" t="str">
        <f>IF(D147&gt;=E147,"","* Los exámenes Reactivos de Hepatitis B NO DEBEN ser mayor a los exámenes Procesados. ")</f>
        <v xml:space="preserve">* Los exámenes Reactivos de Hepatitis B NO DEBEN ser mayor a los exámenes Procesados. </v>
      </c>
      <c r="CC147" s="2077" t="str">
        <f>IF(G147&gt;=H147,"","* Los exámenes Reactivos de Hepatitis C NO DEBEN ser mayor a los exámenes Procesados. ")</f>
        <v xml:space="preserve">* Los exámenes Reactivos de Hepatitis C NO DEBEN ser mayor a los exámenes Procesados. </v>
      </c>
      <c r="CD147" s="2077" t="str">
        <f>IF(J147&gt;=K147,"","* Los exámenes Reactivos de CHAGAS NO DEBEN ser mayor a los exámenes Procesados. ")</f>
        <v xml:space="preserve">* Los exámenes Reactivos de CHAGAS NO DEBEN ser mayor a los exámenes Procesados. </v>
      </c>
      <c r="CE147" s="2077" t="str">
        <f>IF(M147&gt;=N147,"","* Los exámenes Reactivos de HTLV1 NO DEBEN ser mayor a los exámenes Procesados. ")</f>
        <v xml:space="preserve">* Los exámenes Reactivos de HTLV1 NO DEBEN ser mayor a los exámenes Procesados. </v>
      </c>
      <c r="CF147" s="2077" t="str">
        <f>IF(P147&gt;=Q147,"","* Los exámenes Reactivos de SIFILIS NO DEBEN ser mayor a los exámenes Procesados. ")</f>
        <v xml:space="preserve">* Los exámenes Reactivos de SIFILIS NO DEBEN ser mayor a los exámenes Procesados. </v>
      </c>
      <c r="DB147" s="1363">
        <f>IF(D147&gt;=E147,0,1)</f>
        <v>1</v>
      </c>
      <c r="DC147" s="1363">
        <f>IF(G147&gt;=H147,0,1)</f>
        <v>1</v>
      </c>
      <c r="DD147" s="1363">
        <f>IF(J147&gt;=K147,0,1)</f>
        <v>1</v>
      </c>
      <c r="DE147" s="1363">
        <f>IF(M147&gt;=N147,0,1)</f>
        <v>1</v>
      </c>
      <c r="DF147" s="1363">
        <f>IF(P147&gt;=Q147,0,1)</f>
        <v>1</v>
      </c>
      <c r="DG147" s="1363"/>
    </row>
    <row r="148" spans="1:131" ht="32.1" customHeight="1" x14ac:dyDescent="0.25">
      <c r="B148" s="6225" t="s">
        <v>2295</v>
      </c>
      <c r="C148" s="6225"/>
      <c r="D148" s="6225"/>
      <c r="E148" s="6225"/>
      <c r="F148" s="6225"/>
      <c r="G148" s="6225"/>
      <c r="H148" s="6225"/>
      <c r="I148" s="6225"/>
      <c r="J148" s="6225"/>
      <c r="K148" s="6225"/>
      <c r="L148" s="6225"/>
      <c r="M148" s="6225"/>
      <c r="N148" s="6225"/>
      <c r="O148" s="6225"/>
      <c r="P148" s="6225"/>
      <c r="Q148" s="6225"/>
      <c r="R148" s="6225"/>
      <c r="S148" s="6225"/>
      <c r="AY148" s="884"/>
      <c r="AZ148" s="884"/>
      <c r="BA148" s="884"/>
      <c r="BB148" s="884"/>
      <c r="BC148" s="884"/>
      <c r="BD148" s="884"/>
      <c r="BE148" s="884"/>
      <c r="BF148" s="884"/>
      <c r="BG148" s="884"/>
      <c r="BH148" s="884"/>
      <c r="BI148" s="884"/>
      <c r="BJ148" s="884"/>
      <c r="BK148" s="884"/>
      <c r="BL148" s="884"/>
      <c r="BM148" s="884"/>
      <c r="BN148" s="884"/>
      <c r="CB148" s="2077"/>
      <c r="CC148" s="2077"/>
      <c r="CD148" s="2077"/>
      <c r="CE148" s="2077"/>
      <c r="CF148" s="2077"/>
      <c r="DB148" s="1363"/>
      <c r="DC148" s="1363"/>
      <c r="DD148" s="1363"/>
      <c r="DE148" s="1363"/>
      <c r="DF148" s="1363"/>
      <c r="DG148" s="1363"/>
    </row>
    <row r="149" spans="1:131" ht="16.350000000000001" customHeight="1" x14ac:dyDescent="0.25">
      <c r="B149" s="6218" t="s">
        <v>2284</v>
      </c>
      <c r="C149" s="6219"/>
      <c r="D149" s="5160" t="s">
        <v>2285</v>
      </c>
      <c r="E149" s="5161"/>
      <c r="F149" s="5162"/>
      <c r="G149" s="6226" t="s">
        <v>2286</v>
      </c>
      <c r="H149" s="6226"/>
      <c r="I149" s="6226"/>
      <c r="J149" s="6226" t="s">
        <v>2287</v>
      </c>
      <c r="K149" s="6226"/>
      <c r="L149" s="6226"/>
      <c r="M149" s="6226" t="s">
        <v>2288</v>
      </c>
      <c r="N149" s="6226"/>
      <c r="O149" s="6226"/>
      <c r="P149" s="5160" t="s">
        <v>302</v>
      </c>
      <c r="Q149" s="5162"/>
      <c r="R149" s="138"/>
      <c r="CB149" s="2077"/>
      <c r="CC149" s="2077"/>
      <c r="CD149" s="2077"/>
      <c r="CE149" s="2077"/>
      <c r="CF149" s="2077"/>
      <c r="DB149" s="1363"/>
      <c r="DC149" s="1363"/>
      <c r="DD149" s="1363"/>
      <c r="DE149" s="1363"/>
      <c r="DF149" s="1363"/>
      <c r="DG149" s="1363"/>
    </row>
    <row r="150" spans="1:131" ht="16.350000000000001" customHeight="1" x14ac:dyDescent="0.25">
      <c r="B150" s="5799"/>
      <c r="C150" s="5403"/>
      <c r="D150" s="1597" t="s">
        <v>2257</v>
      </c>
      <c r="E150" s="1695" t="s">
        <v>2258</v>
      </c>
      <c r="F150" s="1918" t="s">
        <v>2289</v>
      </c>
      <c r="G150" s="1597" t="s">
        <v>2257</v>
      </c>
      <c r="H150" s="1695" t="s">
        <v>2258</v>
      </c>
      <c r="I150" s="1918" t="s">
        <v>2289</v>
      </c>
      <c r="J150" s="1597" t="s">
        <v>2257</v>
      </c>
      <c r="K150" s="1695" t="s">
        <v>2258</v>
      </c>
      <c r="L150" s="1918" t="s">
        <v>2289</v>
      </c>
      <c r="M150" s="1597" t="s">
        <v>2257</v>
      </c>
      <c r="N150" s="1695" t="s">
        <v>2258</v>
      </c>
      <c r="O150" s="1918" t="s">
        <v>2289</v>
      </c>
      <c r="P150" s="1597" t="s">
        <v>2257</v>
      </c>
      <c r="Q150" s="2036" t="s">
        <v>2258</v>
      </c>
      <c r="R150" s="138"/>
      <c r="CB150" s="2077"/>
      <c r="CC150" s="2077"/>
      <c r="CD150" s="2077"/>
      <c r="CE150" s="2077"/>
      <c r="CF150" s="2077"/>
      <c r="DB150" s="1363"/>
      <c r="DC150" s="1363"/>
      <c r="DD150" s="1363"/>
      <c r="DE150" s="1363"/>
      <c r="DF150" s="1363"/>
      <c r="DG150" s="1363"/>
    </row>
    <row r="151" spans="1:131" ht="18.75" customHeight="1" x14ac:dyDescent="0.25">
      <c r="A151" s="2458">
        <v>11055130</v>
      </c>
      <c r="B151" s="6227" t="s">
        <v>2290</v>
      </c>
      <c r="C151" s="6228"/>
      <c r="D151" s="2037" t="s">
        <v>2777</v>
      </c>
      <c r="E151" s="2038" t="s">
        <v>2778</v>
      </c>
      <c r="F151" s="467" t="s">
        <v>2779</v>
      </c>
      <c r="G151" s="2037" t="s">
        <v>2780</v>
      </c>
      <c r="H151" s="2038" t="s">
        <v>2781</v>
      </c>
      <c r="I151" s="467" t="s">
        <v>2782</v>
      </c>
      <c r="J151" s="2037" t="s">
        <v>2783</v>
      </c>
      <c r="K151" s="2038" t="s">
        <v>2784</v>
      </c>
      <c r="L151" s="467" t="s">
        <v>2785</v>
      </c>
      <c r="M151" s="2037" t="s">
        <v>2786</v>
      </c>
      <c r="N151" s="2038" t="s">
        <v>2787</v>
      </c>
      <c r="O151" s="467" t="s">
        <v>2788</v>
      </c>
      <c r="P151" s="2037" t="s">
        <v>2789</v>
      </c>
      <c r="Q151" s="2039" t="s">
        <v>2790</v>
      </c>
      <c r="R151" s="1165" t="str">
        <f t="shared" ref="R151:R155" si="319">CB151&amp;CC151&amp;CD151&amp;CE151&amp;CF151</f>
        <v xml:space="preserve">* Los exámenes Reactivos de Hepatitis B NO DEBEN ser mayor a los exámenes Procesados. * Los exámenes Reactivos de Hepatitis C NO DEBEN ser mayor a los exámenes Procesados. * Los exámenes Reactivos de CHAGAS NO DEBEN ser mayor a los exámenes Procesados. * Los exámenes Reactivos de HTLV1 NO DEBEN ser mayor a los exámenes Procesados. * Los exámenes Reactivos de SIFILIS NO DEBEN ser mayor a los exámenes Procesados. </v>
      </c>
      <c r="S151" s="1079"/>
      <c r="T151" s="1079"/>
      <c r="U151" s="1079"/>
      <c r="V151" s="1079"/>
      <c r="W151" s="1079"/>
      <c r="X151" s="1079"/>
      <c r="Y151" s="1079"/>
      <c r="Z151" s="1079"/>
      <c r="AA151" s="1079"/>
      <c r="AB151" s="1079"/>
      <c r="AC151" s="1079"/>
      <c r="AD151" s="884"/>
      <c r="AE151" s="884"/>
      <c r="CB151" s="2077" t="str">
        <f>IF(D151&gt;=E151,"","* Los exámenes Reactivos de Hepatitis B NO DEBEN ser mayor a los exámenes Procesados. ")</f>
        <v xml:space="preserve">* Los exámenes Reactivos de Hepatitis B NO DEBEN ser mayor a los exámenes Procesados. </v>
      </c>
      <c r="CC151" s="2077" t="str">
        <f>IF(G151&gt;=H151,"","* Los exámenes Reactivos de Hepatitis C NO DEBEN ser mayor a los exámenes Procesados. ")</f>
        <v xml:space="preserve">* Los exámenes Reactivos de Hepatitis C NO DEBEN ser mayor a los exámenes Procesados. </v>
      </c>
      <c r="CD151" s="2077" t="str">
        <f>IF(J151&gt;=K151,"","* Los exámenes Reactivos de CHAGAS NO DEBEN ser mayor a los exámenes Procesados. ")</f>
        <v xml:space="preserve">* Los exámenes Reactivos de CHAGAS NO DEBEN ser mayor a los exámenes Procesados. </v>
      </c>
      <c r="CE151" s="2077" t="str">
        <f>IF(M151&gt;=N151,"","* Los exámenes Reactivos de HTLV1 NO DEBEN ser mayor a los exámenes Procesados. ")</f>
        <v xml:space="preserve">* Los exámenes Reactivos de HTLV1 NO DEBEN ser mayor a los exámenes Procesados. </v>
      </c>
      <c r="CF151" s="2077" t="str">
        <f>IF(P151&gt;=Q151,"","* Los exámenes Reactivos de SIFILIS NO DEBEN ser mayor a los exámenes Procesados. ")</f>
        <v xml:space="preserve">* Los exámenes Reactivos de SIFILIS NO DEBEN ser mayor a los exámenes Procesados. </v>
      </c>
      <c r="DB151" s="1363">
        <f>IF(D151&gt;=E151,0,1)</f>
        <v>1</v>
      </c>
      <c r="DC151" s="1363">
        <f>IF(G151&gt;=H151,0,1)</f>
        <v>1</v>
      </c>
      <c r="DD151" s="1363">
        <f>IF(J151&gt;=K151,0,1)</f>
        <v>1</v>
      </c>
      <c r="DE151" s="1363">
        <f>IF(M151&gt;=N151,0,1)</f>
        <v>1</v>
      </c>
      <c r="DF151" s="1363">
        <f>IF(P151&gt;=Q151,0,1)</f>
        <v>1</v>
      </c>
      <c r="DG151" s="1363"/>
    </row>
    <row r="152" spans="1:131" ht="26.25" customHeight="1" x14ac:dyDescent="0.25">
      <c r="A152" s="2458">
        <v>11055140</v>
      </c>
      <c r="B152" s="6229" t="s">
        <v>2291</v>
      </c>
      <c r="C152" s="2041" t="s">
        <v>2292</v>
      </c>
      <c r="D152" s="137" t="s">
        <v>2777</v>
      </c>
      <c r="E152" s="110" t="s">
        <v>2778</v>
      </c>
      <c r="F152" s="1603" t="s">
        <v>2779</v>
      </c>
      <c r="G152" s="137" t="s">
        <v>2780</v>
      </c>
      <c r="H152" s="110" t="s">
        <v>2781</v>
      </c>
      <c r="I152" s="1603" t="s">
        <v>2782</v>
      </c>
      <c r="J152" s="137" t="s">
        <v>2783</v>
      </c>
      <c r="K152" s="110" t="s">
        <v>2784</v>
      </c>
      <c r="L152" s="1603" t="s">
        <v>2785</v>
      </c>
      <c r="M152" s="137" t="s">
        <v>2786</v>
      </c>
      <c r="N152" s="110" t="s">
        <v>2787</v>
      </c>
      <c r="O152" s="1603" t="s">
        <v>2788</v>
      </c>
      <c r="P152" s="137" t="s">
        <v>2789</v>
      </c>
      <c r="Q152" s="123" t="s">
        <v>2790</v>
      </c>
      <c r="R152" s="1165" t="str">
        <f t="shared" si="319"/>
        <v xml:space="preserve">* Los exámenes Reactivos de Hepatitis B NO DEBEN ser mayor a los exámenes Procesados. * Los exámenes Reactivos de Hepatitis C NO DEBEN ser mayor a los exámenes Procesados. * Los exámenes Reactivos de CHAGAS NO DEBEN ser mayor a los exámenes Procesados. * Los exámenes Reactivos de HTLV1 NO DEBEN ser mayor a los exámenes Procesados. * Los exámenes Reactivos de SIFILIS NO DEBEN ser mayor a los exámenes Procesados. </v>
      </c>
      <c r="S152" s="1079"/>
      <c r="T152" s="1079"/>
      <c r="U152" s="1079"/>
      <c r="V152" s="1079"/>
      <c r="W152" s="1079"/>
      <c r="X152" s="1079"/>
      <c r="Y152" s="1079"/>
      <c r="Z152" s="1079"/>
      <c r="AA152" s="1079"/>
      <c r="AB152" s="1079"/>
      <c r="AC152" s="1079"/>
      <c r="AD152" s="884"/>
      <c r="AE152" s="884"/>
      <c r="CB152" s="2077" t="str">
        <f>IF(D152&gt;=E152,"","* Los exámenes Reactivos de Hepatitis B NO DEBEN ser mayor a los exámenes Procesados. ")</f>
        <v xml:space="preserve">* Los exámenes Reactivos de Hepatitis B NO DEBEN ser mayor a los exámenes Procesados. </v>
      </c>
      <c r="CC152" s="2077" t="str">
        <f>IF(G152&gt;=H152,"","* Los exámenes Reactivos de Hepatitis C NO DEBEN ser mayor a los exámenes Procesados. ")</f>
        <v xml:space="preserve">* Los exámenes Reactivos de Hepatitis C NO DEBEN ser mayor a los exámenes Procesados. </v>
      </c>
      <c r="CD152" s="2077" t="str">
        <f>IF(J152&gt;=K152,"","* Los exámenes Reactivos de CHAGAS NO DEBEN ser mayor a los exámenes Procesados. ")</f>
        <v xml:space="preserve">* Los exámenes Reactivos de CHAGAS NO DEBEN ser mayor a los exámenes Procesados. </v>
      </c>
      <c r="CE152" s="2077" t="str">
        <f>IF(M152&gt;=N152,"","* Los exámenes Reactivos de HTLV1 NO DEBEN ser mayor a los exámenes Procesados. ")</f>
        <v xml:space="preserve">* Los exámenes Reactivos de HTLV1 NO DEBEN ser mayor a los exámenes Procesados. </v>
      </c>
      <c r="CF152" s="2077" t="str">
        <f>IF(P152&gt;=Q152,"","* Los exámenes Reactivos de SIFILIS NO DEBEN ser mayor a los exámenes Procesados. ")</f>
        <v xml:space="preserve">* Los exámenes Reactivos de SIFILIS NO DEBEN ser mayor a los exámenes Procesados. </v>
      </c>
      <c r="DB152" s="1363">
        <f>IF(D152&gt;=E152,0,1)</f>
        <v>1</v>
      </c>
      <c r="DC152" s="1363">
        <f>IF(G152&gt;=H152,0,1)</f>
        <v>1</v>
      </c>
      <c r="DD152" s="1363">
        <f>IF(J152&gt;=K152,0,1)</f>
        <v>1</v>
      </c>
      <c r="DE152" s="1363">
        <f>IF(M152&gt;=N152,0,1)</f>
        <v>1</v>
      </c>
      <c r="DF152" s="1363">
        <f>IF(P152&gt;=Q152,0,1)</f>
        <v>1</v>
      </c>
      <c r="DG152" s="1363"/>
    </row>
    <row r="153" spans="1:131" ht="25.5" customHeight="1" x14ac:dyDescent="0.25">
      <c r="A153" s="2458">
        <v>11055150</v>
      </c>
      <c r="B153" s="5252"/>
      <c r="C153" s="534" t="s">
        <v>2293</v>
      </c>
      <c r="D153" s="170" t="s">
        <v>2777</v>
      </c>
      <c r="E153" s="97" t="s">
        <v>2778</v>
      </c>
      <c r="F153" s="197" t="s">
        <v>2779</v>
      </c>
      <c r="G153" s="170" t="s">
        <v>2780</v>
      </c>
      <c r="H153" s="97" t="s">
        <v>2781</v>
      </c>
      <c r="I153" s="197" t="s">
        <v>2782</v>
      </c>
      <c r="J153" s="170" t="s">
        <v>2783</v>
      </c>
      <c r="K153" s="97" t="s">
        <v>2784</v>
      </c>
      <c r="L153" s="197" t="s">
        <v>2785</v>
      </c>
      <c r="M153" s="170" t="s">
        <v>2786</v>
      </c>
      <c r="N153" s="97" t="s">
        <v>2787</v>
      </c>
      <c r="O153" s="197" t="s">
        <v>2788</v>
      </c>
      <c r="P153" s="170" t="s">
        <v>2789</v>
      </c>
      <c r="Q153" s="171" t="s">
        <v>2790</v>
      </c>
      <c r="R153" s="1165" t="str">
        <f t="shared" si="319"/>
        <v xml:space="preserve">* Los exámenes Reactivos de Hepatitis B NO DEBEN ser mayor a los exámenes Procesados. * Los exámenes Reactivos de Hepatitis C NO DEBEN ser mayor a los exámenes Procesados. * Los exámenes Reactivos de CHAGAS NO DEBEN ser mayor a los exámenes Procesados. * Los exámenes Reactivos de HTLV1 NO DEBEN ser mayor a los exámenes Procesados. * Los exámenes Reactivos de SIFILIS NO DEBEN ser mayor a los exámenes Procesados. </v>
      </c>
      <c r="S153" s="1079"/>
      <c r="T153" s="1079"/>
      <c r="U153" s="1079"/>
      <c r="V153" s="1079"/>
      <c r="W153" s="1079"/>
      <c r="X153" s="1079"/>
      <c r="Y153" s="1079"/>
      <c r="Z153" s="1079"/>
      <c r="AA153" s="1079"/>
      <c r="AB153" s="1079"/>
      <c r="AC153" s="1079"/>
      <c r="AD153" s="884"/>
      <c r="AE153" s="884"/>
      <c r="CB153" s="2077" t="str">
        <f>IF(D153&gt;=E153,"","* Los exámenes Reactivos de Hepatitis B NO DEBEN ser mayor a los exámenes Procesados. ")</f>
        <v xml:space="preserve">* Los exámenes Reactivos de Hepatitis B NO DEBEN ser mayor a los exámenes Procesados. </v>
      </c>
      <c r="CC153" s="2077" t="str">
        <f>IF(G153&gt;=H153,"","* Los exámenes Reactivos de Hepatitis C NO DEBEN ser mayor a los exámenes Procesados. ")</f>
        <v xml:space="preserve">* Los exámenes Reactivos de Hepatitis C NO DEBEN ser mayor a los exámenes Procesados. </v>
      </c>
      <c r="CD153" s="2077" t="str">
        <f>IF(J153&gt;=K153,"","* Los exámenes Reactivos de CHAGAS NO DEBEN ser mayor a los exámenes Procesados. ")</f>
        <v xml:space="preserve">* Los exámenes Reactivos de CHAGAS NO DEBEN ser mayor a los exámenes Procesados. </v>
      </c>
      <c r="CE153" s="2077" t="str">
        <f>IF(M153&gt;=N153,"","* Los exámenes Reactivos de HTLV1 NO DEBEN ser mayor a los exámenes Procesados. ")</f>
        <v xml:space="preserve">* Los exámenes Reactivos de HTLV1 NO DEBEN ser mayor a los exámenes Procesados. </v>
      </c>
      <c r="CF153" s="2077" t="str">
        <f>IF(P153&gt;=Q153,"","* Los exámenes Reactivos de SIFILIS NO DEBEN ser mayor a los exámenes Procesados. ")</f>
        <v xml:space="preserve">* Los exámenes Reactivos de SIFILIS NO DEBEN ser mayor a los exámenes Procesados. </v>
      </c>
      <c r="DB153" s="1363">
        <f>IF(D153&gt;=E153,0,1)</f>
        <v>1</v>
      </c>
      <c r="DC153" s="1363">
        <f>IF(G153&gt;=H153,0,1)</f>
        <v>1</v>
      </c>
      <c r="DD153" s="1363">
        <f>IF(J153&gt;=K153,0,1)</f>
        <v>1</v>
      </c>
      <c r="DE153" s="1363">
        <f>IF(M153&gt;=N153,0,1)</f>
        <v>1</v>
      </c>
      <c r="DF153" s="1363">
        <f>IF(P153&gt;=Q153,0,1)</f>
        <v>1</v>
      </c>
      <c r="DG153" s="1363"/>
    </row>
    <row r="154" spans="1:131" ht="25.5" customHeight="1" x14ac:dyDescent="0.25">
      <c r="A154" s="2458">
        <v>11055160</v>
      </c>
      <c r="B154" s="5253"/>
      <c r="C154" s="1250" t="s">
        <v>2294</v>
      </c>
      <c r="D154" s="203" t="s">
        <v>2777</v>
      </c>
      <c r="E154" s="117" t="s">
        <v>2778</v>
      </c>
      <c r="F154" s="1367" t="s">
        <v>2779</v>
      </c>
      <c r="G154" s="203" t="s">
        <v>2780</v>
      </c>
      <c r="H154" s="117" t="s">
        <v>2781</v>
      </c>
      <c r="I154" s="1367" t="s">
        <v>2782</v>
      </c>
      <c r="J154" s="203" t="s">
        <v>2783</v>
      </c>
      <c r="K154" s="117" t="s">
        <v>2784</v>
      </c>
      <c r="L154" s="1367" t="s">
        <v>2785</v>
      </c>
      <c r="M154" s="203" t="s">
        <v>2786</v>
      </c>
      <c r="N154" s="117" t="s">
        <v>2787</v>
      </c>
      <c r="O154" s="1367" t="s">
        <v>2788</v>
      </c>
      <c r="P154" s="203" t="s">
        <v>2789</v>
      </c>
      <c r="Q154" s="204" t="s">
        <v>2790</v>
      </c>
      <c r="R154" s="1165" t="str">
        <f t="shared" si="319"/>
        <v xml:space="preserve">* Los exámenes Reactivos de Hepatitis B NO DEBEN ser mayor a los exámenes Procesados. * Los exámenes Reactivos de Hepatitis C NO DEBEN ser mayor a los exámenes Procesados. * Los exámenes Reactivos de CHAGAS NO DEBEN ser mayor a los exámenes Procesados. * Los exámenes Reactivos de HTLV1 NO DEBEN ser mayor a los exámenes Procesados. * Los exámenes Reactivos de SIFILIS NO DEBEN ser mayor a los exámenes Procesados. </v>
      </c>
      <c r="S154" s="1079"/>
      <c r="T154" s="1079"/>
      <c r="U154" s="1079"/>
      <c r="V154" s="1079"/>
      <c r="W154" s="1079"/>
      <c r="X154" s="1079"/>
      <c r="Y154" s="1079"/>
      <c r="Z154" s="1079"/>
      <c r="AA154" s="1079"/>
      <c r="AB154" s="1079"/>
      <c r="AC154" s="1079"/>
      <c r="AD154" s="884"/>
      <c r="AE154" s="884"/>
      <c r="CB154" s="2077" t="str">
        <f>IF(D154&gt;=E154,"","* Los exámenes Reactivos de Hepatitis B NO DEBEN ser mayor a los exámenes Procesados. ")</f>
        <v xml:space="preserve">* Los exámenes Reactivos de Hepatitis B NO DEBEN ser mayor a los exámenes Procesados. </v>
      </c>
      <c r="CC154" s="2077" t="str">
        <f>IF(G154&gt;=H154,"","* Los exámenes Reactivos de Hepatitis C NO DEBEN ser mayor a los exámenes Procesados. ")</f>
        <v xml:space="preserve">* Los exámenes Reactivos de Hepatitis C NO DEBEN ser mayor a los exámenes Procesados. </v>
      </c>
      <c r="CD154" s="2077" t="str">
        <f>IF(J154&gt;=K154,"","* Los exámenes Reactivos de CHAGAS NO DEBEN ser mayor a los exámenes Procesados. ")</f>
        <v xml:space="preserve">* Los exámenes Reactivos de CHAGAS NO DEBEN ser mayor a los exámenes Procesados. </v>
      </c>
      <c r="CE154" s="2077" t="str">
        <f>IF(M154&gt;=N154,"","* Los exámenes Reactivos de HTLV1 NO DEBEN ser mayor a los exámenes Procesados. ")</f>
        <v xml:space="preserve">* Los exámenes Reactivos de HTLV1 NO DEBEN ser mayor a los exámenes Procesados. </v>
      </c>
      <c r="CF154" s="2077" t="str">
        <f>IF(P154&gt;=Q154,"","* Los exámenes Reactivos de SIFILIS NO DEBEN ser mayor a los exámenes Procesados. ")</f>
        <v xml:space="preserve">* Los exámenes Reactivos de SIFILIS NO DEBEN ser mayor a los exámenes Procesados. </v>
      </c>
      <c r="DB154" s="1363">
        <f>IF(D154&gt;=E154,0,1)</f>
        <v>1</v>
      </c>
      <c r="DC154" s="1363">
        <f>IF(G154&gt;=H154,0,1)</f>
        <v>1</v>
      </c>
      <c r="DD154" s="1363">
        <f>IF(J154&gt;=K154,0,1)</f>
        <v>1</v>
      </c>
      <c r="DE154" s="1363">
        <f>IF(M154&gt;=N154,0,1)</f>
        <v>1</v>
      </c>
      <c r="DF154" s="1363">
        <f>IF(P154&gt;=Q154,0,1)</f>
        <v>1</v>
      </c>
      <c r="DG154" s="1363"/>
    </row>
    <row r="155" spans="1:131" ht="21" customHeight="1" x14ac:dyDescent="0.25">
      <c r="A155" s="2458">
        <v>11055170</v>
      </c>
      <c r="B155" s="6230" t="s">
        <v>2296</v>
      </c>
      <c r="C155" s="6231"/>
      <c r="D155" s="203" t="s">
        <v>2777</v>
      </c>
      <c r="E155" s="117" t="s">
        <v>2778</v>
      </c>
      <c r="F155" s="1367" t="s">
        <v>2779</v>
      </c>
      <c r="G155" s="203" t="s">
        <v>2780</v>
      </c>
      <c r="H155" s="117" t="s">
        <v>2781</v>
      </c>
      <c r="I155" s="1367" t="s">
        <v>2782</v>
      </c>
      <c r="J155" s="203" t="s">
        <v>2783</v>
      </c>
      <c r="K155" s="117" t="s">
        <v>2784</v>
      </c>
      <c r="L155" s="1367" t="s">
        <v>2785</v>
      </c>
      <c r="M155" s="203" t="s">
        <v>2786</v>
      </c>
      <c r="N155" s="117" t="s">
        <v>2787</v>
      </c>
      <c r="O155" s="1367" t="s">
        <v>2788</v>
      </c>
      <c r="P155" s="203" t="s">
        <v>2789</v>
      </c>
      <c r="Q155" s="204" t="s">
        <v>2790</v>
      </c>
      <c r="R155" s="1165" t="str">
        <f t="shared" si="319"/>
        <v xml:space="preserve">* Los exámenes Reactivos de Hepatitis B NO DEBEN ser mayor a los exámenes Procesados. * Los exámenes Reactivos de Hepatitis C NO DEBEN ser mayor a los exámenes Procesados. * Los exámenes Reactivos de CHAGAS NO DEBEN ser mayor a los exámenes Procesados. * Los exámenes Reactivos de HTLV1 NO DEBEN ser mayor a los exámenes Procesados. * Los exámenes Reactivos de SIFILIS NO DEBEN ser mayor a los exámenes Procesados. </v>
      </c>
      <c r="S155" s="1079"/>
      <c r="T155" s="1079"/>
      <c r="U155" s="1079"/>
      <c r="V155" s="1079"/>
      <c r="W155" s="1079"/>
      <c r="X155" s="1079"/>
      <c r="Y155" s="1079"/>
      <c r="Z155" s="1079"/>
      <c r="AA155" s="1079"/>
      <c r="AB155" s="1079"/>
      <c r="AC155" s="1079"/>
      <c r="AD155" s="884"/>
      <c r="AE155" s="884"/>
      <c r="CB155" s="2077" t="str">
        <f>IF(D155&gt;=E155,"","* Los exámenes Reactivos de Hepatitis B NO DEBEN ser mayor a los exámenes Procesados. ")</f>
        <v xml:space="preserve">* Los exámenes Reactivos de Hepatitis B NO DEBEN ser mayor a los exámenes Procesados. </v>
      </c>
      <c r="CC155" s="2077" t="str">
        <f>IF(G155&gt;=H155,"","* Los exámenes Reactivos de Hepatitis C NO DEBEN ser mayor a los exámenes Procesados. ")</f>
        <v xml:space="preserve">* Los exámenes Reactivos de Hepatitis C NO DEBEN ser mayor a los exámenes Procesados. </v>
      </c>
      <c r="CD155" s="2077" t="str">
        <f>IF(J155&gt;=K155,"","* Los exámenes Reactivos de CHAGAS NO DEBEN ser mayor a los exámenes Procesados. ")</f>
        <v xml:space="preserve">* Los exámenes Reactivos de CHAGAS NO DEBEN ser mayor a los exámenes Procesados. </v>
      </c>
      <c r="CE155" s="2077" t="str">
        <f>IF(M155&gt;=N155,"","* Los exámenes Reactivos de HTLV1 NO DEBEN ser mayor a los exámenes Procesados. ")</f>
        <v xml:space="preserve">* Los exámenes Reactivos de HTLV1 NO DEBEN ser mayor a los exámenes Procesados. </v>
      </c>
      <c r="CF155" s="2077" t="str">
        <f>IF(P155&gt;=Q155,"","* Los exámenes Reactivos de SIFILIS NO DEBEN ser mayor a los exámenes Procesados. ")</f>
        <v xml:space="preserve">* Los exámenes Reactivos de SIFILIS NO DEBEN ser mayor a los exámenes Procesados. </v>
      </c>
      <c r="DB155" s="1363">
        <f>IF(D155&gt;=E155,0,1)</f>
        <v>1</v>
      </c>
      <c r="DC155" s="1363">
        <f>IF(G155&gt;=H155,0,1)</f>
        <v>1</v>
      </c>
      <c r="DD155" s="1363">
        <f>IF(J155&gt;=K155,0,1)</f>
        <v>1</v>
      </c>
      <c r="DE155" s="1363">
        <f>IF(M155&gt;=N155,0,1)</f>
        <v>1</v>
      </c>
      <c r="DF155" s="1363">
        <f>IF(P155&gt;=Q155,0,1)</f>
        <v>1</v>
      </c>
      <c r="DG155" s="1363"/>
    </row>
    <row r="156" spans="1:131" ht="32.1" customHeight="1" x14ac:dyDescent="0.25">
      <c r="B156" s="6224" t="s">
        <v>2297</v>
      </c>
      <c r="C156" s="6224"/>
      <c r="D156" s="6224"/>
      <c r="E156" s="6224"/>
      <c r="F156" s="6224"/>
      <c r="G156" s="6224"/>
      <c r="H156" s="6224"/>
      <c r="I156" s="6224"/>
      <c r="J156" s="6224"/>
      <c r="K156" s="6224"/>
      <c r="L156" s="6224"/>
      <c r="M156" s="6224"/>
      <c r="N156" s="6224"/>
      <c r="O156" s="6224"/>
      <c r="P156" s="6224"/>
      <c r="Q156" s="6224"/>
      <c r="R156" s="6225"/>
      <c r="S156" s="190"/>
      <c r="T156" s="190"/>
      <c r="U156" s="190"/>
      <c r="V156" s="190"/>
      <c r="W156" s="190"/>
      <c r="X156" s="190"/>
      <c r="Y156" s="190"/>
      <c r="Z156" s="190"/>
      <c r="AA156" s="190"/>
      <c r="AB156" s="190"/>
      <c r="AC156" s="190"/>
      <c r="AD156" s="190"/>
      <c r="AE156" s="190"/>
      <c r="AF156" s="190"/>
      <c r="AG156" s="190"/>
      <c r="AH156" s="190"/>
      <c r="AI156" s="190"/>
      <c r="AJ156" s="190"/>
      <c r="AK156" s="190"/>
      <c r="AT156" s="884"/>
      <c r="AU156" s="2042"/>
      <c r="AV156" s="2042"/>
      <c r="AW156" s="2043"/>
      <c r="AX156" s="2043"/>
      <c r="AY156" s="2043"/>
      <c r="AZ156" s="2043"/>
      <c r="BA156" s="884"/>
      <c r="BB156" s="884"/>
      <c r="BC156" s="884"/>
      <c r="BD156" s="884"/>
      <c r="BE156" s="884"/>
      <c r="BF156" s="884"/>
      <c r="BG156" s="884"/>
      <c r="BH156" s="884"/>
      <c r="BI156" s="884"/>
      <c r="BJ156" s="884"/>
      <c r="BK156" s="884"/>
      <c r="BL156" s="884"/>
      <c r="BM156" s="884"/>
      <c r="BN156" s="884"/>
      <c r="BO156" s="884"/>
      <c r="BP156" s="884"/>
    </row>
    <row r="157" spans="1:131" ht="32.1" customHeight="1" x14ac:dyDescent="0.25">
      <c r="B157" s="6232" t="s">
        <v>2284</v>
      </c>
      <c r="C157" s="6020"/>
      <c r="D157" s="6208" t="s">
        <v>42</v>
      </c>
      <c r="E157" s="6209"/>
      <c r="F157" s="6234" t="s">
        <v>1865</v>
      </c>
      <c r="G157" s="6235"/>
      <c r="H157" s="6235"/>
      <c r="I157" s="6235"/>
      <c r="J157" s="6235"/>
      <c r="K157" s="6235"/>
      <c r="L157" s="6235"/>
      <c r="M157" s="6235"/>
      <c r="N157" s="6235"/>
      <c r="O157" s="6235"/>
      <c r="P157" s="6235"/>
      <c r="Q157" s="6235"/>
      <c r="R157" s="6235"/>
      <c r="S157" s="6235"/>
      <c r="T157" s="6235"/>
      <c r="U157" s="6235"/>
      <c r="V157" s="6235"/>
      <c r="W157" s="6235"/>
      <c r="X157" s="6235"/>
      <c r="Y157" s="6235"/>
      <c r="Z157" s="6235"/>
      <c r="AA157" s="6235"/>
      <c r="AB157" s="6235"/>
      <c r="AC157" s="6235"/>
      <c r="AD157" s="6235"/>
      <c r="AE157" s="6235"/>
      <c r="AF157" s="6235"/>
      <c r="AG157" s="6235"/>
      <c r="AH157" s="6235"/>
      <c r="AI157" s="6235"/>
      <c r="AJ157" s="6235"/>
      <c r="AK157" s="6236"/>
      <c r="AL157" s="6238" t="s">
        <v>195</v>
      </c>
      <c r="AM157" s="6238"/>
      <c r="AN157" s="6238"/>
      <c r="AO157" s="6239"/>
      <c r="AP157" s="6240" t="s">
        <v>411</v>
      </c>
      <c r="AQ157" s="6238"/>
      <c r="AR157" s="6238"/>
      <c r="AS157" s="6239"/>
      <c r="AT157" s="6241" t="s">
        <v>2298</v>
      </c>
      <c r="AU157" s="6242"/>
      <c r="AV157" s="6241" t="s">
        <v>1358</v>
      </c>
      <c r="AW157" s="6245"/>
      <c r="AX157" s="6248" t="s">
        <v>2029</v>
      </c>
      <c r="AY157" s="6249"/>
      <c r="AZ157" s="884"/>
      <c r="BA157" s="884"/>
      <c r="BB157" s="884"/>
      <c r="BC157" s="884"/>
      <c r="BD157" s="884"/>
      <c r="BE157" s="884"/>
      <c r="BF157" s="884"/>
      <c r="BG157" s="884"/>
      <c r="BH157" s="884"/>
      <c r="BI157" s="884"/>
      <c r="BJ157" s="884"/>
      <c r="BK157" s="884"/>
      <c r="BL157" s="884"/>
      <c r="BS157" s="884"/>
      <c r="BT157" s="884"/>
      <c r="BU157" s="884"/>
      <c r="BV157" s="885"/>
    </row>
    <row r="158" spans="1:131" ht="16.350000000000001" customHeight="1" x14ac:dyDescent="0.25">
      <c r="B158" s="5121"/>
      <c r="C158" s="5143"/>
      <c r="D158" s="6210"/>
      <c r="E158" s="6211"/>
      <c r="F158" s="6251" t="s">
        <v>2299</v>
      </c>
      <c r="G158" s="5730"/>
      <c r="H158" s="6251" t="s">
        <v>1355</v>
      </c>
      <c r="I158" s="5730"/>
      <c r="J158" s="6251" t="s">
        <v>2300</v>
      </c>
      <c r="K158" s="5730"/>
      <c r="L158" s="6234" t="s">
        <v>124</v>
      </c>
      <c r="M158" s="6237"/>
      <c r="N158" s="6234" t="s">
        <v>125</v>
      </c>
      <c r="O158" s="6237"/>
      <c r="P158" s="6234" t="s">
        <v>126</v>
      </c>
      <c r="Q158" s="6237"/>
      <c r="R158" s="6234" t="s">
        <v>167</v>
      </c>
      <c r="S158" s="6237"/>
      <c r="T158" s="6234" t="s">
        <v>651</v>
      </c>
      <c r="U158" s="6237"/>
      <c r="V158" s="6234" t="s">
        <v>652</v>
      </c>
      <c r="W158" s="6237"/>
      <c r="X158" s="6234" t="s">
        <v>653</v>
      </c>
      <c r="Y158" s="6237"/>
      <c r="Z158" s="6234" t="s">
        <v>654</v>
      </c>
      <c r="AA158" s="6237"/>
      <c r="AB158" s="6234" t="s">
        <v>655</v>
      </c>
      <c r="AC158" s="6237"/>
      <c r="AD158" s="6234" t="s">
        <v>656</v>
      </c>
      <c r="AE158" s="6237"/>
      <c r="AF158" s="6234" t="s">
        <v>657</v>
      </c>
      <c r="AG158" s="6237"/>
      <c r="AH158" s="6234" t="s">
        <v>263</v>
      </c>
      <c r="AI158" s="6237"/>
      <c r="AJ158" s="6234" t="s">
        <v>2301</v>
      </c>
      <c r="AK158" s="6236"/>
      <c r="AL158" s="6254" t="s">
        <v>24</v>
      </c>
      <c r="AM158" s="6253"/>
      <c r="AN158" s="6254" t="s">
        <v>25</v>
      </c>
      <c r="AO158" s="6255"/>
      <c r="AP158" s="6252" t="s">
        <v>1351</v>
      </c>
      <c r="AQ158" s="6253"/>
      <c r="AR158" s="6254" t="s">
        <v>1350</v>
      </c>
      <c r="AS158" s="6255"/>
      <c r="AT158" s="6243"/>
      <c r="AU158" s="6244"/>
      <c r="AV158" s="6246"/>
      <c r="AW158" s="6247"/>
      <c r="AX158" s="6250"/>
      <c r="AY158" s="5417"/>
      <c r="AZ158" s="884"/>
      <c r="BA158" s="884"/>
      <c r="BB158" s="884"/>
      <c r="BC158" s="884"/>
      <c r="BD158" s="884"/>
      <c r="BE158" s="884"/>
      <c r="BF158" s="884"/>
      <c r="BG158" s="884"/>
      <c r="BH158" s="884"/>
      <c r="BI158" s="884"/>
      <c r="BJ158" s="884"/>
      <c r="BK158" s="884"/>
      <c r="BR158" s="884"/>
      <c r="BS158" s="884"/>
      <c r="BT158" s="884"/>
      <c r="BU158" s="885"/>
      <c r="BV158" s="885"/>
    </row>
    <row r="159" spans="1:131" ht="32.25" customHeight="1" x14ac:dyDescent="0.25">
      <c r="B159" s="6233"/>
      <c r="C159" s="5297"/>
      <c r="D159" s="1597" t="s">
        <v>2257</v>
      </c>
      <c r="E159" s="1733" t="s">
        <v>2302</v>
      </c>
      <c r="F159" s="1910" t="s">
        <v>2257</v>
      </c>
      <c r="G159" s="1733" t="s">
        <v>2302</v>
      </c>
      <c r="H159" s="1910" t="s">
        <v>2257</v>
      </c>
      <c r="I159" s="1733" t="s">
        <v>2302</v>
      </c>
      <c r="J159" s="1910" t="s">
        <v>2257</v>
      </c>
      <c r="K159" s="1733" t="s">
        <v>2302</v>
      </c>
      <c r="L159" s="1910" t="s">
        <v>2257</v>
      </c>
      <c r="M159" s="1733" t="s">
        <v>2302</v>
      </c>
      <c r="N159" s="1910" t="s">
        <v>2257</v>
      </c>
      <c r="O159" s="1733" t="s">
        <v>2302</v>
      </c>
      <c r="P159" s="1910" t="s">
        <v>2257</v>
      </c>
      <c r="Q159" s="1733" t="s">
        <v>2302</v>
      </c>
      <c r="R159" s="1910" t="s">
        <v>2257</v>
      </c>
      <c r="S159" s="1733" t="s">
        <v>2302</v>
      </c>
      <c r="T159" s="1910" t="s">
        <v>2257</v>
      </c>
      <c r="U159" s="1733" t="s">
        <v>2302</v>
      </c>
      <c r="V159" s="1910" t="s">
        <v>2257</v>
      </c>
      <c r="W159" s="1733" t="s">
        <v>2302</v>
      </c>
      <c r="X159" s="1910" t="s">
        <v>2257</v>
      </c>
      <c r="Y159" s="1733" t="s">
        <v>2302</v>
      </c>
      <c r="Z159" s="1910" t="s">
        <v>2257</v>
      </c>
      <c r="AA159" s="1733" t="s">
        <v>2302</v>
      </c>
      <c r="AB159" s="1910" t="s">
        <v>2257</v>
      </c>
      <c r="AC159" s="1733" t="s">
        <v>2302</v>
      </c>
      <c r="AD159" s="1910" t="s">
        <v>2257</v>
      </c>
      <c r="AE159" s="1733" t="s">
        <v>2302</v>
      </c>
      <c r="AF159" s="1910" t="s">
        <v>2257</v>
      </c>
      <c r="AG159" s="1733" t="s">
        <v>2302</v>
      </c>
      <c r="AH159" s="1910" t="s">
        <v>2257</v>
      </c>
      <c r="AI159" s="1733" t="s">
        <v>2302</v>
      </c>
      <c r="AJ159" s="1910" t="s">
        <v>2257</v>
      </c>
      <c r="AK159" s="2078" t="s">
        <v>2302</v>
      </c>
      <c r="AL159" s="1732" t="s">
        <v>2257</v>
      </c>
      <c r="AM159" s="1733" t="s">
        <v>2302</v>
      </c>
      <c r="AN159" s="1910" t="s">
        <v>2257</v>
      </c>
      <c r="AO159" s="1733" t="s">
        <v>2302</v>
      </c>
      <c r="AP159" s="2079" t="s">
        <v>2257</v>
      </c>
      <c r="AQ159" s="1733" t="s">
        <v>2302</v>
      </c>
      <c r="AR159" s="1910" t="s">
        <v>2257</v>
      </c>
      <c r="AS159" s="1733" t="s">
        <v>2302</v>
      </c>
      <c r="AT159" s="2079" t="s">
        <v>2257</v>
      </c>
      <c r="AU159" s="1733" t="s">
        <v>2302</v>
      </c>
      <c r="AV159" s="2079" t="s">
        <v>2257</v>
      </c>
      <c r="AW159" s="2080" t="s">
        <v>2302</v>
      </c>
      <c r="AX159" s="2079" t="s">
        <v>2257</v>
      </c>
      <c r="AY159" s="2080" t="s">
        <v>2302</v>
      </c>
      <c r="AZ159" s="884"/>
      <c r="BA159" s="884"/>
      <c r="BB159" s="884"/>
      <c r="BC159" s="884"/>
      <c r="BD159" s="884"/>
      <c r="BE159" s="884"/>
      <c r="BF159" s="884"/>
      <c r="BG159" s="884"/>
      <c r="BH159" s="884"/>
      <c r="BI159" s="884"/>
      <c r="BJ159" s="884"/>
      <c r="BK159" s="884"/>
      <c r="BR159" s="884"/>
      <c r="BS159" s="884"/>
      <c r="BT159" s="884"/>
      <c r="BU159" s="885"/>
      <c r="BV159" s="885"/>
    </row>
    <row r="160" spans="1:131" ht="16.350000000000001" customHeight="1" x14ac:dyDescent="0.25">
      <c r="A160" s="2458">
        <v>11052500</v>
      </c>
      <c r="B160" s="6256" t="s">
        <v>2303</v>
      </c>
      <c r="C160" s="6257"/>
      <c r="D160" s="1862" t="s">
        <v>2777</v>
      </c>
      <c r="E160" s="1863" t="s">
        <v>2778</v>
      </c>
      <c r="F160" s="96" t="s">
        <v>2779</v>
      </c>
      <c r="G160" s="98" t="s">
        <v>2780</v>
      </c>
      <c r="H160" s="96" t="s">
        <v>2781</v>
      </c>
      <c r="I160" s="98" t="s">
        <v>2782</v>
      </c>
      <c r="J160" s="96" t="s">
        <v>2783</v>
      </c>
      <c r="K160" s="98" t="s">
        <v>2784</v>
      </c>
      <c r="L160" s="96" t="s">
        <v>2785</v>
      </c>
      <c r="M160" s="98" t="s">
        <v>2786</v>
      </c>
      <c r="N160" s="137" t="s">
        <v>2787</v>
      </c>
      <c r="O160" s="110" t="s">
        <v>2788</v>
      </c>
      <c r="P160" s="137" t="s">
        <v>2789</v>
      </c>
      <c r="Q160" s="110" t="s">
        <v>2790</v>
      </c>
      <c r="R160" s="137" t="s">
        <v>2791</v>
      </c>
      <c r="S160" s="110" t="s">
        <v>2792</v>
      </c>
      <c r="T160" s="137" t="s">
        <v>2793</v>
      </c>
      <c r="U160" s="110" t="s">
        <v>2794</v>
      </c>
      <c r="V160" s="137" t="s">
        <v>2795</v>
      </c>
      <c r="W160" s="110" t="s">
        <v>2796</v>
      </c>
      <c r="X160" s="137" t="s">
        <v>2797</v>
      </c>
      <c r="Y160" s="110" t="s">
        <v>2798</v>
      </c>
      <c r="Z160" s="137" t="s">
        <v>2799</v>
      </c>
      <c r="AA160" s="110" t="s">
        <v>2800</v>
      </c>
      <c r="AB160" s="137" t="s">
        <v>2801</v>
      </c>
      <c r="AC160" s="110" t="s">
        <v>2817</v>
      </c>
      <c r="AD160" s="137" t="s">
        <v>2818</v>
      </c>
      <c r="AE160" s="110" t="s">
        <v>2819</v>
      </c>
      <c r="AF160" s="137" t="s">
        <v>2821</v>
      </c>
      <c r="AG160" s="110" t="s">
        <v>2822</v>
      </c>
      <c r="AH160" s="96" t="s">
        <v>2823</v>
      </c>
      <c r="AI160" s="99" t="s">
        <v>2824</v>
      </c>
      <c r="AJ160" s="96" t="s">
        <v>2825</v>
      </c>
      <c r="AK160" s="602" t="s">
        <v>2826</v>
      </c>
      <c r="AL160" s="1124" t="s">
        <v>2827</v>
      </c>
      <c r="AM160" s="1125" t="s">
        <v>2831</v>
      </c>
      <c r="AN160" s="170" t="s">
        <v>2832</v>
      </c>
      <c r="AO160" s="500" t="s">
        <v>2833</v>
      </c>
      <c r="AP160" s="592" t="s">
        <v>2834</v>
      </c>
      <c r="AQ160" s="198" t="s">
        <v>3011</v>
      </c>
      <c r="AR160" s="180" t="s">
        <v>3012</v>
      </c>
      <c r="AS160" s="498" t="s">
        <v>3013</v>
      </c>
      <c r="AT160" s="592" t="s">
        <v>3014</v>
      </c>
      <c r="AU160" s="498" t="s">
        <v>3015</v>
      </c>
      <c r="AV160" s="592" t="s">
        <v>3206</v>
      </c>
      <c r="AW160" s="198" t="s">
        <v>3207</v>
      </c>
      <c r="AX160" s="592" t="s">
        <v>3272</v>
      </c>
      <c r="AY160" s="198" t="s">
        <v>3273</v>
      </c>
      <c r="AZ160" s="1079" t="str">
        <f t="shared" ref="AZ160:AZ182" si="320">$CB160&amp;$CC160&amp;$CD160&amp;$CE160&amp;$CF160&amp;$CG160&amp;$CH160&amp;$CI160&amp;$CJ160&amp;$CK160&amp;$CL160&amp;$CM160&amp;$CN160&amp;$CO160&amp;$CP160&amp;$CQ160&amp;$CR160&amp;$CS160&amp;$CT160&amp;$CU160&amp;$CV160&amp;$CW160&amp;$CX160&amp;$CY160&amp;$CZ160&amp;$DA160</f>
        <v/>
      </c>
      <c r="BA160" s="1079"/>
      <c r="BB160" s="1079"/>
      <c r="BC160" s="1079"/>
      <c r="BD160" s="1079"/>
      <c r="BE160" s="1079"/>
      <c r="BF160" s="1079"/>
      <c r="BG160" s="1079"/>
      <c r="BH160" s="884"/>
      <c r="BI160" s="884"/>
      <c r="BJ160" s="884"/>
      <c r="BK160" s="884"/>
      <c r="BR160" s="884"/>
      <c r="BS160" s="884"/>
      <c r="BT160" s="884"/>
      <c r="BU160" s="885"/>
      <c r="BV160" s="885"/>
      <c r="CB160" s="2077"/>
      <c r="CC160" s="2077"/>
      <c r="CD160" s="2077"/>
      <c r="CE160" s="2077"/>
      <c r="CF160" s="2077"/>
      <c r="CG160" s="2077"/>
      <c r="CH160" s="2077"/>
      <c r="CI160" s="2077"/>
      <c r="CJ160" s="2077"/>
      <c r="CK160" s="2077"/>
      <c r="CL160" s="2077"/>
      <c r="CM160" s="2077"/>
      <c r="CN160" s="2077"/>
      <c r="CO160" s="2077"/>
      <c r="CP160" s="2077"/>
      <c r="CQ160" s="2077"/>
      <c r="CR160" s="2077"/>
      <c r="CS160" s="2077"/>
      <c r="CT160" s="2077"/>
      <c r="CU160" s="2077"/>
      <c r="CV160" s="2077"/>
      <c r="CW160" s="2077"/>
      <c r="CX160" s="2077" t="str">
        <f>IF(DX160=1,"* No olvide digitar la columna Procesados Trans y/o Pueblos Originarios y/o Migrantes (Digite Cero si no tiene). ","")</f>
        <v/>
      </c>
      <c r="CY160" s="2077" t="str">
        <f>IF(DY160=1,"* No olvide digitar la columna Confirmados Trans y/o Pueblos Originarios y/o Migrantes (Digite Cero si no tiene). ","")</f>
        <v/>
      </c>
      <c r="CZ160" s="2077"/>
      <c r="DA160" s="2077"/>
      <c r="DB160" s="1363"/>
      <c r="DC160" s="1363"/>
      <c r="DD160" s="1363"/>
      <c r="DE160" s="1363"/>
      <c r="DF160" s="1363"/>
      <c r="DG160" s="1363"/>
      <c r="DH160" s="1363"/>
      <c r="DI160" s="1363"/>
      <c r="DJ160" s="1363"/>
      <c r="DK160" s="1363"/>
      <c r="DL160" s="1363"/>
      <c r="DM160" s="1363"/>
      <c r="DN160" s="1363"/>
      <c r="DO160" s="1363"/>
      <c r="DP160" s="1363"/>
      <c r="DQ160" s="1363"/>
      <c r="DR160" s="1363"/>
      <c r="DS160" s="1363"/>
      <c r="DT160" s="1363"/>
      <c r="DU160" s="1363"/>
      <c r="DV160" s="1363"/>
      <c r="DW160" s="1363"/>
      <c r="DX160" s="1363">
        <f>IF(AND(D160&lt;&gt;0,OR(AP160="",AR160="",AT160="",AV160="")),1,0)</f>
        <v>0</v>
      </c>
      <c r="DY160" s="1363">
        <f>IF(AND(E160&lt;&gt;0,OR(AQ160="",AS160="",AU160="",AW160="")),1,0)</f>
        <v>0</v>
      </c>
      <c r="DZ160" s="1363"/>
      <c r="EA160" s="1363"/>
    </row>
    <row r="161" spans="1:131" ht="16.350000000000001" customHeight="1" x14ac:dyDescent="0.25">
      <c r="A161" s="2458">
        <v>11052600</v>
      </c>
      <c r="B161" s="5958" t="s">
        <v>2304</v>
      </c>
      <c r="C161" s="5294"/>
      <c r="D161" s="1864" t="s">
        <v>2777</v>
      </c>
      <c r="E161" s="708" t="s">
        <v>2778</v>
      </c>
      <c r="F161" s="173" t="s">
        <v>2779</v>
      </c>
      <c r="G161" s="145" t="s">
        <v>2780</v>
      </c>
      <c r="H161" s="173" t="s">
        <v>2781</v>
      </c>
      <c r="I161" s="145" t="s">
        <v>2782</v>
      </c>
      <c r="J161" s="173" t="s">
        <v>2783</v>
      </c>
      <c r="K161" s="145" t="s">
        <v>2784</v>
      </c>
      <c r="L161" s="173" t="s">
        <v>2785</v>
      </c>
      <c r="M161" s="145" t="s">
        <v>2786</v>
      </c>
      <c r="N161" s="170" t="s">
        <v>2787</v>
      </c>
      <c r="O161" s="97" t="s">
        <v>2788</v>
      </c>
      <c r="P161" s="170" t="s">
        <v>2789</v>
      </c>
      <c r="Q161" s="97" t="s">
        <v>2790</v>
      </c>
      <c r="R161" s="170" t="s">
        <v>2791</v>
      </c>
      <c r="S161" s="97" t="s">
        <v>2792</v>
      </c>
      <c r="T161" s="170" t="s">
        <v>2793</v>
      </c>
      <c r="U161" s="97" t="s">
        <v>2794</v>
      </c>
      <c r="V161" s="170" t="s">
        <v>2795</v>
      </c>
      <c r="W161" s="97" t="s">
        <v>2796</v>
      </c>
      <c r="X161" s="170" t="s">
        <v>2797</v>
      </c>
      <c r="Y161" s="97" t="s">
        <v>2798</v>
      </c>
      <c r="Z161" s="170" t="s">
        <v>2799</v>
      </c>
      <c r="AA161" s="97" t="s">
        <v>2800</v>
      </c>
      <c r="AB161" s="170" t="s">
        <v>2801</v>
      </c>
      <c r="AC161" s="97" t="s">
        <v>2817</v>
      </c>
      <c r="AD161" s="170" t="s">
        <v>2818</v>
      </c>
      <c r="AE161" s="97" t="s">
        <v>2819</v>
      </c>
      <c r="AF161" s="170" t="s">
        <v>2821</v>
      </c>
      <c r="AG161" s="97" t="s">
        <v>2822</v>
      </c>
      <c r="AH161" s="173" t="s">
        <v>2823</v>
      </c>
      <c r="AI161" s="162" t="s">
        <v>2824</v>
      </c>
      <c r="AJ161" s="173" t="s">
        <v>2825</v>
      </c>
      <c r="AK161" s="507" t="s">
        <v>2826</v>
      </c>
      <c r="AL161" s="1605" t="s">
        <v>2827</v>
      </c>
      <c r="AM161" s="1105" t="s">
        <v>2831</v>
      </c>
      <c r="AN161" s="141" t="s">
        <v>2832</v>
      </c>
      <c r="AO161" s="498" t="s">
        <v>2833</v>
      </c>
      <c r="AP161" s="592" t="s">
        <v>2834</v>
      </c>
      <c r="AQ161" s="198" t="s">
        <v>3011</v>
      </c>
      <c r="AR161" s="180" t="s">
        <v>3012</v>
      </c>
      <c r="AS161" s="498" t="s">
        <v>3013</v>
      </c>
      <c r="AT161" s="592" t="s">
        <v>3014</v>
      </c>
      <c r="AU161" s="498" t="s">
        <v>3015</v>
      </c>
      <c r="AV161" s="592" t="s">
        <v>3206</v>
      </c>
      <c r="AW161" s="198" t="s">
        <v>3207</v>
      </c>
      <c r="AX161" s="592" t="s">
        <v>3272</v>
      </c>
      <c r="AY161" s="198" t="s">
        <v>3273</v>
      </c>
      <c r="AZ161" s="1079" t="str">
        <f t="shared" si="320"/>
        <v/>
      </c>
      <c r="BA161" s="1079"/>
      <c r="BB161" s="1079"/>
      <c r="BC161" s="1079"/>
      <c r="BD161" s="1079"/>
      <c r="BE161" s="1079"/>
      <c r="BF161" s="1079"/>
      <c r="BG161" s="1079"/>
      <c r="BH161" s="884"/>
      <c r="BI161" s="884"/>
      <c r="BJ161" s="884"/>
      <c r="BK161" s="884"/>
      <c r="BR161" s="884"/>
      <c r="BS161" s="884"/>
      <c r="BT161" s="884"/>
      <c r="BU161" s="885"/>
      <c r="BV161" s="885"/>
      <c r="CB161" s="2077"/>
      <c r="CC161" s="2077"/>
      <c r="CD161" s="2077"/>
      <c r="CE161" s="2077"/>
      <c r="CF161" s="2077"/>
      <c r="CG161" s="2077"/>
      <c r="CH161" s="2077"/>
      <c r="CI161" s="2077"/>
      <c r="CJ161" s="2077"/>
      <c r="CK161" s="2077"/>
      <c r="CL161" s="2077"/>
      <c r="CM161" s="2077"/>
      <c r="CN161" s="2077"/>
      <c r="CO161" s="2077"/>
      <c r="CP161" s="2077"/>
      <c r="CQ161" s="2077"/>
      <c r="CR161" s="2077"/>
      <c r="CS161" s="2077"/>
      <c r="CT161" s="2077"/>
      <c r="CU161" s="2077"/>
      <c r="CV161" s="2077"/>
      <c r="CW161" s="2077"/>
      <c r="CX161" s="2077" t="str">
        <f t="shared" ref="CX161:CX182" si="321">IF(DX161=1,"* No olvide digitar la columna Procesados Trans y/o Pueblos Originarios y/o Migrantes (Digite Cero si no tiene). ","")</f>
        <v/>
      </c>
      <c r="CY161" s="2077" t="str">
        <f t="shared" ref="CY161:CY182" si="322">IF(DY161=1,"* No olvide digitar la columna Confirmados Trans y/o Pueblos Originarios y/o Migrantes (Digite Cero si no tiene). ","")</f>
        <v/>
      </c>
      <c r="CZ161" s="2077"/>
      <c r="DA161" s="2077"/>
      <c r="DB161" s="1363"/>
      <c r="DC161" s="1363"/>
      <c r="DD161" s="1363"/>
      <c r="DE161" s="1363"/>
      <c r="DF161" s="1363"/>
      <c r="DG161" s="1363"/>
      <c r="DH161" s="1363"/>
      <c r="DI161" s="1363"/>
      <c r="DJ161" s="1363"/>
      <c r="DK161" s="1363"/>
      <c r="DL161" s="1363"/>
      <c r="DM161" s="1363"/>
      <c r="DN161" s="1363"/>
      <c r="DO161" s="1363"/>
      <c r="DP161" s="1363"/>
      <c r="DQ161" s="1363"/>
      <c r="DR161" s="1363"/>
      <c r="DS161" s="1363"/>
      <c r="DT161" s="1363"/>
      <c r="DU161" s="1363"/>
      <c r="DV161" s="1363"/>
      <c r="DW161" s="1363"/>
      <c r="DX161" s="1363">
        <f t="shared" ref="DX161:DY176" si="323">IF(AND(D161&lt;&gt;0,OR(AP161="",AR161="",AT161="",AV161="")),1,0)</f>
        <v>0</v>
      </c>
      <c r="DY161" s="1363">
        <f t="shared" si="323"/>
        <v>0</v>
      </c>
      <c r="DZ161" s="1363"/>
      <c r="EA161" s="1363"/>
    </row>
    <row r="162" spans="1:131" ht="16.350000000000001" customHeight="1" x14ac:dyDescent="0.25">
      <c r="A162" s="2458">
        <v>11052700</v>
      </c>
      <c r="B162" s="5958" t="s">
        <v>2305</v>
      </c>
      <c r="C162" s="5294"/>
      <c r="D162" s="1864" t="s">
        <v>2777</v>
      </c>
      <c r="E162" s="708" t="s">
        <v>2778</v>
      </c>
      <c r="F162" s="173" t="s">
        <v>2779</v>
      </c>
      <c r="G162" s="145" t="s">
        <v>2780</v>
      </c>
      <c r="H162" s="173" t="s">
        <v>2781</v>
      </c>
      <c r="I162" s="145" t="s">
        <v>2782</v>
      </c>
      <c r="J162" s="173" t="s">
        <v>2783</v>
      </c>
      <c r="K162" s="145" t="s">
        <v>2784</v>
      </c>
      <c r="L162" s="173" t="s">
        <v>2785</v>
      </c>
      <c r="M162" s="145" t="s">
        <v>2786</v>
      </c>
      <c r="N162" s="141" t="s">
        <v>2787</v>
      </c>
      <c r="O162" s="142" t="s">
        <v>2788</v>
      </c>
      <c r="P162" s="141" t="s">
        <v>2789</v>
      </c>
      <c r="Q162" s="142" t="s">
        <v>2790</v>
      </c>
      <c r="R162" s="141" t="s">
        <v>2791</v>
      </c>
      <c r="S162" s="142" t="s">
        <v>2792</v>
      </c>
      <c r="T162" s="141" t="s">
        <v>2793</v>
      </c>
      <c r="U162" s="142" t="s">
        <v>2794</v>
      </c>
      <c r="V162" s="141" t="s">
        <v>2795</v>
      </c>
      <c r="W162" s="142" t="s">
        <v>2796</v>
      </c>
      <c r="X162" s="141" t="s">
        <v>2797</v>
      </c>
      <c r="Y162" s="142" t="s">
        <v>2798</v>
      </c>
      <c r="Z162" s="141" t="s">
        <v>2799</v>
      </c>
      <c r="AA162" s="142" t="s">
        <v>2800</v>
      </c>
      <c r="AB162" s="141" t="s">
        <v>2801</v>
      </c>
      <c r="AC162" s="142" t="s">
        <v>2817</v>
      </c>
      <c r="AD162" s="141" t="s">
        <v>2818</v>
      </c>
      <c r="AE162" s="142" t="s">
        <v>2819</v>
      </c>
      <c r="AF162" s="141" t="s">
        <v>2821</v>
      </c>
      <c r="AG162" s="142" t="s">
        <v>2822</v>
      </c>
      <c r="AH162" s="173" t="s">
        <v>2823</v>
      </c>
      <c r="AI162" s="162" t="s">
        <v>2824</v>
      </c>
      <c r="AJ162" s="173" t="s">
        <v>2825</v>
      </c>
      <c r="AK162" s="507" t="s">
        <v>2826</v>
      </c>
      <c r="AL162" s="1605" t="s">
        <v>2827</v>
      </c>
      <c r="AM162" s="1105" t="s">
        <v>2831</v>
      </c>
      <c r="AN162" s="141" t="s">
        <v>2832</v>
      </c>
      <c r="AO162" s="498" t="s">
        <v>2833</v>
      </c>
      <c r="AP162" s="592" t="s">
        <v>2834</v>
      </c>
      <c r="AQ162" s="198" t="s">
        <v>3011</v>
      </c>
      <c r="AR162" s="180" t="s">
        <v>3012</v>
      </c>
      <c r="AS162" s="498" t="s">
        <v>3013</v>
      </c>
      <c r="AT162" s="592" t="s">
        <v>3014</v>
      </c>
      <c r="AU162" s="498" t="s">
        <v>3015</v>
      </c>
      <c r="AV162" s="592" t="s">
        <v>3206</v>
      </c>
      <c r="AW162" s="198" t="s">
        <v>3207</v>
      </c>
      <c r="AX162" s="592" t="s">
        <v>3272</v>
      </c>
      <c r="AY162" s="198" t="s">
        <v>3273</v>
      </c>
      <c r="AZ162" s="1079" t="str">
        <f t="shared" si="320"/>
        <v/>
      </c>
      <c r="BA162" s="1079"/>
      <c r="BB162" s="1079"/>
      <c r="BC162" s="1079"/>
      <c r="BD162" s="1079"/>
      <c r="BE162" s="1079"/>
      <c r="BF162" s="1079"/>
      <c r="BG162" s="1079"/>
      <c r="BH162" s="884"/>
      <c r="BI162" s="884"/>
      <c r="BJ162" s="884"/>
      <c r="BK162" s="884"/>
      <c r="BR162" s="884"/>
      <c r="BS162" s="884"/>
      <c r="BT162" s="884"/>
      <c r="BU162" s="885"/>
      <c r="BV162" s="885"/>
      <c r="CB162" s="2077"/>
      <c r="CC162" s="2077"/>
      <c r="CD162" s="2077"/>
      <c r="CE162" s="2077"/>
      <c r="CF162" s="2077"/>
      <c r="CG162" s="2077"/>
      <c r="CH162" s="2077"/>
      <c r="CI162" s="2077"/>
      <c r="CJ162" s="2077"/>
      <c r="CK162" s="2077"/>
      <c r="CL162" s="2077"/>
      <c r="CM162" s="2077"/>
      <c r="CN162" s="2077"/>
      <c r="CO162" s="2077"/>
      <c r="CP162" s="2077"/>
      <c r="CQ162" s="2077"/>
      <c r="CR162" s="2077"/>
      <c r="CS162" s="2077"/>
      <c r="CT162" s="2077"/>
      <c r="CU162" s="2077"/>
      <c r="CV162" s="2077"/>
      <c r="CW162" s="2077"/>
      <c r="CX162" s="2077" t="str">
        <f t="shared" si="321"/>
        <v/>
      </c>
      <c r="CY162" s="2077" t="str">
        <f t="shared" si="322"/>
        <v/>
      </c>
      <c r="CZ162" s="2077"/>
      <c r="DA162" s="2077"/>
      <c r="DB162" s="1363"/>
      <c r="DC162" s="1363"/>
      <c r="DD162" s="1363"/>
      <c r="DE162" s="1363"/>
      <c r="DF162" s="1363"/>
      <c r="DG162" s="1363"/>
      <c r="DH162" s="1363"/>
      <c r="DI162" s="1363"/>
      <c r="DJ162" s="1363"/>
      <c r="DK162" s="1363"/>
      <c r="DL162" s="1363"/>
      <c r="DM162" s="1363"/>
      <c r="DN162" s="1363"/>
      <c r="DO162" s="1363"/>
      <c r="DP162" s="1363"/>
      <c r="DQ162" s="1363"/>
      <c r="DR162" s="1363"/>
      <c r="DS162" s="1363"/>
      <c r="DT162" s="1363"/>
      <c r="DU162" s="1363"/>
      <c r="DV162" s="1363"/>
      <c r="DW162" s="1363"/>
      <c r="DX162" s="1363">
        <f t="shared" si="323"/>
        <v>0</v>
      </c>
      <c r="DY162" s="1363">
        <f t="shared" si="323"/>
        <v>0</v>
      </c>
      <c r="DZ162" s="1363"/>
      <c r="EA162" s="1363"/>
    </row>
    <row r="163" spans="1:131" ht="16.350000000000001" customHeight="1" x14ac:dyDescent="0.25">
      <c r="A163" s="2458">
        <v>11052800</v>
      </c>
      <c r="B163" s="5958" t="s">
        <v>2269</v>
      </c>
      <c r="C163" s="5294"/>
      <c r="D163" s="1864" t="s">
        <v>2777</v>
      </c>
      <c r="E163" s="1865" t="s">
        <v>2778</v>
      </c>
      <c r="F163" s="173" t="s">
        <v>2779</v>
      </c>
      <c r="G163" s="145" t="s">
        <v>2780</v>
      </c>
      <c r="H163" s="173" t="s">
        <v>2781</v>
      </c>
      <c r="I163" s="145" t="s">
        <v>2782</v>
      </c>
      <c r="J163" s="173" t="s">
        <v>2783</v>
      </c>
      <c r="K163" s="145" t="s">
        <v>2784</v>
      </c>
      <c r="L163" s="173" t="s">
        <v>2785</v>
      </c>
      <c r="M163" s="145" t="s">
        <v>2786</v>
      </c>
      <c r="N163" s="173" t="s">
        <v>2787</v>
      </c>
      <c r="O163" s="145" t="s">
        <v>2788</v>
      </c>
      <c r="P163" s="141" t="s">
        <v>2789</v>
      </c>
      <c r="Q163" s="142" t="s">
        <v>2790</v>
      </c>
      <c r="R163" s="141" t="s">
        <v>2791</v>
      </c>
      <c r="S163" s="142" t="s">
        <v>2792</v>
      </c>
      <c r="T163" s="141" t="s">
        <v>2793</v>
      </c>
      <c r="U163" s="142" t="s">
        <v>2794</v>
      </c>
      <c r="V163" s="141" t="s">
        <v>2795</v>
      </c>
      <c r="W163" s="142" t="s">
        <v>2796</v>
      </c>
      <c r="X163" s="141" t="s">
        <v>2797</v>
      </c>
      <c r="Y163" s="142" t="s">
        <v>2798</v>
      </c>
      <c r="Z163" s="141" t="s">
        <v>2799</v>
      </c>
      <c r="AA163" s="142" t="s">
        <v>2800</v>
      </c>
      <c r="AB163" s="141" t="s">
        <v>2801</v>
      </c>
      <c r="AC163" s="142" t="s">
        <v>2817</v>
      </c>
      <c r="AD163" s="141" t="s">
        <v>2818</v>
      </c>
      <c r="AE163" s="142" t="s">
        <v>2819</v>
      </c>
      <c r="AF163" s="141" t="s">
        <v>2821</v>
      </c>
      <c r="AG163" s="142" t="s">
        <v>2822</v>
      </c>
      <c r="AH163" s="141" t="s">
        <v>2823</v>
      </c>
      <c r="AI163" s="142" t="s">
        <v>2824</v>
      </c>
      <c r="AJ163" s="141" t="s">
        <v>2825</v>
      </c>
      <c r="AK163" s="142" t="s">
        <v>2826</v>
      </c>
      <c r="AL163" s="592" t="s">
        <v>2827</v>
      </c>
      <c r="AM163" s="198" t="s">
        <v>2831</v>
      </c>
      <c r="AN163" s="141" t="s">
        <v>2832</v>
      </c>
      <c r="AO163" s="498" t="s">
        <v>2833</v>
      </c>
      <c r="AP163" s="592" t="s">
        <v>2834</v>
      </c>
      <c r="AQ163" s="198" t="s">
        <v>3011</v>
      </c>
      <c r="AR163" s="180" t="s">
        <v>3012</v>
      </c>
      <c r="AS163" s="498" t="s">
        <v>3013</v>
      </c>
      <c r="AT163" s="592" t="s">
        <v>3014</v>
      </c>
      <c r="AU163" s="498" t="s">
        <v>3015</v>
      </c>
      <c r="AV163" s="592" t="s">
        <v>3206</v>
      </c>
      <c r="AW163" s="198" t="s">
        <v>3207</v>
      </c>
      <c r="AX163" s="592" t="s">
        <v>3272</v>
      </c>
      <c r="AY163" s="198" t="s">
        <v>3273</v>
      </c>
      <c r="AZ163" s="1079" t="str">
        <f t="shared" si="320"/>
        <v/>
      </c>
      <c r="BA163" s="1079"/>
      <c r="BB163" s="1079"/>
      <c r="BC163" s="1079"/>
      <c r="BD163" s="1079"/>
      <c r="BE163" s="1079"/>
      <c r="BF163" s="1079"/>
      <c r="BG163" s="1079"/>
      <c r="BH163" s="884"/>
      <c r="BI163" s="884"/>
      <c r="BJ163" s="884"/>
      <c r="BK163" s="884"/>
      <c r="BR163" s="884"/>
      <c r="BS163" s="884"/>
      <c r="BT163" s="884"/>
      <c r="BU163" s="885"/>
      <c r="BV163" s="885"/>
      <c r="CB163" s="2077"/>
      <c r="CC163" s="2077"/>
      <c r="CD163" s="2077"/>
      <c r="CE163" s="2077"/>
      <c r="CF163" s="2077"/>
      <c r="CG163" s="2077"/>
      <c r="CH163" s="2077"/>
      <c r="CI163" s="2077"/>
      <c r="CJ163" s="2077"/>
      <c r="CK163" s="2077"/>
      <c r="CL163" s="2077"/>
      <c r="CM163" s="2077"/>
      <c r="CN163" s="2077"/>
      <c r="CO163" s="2077"/>
      <c r="CP163" s="2077"/>
      <c r="CQ163" s="2077"/>
      <c r="CR163" s="2077"/>
      <c r="CS163" s="2077"/>
      <c r="CT163" s="2077"/>
      <c r="CU163" s="2077"/>
      <c r="CV163" s="2077"/>
      <c r="CW163" s="2077"/>
      <c r="CX163" s="2077" t="str">
        <f t="shared" si="321"/>
        <v/>
      </c>
      <c r="CY163" s="2077" t="str">
        <f t="shared" si="322"/>
        <v/>
      </c>
      <c r="CZ163" s="2077"/>
      <c r="DA163" s="2077"/>
      <c r="DB163" s="1363"/>
      <c r="DC163" s="1363"/>
      <c r="DD163" s="1363"/>
      <c r="DE163" s="1363"/>
      <c r="DF163" s="1363"/>
      <c r="DG163" s="1363"/>
      <c r="DH163" s="1363"/>
      <c r="DI163" s="1363"/>
      <c r="DJ163" s="1363"/>
      <c r="DK163" s="1363"/>
      <c r="DL163" s="1363"/>
      <c r="DM163" s="1363"/>
      <c r="DN163" s="1363"/>
      <c r="DO163" s="1363"/>
      <c r="DP163" s="1363"/>
      <c r="DQ163" s="1363"/>
      <c r="DR163" s="1363"/>
      <c r="DS163" s="1363"/>
      <c r="DT163" s="1363"/>
      <c r="DU163" s="1363"/>
      <c r="DV163" s="1363"/>
      <c r="DW163" s="1363"/>
      <c r="DX163" s="1363">
        <f t="shared" si="323"/>
        <v>0</v>
      </c>
      <c r="DY163" s="1363">
        <f t="shared" si="323"/>
        <v>0</v>
      </c>
    </row>
    <row r="164" spans="1:131" ht="16.350000000000001" customHeight="1" x14ac:dyDescent="0.25">
      <c r="A164" s="2458">
        <v>11052900</v>
      </c>
      <c r="B164" s="5958" t="s">
        <v>2275</v>
      </c>
      <c r="C164" s="5294"/>
      <c r="D164" s="1864" t="s">
        <v>2777</v>
      </c>
      <c r="E164" s="1865" t="s">
        <v>2778</v>
      </c>
      <c r="F164" s="141" t="s">
        <v>2779</v>
      </c>
      <c r="G164" s="142" t="s">
        <v>2780</v>
      </c>
      <c r="H164" s="141" t="s">
        <v>2781</v>
      </c>
      <c r="I164" s="142" t="s">
        <v>2782</v>
      </c>
      <c r="J164" s="141" t="s">
        <v>2783</v>
      </c>
      <c r="K164" s="142" t="s">
        <v>2784</v>
      </c>
      <c r="L164" s="141" t="s">
        <v>2785</v>
      </c>
      <c r="M164" s="142" t="s">
        <v>2786</v>
      </c>
      <c r="N164" s="141" t="s">
        <v>2787</v>
      </c>
      <c r="O164" s="142" t="s">
        <v>2788</v>
      </c>
      <c r="P164" s="141" t="s">
        <v>2789</v>
      </c>
      <c r="Q164" s="142" t="s">
        <v>2790</v>
      </c>
      <c r="R164" s="141" t="s">
        <v>2791</v>
      </c>
      <c r="S164" s="142" t="s">
        <v>2792</v>
      </c>
      <c r="T164" s="141" t="s">
        <v>2793</v>
      </c>
      <c r="U164" s="142" t="s">
        <v>2794</v>
      </c>
      <c r="V164" s="141" t="s">
        <v>2795</v>
      </c>
      <c r="W164" s="142" t="s">
        <v>2796</v>
      </c>
      <c r="X164" s="141" t="s">
        <v>2797</v>
      </c>
      <c r="Y164" s="142" t="s">
        <v>2798</v>
      </c>
      <c r="Z164" s="141" t="s">
        <v>2799</v>
      </c>
      <c r="AA164" s="142" t="s">
        <v>2800</v>
      </c>
      <c r="AB164" s="141" t="s">
        <v>2801</v>
      </c>
      <c r="AC164" s="142" t="s">
        <v>2817</v>
      </c>
      <c r="AD164" s="141" t="s">
        <v>2818</v>
      </c>
      <c r="AE164" s="142" t="s">
        <v>2819</v>
      </c>
      <c r="AF164" s="141" t="s">
        <v>2821</v>
      </c>
      <c r="AG164" s="142" t="s">
        <v>2822</v>
      </c>
      <c r="AH164" s="141" t="s">
        <v>2823</v>
      </c>
      <c r="AI164" s="142" t="s">
        <v>2824</v>
      </c>
      <c r="AJ164" s="141" t="s">
        <v>2825</v>
      </c>
      <c r="AK164" s="142" t="s">
        <v>2826</v>
      </c>
      <c r="AL164" s="689" t="s">
        <v>2827</v>
      </c>
      <c r="AM164" s="285" t="s">
        <v>2831</v>
      </c>
      <c r="AN164" s="425" t="s">
        <v>2832</v>
      </c>
      <c r="AO164" s="498" t="s">
        <v>2833</v>
      </c>
      <c r="AP164" s="592" t="s">
        <v>2834</v>
      </c>
      <c r="AQ164" s="198" t="s">
        <v>3011</v>
      </c>
      <c r="AR164" s="180" t="s">
        <v>3012</v>
      </c>
      <c r="AS164" s="498" t="s">
        <v>3013</v>
      </c>
      <c r="AT164" s="592" t="s">
        <v>3014</v>
      </c>
      <c r="AU164" s="498" t="s">
        <v>3015</v>
      </c>
      <c r="AV164" s="592" t="s">
        <v>3206</v>
      </c>
      <c r="AW164" s="198" t="s">
        <v>3207</v>
      </c>
      <c r="AX164" s="592" t="s">
        <v>3272</v>
      </c>
      <c r="AY164" s="198" t="s">
        <v>3273</v>
      </c>
      <c r="AZ164" s="1079" t="str">
        <f t="shared" si="320"/>
        <v/>
      </c>
      <c r="BA164" s="1079"/>
      <c r="BB164" s="1079"/>
      <c r="BC164" s="1079"/>
      <c r="BD164" s="1079"/>
      <c r="BE164" s="1079"/>
      <c r="BF164" s="1079"/>
      <c r="BG164" s="1079"/>
      <c r="BH164" s="884"/>
      <c r="BI164" s="884"/>
      <c r="BJ164" s="884"/>
      <c r="BK164" s="884"/>
      <c r="BR164" s="884"/>
      <c r="BS164" s="884"/>
      <c r="BT164" s="884"/>
      <c r="BU164" s="885"/>
      <c r="BV164" s="885"/>
      <c r="CB164" s="2077"/>
      <c r="CC164" s="2077"/>
      <c r="CD164" s="2077"/>
      <c r="CE164" s="2077"/>
      <c r="CF164" s="2077"/>
      <c r="CG164" s="2077"/>
      <c r="CH164" s="2077"/>
      <c r="CI164" s="2077"/>
      <c r="CJ164" s="2077"/>
      <c r="CK164" s="2077"/>
      <c r="CL164" s="2077"/>
      <c r="CM164" s="2077"/>
      <c r="CN164" s="2077"/>
      <c r="CO164" s="2077"/>
      <c r="CP164" s="2077"/>
      <c r="CQ164" s="2077"/>
      <c r="CR164" s="2077"/>
      <c r="CS164" s="2077"/>
      <c r="CT164" s="2077"/>
      <c r="CU164" s="2077"/>
      <c r="CV164" s="2077"/>
      <c r="CW164" s="2077"/>
      <c r="CX164" s="2077" t="str">
        <f t="shared" si="321"/>
        <v/>
      </c>
      <c r="CY164" s="2077" t="str">
        <f t="shared" si="322"/>
        <v/>
      </c>
      <c r="CZ164" s="2077"/>
      <c r="DA164" s="2077"/>
      <c r="DB164" s="1363"/>
      <c r="DC164" s="1363"/>
      <c r="DD164" s="1363"/>
      <c r="DE164" s="1363"/>
      <c r="DF164" s="1363"/>
      <c r="DG164" s="1363"/>
      <c r="DH164" s="1363"/>
      <c r="DI164" s="1363"/>
      <c r="DJ164" s="1363"/>
      <c r="DK164" s="1363"/>
      <c r="DL164" s="1363"/>
      <c r="DM164" s="1363"/>
      <c r="DN164" s="1363"/>
      <c r="DO164" s="1363"/>
      <c r="DP164" s="1363"/>
      <c r="DQ164" s="1363"/>
      <c r="DR164" s="1363"/>
      <c r="DS164" s="1363"/>
      <c r="DT164" s="1363"/>
      <c r="DU164" s="1363"/>
      <c r="DV164" s="1363"/>
      <c r="DW164" s="1363"/>
      <c r="DX164" s="1363">
        <f t="shared" si="323"/>
        <v>0</v>
      </c>
      <c r="DY164" s="1363">
        <f t="shared" si="323"/>
        <v>0</v>
      </c>
    </row>
    <row r="165" spans="1:131" ht="16.350000000000001" customHeight="1" x14ac:dyDescent="0.25">
      <c r="A165" s="2458">
        <v>11053000</v>
      </c>
      <c r="B165" s="5958" t="s">
        <v>2306</v>
      </c>
      <c r="C165" s="5294"/>
      <c r="D165" s="1864" t="s">
        <v>2777</v>
      </c>
      <c r="E165" s="708" t="s">
        <v>2778</v>
      </c>
      <c r="F165" s="141" t="s">
        <v>2779</v>
      </c>
      <c r="G165" s="142" t="s">
        <v>2780</v>
      </c>
      <c r="H165" s="141" t="s">
        <v>2781</v>
      </c>
      <c r="I165" s="142" t="s">
        <v>2782</v>
      </c>
      <c r="J165" s="141" t="s">
        <v>2783</v>
      </c>
      <c r="K165" s="142" t="s">
        <v>2784</v>
      </c>
      <c r="L165" s="141" t="s">
        <v>2785</v>
      </c>
      <c r="M165" s="142" t="s">
        <v>2786</v>
      </c>
      <c r="N165" s="141" t="s">
        <v>2787</v>
      </c>
      <c r="O165" s="142" t="s">
        <v>2788</v>
      </c>
      <c r="P165" s="141" t="s">
        <v>2789</v>
      </c>
      <c r="Q165" s="142" t="s">
        <v>2790</v>
      </c>
      <c r="R165" s="141" t="s">
        <v>2791</v>
      </c>
      <c r="S165" s="142" t="s">
        <v>2792</v>
      </c>
      <c r="T165" s="141" t="s">
        <v>2793</v>
      </c>
      <c r="U165" s="142" t="s">
        <v>2794</v>
      </c>
      <c r="V165" s="141" t="s">
        <v>2795</v>
      </c>
      <c r="W165" s="142" t="s">
        <v>2796</v>
      </c>
      <c r="X165" s="141" t="s">
        <v>2797</v>
      </c>
      <c r="Y165" s="142" t="s">
        <v>2798</v>
      </c>
      <c r="Z165" s="141" t="s">
        <v>2799</v>
      </c>
      <c r="AA165" s="142" t="s">
        <v>2800</v>
      </c>
      <c r="AB165" s="141" t="s">
        <v>2801</v>
      </c>
      <c r="AC165" s="142" t="s">
        <v>2817</v>
      </c>
      <c r="AD165" s="141" t="s">
        <v>2818</v>
      </c>
      <c r="AE165" s="142" t="s">
        <v>2819</v>
      </c>
      <c r="AF165" s="141" t="s">
        <v>2821</v>
      </c>
      <c r="AG165" s="142" t="s">
        <v>2822</v>
      </c>
      <c r="AH165" s="141" t="s">
        <v>2823</v>
      </c>
      <c r="AI165" s="142" t="s">
        <v>2824</v>
      </c>
      <c r="AJ165" s="141" t="s">
        <v>2825</v>
      </c>
      <c r="AK165" s="142" t="s">
        <v>2826</v>
      </c>
      <c r="AL165" s="592" t="s">
        <v>2827</v>
      </c>
      <c r="AM165" s="198" t="s">
        <v>2831</v>
      </c>
      <c r="AN165" s="141" t="s">
        <v>2832</v>
      </c>
      <c r="AO165" s="498" t="s">
        <v>2833</v>
      </c>
      <c r="AP165" s="592" t="s">
        <v>2834</v>
      </c>
      <c r="AQ165" s="198" t="s">
        <v>3011</v>
      </c>
      <c r="AR165" s="180" t="s">
        <v>3012</v>
      </c>
      <c r="AS165" s="498" t="s">
        <v>3013</v>
      </c>
      <c r="AT165" s="592" t="s">
        <v>3014</v>
      </c>
      <c r="AU165" s="498" t="s">
        <v>3015</v>
      </c>
      <c r="AV165" s="592" t="s">
        <v>3206</v>
      </c>
      <c r="AW165" s="198" t="s">
        <v>3207</v>
      </c>
      <c r="AX165" s="592" t="s">
        <v>3272</v>
      </c>
      <c r="AY165" s="198" t="s">
        <v>3273</v>
      </c>
      <c r="AZ165" s="1079" t="str">
        <f t="shared" si="320"/>
        <v/>
      </c>
      <c r="BA165" s="1079"/>
      <c r="BB165" s="1079"/>
      <c r="BC165" s="1079"/>
      <c r="BD165" s="1079"/>
      <c r="BE165" s="1079"/>
      <c r="BF165" s="1079"/>
      <c r="BG165" s="1079"/>
      <c r="BH165" s="884"/>
      <c r="BI165" s="884"/>
      <c r="BJ165" s="884"/>
      <c r="BK165" s="884"/>
      <c r="BR165" s="884"/>
      <c r="BS165" s="884"/>
      <c r="BT165" s="884"/>
      <c r="BU165" s="885"/>
      <c r="BV165" s="885"/>
      <c r="CB165" s="2077"/>
      <c r="CC165" s="2077"/>
      <c r="CD165" s="2077"/>
      <c r="CE165" s="2077"/>
      <c r="CF165" s="2077"/>
      <c r="CG165" s="2077"/>
      <c r="CH165" s="2077"/>
      <c r="CI165" s="2077"/>
      <c r="CJ165" s="2077"/>
      <c r="CK165" s="2077"/>
      <c r="CL165" s="2077"/>
      <c r="CM165" s="2077"/>
      <c r="CN165" s="2077"/>
      <c r="CO165" s="2077"/>
      <c r="CP165" s="2077"/>
      <c r="CQ165" s="2077"/>
      <c r="CR165" s="2077"/>
      <c r="CS165" s="2077"/>
      <c r="CT165" s="2077"/>
      <c r="CU165" s="2077"/>
      <c r="CV165" s="2077"/>
      <c r="CW165" s="2077"/>
      <c r="CX165" s="2077" t="str">
        <f t="shared" si="321"/>
        <v/>
      </c>
      <c r="CY165" s="2077" t="str">
        <f t="shared" si="322"/>
        <v/>
      </c>
      <c r="CZ165" s="2077"/>
      <c r="DA165" s="2077"/>
      <c r="DB165" s="1363"/>
      <c r="DC165" s="1363"/>
      <c r="DD165" s="1363"/>
      <c r="DE165" s="1363"/>
      <c r="DF165" s="1363"/>
      <c r="DG165" s="1363"/>
      <c r="DH165" s="1363"/>
      <c r="DI165" s="1363"/>
      <c r="DJ165" s="1363"/>
      <c r="DK165" s="1363"/>
      <c r="DL165" s="1363"/>
      <c r="DM165" s="1363"/>
      <c r="DN165" s="1363"/>
      <c r="DO165" s="1363"/>
      <c r="DP165" s="1363"/>
      <c r="DQ165" s="1363"/>
      <c r="DR165" s="1363"/>
      <c r="DS165" s="1363"/>
      <c r="DT165" s="1363"/>
      <c r="DU165" s="1363"/>
      <c r="DV165" s="1363"/>
      <c r="DW165" s="1363"/>
      <c r="DX165" s="1363">
        <f t="shared" si="323"/>
        <v>0</v>
      </c>
      <c r="DY165" s="1363">
        <f t="shared" si="323"/>
        <v>0</v>
      </c>
    </row>
    <row r="166" spans="1:131" ht="17.25" customHeight="1" x14ac:dyDescent="0.25">
      <c r="A166" s="2458">
        <v>11054500</v>
      </c>
      <c r="B166" s="5556" t="s">
        <v>2307</v>
      </c>
      <c r="C166" s="5557"/>
      <c r="D166" s="1864" t="s">
        <v>2777</v>
      </c>
      <c r="E166" s="708" t="s">
        <v>2778</v>
      </c>
      <c r="F166" s="173" t="s">
        <v>2779</v>
      </c>
      <c r="G166" s="145" t="s">
        <v>2780</v>
      </c>
      <c r="H166" s="173" t="s">
        <v>2781</v>
      </c>
      <c r="I166" s="145" t="s">
        <v>2782</v>
      </c>
      <c r="J166" s="173" t="s">
        <v>2783</v>
      </c>
      <c r="K166" s="145" t="s">
        <v>2784</v>
      </c>
      <c r="L166" s="173" t="s">
        <v>2785</v>
      </c>
      <c r="M166" s="145" t="s">
        <v>2786</v>
      </c>
      <c r="N166" s="173" t="s">
        <v>2787</v>
      </c>
      <c r="O166" s="145" t="s">
        <v>2788</v>
      </c>
      <c r="P166" s="141" t="s">
        <v>2789</v>
      </c>
      <c r="Q166" s="142" t="s">
        <v>2790</v>
      </c>
      <c r="R166" s="141" t="s">
        <v>2791</v>
      </c>
      <c r="S166" s="142" t="s">
        <v>2792</v>
      </c>
      <c r="T166" s="141" t="s">
        <v>2793</v>
      </c>
      <c r="U166" s="142" t="s">
        <v>2794</v>
      </c>
      <c r="V166" s="141" t="s">
        <v>2795</v>
      </c>
      <c r="W166" s="142" t="s">
        <v>2796</v>
      </c>
      <c r="X166" s="141" t="s">
        <v>2797</v>
      </c>
      <c r="Y166" s="142" t="s">
        <v>2798</v>
      </c>
      <c r="Z166" s="141" t="s">
        <v>2799</v>
      </c>
      <c r="AA166" s="142" t="s">
        <v>2800</v>
      </c>
      <c r="AB166" s="141" t="s">
        <v>2801</v>
      </c>
      <c r="AC166" s="142" t="s">
        <v>2817</v>
      </c>
      <c r="AD166" s="141" t="s">
        <v>2818</v>
      </c>
      <c r="AE166" s="142" t="s">
        <v>2819</v>
      </c>
      <c r="AF166" s="141" t="s">
        <v>2821</v>
      </c>
      <c r="AG166" s="142" t="s">
        <v>2822</v>
      </c>
      <c r="AH166" s="141" t="s">
        <v>2823</v>
      </c>
      <c r="AI166" s="142" t="s">
        <v>2824</v>
      </c>
      <c r="AJ166" s="141" t="s">
        <v>2825</v>
      </c>
      <c r="AK166" s="142" t="s">
        <v>2826</v>
      </c>
      <c r="AL166" s="592" t="s">
        <v>2827</v>
      </c>
      <c r="AM166" s="198" t="s">
        <v>2831</v>
      </c>
      <c r="AN166" s="141" t="s">
        <v>2832</v>
      </c>
      <c r="AO166" s="498" t="s">
        <v>2833</v>
      </c>
      <c r="AP166" s="592" t="s">
        <v>2834</v>
      </c>
      <c r="AQ166" s="198" t="s">
        <v>3011</v>
      </c>
      <c r="AR166" s="180" t="s">
        <v>3012</v>
      </c>
      <c r="AS166" s="498" t="s">
        <v>3013</v>
      </c>
      <c r="AT166" s="592" t="s">
        <v>3014</v>
      </c>
      <c r="AU166" s="498" t="s">
        <v>3015</v>
      </c>
      <c r="AV166" s="592" t="s">
        <v>3206</v>
      </c>
      <c r="AW166" s="198" t="s">
        <v>3207</v>
      </c>
      <c r="AX166" s="592" t="s">
        <v>3272</v>
      </c>
      <c r="AY166" s="198" t="s">
        <v>3273</v>
      </c>
      <c r="AZ166" s="1079" t="str">
        <f t="shared" si="320"/>
        <v/>
      </c>
      <c r="BA166" s="1079"/>
      <c r="BB166" s="1079"/>
      <c r="BC166" s="1079"/>
      <c r="BD166" s="1079"/>
      <c r="BE166" s="1079"/>
      <c r="BF166" s="1079"/>
      <c r="BG166" s="1079"/>
      <c r="BH166" s="884"/>
      <c r="BI166" s="884"/>
      <c r="BJ166" s="884"/>
      <c r="BK166" s="884"/>
      <c r="BR166" s="884"/>
      <c r="BS166" s="884"/>
      <c r="BT166" s="884"/>
      <c r="BU166" s="885"/>
      <c r="BV166" s="885"/>
      <c r="CB166" s="2077"/>
      <c r="CC166" s="2077"/>
      <c r="CD166" s="2077"/>
      <c r="CE166" s="2077"/>
      <c r="CF166" s="2077"/>
      <c r="CG166" s="2077"/>
      <c r="CH166" s="2077"/>
      <c r="CI166" s="2077"/>
      <c r="CJ166" s="2077"/>
      <c r="CK166" s="2077"/>
      <c r="CL166" s="2077"/>
      <c r="CM166" s="2077"/>
      <c r="CN166" s="2077"/>
      <c r="CO166" s="2077"/>
      <c r="CP166" s="2077"/>
      <c r="CQ166" s="2077"/>
      <c r="CR166" s="2077"/>
      <c r="CS166" s="2077"/>
      <c r="CT166" s="2077"/>
      <c r="CU166" s="2077"/>
      <c r="CV166" s="2077"/>
      <c r="CW166" s="2077"/>
      <c r="CX166" s="2077" t="str">
        <f t="shared" si="321"/>
        <v/>
      </c>
      <c r="CY166" s="2077" t="str">
        <f t="shared" si="322"/>
        <v/>
      </c>
      <c r="CZ166" s="2077"/>
      <c r="DA166" s="2077"/>
      <c r="DB166" s="1363"/>
      <c r="DC166" s="1363"/>
      <c r="DD166" s="1363"/>
      <c r="DE166" s="1363"/>
      <c r="DF166" s="1363"/>
      <c r="DG166" s="1363"/>
      <c r="DH166" s="1363"/>
      <c r="DI166" s="1363"/>
      <c r="DJ166" s="1363"/>
      <c r="DK166" s="1363"/>
      <c r="DL166" s="1363"/>
      <c r="DM166" s="1363"/>
      <c r="DN166" s="1363"/>
      <c r="DO166" s="1363"/>
      <c r="DP166" s="1363"/>
      <c r="DQ166" s="1363"/>
      <c r="DR166" s="1363"/>
      <c r="DS166" s="1363"/>
      <c r="DT166" s="1363"/>
      <c r="DU166" s="1363"/>
      <c r="DV166" s="1363"/>
      <c r="DW166" s="1363"/>
      <c r="DX166" s="1363">
        <f t="shared" si="323"/>
        <v>0</v>
      </c>
      <c r="DY166" s="1363">
        <f t="shared" si="323"/>
        <v>0</v>
      </c>
    </row>
    <row r="167" spans="1:131" ht="16.350000000000001" customHeight="1" x14ac:dyDescent="0.25">
      <c r="A167" s="2458">
        <v>11054600</v>
      </c>
      <c r="B167" s="5958" t="s">
        <v>2272</v>
      </c>
      <c r="C167" s="5294"/>
      <c r="D167" s="1864" t="s">
        <v>2777</v>
      </c>
      <c r="E167" s="708" t="s">
        <v>2778</v>
      </c>
      <c r="F167" s="173" t="s">
        <v>2779</v>
      </c>
      <c r="G167" s="145" t="s">
        <v>2780</v>
      </c>
      <c r="H167" s="173" t="s">
        <v>2781</v>
      </c>
      <c r="I167" s="145" t="s">
        <v>2782</v>
      </c>
      <c r="J167" s="173" t="s">
        <v>2783</v>
      </c>
      <c r="K167" s="145" t="s">
        <v>2784</v>
      </c>
      <c r="L167" s="173" t="s">
        <v>2785</v>
      </c>
      <c r="M167" s="145" t="s">
        <v>2786</v>
      </c>
      <c r="N167" s="173" t="s">
        <v>2787</v>
      </c>
      <c r="O167" s="145" t="s">
        <v>2788</v>
      </c>
      <c r="P167" s="141" t="s">
        <v>2789</v>
      </c>
      <c r="Q167" s="142" t="s">
        <v>2790</v>
      </c>
      <c r="R167" s="141" t="s">
        <v>2791</v>
      </c>
      <c r="S167" s="142" t="s">
        <v>2792</v>
      </c>
      <c r="T167" s="141" t="s">
        <v>2793</v>
      </c>
      <c r="U167" s="142" t="s">
        <v>2794</v>
      </c>
      <c r="V167" s="141" t="s">
        <v>2795</v>
      </c>
      <c r="W167" s="142" t="s">
        <v>2796</v>
      </c>
      <c r="X167" s="141" t="s">
        <v>2797</v>
      </c>
      <c r="Y167" s="142" t="s">
        <v>2798</v>
      </c>
      <c r="Z167" s="141" t="s">
        <v>2799</v>
      </c>
      <c r="AA167" s="142" t="s">
        <v>2800</v>
      </c>
      <c r="AB167" s="141" t="s">
        <v>2801</v>
      </c>
      <c r="AC167" s="142" t="s">
        <v>2817</v>
      </c>
      <c r="AD167" s="141" t="s">
        <v>2818</v>
      </c>
      <c r="AE167" s="142" t="s">
        <v>2819</v>
      </c>
      <c r="AF167" s="141" t="s">
        <v>2821</v>
      </c>
      <c r="AG167" s="142" t="s">
        <v>2822</v>
      </c>
      <c r="AH167" s="141" t="s">
        <v>2823</v>
      </c>
      <c r="AI167" s="142" t="s">
        <v>2824</v>
      </c>
      <c r="AJ167" s="141" t="s">
        <v>2825</v>
      </c>
      <c r="AK167" s="142" t="s">
        <v>2826</v>
      </c>
      <c r="AL167" s="592" t="s">
        <v>2827</v>
      </c>
      <c r="AM167" s="198" t="s">
        <v>2831</v>
      </c>
      <c r="AN167" s="141" t="s">
        <v>2832</v>
      </c>
      <c r="AO167" s="498" t="s">
        <v>2833</v>
      </c>
      <c r="AP167" s="592" t="s">
        <v>2834</v>
      </c>
      <c r="AQ167" s="198" t="s">
        <v>3011</v>
      </c>
      <c r="AR167" s="180" t="s">
        <v>3012</v>
      </c>
      <c r="AS167" s="498" t="s">
        <v>3013</v>
      </c>
      <c r="AT167" s="592" t="s">
        <v>3014</v>
      </c>
      <c r="AU167" s="498" t="s">
        <v>3015</v>
      </c>
      <c r="AV167" s="592" t="s">
        <v>3206</v>
      </c>
      <c r="AW167" s="198" t="s">
        <v>3207</v>
      </c>
      <c r="AX167" s="592" t="s">
        <v>3272</v>
      </c>
      <c r="AY167" s="198" t="s">
        <v>3273</v>
      </c>
      <c r="AZ167" s="1079" t="str">
        <f t="shared" si="320"/>
        <v/>
      </c>
      <c r="BA167" s="1079"/>
      <c r="BB167" s="1079"/>
      <c r="BC167" s="1079"/>
      <c r="BD167" s="1079"/>
      <c r="BE167" s="1079"/>
      <c r="BF167" s="1079"/>
      <c r="BG167" s="1079"/>
      <c r="BH167" s="884"/>
      <c r="BI167" s="884"/>
      <c r="BJ167" s="884"/>
      <c r="BK167" s="884"/>
      <c r="BR167" s="884"/>
      <c r="BS167" s="884"/>
      <c r="BT167" s="884"/>
      <c r="BU167" s="885"/>
      <c r="BV167" s="885"/>
      <c r="CB167" s="2077"/>
      <c r="CC167" s="2077"/>
      <c r="CD167" s="2077"/>
      <c r="CE167" s="2077"/>
      <c r="CF167" s="2077"/>
      <c r="CG167" s="2077"/>
      <c r="CH167" s="2077"/>
      <c r="CI167" s="2077"/>
      <c r="CJ167" s="2077"/>
      <c r="CK167" s="2077"/>
      <c r="CL167" s="2077"/>
      <c r="CM167" s="2077"/>
      <c r="CN167" s="2077"/>
      <c r="CO167" s="2077"/>
      <c r="CP167" s="2077"/>
      <c r="CQ167" s="2077"/>
      <c r="CR167" s="2077"/>
      <c r="CS167" s="2077"/>
      <c r="CT167" s="2077"/>
      <c r="CU167" s="2077"/>
      <c r="CV167" s="2077"/>
      <c r="CW167" s="2077"/>
      <c r="CX167" s="2077" t="str">
        <f t="shared" si="321"/>
        <v/>
      </c>
      <c r="CY167" s="2077" t="str">
        <f t="shared" si="322"/>
        <v/>
      </c>
      <c r="CZ167" s="2077"/>
      <c r="DA167" s="2077"/>
      <c r="DB167" s="1363"/>
      <c r="DC167" s="1363"/>
      <c r="DD167" s="1363"/>
      <c r="DE167" s="1363"/>
      <c r="DF167" s="1363"/>
      <c r="DG167" s="1363"/>
      <c r="DH167" s="1363"/>
      <c r="DI167" s="1363"/>
      <c r="DJ167" s="1363"/>
      <c r="DK167" s="1363"/>
      <c r="DL167" s="1363"/>
      <c r="DM167" s="1363"/>
      <c r="DN167" s="1363"/>
      <c r="DO167" s="1363"/>
      <c r="DP167" s="1363"/>
      <c r="DQ167" s="1363"/>
      <c r="DR167" s="1363"/>
      <c r="DS167" s="1363"/>
      <c r="DT167" s="1363"/>
      <c r="DU167" s="1363"/>
      <c r="DV167" s="1363"/>
      <c r="DW167" s="1363"/>
      <c r="DX167" s="1363">
        <f t="shared" si="323"/>
        <v>0</v>
      </c>
      <c r="DY167" s="1363">
        <f t="shared" si="323"/>
        <v>0</v>
      </c>
    </row>
    <row r="168" spans="1:131" ht="16.350000000000001" customHeight="1" x14ac:dyDescent="0.25">
      <c r="A168" s="2458">
        <v>11053100</v>
      </c>
      <c r="B168" s="6258" t="s">
        <v>2308</v>
      </c>
      <c r="C168" s="6259"/>
      <c r="D168" s="1866" t="s">
        <v>2777</v>
      </c>
      <c r="E168" s="709" t="s">
        <v>2778</v>
      </c>
      <c r="F168" s="182" t="s">
        <v>2779</v>
      </c>
      <c r="G168" s="146" t="s">
        <v>2780</v>
      </c>
      <c r="H168" s="182" t="s">
        <v>2781</v>
      </c>
      <c r="I168" s="146" t="s">
        <v>2782</v>
      </c>
      <c r="J168" s="182" t="s">
        <v>2783</v>
      </c>
      <c r="K168" s="146" t="s">
        <v>2784</v>
      </c>
      <c r="L168" s="182" t="s">
        <v>2785</v>
      </c>
      <c r="M168" s="146" t="s">
        <v>2786</v>
      </c>
      <c r="N168" s="182" t="s">
        <v>2787</v>
      </c>
      <c r="O168" s="146" t="s">
        <v>2788</v>
      </c>
      <c r="P168" s="182" t="s">
        <v>2789</v>
      </c>
      <c r="Q168" s="146" t="s">
        <v>2790</v>
      </c>
      <c r="R168" s="182" t="s">
        <v>2791</v>
      </c>
      <c r="S168" s="146" t="s">
        <v>2792</v>
      </c>
      <c r="T168" s="182" t="s">
        <v>2793</v>
      </c>
      <c r="U168" s="146" t="s">
        <v>2794</v>
      </c>
      <c r="V168" s="182" t="s">
        <v>2795</v>
      </c>
      <c r="W168" s="146" t="s">
        <v>2796</v>
      </c>
      <c r="X168" s="182" t="s">
        <v>2797</v>
      </c>
      <c r="Y168" s="146" t="s">
        <v>2798</v>
      </c>
      <c r="Z168" s="182" t="s">
        <v>2799</v>
      </c>
      <c r="AA168" s="146" t="s">
        <v>2800</v>
      </c>
      <c r="AB168" s="182" t="s">
        <v>2801</v>
      </c>
      <c r="AC168" s="146" t="s">
        <v>2817</v>
      </c>
      <c r="AD168" s="182" t="s">
        <v>2818</v>
      </c>
      <c r="AE168" s="146" t="s">
        <v>2819</v>
      </c>
      <c r="AF168" s="182" t="s">
        <v>2821</v>
      </c>
      <c r="AG168" s="146" t="s">
        <v>2822</v>
      </c>
      <c r="AH168" s="182" t="s">
        <v>2823</v>
      </c>
      <c r="AI168" s="146" t="s">
        <v>2824</v>
      </c>
      <c r="AJ168" s="182" t="s">
        <v>2825</v>
      </c>
      <c r="AK168" s="146" t="s">
        <v>2826</v>
      </c>
      <c r="AL168" s="598" t="s">
        <v>2827</v>
      </c>
      <c r="AM168" s="240" t="s">
        <v>2831</v>
      </c>
      <c r="AN168" s="182" t="s">
        <v>2832</v>
      </c>
      <c r="AO168" s="655" t="s">
        <v>2833</v>
      </c>
      <c r="AP168" s="598" t="s">
        <v>2834</v>
      </c>
      <c r="AQ168" s="240" t="s">
        <v>3011</v>
      </c>
      <c r="AR168" s="144" t="s">
        <v>3012</v>
      </c>
      <c r="AS168" s="655" t="s">
        <v>3013</v>
      </c>
      <c r="AT168" s="635" t="s">
        <v>3014</v>
      </c>
      <c r="AU168" s="533" t="s">
        <v>3015</v>
      </c>
      <c r="AV168" s="598" t="s">
        <v>3206</v>
      </c>
      <c r="AW168" s="240" t="s">
        <v>3207</v>
      </c>
      <c r="AX168" s="598" t="s">
        <v>3272</v>
      </c>
      <c r="AY168" s="240" t="s">
        <v>3273</v>
      </c>
      <c r="AZ168" s="1079" t="str">
        <f t="shared" si="320"/>
        <v/>
      </c>
      <c r="BA168" s="1079"/>
      <c r="BB168" s="1079"/>
      <c r="BC168" s="1079"/>
      <c r="BD168" s="1079"/>
      <c r="BE168" s="1079"/>
      <c r="BF168" s="1079"/>
      <c r="BG168" s="1079"/>
      <c r="BH168" s="884"/>
      <c r="BI168" s="884"/>
      <c r="BJ168" s="884"/>
      <c r="BK168" s="884"/>
      <c r="BR168" s="884"/>
      <c r="BS168" s="884"/>
      <c r="BT168" s="884"/>
      <c r="BU168" s="885"/>
      <c r="BV168" s="885"/>
      <c r="CB168" s="2077"/>
      <c r="CC168" s="2077"/>
      <c r="CD168" s="2077"/>
      <c r="CE168" s="2077"/>
      <c r="CF168" s="2077"/>
      <c r="CG168" s="2077"/>
      <c r="CH168" s="2077"/>
      <c r="CI168" s="2077"/>
      <c r="CJ168" s="2077"/>
      <c r="CK168" s="2077"/>
      <c r="CL168" s="2077"/>
      <c r="CM168" s="2077"/>
      <c r="CN168" s="2077"/>
      <c r="CO168" s="2077"/>
      <c r="CP168" s="2077"/>
      <c r="CQ168" s="2077"/>
      <c r="CR168" s="2077"/>
      <c r="CS168" s="2077"/>
      <c r="CT168" s="2077"/>
      <c r="CU168" s="2077"/>
      <c r="CV168" s="2077"/>
      <c r="CW168" s="2077"/>
      <c r="CX168" s="2077" t="str">
        <f t="shared" si="321"/>
        <v/>
      </c>
      <c r="CY168" s="2077" t="str">
        <f t="shared" si="322"/>
        <v/>
      </c>
      <c r="CZ168" s="2077"/>
      <c r="DA168" s="2077"/>
      <c r="DB168" s="1363"/>
      <c r="DC168" s="1363"/>
      <c r="DD168" s="1363"/>
      <c r="DE168" s="1363"/>
      <c r="DF168" s="1363"/>
      <c r="DG168" s="1363"/>
      <c r="DH168" s="1363"/>
      <c r="DI168" s="1363"/>
      <c r="DJ168" s="1363"/>
      <c r="DK168" s="1363"/>
      <c r="DL168" s="1363"/>
      <c r="DM168" s="1363"/>
      <c r="DN168" s="1363"/>
      <c r="DO168" s="1363"/>
      <c r="DP168" s="1363"/>
      <c r="DQ168" s="1363"/>
      <c r="DR168" s="1363"/>
      <c r="DS168" s="1363"/>
      <c r="DT168" s="1363"/>
      <c r="DU168" s="1363"/>
      <c r="DV168" s="1363"/>
      <c r="DW168" s="1363"/>
      <c r="DX168" s="1363">
        <f t="shared" si="323"/>
        <v>0</v>
      </c>
      <c r="DY168" s="1363">
        <f t="shared" si="323"/>
        <v>0</v>
      </c>
    </row>
    <row r="169" spans="1:131" ht="23.25" customHeight="1" x14ac:dyDescent="0.25">
      <c r="A169" s="2458">
        <v>11055180</v>
      </c>
      <c r="B169" s="6260" t="s">
        <v>2273</v>
      </c>
      <c r="C169" s="2081" t="s">
        <v>2292</v>
      </c>
      <c r="D169" s="1934" t="s">
        <v>2777</v>
      </c>
      <c r="E169" s="1863" t="s">
        <v>2778</v>
      </c>
      <c r="F169" s="96" t="s">
        <v>2779</v>
      </c>
      <c r="G169" s="98" t="s">
        <v>2780</v>
      </c>
      <c r="H169" s="96" t="s">
        <v>2781</v>
      </c>
      <c r="I169" s="98" t="s">
        <v>2782</v>
      </c>
      <c r="J169" s="96" t="s">
        <v>2783</v>
      </c>
      <c r="K169" s="98" t="s">
        <v>2784</v>
      </c>
      <c r="L169" s="96" t="s">
        <v>2785</v>
      </c>
      <c r="M169" s="98" t="s">
        <v>2786</v>
      </c>
      <c r="N169" s="96" t="s">
        <v>2787</v>
      </c>
      <c r="O169" s="98" t="s">
        <v>2788</v>
      </c>
      <c r="P169" s="137" t="s">
        <v>2789</v>
      </c>
      <c r="Q169" s="110" t="s">
        <v>2790</v>
      </c>
      <c r="R169" s="137" t="s">
        <v>2791</v>
      </c>
      <c r="S169" s="110" t="s">
        <v>2792</v>
      </c>
      <c r="T169" s="137" t="s">
        <v>2793</v>
      </c>
      <c r="U169" s="110" t="s">
        <v>2794</v>
      </c>
      <c r="V169" s="137" t="s">
        <v>2795</v>
      </c>
      <c r="W169" s="110" t="s">
        <v>2796</v>
      </c>
      <c r="X169" s="137" t="s">
        <v>2797</v>
      </c>
      <c r="Y169" s="110" t="s">
        <v>2798</v>
      </c>
      <c r="Z169" s="137" t="s">
        <v>2799</v>
      </c>
      <c r="AA169" s="110" t="s">
        <v>2800</v>
      </c>
      <c r="AB169" s="137" t="s">
        <v>2801</v>
      </c>
      <c r="AC169" s="110" t="s">
        <v>2817</v>
      </c>
      <c r="AD169" s="137" t="s">
        <v>2818</v>
      </c>
      <c r="AE169" s="110" t="s">
        <v>2819</v>
      </c>
      <c r="AF169" s="137" t="s">
        <v>2821</v>
      </c>
      <c r="AG169" s="110" t="s">
        <v>2822</v>
      </c>
      <c r="AH169" s="137" t="s">
        <v>2823</v>
      </c>
      <c r="AI169" s="110" t="s">
        <v>2824</v>
      </c>
      <c r="AJ169" s="2044" t="s">
        <v>2825</v>
      </c>
      <c r="AK169" s="2045" t="s">
        <v>2826</v>
      </c>
      <c r="AL169" s="624" t="s">
        <v>2827</v>
      </c>
      <c r="AM169" s="1603" t="s">
        <v>2831</v>
      </c>
      <c r="AN169" s="137" t="s">
        <v>2832</v>
      </c>
      <c r="AO169" s="1602" t="s">
        <v>2833</v>
      </c>
      <c r="AP169" s="624" t="s">
        <v>2834</v>
      </c>
      <c r="AQ169" s="1603" t="s">
        <v>3011</v>
      </c>
      <c r="AR169" s="1601" t="s">
        <v>3012</v>
      </c>
      <c r="AS169" s="1602" t="s">
        <v>3013</v>
      </c>
      <c r="AT169" s="597" t="s">
        <v>3014</v>
      </c>
      <c r="AU169" s="500" t="s">
        <v>3015</v>
      </c>
      <c r="AV169" s="1601" t="s">
        <v>3206</v>
      </c>
      <c r="AW169" s="1602" t="s">
        <v>3207</v>
      </c>
      <c r="AX169" s="2046" t="s">
        <v>3272</v>
      </c>
      <c r="AY169" s="1699" t="s">
        <v>3273</v>
      </c>
      <c r="AZ169" s="1079" t="str">
        <f t="shared" si="320"/>
        <v/>
      </c>
      <c r="BA169" s="1079"/>
      <c r="BB169" s="1079"/>
      <c r="BC169" s="1079"/>
      <c r="BD169" s="1079"/>
      <c r="BE169" s="1079"/>
      <c r="BF169" s="1079"/>
      <c r="BG169" s="1079"/>
      <c r="BH169" s="884"/>
      <c r="BI169" s="884"/>
      <c r="BJ169" s="884"/>
      <c r="BK169" s="884"/>
      <c r="BR169" s="884"/>
      <c r="BS169" s="884"/>
      <c r="BT169" s="884"/>
      <c r="BU169" s="885"/>
      <c r="BV169" s="885"/>
      <c r="CB169" s="2077"/>
      <c r="CC169" s="2077"/>
      <c r="CD169" s="2077"/>
      <c r="CE169" s="2077"/>
      <c r="CF169" s="2077"/>
      <c r="CG169" s="2077"/>
      <c r="CH169" s="2077"/>
      <c r="CI169" s="2077"/>
      <c r="CJ169" s="2077"/>
      <c r="CK169" s="2077"/>
      <c r="CL169" s="2077"/>
      <c r="CM169" s="2077"/>
      <c r="CN169" s="2077"/>
      <c r="CO169" s="2077"/>
      <c r="CP169" s="2077"/>
      <c r="CQ169" s="2077"/>
      <c r="CR169" s="2077"/>
      <c r="CS169" s="2077"/>
      <c r="CT169" s="2077"/>
      <c r="CU169" s="2077"/>
      <c r="CV169" s="2077"/>
      <c r="CW169" s="2077"/>
      <c r="CX169" s="2077" t="str">
        <f t="shared" si="321"/>
        <v/>
      </c>
      <c r="CY169" s="2077" t="str">
        <f t="shared" si="322"/>
        <v/>
      </c>
      <c r="CZ169" s="2077"/>
      <c r="DA169" s="2077"/>
      <c r="DB169" s="1363"/>
      <c r="DC169" s="1363"/>
      <c r="DD169" s="1363"/>
      <c r="DE169" s="1363"/>
      <c r="DF169" s="1363"/>
      <c r="DG169" s="1363"/>
      <c r="DH169" s="1363"/>
      <c r="DI169" s="1363"/>
      <c r="DJ169" s="1363"/>
      <c r="DK169" s="1363"/>
      <c r="DL169" s="1363"/>
      <c r="DM169" s="1363"/>
      <c r="DN169" s="1363"/>
      <c r="DO169" s="1363"/>
      <c r="DP169" s="1363"/>
      <c r="DQ169" s="1363"/>
      <c r="DR169" s="1363"/>
      <c r="DS169" s="1363"/>
      <c r="DT169" s="1363"/>
      <c r="DU169" s="1363"/>
      <c r="DV169" s="1363"/>
      <c r="DW169" s="1363"/>
      <c r="DX169" s="1363">
        <f t="shared" si="323"/>
        <v>0</v>
      </c>
      <c r="DY169" s="1363">
        <f t="shared" si="323"/>
        <v>0</v>
      </c>
    </row>
    <row r="170" spans="1:131" ht="25.35" customHeight="1" x14ac:dyDescent="0.25">
      <c r="A170" s="2458">
        <v>11055190</v>
      </c>
      <c r="B170" s="5831"/>
      <c r="C170" s="1249" t="s">
        <v>2293</v>
      </c>
      <c r="D170" s="1864" t="s">
        <v>2777</v>
      </c>
      <c r="E170" s="708" t="s">
        <v>2778</v>
      </c>
      <c r="F170" s="173" t="s">
        <v>2779</v>
      </c>
      <c r="G170" s="145" t="s">
        <v>2780</v>
      </c>
      <c r="H170" s="173" t="s">
        <v>2781</v>
      </c>
      <c r="I170" s="145" t="s">
        <v>2782</v>
      </c>
      <c r="J170" s="173" t="s">
        <v>2783</v>
      </c>
      <c r="K170" s="145" t="s">
        <v>2784</v>
      </c>
      <c r="L170" s="173" t="s">
        <v>2785</v>
      </c>
      <c r="M170" s="145" t="s">
        <v>2786</v>
      </c>
      <c r="N170" s="173" t="s">
        <v>2787</v>
      </c>
      <c r="O170" s="145" t="s">
        <v>2788</v>
      </c>
      <c r="P170" s="141" t="s">
        <v>2789</v>
      </c>
      <c r="Q170" s="142" t="s">
        <v>2790</v>
      </c>
      <c r="R170" s="141" t="s">
        <v>2791</v>
      </c>
      <c r="S170" s="142" t="s">
        <v>2792</v>
      </c>
      <c r="T170" s="141" t="s">
        <v>2793</v>
      </c>
      <c r="U170" s="142" t="s">
        <v>2794</v>
      </c>
      <c r="V170" s="141" t="s">
        <v>2795</v>
      </c>
      <c r="W170" s="142" t="s">
        <v>2796</v>
      </c>
      <c r="X170" s="141" t="s">
        <v>2797</v>
      </c>
      <c r="Y170" s="142" t="s">
        <v>2798</v>
      </c>
      <c r="Z170" s="141" t="s">
        <v>2799</v>
      </c>
      <c r="AA170" s="142" t="s">
        <v>2800</v>
      </c>
      <c r="AB170" s="141" t="s">
        <v>2801</v>
      </c>
      <c r="AC170" s="142" t="s">
        <v>2817</v>
      </c>
      <c r="AD170" s="141" t="s">
        <v>2818</v>
      </c>
      <c r="AE170" s="142" t="s">
        <v>2819</v>
      </c>
      <c r="AF170" s="141" t="s">
        <v>2821</v>
      </c>
      <c r="AG170" s="142" t="s">
        <v>2822</v>
      </c>
      <c r="AH170" s="141" t="s">
        <v>2823</v>
      </c>
      <c r="AI170" s="142" t="s">
        <v>2824</v>
      </c>
      <c r="AJ170" s="173" t="s">
        <v>2825</v>
      </c>
      <c r="AK170" s="162" t="s">
        <v>2826</v>
      </c>
      <c r="AL170" s="592" t="s">
        <v>2827</v>
      </c>
      <c r="AM170" s="198" t="s">
        <v>2831</v>
      </c>
      <c r="AN170" s="141" t="s">
        <v>2832</v>
      </c>
      <c r="AO170" s="498" t="s">
        <v>2833</v>
      </c>
      <c r="AP170" s="592" t="s">
        <v>2834</v>
      </c>
      <c r="AQ170" s="198" t="s">
        <v>3011</v>
      </c>
      <c r="AR170" s="180" t="s">
        <v>3012</v>
      </c>
      <c r="AS170" s="498" t="s">
        <v>3013</v>
      </c>
      <c r="AT170" s="592" t="s">
        <v>3014</v>
      </c>
      <c r="AU170" s="498" t="s">
        <v>3015</v>
      </c>
      <c r="AV170" s="180" t="s">
        <v>3206</v>
      </c>
      <c r="AW170" s="498" t="s">
        <v>3207</v>
      </c>
      <c r="AX170" s="2047" t="s">
        <v>3272</v>
      </c>
      <c r="AY170" s="941" t="s">
        <v>3273</v>
      </c>
      <c r="AZ170" s="1079" t="str">
        <f t="shared" si="320"/>
        <v/>
      </c>
      <c r="BA170" s="1079"/>
      <c r="BB170" s="1079"/>
      <c r="BC170" s="1079"/>
      <c r="BD170" s="1079"/>
      <c r="BE170" s="1079"/>
      <c r="BF170" s="1079"/>
      <c r="BG170" s="1079"/>
      <c r="BH170" s="884"/>
      <c r="BI170" s="884"/>
      <c r="BJ170" s="884"/>
      <c r="BK170" s="884"/>
      <c r="BR170" s="884"/>
      <c r="BS170" s="884"/>
      <c r="BT170" s="884"/>
      <c r="BU170" s="885"/>
      <c r="BV170" s="885"/>
      <c r="CB170" s="2077"/>
      <c r="CC170" s="2077"/>
      <c r="CD170" s="2077"/>
      <c r="CE170" s="2077"/>
      <c r="CF170" s="2077"/>
      <c r="CG170" s="2077"/>
      <c r="CH170" s="2077"/>
      <c r="CI170" s="2077"/>
      <c r="CJ170" s="2077"/>
      <c r="CK170" s="2077"/>
      <c r="CL170" s="2077"/>
      <c r="CM170" s="2077"/>
      <c r="CN170" s="2077"/>
      <c r="CO170" s="2077"/>
      <c r="CP170" s="2077"/>
      <c r="CQ170" s="2077"/>
      <c r="CR170" s="2077"/>
      <c r="CS170" s="2077"/>
      <c r="CT170" s="2077"/>
      <c r="CU170" s="2077"/>
      <c r="CV170" s="2077"/>
      <c r="CW170" s="2077"/>
      <c r="CX170" s="2077" t="str">
        <f t="shared" si="321"/>
        <v/>
      </c>
      <c r="CY170" s="2077" t="str">
        <f t="shared" si="322"/>
        <v/>
      </c>
      <c r="CZ170" s="2077"/>
      <c r="DA170" s="2077"/>
      <c r="DB170" s="1363"/>
      <c r="DC170" s="1363"/>
      <c r="DD170" s="1363"/>
      <c r="DE170" s="1363"/>
      <c r="DF170" s="1363"/>
      <c r="DG170" s="1363"/>
      <c r="DH170" s="1363"/>
      <c r="DI170" s="1363"/>
      <c r="DJ170" s="1363"/>
      <c r="DK170" s="1363"/>
      <c r="DL170" s="1363"/>
      <c r="DM170" s="1363"/>
      <c r="DN170" s="1363"/>
      <c r="DO170" s="1363"/>
      <c r="DP170" s="1363"/>
      <c r="DQ170" s="1363"/>
      <c r="DR170" s="1363"/>
      <c r="DS170" s="1363"/>
      <c r="DT170" s="1363"/>
      <c r="DU170" s="1363"/>
      <c r="DV170" s="1363"/>
      <c r="DW170" s="1363"/>
      <c r="DX170" s="1363">
        <f t="shared" si="323"/>
        <v>0</v>
      </c>
      <c r="DY170" s="1363">
        <f t="shared" si="323"/>
        <v>0</v>
      </c>
    </row>
    <row r="171" spans="1:131" ht="25.35" customHeight="1" x14ac:dyDescent="0.25">
      <c r="A171" s="2458">
        <v>11053200</v>
      </c>
      <c r="B171" s="5832"/>
      <c r="C171" s="1250" t="s">
        <v>2294</v>
      </c>
      <c r="D171" s="1866" t="s">
        <v>2777</v>
      </c>
      <c r="E171" s="1867" t="s">
        <v>2778</v>
      </c>
      <c r="F171" s="101" t="s">
        <v>2779</v>
      </c>
      <c r="G171" s="103" t="s">
        <v>2780</v>
      </c>
      <c r="H171" s="101" t="s">
        <v>2781</v>
      </c>
      <c r="I171" s="103" t="s">
        <v>2782</v>
      </c>
      <c r="J171" s="101" t="s">
        <v>2783</v>
      </c>
      <c r="K171" s="103" t="s">
        <v>2784</v>
      </c>
      <c r="L171" s="101" t="s">
        <v>2785</v>
      </c>
      <c r="M171" s="103" t="s">
        <v>2786</v>
      </c>
      <c r="N171" s="101" t="s">
        <v>2787</v>
      </c>
      <c r="O171" s="103" t="s">
        <v>2788</v>
      </c>
      <c r="P171" s="166" t="s">
        <v>2789</v>
      </c>
      <c r="Q171" s="102" t="s">
        <v>2790</v>
      </c>
      <c r="R171" s="166" t="s">
        <v>2791</v>
      </c>
      <c r="S171" s="102" t="s">
        <v>2792</v>
      </c>
      <c r="T171" s="166" t="s">
        <v>2793</v>
      </c>
      <c r="U171" s="102" t="s">
        <v>2794</v>
      </c>
      <c r="V171" s="166" t="s">
        <v>2795</v>
      </c>
      <c r="W171" s="102" t="s">
        <v>2796</v>
      </c>
      <c r="X171" s="166" t="s">
        <v>2797</v>
      </c>
      <c r="Y171" s="102" t="s">
        <v>2798</v>
      </c>
      <c r="Z171" s="166" t="s">
        <v>2799</v>
      </c>
      <c r="AA171" s="102" t="s">
        <v>2800</v>
      </c>
      <c r="AB171" s="166" t="s">
        <v>2801</v>
      </c>
      <c r="AC171" s="102" t="s">
        <v>2817</v>
      </c>
      <c r="AD171" s="166" t="s">
        <v>2818</v>
      </c>
      <c r="AE171" s="102" t="s">
        <v>2819</v>
      </c>
      <c r="AF171" s="166" t="s">
        <v>2821</v>
      </c>
      <c r="AG171" s="102" t="s">
        <v>2822</v>
      </c>
      <c r="AH171" s="166" t="s">
        <v>2823</v>
      </c>
      <c r="AI171" s="102" t="s">
        <v>2824</v>
      </c>
      <c r="AJ171" s="173" t="s">
        <v>2825</v>
      </c>
      <c r="AK171" s="162" t="s">
        <v>2826</v>
      </c>
      <c r="AL171" s="635" t="s">
        <v>2827</v>
      </c>
      <c r="AM171" s="168" t="s">
        <v>2831</v>
      </c>
      <c r="AN171" s="166" t="s">
        <v>2832</v>
      </c>
      <c r="AO171" s="533" t="s">
        <v>2833</v>
      </c>
      <c r="AP171" s="635" t="s">
        <v>2834</v>
      </c>
      <c r="AQ171" s="168" t="s">
        <v>3011</v>
      </c>
      <c r="AR171" s="126" t="s">
        <v>3012</v>
      </c>
      <c r="AS171" s="533" t="s">
        <v>3013</v>
      </c>
      <c r="AT171" s="635" t="s">
        <v>3014</v>
      </c>
      <c r="AU171" s="533" t="s">
        <v>3015</v>
      </c>
      <c r="AV171" s="126" t="s">
        <v>3206</v>
      </c>
      <c r="AW171" s="533" t="s">
        <v>3207</v>
      </c>
      <c r="AX171" s="2048" t="s">
        <v>3272</v>
      </c>
      <c r="AY171" s="1001" t="s">
        <v>3273</v>
      </c>
      <c r="AZ171" s="1079" t="str">
        <f t="shared" si="320"/>
        <v/>
      </c>
      <c r="BA171" s="1079"/>
      <c r="BB171" s="1079"/>
      <c r="BC171" s="1079"/>
      <c r="BD171" s="1079"/>
      <c r="BE171" s="1079"/>
      <c r="BF171" s="1079"/>
      <c r="BG171" s="1079"/>
      <c r="BH171" s="884"/>
      <c r="BI171" s="884"/>
      <c r="BJ171" s="884"/>
      <c r="BK171" s="884"/>
      <c r="BR171" s="884"/>
      <c r="BS171" s="884"/>
      <c r="BT171" s="884"/>
      <c r="BU171" s="885"/>
      <c r="BV171" s="885"/>
      <c r="CB171" s="2077"/>
      <c r="CC171" s="2077"/>
      <c r="CD171" s="2077"/>
      <c r="CE171" s="2077"/>
      <c r="CF171" s="2077"/>
      <c r="CG171" s="2077"/>
      <c r="CH171" s="2077"/>
      <c r="CI171" s="2077"/>
      <c r="CJ171" s="2077"/>
      <c r="CK171" s="2077"/>
      <c r="CL171" s="2077"/>
      <c r="CM171" s="2077"/>
      <c r="CN171" s="2077"/>
      <c r="CO171" s="2077"/>
      <c r="CP171" s="2077"/>
      <c r="CQ171" s="2077"/>
      <c r="CR171" s="2077"/>
      <c r="CS171" s="2077"/>
      <c r="CT171" s="2077"/>
      <c r="CU171" s="2077"/>
      <c r="CV171" s="2077"/>
      <c r="CW171" s="2077"/>
      <c r="CX171" s="2077" t="str">
        <f t="shared" si="321"/>
        <v/>
      </c>
      <c r="CY171" s="2077" t="str">
        <f t="shared" si="322"/>
        <v/>
      </c>
      <c r="CZ171" s="2077"/>
      <c r="DA171" s="2077"/>
      <c r="DB171" s="1363"/>
      <c r="DC171" s="1363"/>
      <c r="DD171" s="1363"/>
      <c r="DE171" s="1363"/>
      <c r="DF171" s="1363"/>
      <c r="DG171" s="1363"/>
      <c r="DH171" s="1363"/>
      <c r="DI171" s="1363"/>
      <c r="DJ171" s="1363"/>
      <c r="DK171" s="1363"/>
      <c r="DL171" s="1363"/>
      <c r="DM171" s="1363"/>
      <c r="DN171" s="1363"/>
      <c r="DO171" s="1363"/>
      <c r="DP171" s="1363"/>
      <c r="DQ171" s="1363"/>
      <c r="DR171" s="1363"/>
      <c r="DS171" s="1363"/>
      <c r="DT171" s="1363"/>
      <c r="DU171" s="1363"/>
      <c r="DV171" s="1363"/>
      <c r="DW171" s="1363"/>
      <c r="DX171" s="1363">
        <f t="shared" si="323"/>
        <v>0</v>
      </c>
      <c r="DY171" s="1363">
        <f t="shared" si="323"/>
        <v>0</v>
      </c>
    </row>
    <row r="172" spans="1:131" ht="16.350000000000001" customHeight="1" x14ac:dyDescent="0.25">
      <c r="A172" s="2458">
        <v>11050700</v>
      </c>
      <c r="B172" s="6261" t="s">
        <v>2274</v>
      </c>
      <c r="C172" s="6262"/>
      <c r="D172" s="1934" t="s">
        <v>2777</v>
      </c>
      <c r="E172" s="708" t="s">
        <v>2778</v>
      </c>
      <c r="F172" s="170" t="s">
        <v>2779</v>
      </c>
      <c r="G172" s="97" t="s">
        <v>2780</v>
      </c>
      <c r="H172" s="170" t="s">
        <v>2781</v>
      </c>
      <c r="I172" s="97" t="s">
        <v>2782</v>
      </c>
      <c r="J172" s="170" t="s">
        <v>2783</v>
      </c>
      <c r="K172" s="97" t="s">
        <v>2784</v>
      </c>
      <c r="L172" s="170" t="s">
        <v>2785</v>
      </c>
      <c r="M172" s="97" t="s">
        <v>2786</v>
      </c>
      <c r="N172" s="273" t="s">
        <v>2787</v>
      </c>
      <c r="O172" s="116" t="s">
        <v>2788</v>
      </c>
      <c r="P172" s="273" t="s">
        <v>2789</v>
      </c>
      <c r="Q172" s="116" t="s">
        <v>2790</v>
      </c>
      <c r="R172" s="273" t="s">
        <v>2791</v>
      </c>
      <c r="S172" s="116" t="s">
        <v>2792</v>
      </c>
      <c r="T172" s="273" t="s">
        <v>2793</v>
      </c>
      <c r="U172" s="116" t="s">
        <v>2794</v>
      </c>
      <c r="V172" s="273" t="s">
        <v>2795</v>
      </c>
      <c r="W172" s="116" t="s">
        <v>2796</v>
      </c>
      <c r="X172" s="273" t="s">
        <v>2797</v>
      </c>
      <c r="Y172" s="116" t="s">
        <v>2798</v>
      </c>
      <c r="Z172" s="273" t="s">
        <v>2799</v>
      </c>
      <c r="AA172" s="116" t="s">
        <v>2800</v>
      </c>
      <c r="AB172" s="273" t="s">
        <v>2801</v>
      </c>
      <c r="AC172" s="116" t="s">
        <v>2817</v>
      </c>
      <c r="AD172" s="273" t="s">
        <v>2818</v>
      </c>
      <c r="AE172" s="275" t="s">
        <v>2819</v>
      </c>
      <c r="AF172" s="273" t="s">
        <v>2821</v>
      </c>
      <c r="AG172" s="275" t="s">
        <v>2822</v>
      </c>
      <c r="AH172" s="2037" t="s">
        <v>2823</v>
      </c>
      <c r="AI172" s="2039" t="s">
        <v>2824</v>
      </c>
      <c r="AJ172" s="273" t="s">
        <v>2825</v>
      </c>
      <c r="AK172" s="116" t="s">
        <v>2826</v>
      </c>
      <c r="AL172" s="597" t="s">
        <v>2827</v>
      </c>
      <c r="AM172" s="197" t="s">
        <v>2831</v>
      </c>
      <c r="AN172" s="170" t="s">
        <v>2832</v>
      </c>
      <c r="AO172" s="500" t="s">
        <v>2833</v>
      </c>
      <c r="AP172" s="597" t="s">
        <v>2834</v>
      </c>
      <c r="AQ172" s="197" t="s">
        <v>3011</v>
      </c>
      <c r="AR172" s="124" t="s">
        <v>3012</v>
      </c>
      <c r="AS172" s="500" t="s">
        <v>3013</v>
      </c>
      <c r="AT172" s="597" t="s">
        <v>3014</v>
      </c>
      <c r="AU172" s="500" t="s">
        <v>3015</v>
      </c>
      <c r="AV172" s="597" t="s">
        <v>3206</v>
      </c>
      <c r="AW172" s="197" t="s">
        <v>3207</v>
      </c>
      <c r="AX172" s="597" t="s">
        <v>3272</v>
      </c>
      <c r="AY172" s="197" t="s">
        <v>3273</v>
      </c>
      <c r="AZ172" s="1079" t="str">
        <f t="shared" si="320"/>
        <v/>
      </c>
      <c r="BA172" s="1079"/>
      <c r="BB172" s="1079"/>
      <c r="BC172" s="1079"/>
      <c r="BD172" s="1079"/>
      <c r="BE172" s="1079"/>
      <c r="BF172" s="1079"/>
      <c r="BG172" s="1079"/>
      <c r="BH172" s="884"/>
      <c r="BI172" s="884"/>
      <c r="BJ172" s="884"/>
      <c r="BK172" s="884"/>
      <c r="BR172" s="884"/>
      <c r="BS172" s="884"/>
      <c r="BT172" s="884"/>
      <c r="BU172" s="885"/>
      <c r="BV172" s="885"/>
      <c r="CB172" s="2077"/>
      <c r="CC172" s="2077"/>
      <c r="CD172" s="2077"/>
      <c r="CE172" s="2077"/>
      <c r="CF172" s="2077"/>
      <c r="CG172" s="2077"/>
      <c r="CH172" s="2077"/>
      <c r="CI172" s="2077"/>
      <c r="CJ172" s="2077"/>
      <c r="CK172" s="2077"/>
      <c r="CL172" s="2077"/>
      <c r="CM172" s="2077"/>
      <c r="CN172" s="2077"/>
      <c r="CO172" s="2077"/>
      <c r="CP172" s="2077"/>
      <c r="CQ172" s="2077"/>
      <c r="CR172" s="2077"/>
      <c r="CS172" s="2077"/>
      <c r="CT172" s="2077"/>
      <c r="CU172" s="2077"/>
      <c r="CV172" s="2077"/>
      <c r="CW172" s="2077"/>
      <c r="CX172" s="2077" t="str">
        <f t="shared" si="321"/>
        <v/>
      </c>
      <c r="CY172" s="2077" t="str">
        <f t="shared" si="322"/>
        <v/>
      </c>
      <c r="CZ172" s="2077"/>
      <c r="DA172" s="2077"/>
      <c r="DB172" s="1363"/>
      <c r="DC172" s="1363"/>
      <c r="DD172" s="1363"/>
      <c r="DE172" s="1363"/>
      <c r="DF172" s="1363"/>
      <c r="DG172" s="1363"/>
      <c r="DH172" s="1363"/>
      <c r="DI172" s="1363"/>
      <c r="DJ172" s="1363"/>
      <c r="DK172" s="1363"/>
      <c r="DL172" s="1363"/>
      <c r="DM172" s="1363"/>
      <c r="DN172" s="1363"/>
      <c r="DO172" s="1363"/>
      <c r="DP172" s="1363"/>
      <c r="DQ172" s="1363"/>
      <c r="DR172" s="1363"/>
      <c r="DS172" s="1363"/>
      <c r="DT172" s="1363"/>
      <c r="DU172" s="1363"/>
      <c r="DV172" s="1363"/>
      <c r="DW172" s="1363"/>
      <c r="DX172" s="1363">
        <f t="shared" si="323"/>
        <v>0</v>
      </c>
      <c r="DY172" s="1363">
        <f t="shared" si="323"/>
        <v>0</v>
      </c>
    </row>
    <row r="173" spans="1:131" ht="16.350000000000001" customHeight="1" x14ac:dyDescent="0.25">
      <c r="A173" s="2458">
        <v>11053300</v>
      </c>
      <c r="B173" s="5958" t="s">
        <v>2309</v>
      </c>
      <c r="C173" s="5294"/>
      <c r="D173" s="1864" t="s">
        <v>2777</v>
      </c>
      <c r="E173" s="1865" t="s">
        <v>2778</v>
      </c>
      <c r="F173" s="141" t="s">
        <v>2779</v>
      </c>
      <c r="G173" s="142" t="s">
        <v>2780</v>
      </c>
      <c r="H173" s="141" t="s">
        <v>2781</v>
      </c>
      <c r="I173" s="142" t="s">
        <v>2782</v>
      </c>
      <c r="J173" s="141" t="s">
        <v>2783</v>
      </c>
      <c r="K173" s="142" t="s">
        <v>2784</v>
      </c>
      <c r="L173" s="141" t="s">
        <v>2785</v>
      </c>
      <c r="M173" s="142" t="s">
        <v>2786</v>
      </c>
      <c r="N173" s="141" t="s">
        <v>2787</v>
      </c>
      <c r="O173" s="142" t="s">
        <v>2788</v>
      </c>
      <c r="P173" s="182" t="s">
        <v>2789</v>
      </c>
      <c r="Q173" s="146" t="s">
        <v>2790</v>
      </c>
      <c r="R173" s="182" t="s">
        <v>2791</v>
      </c>
      <c r="S173" s="146" t="s">
        <v>2792</v>
      </c>
      <c r="T173" s="182" t="s">
        <v>2793</v>
      </c>
      <c r="U173" s="146" t="s">
        <v>2794</v>
      </c>
      <c r="V173" s="182" t="s">
        <v>2795</v>
      </c>
      <c r="W173" s="146" t="s">
        <v>2796</v>
      </c>
      <c r="X173" s="182" t="s">
        <v>2797</v>
      </c>
      <c r="Y173" s="146" t="s">
        <v>2798</v>
      </c>
      <c r="Z173" s="182" t="s">
        <v>2799</v>
      </c>
      <c r="AA173" s="146" t="s">
        <v>2800</v>
      </c>
      <c r="AB173" s="182" t="s">
        <v>2801</v>
      </c>
      <c r="AC173" s="146" t="s">
        <v>2817</v>
      </c>
      <c r="AD173" s="182" t="s">
        <v>2818</v>
      </c>
      <c r="AE173" s="147" t="s">
        <v>2819</v>
      </c>
      <c r="AF173" s="182" t="s">
        <v>2821</v>
      </c>
      <c r="AG173" s="147" t="s">
        <v>2822</v>
      </c>
      <c r="AH173" s="182" t="s">
        <v>2823</v>
      </c>
      <c r="AI173" s="183" t="s">
        <v>2824</v>
      </c>
      <c r="AJ173" s="182" t="s">
        <v>2825</v>
      </c>
      <c r="AK173" s="146" t="s">
        <v>2826</v>
      </c>
      <c r="AL173" s="598" t="s">
        <v>2827</v>
      </c>
      <c r="AM173" s="240" t="s">
        <v>2831</v>
      </c>
      <c r="AN173" s="182" t="s">
        <v>2832</v>
      </c>
      <c r="AO173" s="655" t="s">
        <v>2833</v>
      </c>
      <c r="AP173" s="598" t="s">
        <v>2834</v>
      </c>
      <c r="AQ173" s="240" t="s">
        <v>3011</v>
      </c>
      <c r="AR173" s="144" t="s">
        <v>3012</v>
      </c>
      <c r="AS173" s="655" t="s">
        <v>3013</v>
      </c>
      <c r="AT173" s="598" t="s">
        <v>3014</v>
      </c>
      <c r="AU173" s="655" t="s">
        <v>3015</v>
      </c>
      <c r="AV173" s="598" t="s">
        <v>3206</v>
      </c>
      <c r="AW173" s="240" t="s">
        <v>3207</v>
      </c>
      <c r="AX173" s="598" t="s">
        <v>3272</v>
      </c>
      <c r="AY173" s="240" t="s">
        <v>3273</v>
      </c>
      <c r="AZ173" s="1079" t="str">
        <f t="shared" si="320"/>
        <v/>
      </c>
      <c r="BA173" s="1079"/>
      <c r="BB173" s="1079"/>
      <c r="BC173" s="1079"/>
      <c r="BD173" s="1079"/>
      <c r="BE173" s="1079"/>
      <c r="BF173" s="1079"/>
      <c r="BG173" s="1079"/>
      <c r="BH173" s="884"/>
      <c r="BI173" s="884"/>
      <c r="BJ173" s="884"/>
      <c r="BK173" s="884"/>
      <c r="BR173" s="884"/>
      <c r="BS173" s="884"/>
      <c r="BT173" s="884"/>
      <c r="BU173" s="885"/>
      <c r="BV173" s="885"/>
      <c r="CB173" s="2077"/>
      <c r="CC173" s="2077"/>
      <c r="CD173" s="2077"/>
      <c r="CE173" s="2077"/>
      <c r="CF173" s="2077"/>
      <c r="CG173" s="2077"/>
      <c r="CH173" s="2077"/>
      <c r="CI173" s="2077"/>
      <c r="CJ173" s="2077"/>
      <c r="CK173" s="2077"/>
      <c r="CL173" s="2077"/>
      <c r="CM173" s="2077"/>
      <c r="CN173" s="2077"/>
      <c r="CO173" s="2077"/>
      <c r="CP173" s="2077"/>
      <c r="CQ173" s="2077"/>
      <c r="CR173" s="2077"/>
      <c r="CS173" s="2077"/>
      <c r="CT173" s="2077"/>
      <c r="CU173" s="2077"/>
      <c r="CV173" s="2077"/>
      <c r="CW173" s="2077"/>
      <c r="CX173" s="2077" t="str">
        <f t="shared" si="321"/>
        <v/>
      </c>
      <c r="CY173" s="2077" t="str">
        <f t="shared" si="322"/>
        <v/>
      </c>
      <c r="CZ173" s="2077"/>
      <c r="DA173" s="2077"/>
      <c r="DB173" s="1363"/>
      <c r="DC173" s="1363"/>
      <c r="DD173" s="1363"/>
      <c r="DE173" s="1363"/>
      <c r="DF173" s="1363"/>
      <c r="DG173" s="1363"/>
      <c r="DH173" s="1363"/>
      <c r="DI173" s="1363"/>
      <c r="DJ173" s="1363"/>
      <c r="DK173" s="1363"/>
      <c r="DL173" s="1363"/>
      <c r="DM173" s="1363"/>
      <c r="DN173" s="1363"/>
      <c r="DO173" s="1363"/>
      <c r="DP173" s="1363"/>
      <c r="DQ173" s="1363"/>
      <c r="DR173" s="1363"/>
      <c r="DS173" s="1363"/>
      <c r="DT173" s="1363"/>
      <c r="DU173" s="1363"/>
      <c r="DV173" s="1363"/>
      <c r="DW173" s="1363"/>
      <c r="DX173" s="1363">
        <f t="shared" si="323"/>
        <v>0</v>
      </c>
      <c r="DY173" s="1363">
        <f t="shared" si="323"/>
        <v>0</v>
      </c>
    </row>
    <row r="174" spans="1:131" ht="16.350000000000001" customHeight="1" x14ac:dyDescent="0.25">
      <c r="A174" s="2458">
        <v>11053400</v>
      </c>
      <c r="B174" s="5958" t="s">
        <v>2276</v>
      </c>
      <c r="C174" s="5294"/>
      <c r="D174" s="1864" t="s">
        <v>2777</v>
      </c>
      <c r="E174" s="1865" t="s">
        <v>2778</v>
      </c>
      <c r="F174" s="141" t="s">
        <v>2779</v>
      </c>
      <c r="G174" s="142" t="s">
        <v>2780</v>
      </c>
      <c r="H174" s="141" t="s">
        <v>2781</v>
      </c>
      <c r="I174" s="142" t="s">
        <v>2782</v>
      </c>
      <c r="J174" s="141" t="s">
        <v>2783</v>
      </c>
      <c r="K174" s="142" t="s">
        <v>2784</v>
      </c>
      <c r="L174" s="141" t="s">
        <v>2785</v>
      </c>
      <c r="M174" s="142" t="s">
        <v>2786</v>
      </c>
      <c r="N174" s="141" t="s">
        <v>2787</v>
      </c>
      <c r="O174" s="142" t="s">
        <v>2788</v>
      </c>
      <c r="P174" s="182" t="s">
        <v>2789</v>
      </c>
      <c r="Q174" s="146" t="s">
        <v>2790</v>
      </c>
      <c r="R174" s="182" t="s">
        <v>2791</v>
      </c>
      <c r="S174" s="146" t="s">
        <v>2792</v>
      </c>
      <c r="T174" s="182" t="s">
        <v>2793</v>
      </c>
      <c r="U174" s="146" t="s">
        <v>2794</v>
      </c>
      <c r="V174" s="182" t="s">
        <v>2795</v>
      </c>
      <c r="W174" s="146" t="s">
        <v>2796</v>
      </c>
      <c r="X174" s="182" t="s">
        <v>2797</v>
      </c>
      <c r="Y174" s="146" t="s">
        <v>2798</v>
      </c>
      <c r="Z174" s="182" t="s">
        <v>2799</v>
      </c>
      <c r="AA174" s="146" t="s">
        <v>2800</v>
      </c>
      <c r="AB174" s="182" t="s">
        <v>2801</v>
      </c>
      <c r="AC174" s="146" t="s">
        <v>2817</v>
      </c>
      <c r="AD174" s="182" t="s">
        <v>2818</v>
      </c>
      <c r="AE174" s="147" t="s">
        <v>2819</v>
      </c>
      <c r="AF174" s="182" t="s">
        <v>2821</v>
      </c>
      <c r="AG174" s="147" t="s">
        <v>2822</v>
      </c>
      <c r="AH174" s="182" t="s">
        <v>2823</v>
      </c>
      <c r="AI174" s="183" t="s">
        <v>2824</v>
      </c>
      <c r="AJ174" s="182" t="s">
        <v>2825</v>
      </c>
      <c r="AK174" s="146" t="s">
        <v>2826</v>
      </c>
      <c r="AL174" s="598" t="s">
        <v>2827</v>
      </c>
      <c r="AM174" s="240" t="s">
        <v>2831</v>
      </c>
      <c r="AN174" s="182" t="s">
        <v>2832</v>
      </c>
      <c r="AO174" s="655" t="s">
        <v>2833</v>
      </c>
      <c r="AP174" s="598" t="s">
        <v>2834</v>
      </c>
      <c r="AQ174" s="240" t="s">
        <v>3011</v>
      </c>
      <c r="AR174" s="144" t="s">
        <v>3012</v>
      </c>
      <c r="AS174" s="655" t="s">
        <v>3013</v>
      </c>
      <c r="AT174" s="598" t="s">
        <v>3014</v>
      </c>
      <c r="AU174" s="655" t="s">
        <v>3015</v>
      </c>
      <c r="AV174" s="598" t="s">
        <v>3206</v>
      </c>
      <c r="AW174" s="240" t="s">
        <v>3207</v>
      </c>
      <c r="AX174" s="598" t="s">
        <v>3272</v>
      </c>
      <c r="AY174" s="240" t="s">
        <v>3273</v>
      </c>
      <c r="AZ174" s="1079" t="str">
        <f t="shared" si="320"/>
        <v/>
      </c>
      <c r="BA174" s="1079"/>
      <c r="BB174" s="1079"/>
      <c r="BC174" s="1079"/>
      <c r="BD174" s="1079"/>
      <c r="BE174" s="1079"/>
      <c r="BF174" s="1079"/>
      <c r="BG174" s="1079"/>
      <c r="BH174" s="884"/>
      <c r="BI174" s="884"/>
      <c r="BJ174" s="884"/>
      <c r="BK174" s="884"/>
      <c r="BR174" s="884"/>
      <c r="BS174" s="884"/>
      <c r="BT174" s="884"/>
      <c r="BU174" s="885"/>
      <c r="BV174" s="885"/>
      <c r="CB174" s="2077"/>
      <c r="CC174" s="2077"/>
      <c r="CD174" s="2077"/>
      <c r="CE174" s="2077"/>
      <c r="CF174" s="2077"/>
      <c r="CG174" s="2077"/>
      <c r="CH174" s="2077"/>
      <c r="CI174" s="2077"/>
      <c r="CJ174" s="2077"/>
      <c r="CK174" s="2077"/>
      <c r="CL174" s="2077"/>
      <c r="CM174" s="2077"/>
      <c r="CN174" s="2077"/>
      <c r="CO174" s="2077"/>
      <c r="CP174" s="2077"/>
      <c r="CQ174" s="2077"/>
      <c r="CR174" s="2077"/>
      <c r="CS174" s="2077"/>
      <c r="CT174" s="2077"/>
      <c r="CU174" s="2077"/>
      <c r="CV174" s="2077"/>
      <c r="CW174" s="2077"/>
      <c r="CX174" s="2077" t="str">
        <f t="shared" si="321"/>
        <v/>
      </c>
      <c r="CY174" s="2077" t="str">
        <f t="shared" si="322"/>
        <v/>
      </c>
      <c r="CZ174" s="2077"/>
      <c r="DA174" s="2077"/>
      <c r="DB174" s="1363"/>
      <c r="DC174" s="1363"/>
      <c r="DD174" s="1363"/>
      <c r="DE174" s="1363"/>
      <c r="DF174" s="1363"/>
      <c r="DG174" s="1363"/>
      <c r="DH174" s="1363"/>
      <c r="DI174" s="1363"/>
      <c r="DJ174" s="1363"/>
      <c r="DK174" s="1363"/>
      <c r="DL174" s="1363"/>
      <c r="DM174" s="1363"/>
      <c r="DN174" s="1363"/>
      <c r="DO174" s="1363"/>
      <c r="DP174" s="1363"/>
      <c r="DQ174" s="1363"/>
      <c r="DR174" s="1363"/>
      <c r="DS174" s="1363"/>
      <c r="DT174" s="1363"/>
      <c r="DU174" s="1363"/>
      <c r="DV174" s="1363"/>
      <c r="DW174" s="1363"/>
      <c r="DX174" s="1363">
        <f t="shared" si="323"/>
        <v>0</v>
      </c>
      <c r="DY174" s="1363">
        <f t="shared" si="323"/>
        <v>0</v>
      </c>
    </row>
    <row r="175" spans="1:131" ht="16.350000000000001" customHeight="1" x14ac:dyDescent="0.25">
      <c r="A175" s="2458">
        <v>11053401</v>
      </c>
      <c r="B175" s="5958" t="s">
        <v>2310</v>
      </c>
      <c r="C175" s="5294"/>
      <c r="D175" s="1864" t="s">
        <v>2777</v>
      </c>
      <c r="E175" s="629" t="s">
        <v>2778</v>
      </c>
      <c r="F175" s="173" t="s">
        <v>2779</v>
      </c>
      <c r="G175" s="145" t="s">
        <v>2780</v>
      </c>
      <c r="H175" s="173" t="s">
        <v>2781</v>
      </c>
      <c r="I175" s="145" t="s">
        <v>2782</v>
      </c>
      <c r="J175" s="173" t="s">
        <v>2783</v>
      </c>
      <c r="K175" s="145" t="s">
        <v>2784</v>
      </c>
      <c r="L175" s="173" t="s">
        <v>2785</v>
      </c>
      <c r="M175" s="145" t="s">
        <v>2786</v>
      </c>
      <c r="N175" s="173" t="s">
        <v>2787</v>
      </c>
      <c r="O175" s="145" t="s">
        <v>2788</v>
      </c>
      <c r="P175" s="182" t="s">
        <v>2789</v>
      </c>
      <c r="Q175" s="146" t="s">
        <v>2790</v>
      </c>
      <c r="R175" s="182" t="s">
        <v>2791</v>
      </c>
      <c r="S175" s="146" t="s">
        <v>2792</v>
      </c>
      <c r="T175" s="182" t="s">
        <v>2793</v>
      </c>
      <c r="U175" s="146" t="s">
        <v>2794</v>
      </c>
      <c r="V175" s="182" t="s">
        <v>2795</v>
      </c>
      <c r="W175" s="146" t="s">
        <v>2796</v>
      </c>
      <c r="X175" s="182" t="s">
        <v>2797</v>
      </c>
      <c r="Y175" s="146" t="s">
        <v>2798</v>
      </c>
      <c r="Z175" s="182" t="s">
        <v>2799</v>
      </c>
      <c r="AA175" s="146" t="s">
        <v>2800</v>
      </c>
      <c r="AB175" s="182" t="s">
        <v>2801</v>
      </c>
      <c r="AC175" s="146" t="s">
        <v>2817</v>
      </c>
      <c r="AD175" s="182" t="s">
        <v>2818</v>
      </c>
      <c r="AE175" s="147" t="s">
        <v>2819</v>
      </c>
      <c r="AF175" s="182" t="s">
        <v>2821</v>
      </c>
      <c r="AG175" s="147" t="s">
        <v>2822</v>
      </c>
      <c r="AH175" s="182" t="s">
        <v>2823</v>
      </c>
      <c r="AI175" s="183" t="s">
        <v>2824</v>
      </c>
      <c r="AJ175" s="182" t="s">
        <v>2825</v>
      </c>
      <c r="AK175" s="146" t="s">
        <v>2826</v>
      </c>
      <c r="AL175" s="598" t="s">
        <v>2827</v>
      </c>
      <c r="AM175" s="240" t="s">
        <v>2831</v>
      </c>
      <c r="AN175" s="182" t="s">
        <v>2832</v>
      </c>
      <c r="AO175" s="655" t="s">
        <v>2833</v>
      </c>
      <c r="AP175" s="598" t="s">
        <v>2834</v>
      </c>
      <c r="AQ175" s="240" t="s">
        <v>3011</v>
      </c>
      <c r="AR175" s="144" t="s">
        <v>3012</v>
      </c>
      <c r="AS175" s="655" t="s">
        <v>3013</v>
      </c>
      <c r="AT175" s="598" t="s">
        <v>3014</v>
      </c>
      <c r="AU175" s="655" t="s">
        <v>3015</v>
      </c>
      <c r="AV175" s="598" t="s">
        <v>3206</v>
      </c>
      <c r="AW175" s="240" t="s">
        <v>3207</v>
      </c>
      <c r="AX175" s="598" t="s">
        <v>3272</v>
      </c>
      <c r="AY175" s="240" t="s">
        <v>3273</v>
      </c>
      <c r="AZ175" s="1079" t="str">
        <f t="shared" si="320"/>
        <v/>
      </c>
      <c r="BA175" s="1079"/>
      <c r="BB175" s="1079"/>
      <c r="BC175" s="1079"/>
      <c r="BD175" s="1079"/>
      <c r="BE175" s="1079"/>
      <c r="BF175" s="1079"/>
      <c r="BG175" s="1079"/>
      <c r="BH175" s="884"/>
      <c r="BI175" s="884"/>
      <c r="BJ175" s="884"/>
      <c r="BK175" s="884"/>
      <c r="BR175" s="884"/>
      <c r="BS175" s="884"/>
      <c r="BT175" s="884"/>
      <c r="BU175" s="885"/>
      <c r="BV175" s="885"/>
      <c r="CB175" s="2077"/>
      <c r="CC175" s="2077"/>
      <c r="CD175" s="2077"/>
      <c r="CE175" s="2077"/>
      <c r="CF175" s="2077"/>
      <c r="CG175" s="2077"/>
      <c r="CH175" s="2077"/>
      <c r="CI175" s="2077"/>
      <c r="CJ175" s="2077"/>
      <c r="CK175" s="2077"/>
      <c r="CL175" s="2077"/>
      <c r="CM175" s="2077"/>
      <c r="CN175" s="2077"/>
      <c r="CO175" s="2077"/>
      <c r="CP175" s="2077"/>
      <c r="CQ175" s="2077"/>
      <c r="CR175" s="2077"/>
      <c r="CS175" s="2077"/>
      <c r="CT175" s="2077"/>
      <c r="CU175" s="2077"/>
      <c r="CV175" s="2077"/>
      <c r="CW175" s="2077"/>
      <c r="CX175" s="2077" t="str">
        <f t="shared" si="321"/>
        <v/>
      </c>
      <c r="CY175" s="2077" t="str">
        <f t="shared" si="322"/>
        <v/>
      </c>
      <c r="CZ175" s="2077"/>
      <c r="DA175" s="2077"/>
      <c r="DB175" s="1363"/>
      <c r="DC175" s="1363"/>
      <c r="DD175" s="1363"/>
      <c r="DE175" s="1363"/>
      <c r="DF175" s="1363"/>
      <c r="DG175" s="1363"/>
      <c r="DH175" s="1363"/>
      <c r="DI175" s="1363"/>
      <c r="DJ175" s="1363"/>
      <c r="DK175" s="1363"/>
      <c r="DL175" s="1363"/>
      <c r="DM175" s="1363"/>
      <c r="DN175" s="1363"/>
      <c r="DO175" s="1363"/>
      <c r="DP175" s="1363"/>
      <c r="DQ175" s="1363"/>
      <c r="DR175" s="1363"/>
      <c r="DS175" s="1363"/>
      <c r="DT175" s="1363"/>
      <c r="DU175" s="1363"/>
      <c r="DV175" s="1363"/>
      <c r="DW175" s="1363"/>
      <c r="DX175" s="1363">
        <f t="shared" si="323"/>
        <v>0</v>
      </c>
      <c r="DY175" s="1363">
        <f t="shared" si="323"/>
        <v>0</v>
      </c>
    </row>
    <row r="176" spans="1:131" ht="16.350000000000001" customHeight="1" x14ac:dyDescent="0.25">
      <c r="A176" s="2458">
        <v>11053402</v>
      </c>
      <c r="B176" s="5958" t="s">
        <v>2311</v>
      </c>
      <c r="C176" s="5294"/>
      <c r="D176" s="1864" t="s">
        <v>2777</v>
      </c>
      <c r="E176" s="629" t="s">
        <v>2778</v>
      </c>
      <c r="F176" s="173" t="s">
        <v>2779</v>
      </c>
      <c r="G176" s="145" t="s">
        <v>2780</v>
      </c>
      <c r="H176" s="173" t="s">
        <v>2781</v>
      </c>
      <c r="I176" s="145" t="s">
        <v>2782</v>
      </c>
      <c r="J176" s="173" t="s">
        <v>2783</v>
      </c>
      <c r="K176" s="145" t="s">
        <v>2784</v>
      </c>
      <c r="L176" s="173" t="s">
        <v>2785</v>
      </c>
      <c r="M176" s="145" t="s">
        <v>2786</v>
      </c>
      <c r="N176" s="173" t="s">
        <v>2787</v>
      </c>
      <c r="O176" s="145" t="s">
        <v>2788</v>
      </c>
      <c r="P176" s="182" t="s">
        <v>2789</v>
      </c>
      <c r="Q176" s="146" t="s">
        <v>2790</v>
      </c>
      <c r="R176" s="182" t="s">
        <v>2791</v>
      </c>
      <c r="S176" s="146" t="s">
        <v>2792</v>
      </c>
      <c r="T176" s="182" t="s">
        <v>2793</v>
      </c>
      <c r="U176" s="146" t="s">
        <v>2794</v>
      </c>
      <c r="V176" s="182" t="s">
        <v>2795</v>
      </c>
      <c r="W176" s="146" t="s">
        <v>2796</v>
      </c>
      <c r="X176" s="182" t="s">
        <v>2797</v>
      </c>
      <c r="Y176" s="146" t="s">
        <v>2798</v>
      </c>
      <c r="Z176" s="182" t="s">
        <v>2799</v>
      </c>
      <c r="AA176" s="146" t="s">
        <v>2800</v>
      </c>
      <c r="AB176" s="182" t="s">
        <v>2801</v>
      </c>
      <c r="AC176" s="146" t="s">
        <v>2817</v>
      </c>
      <c r="AD176" s="182" t="s">
        <v>2818</v>
      </c>
      <c r="AE176" s="147" t="s">
        <v>2819</v>
      </c>
      <c r="AF176" s="182" t="s">
        <v>2821</v>
      </c>
      <c r="AG176" s="147" t="s">
        <v>2822</v>
      </c>
      <c r="AH176" s="141" t="s">
        <v>2823</v>
      </c>
      <c r="AI176" s="240" t="s">
        <v>2824</v>
      </c>
      <c r="AJ176" s="141" t="s">
        <v>2825</v>
      </c>
      <c r="AK176" s="144" t="s">
        <v>2826</v>
      </c>
      <c r="AL176" s="598" t="s">
        <v>2827</v>
      </c>
      <c r="AM176" s="240" t="s">
        <v>2831</v>
      </c>
      <c r="AN176" s="182" t="s">
        <v>2832</v>
      </c>
      <c r="AO176" s="655" t="s">
        <v>2833</v>
      </c>
      <c r="AP176" s="598" t="s">
        <v>2834</v>
      </c>
      <c r="AQ176" s="240" t="s">
        <v>3011</v>
      </c>
      <c r="AR176" s="144" t="s">
        <v>3012</v>
      </c>
      <c r="AS176" s="655" t="s">
        <v>3013</v>
      </c>
      <c r="AT176" s="598" t="s">
        <v>3014</v>
      </c>
      <c r="AU176" s="655" t="s">
        <v>3015</v>
      </c>
      <c r="AV176" s="598" t="s">
        <v>3206</v>
      </c>
      <c r="AW176" s="240" t="s">
        <v>3207</v>
      </c>
      <c r="AX176" s="598" t="s">
        <v>3272</v>
      </c>
      <c r="AY176" s="240" t="s">
        <v>3273</v>
      </c>
      <c r="AZ176" s="1079" t="str">
        <f t="shared" si="320"/>
        <v/>
      </c>
      <c r="BA176" s="1079"/>
      <c r="BB176" s="1079"/>
      <c r="BC176" s="1079"/>
      <c r="BD176" s="1079"/>
      <c r="BE176" s="1079"/>
      <c r="BF176" s="1079"/>
      <c r="BG176" s="1079"/>
      <c r="BH176" s="884"/>
      <c r="BI176" s="884"/>
      <c r="BJ176" s="884"/>
      <c r="BK176" s="884"/>
      <c r="BR176" s="884"/>
      <c r="BS176" s="884"/>
      <c r="BT176" s="884"/>
      <c r="BU176" s="885"/>
      <c r="BV176" s="885"/>
      <c r="CB176" s="2077"/>
      <c r="CC176" s="2077"/>
      <c r="CD176" s="2077"/>
      <c r="CE176" s="2077"/>
      <c r="CF176" s="2077"/>
      <c r="CG176" s="2077"/>
      <c r="CH176" s="2077"/>
      <c r="CI176" s="2077"/>
      <c r="CJ176" s="2077"/>
      <c r="CK176" s="2077"/>
      <c r="CL176" s="2077"/>
      <c r="CM176" s="2077"/>
      <c r="CN176" s="2077"/>
      <c r="CO176" s="2077"/>
      <c r="CP176" s="2077"/>
      <c r="CQ176" s="2077"/>
      <c r="CR176" s="2077"/>
      <c r="CS176" s="2077"/>
      <c r="CT176" s="2077"/>
      <c r="CU176" s="2077"/>
      <c r="CV176" s="2077"/>
      <c r="CW176" s="2077"/>
      <c r="CX176" s="2077" t="str">
        <f t="shared" si="321"/>
        <v/>
      </c>
      <c r="CY176" s="2077" t="str">
        <f t="shared" si="322"/>
        <v/>
      </c>
      <c r="CZ176" s="2077"/>
      <c r="DA176" s="2077"/>
      <c r="DB176" s="1363"/>
      <c r="DC176" s="1363"/>
      <c r="DD176" s="1363"/>
      <c r="DE176" s="1363"/>
      <c r="DF176" s="1363"/>
      <c r="DG176" s="1363"/>
      <c r="DH176" s="1363"/>
      <c r="DI176" s="1363"/>
      <c r="DJ176" s="1363"/>
      <c r="DK176" s="1363"/>
      <c r="DL176" s="1363"/>
      <c r="DM176" s="1363"/>
      <c r="DN176" s="1363"/>
      <c r="DO176" s="1363"/>
      <c r="DP176" s="1363"/>
      <c r="DQ176" s="1363"/>
      <c r="DR176" s="1363"/>
      <c r="DS176" s="1363"/>
      <c r="DT176" s="1363"/>
      <c r="DU176" s="1363"/>
      <c r="DV176" s="1363"/>
      <c r="DW176" s="1363"/>
      <c r="DX176" s="1363">
        <f t="shared" si="323"/>
        <v>0</v>
      </c>
      <c r="DY176" s="1363">
        <f t="shared" si="323"/>
        <v>0</v>
      </c>
    </row>
    <row r="177" spans="1:129" ht="16.350000000000001" customHeight="1" x14ac:dyDescent="0.25">
      <c r="A177" s="2458">
        <v>11053500</v>
      </c>
      <c r="B177" s="2049" t="s">
        <v>2312</v>
      </c>
      <c r="C177" s="2050"/>
      <c r="D177" s="1864" t="s">
        <v>2777</v>
      </c>
      <c r="E177" s="629" t="s">
        <v>2778</v>
      </c>
      <c r="F177" s="173" t="s">
        <v>2779</v>
      </c>
      <c r="G177" s="145" t="s">
        <v>2780</v>
      </c>
      <c r="H177" s="173" t="s">
        <v>2781</v>
      </c>
      <c r="I177" s="145" t="s">
        <v>2782</v>
      </c>
      <c r="J177" s="173" t="s">
        <v>2783</v>
      </c>
      <c r="K177" s="145" t="s">
        <v>2784</v>
      </c>
      <c r="L177" s="173" t="s">
        <v>2785</v>
      </c>
      <c r="M177" s="145" t="s">
        <v>2786</v>
      </c>
      <c r="N177" s="173" t="s">
        <v>2787</v>
      </c>
      <c r="O177" s="145" t="s">
        <v>2788</v>
      </c>
      <c r="P177" s="182" t="s">
        <v>2789</v>
      </c>
      <c r="Q177" s="146" t="s">
        <v>2790</v>
      </c>
      <c r="R177" s="182" t="s">
        <v>2791</v>
      </c>
      <c r="S177" s="146" t="s">
        <v>2792</v>
      </c>
      <c r="T177" s="182" t="s">
        <v>2793</v>
      </c>
      <c r="U177" s="146" t="s">
        <v>2794</v>
      </c>
      <c r="V177" s="182" t="s">
        <v>2795</v>
      </c>
      <c r="W177" s="146" t="s">
        <v>2796</v>
      </c>
      <c r="X177" s="182" t="s">
        <v>2797</v>
      </c>
      <c r="Y177" s="146" t="s">
        <v>2798</v>
      </c>
      <c r="Z177" s="182" t="s">
        <v>2799</v>
      </c>
      <c r="AA177" s="146" t="s">
        <v>2800</v>
      </c>
      <c r="AB177" s="182" t="s">
        <v>2801</v>
      </c>
      <c r="AC177" s="146" t="s">
        <v>2817</v>
      </c>
      <c r="AD177" s="182" t="s">
        <v>2818</v>
      </c>
      <c r="AE177" s="147" t="s">
        <v>2819</v>
      </c>
      <c r="AF177" s="182" t="s">
        <v>2821</v>
      </c>
      <c r="AG177" s="147" t="s">
        <v>2822</v>
      </c>
      <c r="AH177" s="182" t="s">
        <v>2823</v>
      </c>
      <c r="AI177" s="183" t="s">
        <v>2824</v>
      </c>
      <c r="AJ177" s="182" t="s">
        <v>2825</v>
      </c>
      <c r="AK177" s="146" t="s">
        <v>2826</v>
      </c>
      <c r="AL177" s="598" t="s">
        <v>2827</v>
      </c>
      <c r="AM177" s="240" t="s">
        <v>2831</v>
      </c>
      <c r="AN177" s="182" t="s">
        <v>2832</v>
      </c>
      <c r="AO177" s="655" t="s">
        <v>2833</v>
      </c>
      <c r="AP177" s="598" t="s">
        <v>2834</v>
      </c>
      <c r="AQ177" s="240" t="s">
        <v>3011</v>
      </c>
      <c r="AR177" s="144" t="s">
        <v>3012</v>
      </c>
      <c r="AS177" s="655" t="s">
        <v>3013</v>
      </c>
      <c r="AT177" s="598" t="s">
        <v>3014</v>
      </c>
      <c r="AU177" s="655" t="s">
        <v>3015</v>
      </c>
      <c r="AV177" s="598" t="s">
        <v>3206</v>
      </c>
      <c r="AW177" s="240" t="s">
        <v>3207</v>
      </c>
      <c r="AX177" s="598" t="s">
        <v>3272</v>
      </c>
      <c r="AY177" s="240" t="s">
        <v>3273</v>
      </c>
      <c r="AZ177" s="1079" t="str">
        <f t="shared" si="320"/>
        <v/>
      </c>
      <c r="BA177" s="1079"/>
      <c r="BB177" s="1079"/>
      <c r="BC177" s="1079"/>
      <c r="BD177" s="1079"/>
      <c r="BE177" s="1079"/>
      <c r="BF177" s="1079"/>
      <c r="BG177" s="1079"/>
      <c r="BH177" s="884"/>
      <c r="BI177" s="884"/>
      <c r="BJ177" s="884"/>
      <c r="BK177" s="884"/>
      <c r="BR177" s="884"/>
      <c r="BS177" s="884"/>
      <c r="BT177" s="884"/>
      <c r="BU177" s="885"/>
      <c r="BV177" s="885"/>
      <c r="CB177" s="2077"/>
      <c r="CC177" s="2077"/>
      <c r="CD177" s="2077"/>
      <c r="CE177" s="2077"/>
      <c r="CF177" s="2077"/>
      <c r="CG177" s="2077"/>
      <c r="CH177" s="2077"/>
      <c r="CI177" s="2077"/>
      <c r="CJ177" s="2077"/>
      <c r="CK177" s="2077"/>
      <c r="CL177" s="2077"/>
      <c r="CM177" s="2077"/>
      <c r="CN177" s="2077"/>
      <c r="CO177" s="2077"/>
      <c r="CP177" s="2077"/>
      <c r="CQ177" s="2077"/>
      <c r="CR177" s="2077"/>
      <c r="CS177" s="2077"/>
      <c r="CT177" s="2077"/>
      <c r="CU177" s="2077"/>
      <c r="CV177" s="2077"/>
      <c r="CW177" s="2077"/>
      <c r="CX177" s="2077" t="str">
        <f t="shared" si="321"/>
        <v/>
      </c>
      <c r="CY177" s="2077" t="str">
        <f t="shared" si="322"/>
        <v/>
      </c>
      <c r="CZ177" s="2077"/>
      <c r="DA177" s="2077"/>
      <c r="DB177" s="1363"/>
      <c r="DC177" s="1363"/>
      <c r="DD177" s="1363"/>
      <c r="DE177" s="1363"/>
      <c r="DF177" s="1363"/>
      <c r="DG177" s="1363"/>
      <c r="DH177" s="1363"/>
      <c r="DI177" s="1363"/>
      <c r="DJ177" s="1363"/>
      <c r="DK177" s="1363"/>
      <c r="DL177" s="1363"/>
      <c r="DM177" s="1363"/>
      <c r="DN177" s="1363"/>
      <c r="DO177" s="1363"/>
      <c r="DP177" s="1363"/>
      <c r="DQ177" s="1363"/>
      <c r="DR177" s="1363"/>
      <c r="DS177" s="1363"/>
      <c r="DT177" s="1363"/>
      <c r="DU177" s="1363"/>
      <c r="DV177" s="1363"/>
      <c r="DW177" s="1363"/>
      <c r="DX177" s="1363">
        <f t="shared" ref="DX177:DY182" si="324">IF(AND(D177&lt;&gt;0,OR(AP177="",AR177="",AT177="",AV177="")),1,0)</f>
        <v>0</v>
      </c>
      <c r="DY177" s="1363">
        <f t="shared" si="324"/>
        <v>0</v>
      </c>
    </row>
    <row r="178" spans="1:129" ht="16.350000000000001" customHeight="1" x14ac:dyDescent="0.25">
      <c r="A178" s="2458">
        <v>11053501</v>
      </c>
      <c r="B178" s="5958" t="s">
        <v>2313</v>
      </c>
      <c r="C178" s="5294"/>
      <c r="D178" s="1864" t="s">
        <v>2777</v>
      </c>
      <c r="E178" s="629" t="s">
        <v>2778</v>
      </c>
      <c r="F178" s="182" t="s">
        <v>2779</v>
      </c>
      <c r="G178" s="146" t="s">
        <v>2780</v>
      </c>
      <c r="H178" s="182" t="s">
        <v>2781</v>
      </c>
      <c r="I178" s="146" t="s">
        <v>2782</v>
      </c>
      <c r="J178" s="182" t="s">
        <v>2783</v>
      </c>
      <c r="K178" s="146" t="s">
        <v>2784</v>
      </c>
      <c r="L178" s="182" t="s">
        <v>2785</v>
      </c>
      <c r="M178" s="146" t="s">
        <v>2786</v>
      </c>
      <c r="N178" s="182" t="s">
        <v>2787</v>
      </c>
      <c r="O178" s="146" t="s">
        <v>2788</v>
      </c>
      <c r="P178" s="182" t="s">
        <v>2789</v>
      </c>
      <c r="Q178" s="146" t="s">
        <v>2790</v>
      </c>
      <c r="R178" s="182" t="s">
        <v>2791</v>
      </c>
      <c r="S178" s="146" t="s">
        <v>2792</v>
      </c>
      <c r="T178" s="182" t="s">
        <v>2793</v>
      </c>
      <c r="U178" s="146" t="s">
        <v>2794</v>
      </c>
      <c r="V178" s="182" t="s">
        <v>2795</v>
      </c>
      <c r="W178" s="146" t="s">
        <v>2796</v>
      </c>
      <c r="X178" s="182" t="s">
        <v>2797</v>
      </c>
      <c r="Y178" s="146" t="s">
        <v>2798</v>
      </c>
      <c r="Z178" s="182" t="s">
        <v>2799</v>
      </c>
      <c r="AA178" s="146" t="s">
        <v>2800</v>
      </c>
      <c r="AB178" s="182" t="s">
        <v>2801</v>
      </c>
      <c r="AC178" s="146" t="s">
        <v>2817</v>
      </c>
      <c r="AD178" s="182" t="s">
        <v>2818</v>
      </c>
      <c r="AE178" s="147" t="s">
        <v>2819</v>
      </c>
      <c r="AF178" s="182" t="s">
        <v>2821</v>
      </c>
      <c r="AG178" s="147" t="s">
        <v>2822</v>
      </c>
      <c r="AH178" s="182" t="s">
        <v>2823</v>
      </c>
      <c r="AI178" s="183" t="s">
        <v>2824</v>
      </c>
      <c r="AJ178" s="182" t="s">
        <v>2825</v>
      </c>
      <c r="AK178" s="146" t="s">
        <v>2826</v>
      </c>
      <c r="AL178" s="598" t="s">
        <v>2827</v>
      </c>
      <c r="AM178" s="240" t="s">
        <v>2831</v>
      </c>
      <c r="AN178" s="182" t="s">
        <v>2832</v>
      </c>
      <c r="AO178" s="655" t="s">
        <v>2833</v>
      </c>
      <c r="AP178" s="598" t="s">
        <v>2834</v>
      </c>
      <c r="AQ178" s="240" t="s">
        <v>3011</v>
      </c>
      <c r="AR178" s="144" t="s">
        <v>3012</v>
      </c>
      <c r="AS178" s="655" t="s">
        <v>3013</v>
      </c>
      <c r="AT178" s="598" t="s">
        <v>3014</v>
      </c>
      <c r="AU178" s="655" t="s">
        <v>3015</v>
      </c>
      <c r="AV178" s="598" t="s">
        <v>3206</v>
      </c>
      <c r="AW178" s="240" t="s">
        <v>3207</v>
      </c>
      <c r="AX178" s="598" t="s">
        <v>3272</v>
      </c>
      <c r="AY178" s="240" t="s">
        <v>3273</v>
      </c>
      <c r="AZ178" s="1079" t="str">
        <f t="shared" si="320"/>
        <v/>
      </c>
      <c r="BA178" s="1079"/>
      <c r="BB178" s="1079"/>
      <c r="BC178" s="1079"/>
      <c r="BD178" s="1079"/>
      <c r="BE178" s="1079"/>
      <c r="BF178" s="1079"/>
      <c r="BG178" s="1079"/>
      <c r="BH178" s="884"/>
      <c r="BI178" s="884"/>
      <c r="BJ178" s="884"/>
      <c r="BK178" s="884"/>
      <c r="BR178" s="884"/>
      <c r="BS178" s="884"/>
      <c r="BT178" s="884"/>
      <c r="BU178" s="885"/>
      <c r="BV178" s="885"/>
      <c r="CB178" s="2077"/>
      <c r="CC178" s="2077"/>
      <c r="CD178" s="2077"/>
      <c r="CE178" s="2077"/>
      <c r="CF178" s="2077"/>
      <c r="CG178" s="2077"/>
      <c r="CH178" s="2077"/>
      <c r="CI178" s="2077"/>
      <c r="CJ178" s="2077"/>
      <c r="CK178" s="2077"/>
      <c r="CL178" s="2077"/>
      <c r="CM178" s="2077"/>
      <c r="CN178" s="2077"/>
      <c r="CO178" s="2077"/>
      <c r="CP178" s="2077"/>
      <c r="CQ178" s="2077"/>
      <c r="CR178" s="2077"/>
      <c r="CS178" s="2077"/>
      <c r="CT178" s="2077"/>
      <c r="CU178" s="2077"/>
      <c r="CV178" s="2077"/>
      <c r="CW178" s="2077"/>
      <c r="CX178" s="2077" t="str">
        <f t="shared" si="321"/>
        <v/>
      </c>
      <c r="CY178" s="2077" t="str">
        <f t="shared" si="322"/>
        <v/>
      </c>
      <c r="CZ178" s="2077"/>
      <c r="DA178" s="2077"/>
      <c r="DB178" s="1363"/>
      <c r="DC178" s="1363"/>
      <c r="DD178" s="1363"/>
      <c r="DE178" s="1363"/>
      <c r="DF178" s="1363"/>
      <c r="DG178" s="1363"/>
      <c r="DH178" s="1363"/>
      <c r="DI178" s="1363"/>
      <c r="DJ178" s="1363"/>
      <c r="DK178" s="1363"/>
      <c r="DL178" s="1363"/>
      <c r="DM178" s="1363"/>
      <c r="DN178" s="1363"/>
      <c r="DO178" s="1363"/>
      <c r="DP178" s="1363"/>
      <c r="DQ178" s="1363"/>
      <c r="DR178" s="1363"/>
      <c r="DS178" s="1363"/>
      <c r="DT178" s="1363"/>
      <c r="DU178" s="1363"/>
      <c r="DV178" s="1363"/>
      <c r="DW178" s="1363"/>
      <c r="DX178" s="1363">
        <f t="shared" si="324"/>
        <v>0</v>
      </c>
      <c r="DY178" s="1363">
        <f t="shared" si="324"/>
        <v>0</v>
      </c>
    </row>
    <row r="179" spans="1:129" ht="16.350000000000001" customHeight="1" x14ac:dyDescent="0.25">
      <c r="A179" s="2458">
        <v>11053502</v>
      </c>
      <c r="B179" s="5958" t="s">
        <v>2314</v>
      </c>
      <c r="C179" s="5294"/>
      <c r="D179" s="1864" t="s">
        <v>2777</v>
      </c>
      <c r="E179" s="629" t="s">
        <v>2778</v>
      </c>
      <c r="F179" s="182" t="s">
        <v>2779</v>
      </c>
      <c r="G179" s="146" t="s">
        <v>2780</v>
      </c>
      <c r="H179" s="182" t="s">
        <v>2781</v>
      </c>
      <c r="I179" s="146" t="s">
        <v>2782</v>
      </c>
      <c r="J179" s="182" t="s">
        <v>2783</v>
      </c>
      <c r="K179" s="146" t="s">
        <v>2784</v>
      </c>
      <c r="L179" s="182" t="s">
        <v>2785</v>
      </c>
      <c r="M179" s="146" t="s">
        <v>2786</v>
      </c>
      <c r="N179" s="182" t="s">
        <v>2787</v>
      </c>
      <c r="O179" s="146" t="s">
        <v>2788</v>
      </c>
      <c r="P179" s="182" t="s">
        <v>2789</v>
      </c>
      <c r="Q179" s="146" t="s">
        <v>2790</v>
      </c>
      <c r="R179" s="182" t="s">
        <v>2791</v>
      </c>
      <c r="S179" s="146" t="s">
        <v>2792</v>
      </c>
      <c r="T179" s="182" t="s">
        <v>2793</v>
      </c>
      <c r="U179" s="146" t="s">
        <v>2794</v>
      </c>
      <c r="V179" s="182" t="s">
        <v>2795</v>
      </c>
      <c r="W179" s="146" t="s">
        <v>2796</v>
      </c>
      <c r="X179" s="182" t="s">
        <v>2797</v>
      </c>
      <c r="Y179" s="146" t="s">
        <v>2798</v>
      </c>
      <c r="Z179" s="182" t="s">
        <v>2799</v>
      </c>
      <c r="AA179" s="146" t="s">
        <v>2800</v>
      </c>
      <c r="AB179" s="182" t="s">
        <v>2801</v>
      </c>
      <c r="AC179" s="146" t="s">
        <v>2817</v>
      </c>
      <c r="AD179" s="182" t="s">
        <v>2818</v>
      </c>
      <c r="AE179" s="147" t="s">
        <v>2819</v>
      </c>
      <c r="AF179" s="182" t="s">
        <v>2821</v>
      </c>
      <c r="AG179" s="147" t="s">
        <v>2822</v>
      </c>
      <c r="AH179" s="182" t="s">
        <v>2823</v>
      </c>
      <c r="AI179" s="183" t="s">
        <v>2824</v>
      </c>
      <c r="AJ179" s="182" t="s">
        <v>2825</v>
      </c>
      <c r="AK179" s="146" t="s">
        <v>2826</v>
      </c>
      <c r="AL179" s="598" t="s">
        <v>2827</v>
      </c>
      <c r="AM179" s="240" t="s">
        <v>2831</v>
      </c>
      <c r="AN179" s="182" t="s">
        <v>2832</v>
      </c>
      <c r="AO179" s="655" t="s">
        <v>2833</v>
      </c>
      <c r="AP179" s="598" t="s">
        <v>2834</v>
      </c>
      <c r="AQ179" s="240" t="s">
        <v>3011</v>
      </c>
      <c r="AR179" s="144" t="s">
        <v>3012</v>
      </c>
      <c r="AS179" s="655" t="s">
        <v>3013</v>
      </c>
      <c r="AT179" s="598" t="s">
        <v>3014</v>
      </c>
      <c r="AU179" s="655" t="s">
        <v>3015</v>
      </c>
      <c r="AV179" s="598" t="s">
        <v>3206</v>
      </c>
      <c r="AW179" s="240" t="s">
        <v>3207</v>
      </c>
      <c r="AX179" s="598" t="s">
        <v>3272</v>
      </c>
      <c r="AY179" s="240" t="s">
        <v>3273</v>
      </c>
      <c r="AZ179" s="1079" t="str">
        <f t="shared" si="320"/>
        <v/>
      </c>
      <c r="BA179" s="1079"/>
      <c r="BB179" s="1079"/>
      <c r="BC179" s="1079"/>
      <c r="BD179" s="1079"/>
      <c r="BE179" s="1079"/>
      <c r="BF179" s="1079"/>
      <c r="BG179" s="1079"/>
      <c r="BH179" s="884"/>
      <c r="BI179" s="884"/>
      <c r="BJ179" s="884"/>
      <c r="BK179" s="884"/>
      <c r="BR179" s="884"/>
      <c r="BS179" s="884"/>
      <c r="BT179" s="884"/>
      <c r="BU179" s="885"/>
      <c r="BV179" s="885"/>
      <c r="CB179" s="2077"/>
      <c r="CC179" s="2077"/>
      <c r="CD179" s="2077"/>
      <c r="CE179" s="2077"/>
      <c r="CF179" s="2077"/>
      <c r="CG179" s="2077"/>
      <c r="CH179" s="2077"/>
      <c r="CI179" s="2077"/>
      <c r="CJ179" s="2077"/>
      <c r="CK179" s="2077"/>
      <c r="CL179" s="2077"/>
      <c r="CM179" s="2077"/>
      <c r="CN179" s="2077"/>
      <c r="CO179" s="2077"/>
      <c r="CP179" s="2077"/>
      <c r="CQ179" s="2077"/>
      <c r="CR179" s="2077"/>
      <c r="CS179" s="2077"/>
      <c r="CT179" s="2077"/>
      <c r="CU179" s="2077"/>
      <c r="CV179" s="2077"/>
      <c r="CW179" s="2077"/>
      <c r="CX179" s="2077" t="str">
        <f t="shared" si="321"/>
        <v/>
      </c>
      <c r="CY179" s="2077" t="str">
        <f t="shared" si="322"/>
        <v/>
      </c>
      <c r="CZ179" s="2077"/>
      <c r="DA179" s="2077"/>
      <c r="DB179" s="1363"/>
      <c r="DC179" s="1363"/>
      <c r="DD179" s="1363"/>
      <c r="DE179" s="1363"/>
      <c r="DF179" s="1363"/>
      <c r="DG179" s="1363"/>
      <c r="DH179" s="1363"/>
      <c r="DI179" s="1363"/>
      <c r="DJ179" s="1363"/>
      <c r="DK179" s="1363"/>
      <c r="DL179" s="1363"/>
      <c r="DM179" s="1363"/>
      <c r="DN179" s="1363"/>
      <c r="DO179" s="1363"/>
      <c r="DP179" s="1363"/>
      <c r="DQ179" s="1363"/>
      <c r="DR179" s="1363"/>
      <c r="DS179" s="1363"/>
      <c r="DT179" s="1363"/>
      <c r="DU179" s="1363"/>
      <c r="DV179" s="1363"/>
      <c r="DW179" s="1363"/>
      <c r="DX179" s="1363">
        <f t="shared" si="324"/>
        <v>0</v>
      </c>
      <c r="DY179" s="1363">
        <f t="shared" si="324"/>
        <v>0</v>
      </c>
    </row>
    <row r="180" spans="1:129" ht="16.350000000000001" customHeight="1" x14ac:dyDescent="0.25">
      <c r="A180" s="2458">
        <v>11053503</v>
      </c>
      <c r="B180" s="5958" t="s">
        <v>2315</v>
      </c>
      <c r="C180" s="5294"/>
      <c r="D180" s="1864" t="s">
        <v>2777</v>
      </c>
      <c r="E180" s="629" t="s">
        <v>2778</v>
      </c>
      <c r="F180" s="182" t="s">
        <v>2779</v>
      </c>
      <c r="G180" s="146" t="s">
        <v>2780</v>
      </c>
      <c r="H180" s="182" t="s">
        <v>2781</v>
      </c>
      <c r="I180" s="146" t="s">
        <v>2782</v>
      </c>
      <c r="J180" s="182" t="s">
        <v>2783</v>
      </c>
      <c r="K180" s="146" t="s">
        <v>2784</v>
      </c>
      <c r="L180" s="182" t="s">
        <v>2785</v>
      </c>
      <c r="M180" s="146" t="s">
        <v>2786</v>
      </c>
      <c r="N180" s="182" t="s">
        <v>2787</v>
      </c>
      <c r="O180" s="146" t="s">
        <v>2788</v>
      </c>
      <c r="P180" s="182" t="s">
        <v>2789</v>
      </c>
      <c r="Q180" s="146" t="s">
        <v>2790</v>
      </c>
      <c r="R180" s="182" t="s">
        <v>2791</v>
      </c>
      <c r="S180" s="146" t="s">
        <v>2792</v>
      </c>
      <c r="T180" s="182" t="s">
        <v>2793</v>
      </c>
      <c r="U180" s="146" t="s">
        <v>2794</v>
      </c>
      <c r="V180" s="182" t="s">
        <v>2795</v>
      </c>
      <c r="W180" s="146" t="s">
        <v>2796</v>
      </c>
      <c r="X180" s="182" t="s">
        <v>2797</v>
      </c>
      <c r="Y180" s="146" t="s">
        <v>2798</v>
      </c>
      <c r="Z180" s="182" t="s">
        <v>2799</v>
      </c>
      <c r="AA180" s="146" t="s">
        <v>2800</v>
      </c>
      <c r="AB180" s="182" t="s">
        <v>2801</v>
      </c>
      <c r="AC180" s="146" t="s">
        <v>2817</v>
      </c>
      <c r="AD180" s="182" t="s">
        <v>2818</v>
      </c>
      <c r="AE180" s="147" t="s">
        <v>2819</v>
      </c>
      <c r="AF180" s="182" t="s">
        <v>2821</v>
      </c>
      <c r="AG180" s="147" t="s">
        <v>2822</v>
      </c>
      <c r="AH180" s="182" t="s">
        <v>2823</v>
      </c>
      <c r="AI180" s="183" t="s">
        <v>2824</v>
      </c>
      <c r="AJ180" s="182" t="s">
        <v>2825</v>
      </c>
      <c r="AK180" s="146" t="s">
        <v>2826</v>
      </c>
      <c r="AL180" s="598" t="s">
        <v>2827</v>
      </c>
      <c r="AM180" s="240" t="s">
        <v>2831</v>
      </c>
      <c r="AN180" s="182" t="s">
        <v>2832</v>
      </c>
      <c r="AO180" s="655" t="s">
        <v>2833</v>
      </c>
      <c r="AP180" s="598" t="s">
        <v>2834</v>
      </c>
      <c r="AQ180" s="240" t="s">
        <v>3011</v>
      </c>
      <c r="AR180" s="144" t="s">
        <v>3012</v>
      </c>
      <c r="AS180" s="655" t="s">
        <v>3013</v>
      </c>
      <c r="AT180" s="598" t="s">
        <v>3014</v>
      </c>
      <c r="AU180" s="655" t="s">
        <v>3015</v>
      </c>
      <c r="AV180" s="598" t="s">
        <v>3206</v>
      </c>
      <c r="AW180" s="240" t="s">
        <v>3207</v>
      </c>
      <c r="AX180" s="598" t="s">
        <v>3272</v>
      </c>
      <c r="AY180" s="240" t="s">
        <v>3273</v>
      </c>
      <c r="AZ180" s="1079" t="str">
        <f t="shared" si="320"/>
        <v/>
      </c>
      <c r="BA180" s="1079"/>
      <c r="BB180" s="1079"/>
      <c r="BC180" s="1079"/>
      <c r="BD180" s="1079"/>
      <c r="BE180" s="1079"/>
      <c r="BF180" s="1079"/>
      <c r="BG180" s="1079"/>
      <c r="BH180" s="884"/>
      <c r="BI180" s="884"/>
      <c r="BJ180" s="884"/>
      <c r="BK180" s="884"/>
      <c r="BR180" s="884"/>
      <c r="BS180" s="884"/>
      <c r="BT180" s="884"/>
      <c r="BU180" s="885"/>
      <c r="BV180" s="885"/>
      <c r="CB180" s="2077"/>
      <c r="CC180" s="2077"/>
      <c r="CD180" s="2077"/>
      <c r="CE180" s="2077"/>
      <c r="CF180" s="2077"/>
      <c r="CG180" s="2077"/>
      <c r="CH180" s="2077"/>
      <c r="CI180" s="2077"/>
      <c r="CJ180" s="2077"/>
      <c r="CK180" s="2077"/>
      <c r="CL180" s="2077"/>
      <c r="CM180" s="2077"/>
      <c r="CN180" s="2077"/>
      <c r="CO180" s="2077"/>
      <c r="CP180" s="2077"/>
      <c r="CQ180" s="2077"/>
      <c r="CR180" s="2077"/>
      <c r="CS180" s="2077"/>
      <c r="CT180" s="2077"/>
      <c r="CU180" s="2077"/>
      <c r="CV180" s="2077"/>
      <c r="CW180" s="2077"/>
      <c r="CX180" s="2077" t="str">
        <f t="shared" si="321"/>
        <v/>
      </c>
      <c r="CY180" s="2077" t="str">
        <f t="shared" si="322"/>
        <v/>
      </c>
      <c r="CZ180" s="2077"/>
      <c r="DA180" s="2077"/>
      <c r="DB180" s="1363"/>
      <c r="DC180" s="1363"/>
      <c r="DD180" s="1363"/>
      <c r="DE180" s="1363"/>
      <c r="DF180" s="1363"/>
      <c r="DG180" s="1363"/>
      <c r="DH180" s="1363"/>
      <c r="DI180" s="1363"/>
      <c r="DJ180" s="1363"/>
      <c r="DK180" s="1363"/>
      <c r="DL180" s="1363"/>
      <c r="DM180" s="1363"/>
      <c r="DN180" s="1363"/>
      <c r="DO180" s="1363"/>
      <c r="DP180" s="1363"/>
      <c r="DQ180" s="1363"/>
      <c r="DR180" s="1363"/>
      <c r="DS180" s="1363"/>
      <c r="DT180" s="1363"/>
      <c r="DU180" s="1363"/>
      <c r="DV180" s="1363"/>
      <c r="DW180" s="1363"/>
      <c r="DX180" s="1363">
        <f t="shared" si="324"/>
        <v>0</v>
      </c>
      <c r="DY180" s="1363">
        <f t="shared" si="324"/>
        <v>0</v>
      </c>
    </row>
    <row r="181" spans="1:129" ht="16.350000000000001" customHeight="1" x14ac:dyDescent="0.25">
      <c r="A181" s="2458">
        <v>11053600</v>
      </c>
      <c r="B181" s="5958" t="s">
        <v>2316</v>
      </c>
      <c r="C181" s="5294"/>
      <c r="D181" s="1864" t="s">
        <v>2777</v>
      </c>
      <c r="E181" s="629" t="s">
        <v>2778</v>
      </c>
      <c r="F181" s="182" t="s">
        <v>2779</v>
      </c>
      <c r="G181" s="146" t="s">
        <v>2780</v>
      </c>
      <c r="H181" s="182" t="s">
        <v>2781</v>
      </c>
      <c r="I181" s="146" t="s">
        <v>2782</v>
      </c>
      <c r="J181" s="182" t="s">
        <v>2783</v>
      </c>
      <c r="K181" s="146" t="s">
        <v>2784</v>
      </c>
      <c r="L181" s="182" t="s">
        <v>2785</v>
      </c>
      <c r="M181" s="146" t="s">
        <v>2786</v>
      </c>
      <c r="N181" s="182" t="s">
        <v>2787</v>
      </c>
      <c r="O181" s="146" t="s">
        <v>2788</v>
      </c>
      <c r="P181" s="182" t="s">
        <v>2789</v>
      </c>
      <c r="Q181" s="146" t="s">
        <v>2790</v>
      </c>
      <c r="R181" s="182" t="s">
        <v>2791</v>
      </c>
      <c r="S181" s="146" t="s">
        <v>2792</v>
      </c>
      <c r="T181" s="182" t="s">
        <v>2793</v>
      </c>
      <c r="U181" s="146" t="s">
        <v>2794</v>
      </c>
      <c r="V181" s="182" t="s">
        <v>2795</v>
      </c>
      <c r="W181" s="146" t="s">
        <v>2796</v>
      </c>
      <c r="X181" s="182" t="s">
        <v>2797</v>
      </c>
      <c r="Y181" s="146" t="s">
        <v>2798</v>
      </c>
      <c r="Z181" s="182" t="s">
        <v>2799</v>
      </c>
      <c r="AA181" s="146" t="s">
        <v>2800</v>
      </c>
      <c r="AB181" s="182" t="s">
        <v>2801</v>
      </c>
      <c r="AC181" s="146" t="s">
        <v>2817</v>
      </c>
      <c r="AD181" s="182" t="s">
        <v>2818</v>
      </c>
      <c r="AE181" s="147" t="s">
        <v>2819</v>
      </c>
      <c r="AF181" s="182" t="s">
        <v>2821</v>
      </c>
      <c r="AG181" s="147" t="s">
        <v>2822</v>
      </c>
      <c r="AH181" s="182" t="s">
        <v>2823</v>
      </c>
      <c r="AI181" s="183" t="s">
        <v>2824</v>
      </c>
      <c r="AJ181" s="182" t="s">
        <v>2825</v>
      </c>
      <c r="AK181" s="146" t="s">
        <v>2826</v>
      </c>
      <c r="AL181" s="598" t="s">
        <v>2827</v>
      </c>
      <c r="AM181" s="240" t="s">
        <v>2831</v>
      </c>
      <c r="AN181" s="182" t="s">
        <v>2832</v>
      </c>
      <c r="AO181" s="655" t="s">
        <v>2833</v>
      </c>
      <c r="AP181" s="598" t="s">
        <v>2834</v>
      </c>
      <c r="AQ181" s="240" t="s">
        <v>3011</v>
      </c>
      <c r="AR181" s="144" t="s">
        <v>3012</v>
      </c>
      <c r="AS181" s="655" t="s">
        <v>3013</v>
      </c>
      <c r="AT181" s="598" t="s">
        <v>3014</v>
      </c>
      <c r="AU181" s="655" t="s">
        <v>3015</v>
      </c>
      <c r="AV181" s="598" t="s">
        <v>3206</v>
      </c>
      <c r="AW181" s="240" t="s">
        <v>3207</v>
      </c>
      <c r="AX181" s="598" t="s">
        <v>3272</v>
      </c>
      <c r="AY181" s="240" t="s">
        <v>3273</v>
      </c>
      <c r="AZ181" s="1079" t="str">
        <f t="shared" si="320"/>
        <v/>
      </c>
      <c r="BA181" s="1079"/>
      <c r="BB181" s="1079"/>
      <c r="BC181" s="1079"/>
      <c r="BD181" s="1079"/>
      <c r="BE181" s="1079"/>
      <c r="BF181" s="1079"/>
      <c r="BG181" s="1079"/>
      <c r="BH181" s="884"/>
      <c r="BI181" s="884"/>
      <c r="BJ181" s="884"/>
      <c r="BK181" s="884"/>
      <c r="BR181" s="884"/>
      <c r="BS181" s="884"/>
      <c r="BT181" s="884"/>
      <c r="BU181" s="885"/>
      <c r="BV181" s="885"/>
      <c r="CB181" s="2077"/>
      <c r="CC181" s="2077"/>
      <c r="CD181" s="2077"/>
      <c r="CE181" s="2077"/>
      <c r="CF181" s="2077"/>
      <c r="CG181" s="2077"/>
      <c r="CH181" s="2077"/>
      <c r="CI181" s="2077"/>
      <c r="CJ181" s="2077"/>
      <c r="CK181" s="2077"/>
      <c r="CL181" s="2077"/>
      <c r="CM181" s="2077"/>
      <c r="CN181" s="2077"/>
      <c r="CO181" s="2077"/>
      <c r="CP181" s="2077"/>
      <c r="CQ181" s="2077"/>
      <c r="CR181" s="2077"/>
      <c r="CS181" s="2077"/>
      <c r="CT181" s="2077"/>
      <c r="CU181" s="2077"/>
      <c r="CV181" s="2077"/>
      <c r="CW181" s="2077"/>
      <c r="CX181" s="2077" t="str">
        <f t="shared" si="321"/>
        <v/>
      </c>
      <c r="CY181" s="2077" t="str">
        <f t="shared" si="322"/>
        <v/>
      </c>
      <c r="CZ181" s="2077"/>
      <c r="DA181" s="2077"/>
      <c r="DB181" s="1363"/>
      <c r="DC181" s="1363"/>
      <c r="DD181" s="1363"/>
      <c r="DE181" s="1363"/>
      <c r="DF181" s="1363"/>
      <c r="DG181" s="1363"/>
      <c r="DH181" s="1363"/>
      <c r="DI181" s="1363"/>
      <c r="DJ181" s="1363"/>
      <c r="DK181" s="1363"/>
      <c r="DL181" s="1363"/>
      <c r="DM181" s="1363"/>
      <c r="DN181" s="1363"/>
      <c r="DO181" s="1363"/>
      <c r="DP181" s="1363"/>
      <c r="DQ181" s="1363"/>
      <c r="DR181" s="1363"/>
      <c r="DS181" s="1363"/>
      <c r="DT181" s="1363"/>
      <c r="DU181" s="1363"/>
      <c r="DV181" s="1363"/>
      <c r="DW181" s="1363"/>
      <c r="DX181" s="1363">
        <f t="shared" si="324"/>
        <v>0</v>
      </c>
      <c r="DY181" s="1363">
        <f t="shared" si="324"/>
        <v>0</v>
      </c>
    </row>
    <row r="182" spans="1:129" ht="16.350000000000001" customHeight="1" x14ac:dyDescent="0.25">
      <c r="A182" s="2458">
        <v>11055380</v>
      </c>
      <c r="B182" s="5561" t="s">
        <v>2317</v>
      </c>
      <c r="C182" s="5286"/>
      <c r="D182" s="1866" t="s">
        <v>2777</v>
      </c>
      <c r="E182" s="1867" t="s">
        <v>2778</v>
      </c>
      <c r="F182" s="166" t="s">
        <v>2779</v>
      </c>
      <c r="G182" s="102" t="s">
        <v>2780</v>
      </c>
      <c r="H182" s="166" t="s">
        <v>2781</v>
      </c>
      <c r="I182" s="102" t="s">
        <v>2782</v>
      </c>
      <c r="J182" s="166" t="s">
        <v>2783</v>
      </c>
      <c r="K182" s="102" t="s">
        <v>2784</v>
      </c>
      <c r="L182" s="166" t="s">
        <v>2785</v>
      </c>
      <c r="M182" s="102" t="s">
        <v>2786</v>
      </c>
      <c r="N182" s="166" t="s">
        <v>2787</v>
      </c>
      <c r="O182" s="125" t="s">
        <v>2788</v>
      </c>
      <c r="P182" s="166" t="s">
        <v>2789</v>
      </c>
      <c r="Q182" s="102" t="s">
        <v>2790</v>
      </c>
      <c r="R182" s="166" t="s">
        <v>2791</v>
      </c>
      <c r="S182" s="102" t="s">
        <v>2792</v>
      </c>
      <c r="T182" s="166" t="s">
        <v>2793</v>
      </c>
      <c r="U182" s="102" t="s">
        <v>2794</v>
      </c>
      <c r="V182" s="166" t="s">
        <v>2795</v>
      </c>
      <c r="W182" s="102" t="s">
        <v>2796</v>
      </c>
      <c r="X182" s="166" t="s">
        <v>2797</v>
      </c>
      <c r="Y182" s="102" t="s">
        <v>2798</v>
      </c>
      <c r="Z182" s="166" t="s">
        <v>2799</v>
      </c>
      <c r="AA182" s="102" t="s">
        <v>2800</v>
      </c>
      <c r="AB182" s="166" t="s">
        <v>2801</v>
      </c>
      <c r="AC182" s="102" t="s">
        <v>2817</v>
      </c>
      <c r="AD182" s="166" t="s">
        <v>2818</v>
      </c>
      <c r="AE182" s="270" t="s">
        <v>2819</v>
      </c>
      <c r="AF182" s="166" t="s">
        <v>2821</v>
      </c>
      <c r="AG182" s="270" t="s">
        <v>2822</v>
      </c>
      <c r="AH182" s="166" t="s">
        <v>2823</v>
      </c>
      <c r="AI182" s="125" t="s">
        <v>2824</v>
      </c>
      <c r="AJ182" s="166" t="s">
        <v>2825</v>
      </c>
      <c r="AK182" s="102" t="s">
        <v>2826</v>
      </c>
      <c r="AL182" s="635" t="s">
        <v>2827</v>
      </c>
      <c r="AM182" s="168" t="s">
        <v>2831</v>
      </c>
      <c r="AN182" s="166" t="s">
        <v>2832</v>
      </c>
      <c r="AO182" s="533" t="s">
        <v>2833</v>
      </c>
      <c r="AP182" s="635" t="s">
        <v>2834</v>
      </c>
      <c r="AQ182" s="168" t="s">
        <v>3011</v>
      </c>
      <c r="AR182" s="126" t="s">
        <v>3012</v>
      </c>
      <c r="AS182" s="533" t="s">
        <v>3013</v>
      </c>
      <c r="AT182" s="635" t="s">
        <v>3014</v>
      </c>
      <c r="AU182" s="533" t="s">
        <v>3015</v>
      </c>
      <c r="AV182" s="635" t="s">
        <v>3206</v>
      </c>
      <c r="AW182" s="168" t="s">
        <v>3207</v>
      </c>
      <c r="AX182" s="635" t="s">
        <v>3272</v>
      </c>
      <c r="AY182" s="168" t="s">
        <v>3273</v>
      </c>
      <c r="AZ182" s="1079" t="str">
        <f t="shared" si="320"/>
        <v/>
      </c>
      <c r="BA182" s="1079"/>
      <c r="BB182" s="1079"/>
      <c r="BC182" s="1079"/>
      <c r="BD182" s="1079"/>
      <c r="BE182" s="1079"/>
      <c r="BF182" s="1079"/>
      <c r="BG182" s="1079"/>
      <c r="BH182" s="884"/>
      <c r="BI182" s="884"/>
      <c r="BJ182" s="884"/>
      <c r="BK182" s="884"/>
      <c r="BR182" s="884"/>
      <c r="BS182" s="884"/>
      <c r="BT182" s="884"/>
      <c r="BU182" s="885"/>
      <c r="BV182" s="885"/>
      <c r="CB182" s="2077"/>
      <c r="CC182" s="2077"/>
      <c r="CD182" s="2077"/>
      <c r="CE182" s="2077"/>
      <c r="CF182" s="2077"/>
      <c r="CG182" s="2077"/>
      <c r="CH182" s="2077"/>
      <c r="CI182" s="2077"/>
      <c r="CJ182" s="2077"/>
      <c r="CK182" s="2077"/>
      <c r="CL182" s="2077"/>
      <c r="CM182" s="2077"/>
      <c r="CN182" s="2077"/>
      <c r="CO182" s="2077"/>
      <c r="CP182" s="2077"/>
      <c r="CQ182" s="2077"/>
      <c r="CR182" s="2077"/>
      <c r="CS182" s="2077"/>
      <c r="CT182" s="2077"/>
      <c r="CU182" s="2077"/>
      <c r="CV182" s="2077"/>
      <c r="CW182" s="2077"/>
      <c r="CX182" s="2077" t="str">
        <f t="shared" si="321"/>
        <v/>
      </c>
      <c r="CY182" s="2077" t="str">
        <f t="shared" si="322"/>
        <v/>
      </c>
      <c r="CZ182" s="2077"/>
      <c r="DA182" s="2077"/>
      <c r="DB182" s="1363"/>
      <c r="DC182" s="1363"/>
      <c r="DD182" s="1363"/>
      <c r="DE182" s="1363"/>
      <c r="DF182" s="1363"/>
      <c r="DG182" s="1363"/>
      <c r="DH182" s="1363"/>
      <c r="DI182" s="1363"/>
      <c r="DJ182" s="1363"/>
      <c r="DK182" s="1363"/>
      <c r="DL182" s="1363"/>
      <c r="DM182" s="1363"/>
      <c r="DN182" s="1363"/>
      <c r="DO182" s="1363"/>
      <c r="DP182" s="1363"/>
      <c r="DQ182" s="1363"/>
      <c r="DR182" s="1363"/>
      <c r="DS182" s="1363"/>
      <c r="DT182" s="1363"/>
      <c r="DU182" s="1363"/>
      <c r="DV182" s="1363"/>
      <c r="DW182" s="1363"/>
      <c r="DX182" s="1363">
        <f t="shared" si="324"/>
        <v>0</v>
      </c>
      <c r="DY182" s="1363">
        <f t="shared" si="324"/>
        <v>0</v>
      </c>
    </row>
    <row r="183" spans="1:129" ht="32.1" customHeight="1" x14ac:dyDescent="0.25">
      <c r="B183" s="6224" t="s">
        <v>2318</v>
      </c>
      <c r="C183" s="6224"/>
      <c r="D183" s="6224"/>
      <c r="E183" s="6224"/>
      <c r="F183" s="6224"/>
      <c r="G183" s="6224"/>
      <c r="H183" s="6224"/>
      <c r="I183" s="6224"/>
      <c r="J183" s="6224"/>
      <c r="K183" s="6224"/>
      <c r="L183" s="6224"/>
      <c r="M183" s="6224"/>
      <c r="N183" s="6224"/>
      <c r="O183" s="6224"/>
      <c r="P183" s="6224"/>
      <c r="Q183" s="6224"/>
      <c r="R183" s="6225"/>
      <c r="S183" s="190"/>
      <c r="T183" s="190"/>
      <c r="U183" s="190"/>
      <c r="V183" s="190"/>
      <c r="W183" s="190"/>
      <c r="X183" s="190"/>
      <c r="Y183" s="190"/>
      <c r="Z183" s="190"/>
      <c r="AA183" s="190"/>
      <c r="AB183" s="190"/>
      <c r="AC183" s="190"/>
      <c r="AD183" s="190"/>
      <c r="AE183" s="190"/>
      <c r="AF183" s="190"/>
      <c r="AG183" s="190"/>
      <c r="AH183" s="190"/>
      <c r="AI183" s="190"/>
      <c r="AJ183" s="190"/>
      <c r="AK183" s="190"/>
      <c r="AL183" s="190"/>
      <c r="AT183" s="884"/>
      <c r="AU183" s="884"/>
      <c r="AV183" s="884"/>
      <c r="AW183" s="884"/>
      <c r="AX183" s="884"/>
      <c r="AY183" s="884"/>
      <c r="AZ183"/>
      <c r="BA183" s="884"/>
      <c r="BB183" s="884"/>
      <c r="BC183" s="884"/>
      <c r="BD183" s="884"/>
      <c r="BE183" s="884"/>
      <c r="BF183" s="884"/>
      <c r="BG183" s="884"/>
      <c r="BH183" s="884"/>
      <c r="BI183" s="884"/>
      <c r="BJ183" s="884"/>
      <c r="BK183" s="884"/>
      <c r="BL183" s="884"/>
      <c r="BM183" s="884"/>
      <c r="BN183" s="884"/>
      <c r="BO183" s="884"/>
      <c r="BP183" s="884"/>
    </row>
    <row r="184" spans="1:129" ht="32.1" customHeight="1" x14ac:dyDescent="0.25">
      <c r="B184" s="6232" t="s">
        <v>2284</v>
      </c>
      <c r="C184" s="6020"/>
      <c r="D184" s="6263" t="s">
        <v>42</v>
      </c>
      <c r="E184" s="6264"/>
      <c r="F184" s="6234" t="s">
        <v>1865</v>
      </c>
      <c r="G184" s="6235"/>
      <c r="H184" s="6235"/>
      <c r="I184" s="6235"/>
      <c r="J184" s="6235"/>
      <c r="K184" s="6235"/>
      <c r="L184" s="6235"/>
      <c r="M184" s="6235"/>
      <c r="N184" s="6235"/>
      <c r="O184" s="6235"/>
      <c r="P184" s="6235"/>
      <c r="Q184" s="6235"/>
      <c r="R184" s="6235"/>
      <c r="S184" s="6235"/>
      <c r="T184" s="6235"/>
      <c r="U184" s="6235"/>
      <c r="V184" s="6235"/>
      <c r="W184" s="6235"/>
      <c r="X184" s="6235"/>
      <c r="Y184" s="6235"/>
      <c r="Z184" s="6235"/>
      <c r="AA184" s="6235"/>
      <c r="AB184" s="6235"/>
      <c r="AC184" s="6235"/>
      <c r="AD184" s="6235"/>
      <c r="AE184" s="6235"/>
      <c r="AF184" s="6235"/>
      <c r="AG184" s="6235"/>
      <c r="AH184" s="6235"/>
      <c r="AI184" s="6235"/>
      <c r="AJ184" s="6235"/>
      <c r="AK184" s="6236"/>
      <c r="AL184" s="6238" t="s">
        <v>195</v>
      </c>
      <c r="AM184" s="6238"/>
      <c r="AN184" s="6238"/>
      <c r="AO184" s="6239"/>
      <c r="AP184" s="6240" t="s">
        <v>411</v>
      </c>
      <c r="AQ184" s="6238"/>
      <c r="AR184" s="6238"/>
      <c r="AS184" s="6239"/>
      <c r="AT184" s="6241" t="s">
        <v>2298</v>
      </c>
      <c r="AU184" s="6242"/>
      <c r="AV184" s="6241" t="s">
        <v>1358</v>
      </c>
      <c r="AW184" s="6242"/>
      <c r="AX184" s="6267" t="s">
        <v>2029</v>
      </c>
      <c r="AY184" s="6249"/>
      <c r="AZ184" s="884"/>
      <c r="BA184" s="884"/>
      <c r="BB184" s="884"/>
      <c r="BC184" s="884"/>
      <c r="BD184" s="884"/>
      <c r="BE184" s="884"/>
      <c r="BF184" s="884"/>
      <c r="BG184" s="884"/>
      <c r="BH184" s="884"/>
      <c r="BI184" s="884"/>
      <c r="BJ184" s="884"/>
      <c r="BK184" s="884"/>
      <c r="BL184" s="884"/>
      <c r="BS184" s="884"/>
      <c r="BT184" s="884"/>
      <c r="BU184" s="884"/>
      <c r="BV184" s="885"/>
    </row>
    <row r="185" spans="1:129" ht="16.350000000000001" customHeight="1" x14ac:dyDescent="0.25">
      <c r="B185" s="5121"/>
      <c r="C185" s="5143"/>
      <c r="D185" s="6265"/>
      <c r="E185" s="6266"/>
      <c r="F185" s="6251" t="s">
        <v>2299</v>
      </c>
      <c r="G185" s="5730"/>
      <c r="H185" s="6251" t="s">
        <v>1355</v>
      </c>
      <c r="I185" s="5730"/>
      <c r="J185" s="6251" t="s">
        <v>2300</v>
      </c>
      <c r="K185" s="5730"/>
      <c r="L185" s="6234" t="s">
        <v>124</v>
      </c>
      <c r="M185" s="6237"/>
      <c r="N185" s="6234" t="s">
        <v>125</v>
      </c>
      <c r="O185" s="6237"/>
      <c r="P185" s="6234" t="s">
        <v>126</v>
      </c>
      <c r="Q185" s="6237"/>
      <c r="R185" s="6234" t="s">
        <v>167</v>
      </c>
      <c r="S185" s="6237"/>
      <c r="T185" s="6234" t="s">
        <v>651</v>
      </c>
      <c r="U185" s="6237"/>
      <c r="V185" s="6234" t="s">
        <v>652</v>
      </c>
      <c r="W185" s="6237"/>
      <c r="X185" s="6234" t="s">
        <v>653</v>
      </c>
      <c r="Y185" s="6237"/>
      <c r="Z185" s="6234" t="s">
        <v>654</v>
      </c>
      <c r="AA185" s="6237"/>
      <c r="AB185" s="6234" t="s">
        <v>655</v>
      </c>
      <c r="AC185" s="6237"/>
      <c r="AD185" s="6234" t="s">
        <v>656</v>
      </c>
      <c r="AE185" s="6237"/>
      <c r="AF185" s="6234" t="s">
        <v>657</v>
      </c>
      <c r="AG185" s="6237"/>
      <c r="AH185" s="6234" t="s">
        <v>263</v>
      </c>
      <c r="AI185" s="6237"/>
      <c r="AJ185" s="6234" t="s">
        <v>2301</v>
      </c>
      <c r="AK185" s="6236"/>
      <c r="AL185" s="6254" t="s">
        <v>24</v>
      </c>
      <c r="AM185" s="6253"/>
      <c r="AN185" s="6254" t="s">
        <v>25</v>
      </c>
      <c r="AO185" s="6255"/>
      <c r="AP185" s="6252" t="s">
        <v>1351</v>
      </c>
      <c r="AQ185" s="6253"/>
      <c r="AR185" s="6254" t="s">
        <v>1350</v>
      </c>
      <c r="AS185" s="6255"/>
      <c r="AT185" s="6243"/>
      <c r="AU185" s="6244"/>
      <c r="AV185" s="6243"/>
      <c r="AW185" s="6244"/>
      <c r="AX185" s="6268"/>
      <c r="AY185" s="5417"/>
      <c r="AZ185" s="884"/>
      <c r="BA185" s="884"/>
      <c r="BB185" s="884"/>
      <c r="BC185" s="884"/>
      <c r="BD185" s="884"/>
      <c r="BE185" s="884"/>
      <c r="BF185" s="884"/>
      <c r="BG185" s="884"/>
      <c r="BH185" s="884"/>
      <c r="BI185" s="884"/>
      <c r="BJ185" s="884"/>
      <c r="BK185" s="884"/>
      <c r="BL185" s="884"/>
      <c r="BS185" s="884"/>
      <c r="BT185" s="884"/>
      <c r="BU185" s="884"/>
      <c r="BV185" s="885"/>
    </row>
    <row r="186" spans="1:129" ht="40.5" customHeight="1" x14ac:dyDescent="0.25">
      <c r="B186" s="6233"/>
      <c r="C186" s="5297"/>
      <c r="D186" s="1910" t="s">
        <v>2257</v>
      </c>
      <c r="E186" s="2080" t="s">
        <v>2302</v>
      </c>
      <c r="F186" s="1910" t="s">
        <v>2257</v>
      </c>
      <c r="G186" s="2080" t="s">
        <v>2302</v>
      </c>
      <c r="H186" s="1910" t="s">
        <v>2257</v>
      </c>
      <c r="I186" s="2080" t="s">
        <v>2302</v>
      </c>
      <c r="J186" s="1910" t="s">
        <v>2257</v>
      </c>
      <c r="K186" s="2080" t="s">
        <v>2302</v>
      </c>
      <c r="L186" s="1910" t="s">
        <v>2257</v>
      </c>
      <c r="M186" s="2080" t="s">
        <v>2302</v>
      </c>
      <c r="N186" s="1910" t="s">
        <v>2257</v>
      </c>
      <c r="O186" s="2080" t="s">
        <v>2302</v>
      </c>
      <c r="P186" s="1910" t="s">
        <v>2257</v>
      </c>
      <c r="Q186" s="2080" t="s">
        <v>2302</v>
      </c>
      <c r="R186" s="1910" t="s">
        <v>2257</v>
      </c>
      <c r="S186" s="2080" t="s">
        <v>2302</v>
      </c>
      <c r="T186" s="1910" t="s">
        <v>2257</v>
      </c>
      <c r="U186" s="2080" t="s">
        <v>2302</v>
      </c>
      <c r="V186" s="1910" t="s">
        <v>2257</v>
      </c>
      <c r="W186" s="2080" t="s">
        <v>2302</v>
      </c>
      <c r="X186" s="1910" t="s">
        <v>2257</v>
      </c>
      <c r="Y186" s="2080" t="s">
        <v>2302</v>
      </c>
      <c r="Z186" s="1910" t="s">
        <v>2257</v>
      </c>
      <c r="AA186" s="2080" t="s">
        <v>2302</v>
      </c>
      <c r="AB186" s="1910" t="s">
        <v>2257</v>
      </c>
      <c r="AC186" s="2080" t="s">
        <v>2302</v>
      </c>
      <c r="AD186" s="1910" t="s">
        <v>2257</v>
      </c>
      <c r="AE186" s="2080" t="s">
        <v>2302</v>
      </c>
      <c r="AF186" s="1910" t="s">
        <v>2257</v>
      </c>
      <c r="AG186" s="2080" t="s">
        <v>2302</v>
      </c>
      <c r="AH186" s="1910" t="s">
        <v>2257</v>
      </c>
      <c r="AI186" s="2080" t="s">
        <v>2302</v>
      </c>
      <c r="AJ186" s="1910" t="s">
        <v>2257</v>
      </c>
      <c r="AK186" s="2078" t="s">
        <v>2302</v>
      </c>
      <c r="AL186" s="1732" t="s">
        <v>2257</v>
      </c>
      <c r="AM186" s="2080" t="s">
        <v>2302</v>
      </c>
      <c r="AN186" s="1910" t="s">
        <v>2257</v>
      </c>
      <c r="AO186" s="2080" t="s">
        <v>2302</v>
      </c>
      <c r="AP186" s="2079" t="s">
        <v>2257</v>
      </c>
      <c r="AQ186" s="2080" t="s">
        <v>2302</v>
      </c>
      <c r="AR186" s="1910" t="s">
        <v>2257</v>
      </c>
      <c r="AS186" s="2080" t="s">
        <v>2302</v>
      </c>
      <c r="AT186" s="2079" t="s">
        <v>2257</v>
      </c>
      <c r="AU186" s="2080" t="s">
        <v>2302</v>
      </c>
      <c r="AV186" s="2079" t="s">
        <v>2257</v>
      </c>
      <c r="AW186" s="2080" t="s">
        <v>2302</v>
      </c>
      <c r="AX186" s="2079" t="s">
        <v>2257</v>
      </c>
      <c r="AY186" s="2080" t="s">
        <v>2302</v>
      </c>
      <c r="AZ186" s="884"/>
      <c r="BA186" s="884"/>
      <c r="BB186" s="884"/>
      <c r="BC186" s="884"/>
      <c r="BD186" s="884"/>
      <c r="BE186" s="884"/>
      <c r="BF186" s="884"/>
      <c r="BG186" s="884"/>
      <c r="BH186" s="884"/>
      <c r="BI186" s="884"/>
      <c r="BJ186" s="884"/>
      <c r="BK186" s="884"/>
      <c r="BL186" s="884"/>
      <c r="BS186" s="884"/>
      <c r="BT186" s="884"/>
      <c r="BU186" s="884"/>
      <c r="BV186" s="885"/>
    </row>
    <row r="187" spans="1:129" ht="16.350000000000001" customHeight="1" x14ac:dyDescent="0.25">
      <c r="A187" s="2458">
        <v>11055200</v>
      </c>
      <c r="B187" s="6256" t="s">
        <v>2303</v>
      </c>
      <c r="C187" s="6257"/>
      <c r="D187" s="1862" t="s">
        <v>2777</v>
      </c>
      <c r="E187" s="1863" t="s">
        <v>2778</v>
      </c>
      <c r="F187" s="96" t="s">
        <v>2779</v>
      </c>
      <c r="G187" s="98" t="s">
        <v>2780</v>
      </c>
      <c r="H187" s="96" t="s">
        <v>2781</v>
      </c>
      <c r="I187" s="98" t="s">
        <v>2782</v>
      </c>
      <c r="J187" s="96" t="s">
        <v>2783</v>
      </c>
      <c r="K187" s="98" t="s">
        <v>2784</v>
      </c>
      <c r="L187" s="96" t="s">
        <v>2785</v>
      </c>
      <c r="M187" s="98" t="s">
        <v>2786</v>
      </c>
      <c r="N187" s="137" t="s">
        <v>2787</v>
      </c>
      <c r="O187" s="110" t="s">
        <v>2788</v>
      </c>
      <c r="P187" s="137" t="s">
        <v>2789</v>
      </c>
      <c r="Q187" s="110" t="s">
        <v>2790</v>
      </c>
      <c r="R187" s="137" t="s">
        <v>2791</v>
      </c>
      <c r="S187" s="110" t="s">
        <v>2792</v>
      </c>
      <c r="T187" s="137" t="s">
        <v>2793</v>
      </c>
      <c r="U187" s="110" t="s">
        <v>2794</v>
      </c>
      <c r="V187" s="137" t="s">
        <v>2795</v>
      </c>
      <c r="W187" s="110" t="s">
        <v>2796</v>
      </c>
      <c r="X187" s="137" t="s">
        <v>2797</v>
      </c>
      <c r="Y187" s="110" t="s">
        <v>2798</v>
      </c>
      <c r="Z187" s="137" t="s">
        <v>2799</v>
      </c>
      <c r="AA187" s="110" t="s">
        <v>2800</v>
      </c>
      <c r="AB187" s="137" t="s">
        <v>2801</v>
      </c>
      <c r="AC187" s="110" t="s">
        <v>2817</v>
      </c>
      <c r="AD187" s="137" t="s">
        <v>2818</v>
      </c>
      <c r="AE187" s="110" t="s">
        <v>2819</v>
      </c>
      <c r="AF187" s="137" t="s">
        <v>2821</v>
      </c>
      <c r="AG187" s="110" t="s">
        <v>2822</v>
      </c>
      <c r="AH187" s="96" t="s">
        <v>2823</v>
      </c>
      <c r="AI187" s="99" t="s">
        <v>2824</v>
      </c>
      <c r="AJ187" s="96" t="s">
        <v>2825</v>
      </c>
      <c r="AK187" s="602" t="s">
        <v>2826</v>
      </c>
      <c r="AL187" s="1124" t="s">
        <v>2827</v>
      </c>
      <c r="AM187" s="1125" t="s">
        <v>2831</v>
      </c>
      <c r="AN187" s="170" t="s">
        <v>2832</v>
      </c>
      <c r="AO187" s="500" t="s">
        <v>2833</v>
      </c>
      <c r="AP187" s="592" t="s">
        <v>2834</v>
      </c>
      <c r="AQ187" s="198" t="s">
        <v>3011</v>
      </c>
      <c r="AR187" s="180" t="s">
        <v>3012</v>
      </c>
      <c r="AS187" s="498" t="s">
        <v>3013</v>
      </c>
      <c r="AT187" s="592" t="s">
        <v>3014</v>
      </c>
      <c r="AU187" s="498" t="s">
        <v>3015</v>
      </c>
      <c r="AV187" s="592" t="s">
        <v>3206</v>
      </c>
      <c r="AW187" s="198" t="s">
        <v>3207</v>
      </c>
      <c r="AX187" s="592" t="s">
        <v>3272</v>
      </c>
      <c r="AY187" s="198" t="s">
        <v>3273</v>
      </c>
      <c r="AZ187" s="1079" t="str">
        <f t="shared" ref="AZ187:AZ209" si="325">$CB187&amp;$CC187&amp;$CD187&amp;$CE187&amp;$CF187&amp;$CG187&amp;$CH187&amp;$CI187&amp;$CJ187&amp;$CK187&amp;$CL187&amp;$CM187&amp;$CN187&amp;$CO187&amp;$CP187&amp;$CQ187&amp;$CR187&amp;$CS187&amp;$CT187&amp;$CU187&amp;$CV187&amp;$CW187&amp;$CX187&amp;$CY187&amp;$CZ187&amp;$DA187</f>
        <v/>
      </c>
      <c r="BA187" s="1079"/>
      <c r="BB187" s="1079"/>
      <c r="BC187" s="1079"/>
      <c r="BD187" s="1079"/>
      <c r="BE187" s="1079"/>
      <c r="BF187" s="1079"/>
      <c r="BG187" s="1079"/>
      <c r="BH187" s="1079"/>
      <c r="BI187" s="884"/>
      <c r="BJ187" s="884"/>
      <c r="BK187" s="884"/>
      <c r="BL187" s="884"/>
      <c r="BS187" s="884"/>
      <c r="BT187" s="884"/>
      <c r="BU187" s="884"/>
      <c r="BV187" s="885"/>
      <c r="CB187" s="2077"/>
      <c r="CC187" s="2077"/>
      <c r="CD187" s="2077"/>
      <c r="CE187" s="2077"/>
      <c r="CF187" s="2077"/>
      <c r="CG187" s="2077"/>
      <c r="CH187" s="2077"/>
      <c r="CI187" s="2077"/>
      <c r="CJ187" s="2077"/>
      <c r="CK187" s="2077"/>
      <c r="CL187" s="2077"/>
      <c r="CM187" s="2077"/>
      <c r="CN187" s="2077"/>
      <c r="CO187" s="2077"/>
      <c r="CP187" s="2077"/>
      <c r="CQ187" s="2077"/>
      <c r="CR187" s="2077"/>
      <c r="CS187" s="2077"/>
      <c r="CT187" s="2077"/>
      <c r="CU187" s="2077"/>
      <c r="CV187" s="2077"/>
      <c r="CW187" s="2077"/>
      <c r="CX187" s="2077" t="str">
        <f t="shared" ref="CX187:CX209" si="326">IF(DX187=1,"* No olvide digitar la columna Procesados Trans y/o Pueblos Originarios y/o Migrantes (Digite Cero si no tiene). ","")</f>
        <v/>
      </c>
      <c r="CY187" s="2077" t="str">
        <f t="shared" ref="CY187:CY209" si="327">IF(DY187=1,"* No olvide digitar la columna Confirmados Trans y/o Pueblos Originarios y/o Migrantes (Digite Cero si no tiene). ","")</f>
        <v/>
      </c>
      <c r="CZ187" s="2077"/>
      <c r="DA187" s="2077"/>
      <c r="DB187" s="1363"/>
      <c r="DC187" s="1363"/>
      <c r="DD187" s="1363"/>
      <c r="DE187" s="1363"/>
      <c r="DF187" s="1363"/>
      <c r="DG187" s="1363"/>
      <c r="DH187" s="1363"/>
      <c r="DI187" s="1363"/>
      <c r="DJ187" s="1363"/>
      <c r="DK187" s="1363"/>
      <c r="DL187" s="1363"/>
      <c r="DM187" s="1363"/>
      <c r="DN187" s="1363"/>
      <c r="DO187" s="1363"/>
      <c r="DP187" s="1363"/>
      <c r="DQ187" s="1363"/>
      <c r="DR187" s="1363"/>
      <c r="DS187" s="1363"/>
      <c r="DT187" s="1363"/>
      <c r="DU187" s="1363"/>
      <c r="DV187" s="1363"/>
      <c r="DW187" s="1363"/>
      <c r="DX187" s="1363">
        <f t="shared" ref="DX187:DY202" si="328">IF(AND(D187&lt;&gt;0,OR(AP187="",AR187="",AT187="",AV187="")),1,0)</f>
        <v>0</v>
      </c>
      <c r="DY187" s="1363">
        <f t="shared" si="328"/>
        <v>0</v>
      </c>
    </row>
    <row r="188" spans="1:129" ht="16.350000000000001" customHeight="1" x14ac:dyDescent="0.25">
      <c r="A188" s="2458">
        <v>11055210</v>
      </c>
      <c r="B188" s="5958" t="s">
        <v>2304</v>
      </c>
      <c r="C188" s="5294"/>
      <c r="D188" s="1864" t="s">
        <v>2777</v>
      </c>
      <c r="E188" s="708" t="s">
        <v>2778</v>
      </c>
      <c r="F188" s="173" t="s">
        <v>2779</v>
      </c>
      <c r="G188" s="145" t="s">
        <v>2780</v>
      </c>
      <c r="H188" s="173" t="s">
        <v>2781</v>
      </c>
      <c r="I188" s="145" t="s">
        <v>2782</v>
      </c>
      <c r="J188" s="173" t="s">
        <v>2783</v>
      </c>
      <c r="K188" s="145" t="s">
        <v>2784</v>
      </c>
      <c r="L188" s="173" t="s">
        <v>2785</v>
      </c>
      <c r="M188" s="145" t="s">
        <v>2786</v>
      </c>
      <c r="N188" s="170" t="s">
        <v>2787</v>
      </c>
      <c r="O188" s="97" t="s">
        <v>2788</v>
      </c>
      <c r="P188" s="170" t="s">
        <v>2789</v>
      </c>
      <c r="Q188" s="97" t="s">
        <v>2790</v>
      </c>
      <c r="R188" s="170" t="s">
        <v>2791</v>
      </c>
      <c r="S188" s="97" t="s">
        <v>2792</v>
      </c>
      <c r="T188" s="170" t="s">
        <v>2793</v>
      </c>
      <c r="U188" s="97" t="s">
        <v>2794</v>
      </c>
      <c r="V188" s="170" t="s">
        <v>2795</v>
      </c>
      <c r="W188" s="97" t="s">
        <v>2796</v>
      </c>
      <c r="X188" s="170" t="s">
        <v>2797</v>
      </c>
      <c r="Y188" s="97" t="s">
        <v>2798</v>
      </c>
      <c r="Z188" s="170" t="s">
        <v>2799</v>
      </c>
      <c r="AA188" s="97" t="s">
        <v>2800</v>
      </c>
      <c r="AB188" s="170" t="s">
        <v>2801</v>
      </c>
      <c r="AC188" s="97" t="s">
        <v>2817</v>
      </c>
      <c r="AD188" s="170" t="s">
        <v>2818</v>
      </c>
      <c r="AE188" s="97" t="s">
        <v>2819</v>
      </c>
      <c r="AF188" s="170" t="s">
        <v>2821</v>
      </c>
      <c r="AG188" s="97" t="s">
        <v>2822</v>
      </c>
      <c r="AH188" s="173" t="s">
        <v>2823</v>
      </c>
      <c r="AI188" s="162" t="s">
        <v>2824</v>
      </c>
      <c r="AJ188" s="173" t="s">
        <v>2825</v>
      </c>
      <c r="AK188" s="507" t="s">
        <v>2826</v>
      </c>
      <c r="AL188" s="1605" t="s">
        <v>2827</v>
      </c>
      <c r="AM188" s="1105" t="s">
        <v>2831</v>
      </c>
      <c r="AN188" s="141" t="s">
        <v>2832</v>
      </c>
      <c r="AO188" s="498" t="s">
        <v>2833</v>
      </c>
      <c r="AP188" s="592" t="s">
        <v>2834</v>
      </c>
      <c r="AQ188" s="198" t="s">
        <v>3011</v>
      </c>
      <c r="AR188" s="180" t="s">
        <v>3012</v>
      </c>
      <c r="AS188" s="498" t="s">
        <v>3013</v>
      </c>
      <c r="AT188" s="592" t="s">
        <v>3014</v>
      </c>
      <c r="AU188" s="498" t="s">
        <v>3015</v>
      </c>
      <c r="AV188" s="592" t="s">
        <v>3206</v>
      </c>
      <c r="AW188" s="198" t="s">
        <v>3207</v>
      </c>
      <c r="AX188" s="592" t="s">
        <v>3272</v>
      </c>
      <c r="AY188" s="198" t="s">
        <v>3273</v>
      </c>
      <c r="AZ188" s="1079" t="str">
        <f t="shared" si="325"/>
        <v/>
      </c>
      <c r="BA188" s="1079"/>
      <c r="BB188" s="1079"/>
      <c r="BC188" s="1079"/>
      <c r="BD188" s="1079"/>
      <c r="BE188" s="1079"/>
      <c r="BF188" s="1079"/>
      <c r="BG188" s="1079"/>
      <c r="BH188" s="1079"/>
      <c r="BI188" s="884"/>
      <c r="BJ188" s="884"/>
      <c r="BK188" s="884"/>
      <c r="BL188" s="884"/>
      <c r="BS188" s="884"/>
      <c r="BT188" s="884"/>
      <c r="BU188" s="884"/>
      <c r="BV188" s="885"/>
      <c r="CB188" s="2077"/>
      <c r="CC188" s="2077"/>
      <c r="CD188" s="2077"/>
      <c r="CE188" s="2077"/>
      <c r="CF188" s="2077"/>
      <c r="CG188" s="2077"/>
      <c r="CH188" s="2077"/>
      <c r="CI188" s="2077"/>
      <c r="CJ188" s="2077"/>
      <c r="CK188" s="2077"/>
      <c r="CL188" s="2077"/>
      <c r="CM188" s="2077"/>
      <c r="CN188" s="2077"/>
      <c r="CO188" s="2077"/>
      <c r="CP188" s="2077"/>
      <c r="CQ188" s="2077"/>
      <c r="CR188" s="2077"/>
      <c r="CS188" s="2077"/>
      <c r="CT188" s="2077"/>
      <c r="CU188" s="2077"/>
      <c r="CV188" s="2077"/>
      <c r="CW188" s="2077"/>
      <c r="CX188" s="2077" t="str">
        <f t="shared" si="326"/>
        <v/>
      </c>
      <c r="CY188" s="2077" t="str">
        <f t="shared" si="327"/>
        <v/>
      </c>
      <c r="CZ188" s="2077"/>
      <c r="DA188" s="2077"/>
      <c r="DB188" s="1363"/>
      <c r="DC188" s="1363"/>
      <c r="DD188" s="1363"/>
      <c r="DE188" s="1363"/>
      <c r="DF188" s="1363"/>
      <c r="DG188" s="1363"/>
      <c r="DH188" s="1363"/>
      <c r="DI188" s="1363"/>
      <c r="DJ188" s="1363"/>
      <c r="DK188" s="1363"/>
      <c r="DL188" s="1363"/>
      <c r="DM188" s="1363"/>
      <c r="DN188" s="1363"/>
      <c r="DO188" s="1363"/>
      <c r="DP188" s="1363"/>
      <c r="DQ188" s="1363"/>
      <c r="DR188" s="1363"/>
      <c r="DS188" s="1363"/>
      <c r="DT188" s="1363"/>
      <c r="DU188" s="1363"/>
      <c r="DV188" s="1363"/>
      <c r="DW188" s="1363"/>
      <c r="DX188" s="1363">
        <f t="shared" si="328"/>
        <v>0</v>
      </c>
      <c r="DY188" s="1363">
        <f t="shared" si="328"/>
        <v>0</v>
      </c>
    </row>
    <row r="189" spans="1:129" ht="16.350000000000001" customHeight="1" x14ac:dyDescent="0.25">
      <c r="A189" s="2458">
        <v>11055220</v>
      </c>
      <c r="B189" s="5958" t="s">
        <v>2305</v>
      </c>
      <c r="C189" s="5294"/>
      <c r="D189" s="1864" t="s">
        <v>2777</v>
      </c>
      <c r="E189" s="708" t="s">
        <v>2778</v>
      </c>
      <c r="F189" s="173" t="s">
        <v>2779</v>
      </c>
      <c r="G189" s="145" t="s">
        <v>2780</v>
      </c>
      <c r="H189" s="173" t="s">
        <v>2781</v>
      </c>
      <c r="I189" s="145" t="s">
        <v>2782</v>
      </c>
      <c r="J189" s="173" t="s">
        <v>2783</v>
      </c>
      <c r="K189" s="145" t="s">
        <v>2784</v>
      </c>
      <c r="L189" s="173" t="s">
        <v>2785</v>
      </c>
      <c r="M189" s="145" t="s">
        <v>2786</v>
      </c>
      <c r="N189" s="141" t="s">
        <v>2787</v>
      </c>
      <c r="O189" s="142" t="s">
        <v>2788</v>
      </c>
      <c r="P189" s="141" t="s">
        <v>2789</v>
      </c>
      <c r="Q189" s="142" t="s">
        <v>2790</v>
      </c>
      <c r="R189" s="141" t="s">
        <v>2791</v>
      </c>
      <c r="S189" s="142" t="s">
        <v>2792</v>
      </c>
      <c r="T189" s="141" t="s">
        <v>2793</v>
      </c>
      <c r="U189" s="142" t="s">
        <v>2794</v>
      </c>
      <c r="V189" s="141" t="s">
        <v>2795</v>
      </c>
      <c r="W189" s="142" t="s">
        <v>2796</v>
      </c>
      <c r="X189" s="141" t="s">
        <v>2797</v>
      </c>
      <c r="Y189" s="142" t="s">
        <v>2798</v>
      </c>
      <c r="Z189" s="141" t="s">
        <v>2799</v>
      </c>
      <c r="AA189" s="142" t="s">
        <v>2800</v>
      </c>
      <c r="AB189" s="141" t="s">
        <v>2801</v>
      </c>
      <c r="AC189" s="142" t="s">
        <v>2817</v>
      </c>
      <c r="AD189" s="141" t="s">
        <v>2818</v>
      </c>
      <c r="AE189" s="142" t="s">
        <v>2819</v>
      </c>
      <c r="AF189" s="141" t="s">
        <v>2821</v>
      </c>
      <c r="AG189" s="142" t="s">
        <v>2822</v>
      </c>
      <c r="AH189" s="173" t="s">
        <v>2823</v>
      </c>
      <c r="AI189" s="162" t="s">
        <v>2824</v>
      </c>
      <c r="AJ189" s="173" t="s">
        <v>2825</v>
      </c>
      <c r="AK189" s="507" t="s">
        <v>2826</v>
      </c>
      <c r="AL189" s="1605" t="s">
        <v>2827</v>
      </c>
      <c r="AM189" s="1105" t="s">
        <v>2831</v>
      </c>
      <c r="AN189" s="141" t="s">
        <v>2832</v>
      </c>
      <c r="AO189" s="498" t="s">
        <v>2833</v>
      </c>
      <c r="AP189" s="592" t="s">
        <v>2834</v>
      </c>
      <c r="AQ189" s="198" t="s">
        <v>3011</v>
      </c>
      <c r="AR189" s="180" t="s">
        <v>3012</v>
      </c>
      <c r="AS189" s="498" t="s">
        <v>3013</v>
      </c>
      <c r="AT189" s="592" t="s">
        <v>3014</v>
      </c>
      <c r="AU189" s="498" t="s">
        <v>3015</v>
      </c>
      <c r="AV189" s="592" t="s">
        <v>3206</v>
      </c>
      <c r="AW189" s="198" t="s">
        <v>3207</v>
      </c>
      <c r="AX189" s="592" t="s">
        <v>3272</v>
      </c>
      <c r="AY189" s="198" t="s">
        <v>3273</v>
      </c>
      <c r="AZ189" s="1079" t="str">
        <f t="shared" si="325"/>
        <v/>
      </c>
      <c r="BA189" s="1079"/>
      <c r="BB189" s="1079"/>
      <c r="BC189" s="1079"/>
      <c r="BD189" s="1079"/>
      <c r="BE189" s="1079"/>
      <c r="BF189" s="1079"/>
      <c r="BG189" s="1079"/>
      <c r="BH189" s="1079"/>
      <c r="BI189" s="884"/>
      <c r="BJ189" s="884"/>
      <c r="BK189" s="884"/>
      <c r="BL189" s="884"/>
      <c r="BS189" s="884"/>
      <c r="BT189" s="884"/>
      <c r="BU189" s="884"/>
      <c r="BV189" s="885"/>
      <c r="CB189" s="2077"/>
      <c r="CC189" s="2077"/>
      <c r="CD189" s="2077"/>
      <c r="CE189" s="2077"/>
      <c r="CF189" s="2077"/>
      <c r="CG189" s="2077"/>
      <c r="CH189" s="2077"/>
      <c r="CI189" s="2077"/>
      <c r="CJ189" s="2077"/>
      <c r="CK189" s="2077"/>
      <c r="CL189" s="2077"/>
      <c r="CM189" s="2077"/>
      <c r="CN189" s="2077"/>
      <c r="CO189" s="2077"/>
      <c r="CP189" s="2077"/>
      <c r="CQ189" s="2077"/>
      <c r="CR189" s="2077"/>
      <c r="CS189" s="2077"/>
      <c r="CT189" s="2077"/>
      <c r="CU189" s="2077"/>
      <c r="CV189" s="2077"/>
      <c r="CW189" s="2077"/>
      <c r="CX189" s="2077" t="str">
        <f t="shared" si="326"/>
        <v/>
      </c>
      <c r="CY189" s="2077" t="str">
        <f t="shared" si="327"/>
        <v/>
      </c>
      <c r="CZ189" s="2077"/>
      <c r="DA189" s="2077"/>
      <c r="DB189" s="1363"/>
      <c r="DC189" s="1363"/>
      <c r="DD189" s="1363"/>
      <c r="DE189" s="1363"/>
      <c r="DF189" s="1363"/>
      <c r="DG189" s="1363"/>
      <c r="DH189" s="1363"/>
      <c r="DI189" s="1363"/>
      <c r="DJ189" s="1363"/>
      <c r="DK189" s="1363"/>
      <c r="DL189" s="1363"/>
      <c r="DM189" s="1363"/>
      <c r="DN189" s="1363"/>
      <c r="DO189" s="1363"/>
      <c r="DP189" s="1363"/>
      <c r="DQ189" s="1363"/>
      <c r="DR189" s="1363"/>
      <c r="DS189" s="1363"/>
      <c r="DT189" s="1363"/>
      <c r="DU189" s="1363"/>
      <c r="DV189" s="1363"/>
      <c r="DW189" s="1363"/>
      <c r="DX189" s="1363">
        <f t="shared" si="328"/>
        <v>0</v>
      </c>
      <c r="DY189" s="1363">
        <f t="shared" si="328"/>
        <v>0</v>
      </c>
    </row>
    <row r="190" spans="1:129" ht="16.350000000000001" customHeight="1" x14ac:dyDescent="0.25">
      <c r="A190" s="2458">
        <v>11055230</v>
      </c>
      <c r="B190" s="5958" t="s">
        <v>2269</v>
      </c>
      <c r="C190" s="5294"/>
      <c r="D190" s="1864" t="s">
        <v>2777</v>
      </c>
      <c r="E190" s="1865" t="s">
        <v>2778</v>
      </c>
      <c r="F190" s="173" t="s">
        <v>2779</v>
      </c>
      <c r="G190" s="145" t="s">
        <v>2780</v>
      </c>
      <c r="H190" s="173" t="s">
        <v>2781</v>
      </c>
      <c r="I190" s="145" t="s">
        <v>2782</v>
      </c>
      <c r="J190" s="173" t="s">
        <v>2783</v>
      </c>
      <c r="K190" s="145" t="s">
        <v>2784</v>
      </c>
      <c r="L190" s="173" t="s">
        <v>2785</v>
      </c>
      <c r="M190" s="145" t="s">
        <v>2786</v>
      </c>
      <c r="N190" s="173" t="s">
        <v>2787</v>
      </c>
      <c r="O190" s="145" t="s">
        <v>2788</v>
      </c>
      <c r="P190" s="141" t="s">
        <v>2789</v>
      </c>
      <c r="Q190" s="142" t="s">
        <v>2790</v>
      </c>
      <c r="R190" s="141" t="s">
        <v>2791</v>
      </c>
      <c r="S190" s="142" t="s">
        <v>2792</v>
      </c>
      <c r="T190" s="141" t="s">
        <v>2793</v>
      </c>
      <c r="U190" s="142" t="s">
        <v>2794</v>
      </c>
      <c r="V190" s="141" t="s">
        <v>2795</v>
      </c>
      <c r="W190" s="142" t="s">
        <v>2796</v>
      </c>
      <c r="X190" s="141" t="s">
        <v>2797</v>
      </c>
      <c r="Y190" s="142" t="s">
        <v>2798</v>
      </c>
      <c r="Z190" s="141" t="s">
        <v>2799</v>
      </c>
      <c r="AA190" s="142" t="s">
        <v>2800</v>
      </c>
      <c r="AB190" s="141" t="s">
        <v>2801</v>
      </c>
      <c r="AC190" s="142" t="s">
        <v>2817</v>
      </c>
      <c r="AD190" s="141" t="s">
        <v>2818</v>
      </c>
      <c r="AE190" s="142" t="s">
        <v>2819</v>
      </c>
      <c r="AF190" s="141" t="s">
        <v>2821</v>
      </c>
      <c r="AG190" s="142" t="s">
        <v>2822</v>
      </c>
      <c r="AH190" s="141" t="s">
        <v>2823</v>
      </c>
      <c r="AI190" s="142" t="s">
        <v>2824</v>
      </c>
      <c r="AJ190" s="141" t="s">
        <v>2825</v>
      </c>
      <c r="AK190" s="318" t="s">
        <v>2826</v>
      </c>
      <c r="AL190" s="180" t="s">
        <v>2827</v>
      </c>
      <c r="AM190" s="198" t="s">
        <v>2831</v>
      </c>
      <c r="AN190" s="141" t="s">
        <v>2832</v>
      </c>
      <c r="AO190" s="498" t="s">
        <v>2833</v>
      </c>
      <c r="AP190" s="592" t="s">
        <v>2834</v>
      </c>
      <c r="AQ190" s="198" t="s">
        <v>3011</v>
      </c>
      <c r="AR190" s="180" t="s">
        <v>3012</v>
      </c>
      <c r="AS190" s="498" t="s">
        <v>3013</v>
      </c>
      <c r="AT190" s="592" t="s">
        <v>3014</v>
      </c>
      <c r="AU190" s="498" t="s">
        <v>3015</v>
      </c>
      <c r="AV190" s="592" t="s">
        <v>3206</v>
      </c>
      <c r="AW190" s="198" t="s">
        <v>3207</v>
      </c>
      <c r="AX190" s="592" t="s">
        <v>3272</v>
      </c>
      <c r="AY190" s="198" t="s">
        <v>3273</v>
      </c>
      <c r="AZ190" s="1079" t="str">
        <f t="shared" si="325"/>
        <v/>
      </c>
      <c r="BA190" s="1079"/>
      <c r="BB190" s="1079"/>
      <c r="BC190" s="1079"/>
      <c r="BD190" s="1079"/>
      <c r="BE190" s="1079"/>
      <c r="BF190" s="1079"/>
      <c r="BG190" s="1079"/>
      <c r="BH190" s="1079"/>
      <c r="BI190" s="884"/>
      <c r="BJ190" s="884"/>
      <c r="BK190" s="884"/>
      <c r="BL190" s="884"/>
      <c r="BS190" s="884"/>
      <c r="BT190" s="884"/>
      <c r="BU190" s="884"/>
      <c r="BV190" s="885"/>
      <c r="CB190" s="2077"/>
      <c r="CC190" s="2077"/>
      <c r="CD190" s="2077"/>
      <c r="CE190" s="2077"/>
      <c r="CF190" s="2077"/>
      <c r="CG190" s="2077"/>
      <c r="CH190" s="2077"/>
      <c r="CI190" s="2077"/>
      <c r="CJ190" s="2077"/>
      <c r="CK190" s="2077"/>
      <c r="CL190" s="2077"/>
      <c r="CM190" s="2077"/>
      <c r="CN190" s="2077"/>
      <c r="CO190" s="2077"/>
      <c r="CP190" s="2077"/>
      <c r="CQ190" s="2077"/>
      <c r="CR190" s="2077"/>
      <c r="CS190" s="2077"/>
      <c r="CT190" s="2077"/>
      <c r="CU190" s="2077"/>
      <c r="CV190" s="2077"/>
      <c r="CW190" s="2077"/>
      <c r="CX190" s="2077" t="str">
        <f t="shared" si="326"/>
        <v/>
      </c>
      <c r="CY190" s="2077" t="str">
        <f t="shared" si="327"/>
        <v/>
      </c>
      <c r="CZ190" s="2077"/>
      <c r="DA190" s="2077"/>
      <c r="DB190" s="1363"/>
      <c r="DC190" s="1363"/>
      <c r="DD190" s="1363"/>
      <c r="DE190" s="1363"/>
      <c r="DF190" s="1363"/>
      <c r="DG190" s="1363"/>
      <c r="DH190" s="1363"/>
      <c r="DI190" s="1363"/>
      <c r="DJ190" s="1363"/>
      <c r="DK190" s="1363"/>
      <c r="DL190" s="1363"/>
      <c r="DM190" s="1363"/>
      <c r="DN190" s="1363"/>
      <c r="DO190" s="1363"/>
      <c r="DP190" s="1363"/>
      <c r="DQ190" s="1363"/>
      <c r="DR190" s="1363"/>
      <c r="DS190" s="1363"/>
      <c r="DT190" s="1363"/>
      <c r="DU190" s="1363"/>
      <c r="DV190" s="1363"/>
      <c r="DW190" s="1363"/>
      <c r="DX190" s="1363">
        <f t="shared" si="328"/>
        <v>0</v>
      </c>
      <c r="DY190" s="1363">
        <f t="shared" si="328"/>
        <v>0</v>
      </c>
    </row>
    <row r="191" spans="1:129" ht="16.350000000000001" customHeight="1" x14ac:dyDescent="0.25">
      <c r="A191" s="2458">
        <v>11055240</v>
      </c>
      <c r="B191" s="5958" t="s">
        <v>2275</v>
      </c>
      <c r="C191" s="5294"/>
      <c r="D191" s="1864" t="s">
        <v>2777</v>
      </c>
      <c r="E191" s="1865" t="s">
        <v>2778</v>
      </c>
      <c r="F191" s="141" t="s">
        <v>2779</v>
      </c>
      <c r="G191" s="142" t="s">
        <v>2780</v>
      </c>
      <c r="H191" s="141" t="s">
        <v>2781</v>
      </c>
      <c r="I191" s="142" t="s">
        <v>2782</v>
      </c>
      <c r="J191" s="141" t="s">
        <v>2783</v>
      </c>
      <c r="K191" s="142" t="s">
        <v>2784</v>
      </c>
      <c r="L191" s="141" t="s">
        <v>2785</v>
      </c>
      <c r="M191" s="142" t="s">
        <v>2786</v>
      </c>
      <c r="N191" s="141" t="s">
        <v>2787</v>
      </c>
      <c r="O191" s="142" t="s">
        <v>2788</v>
      </c>
      <c r="P191" s="141" t="s">
        <v>2789</v>
      </c>
      <c r="Q191" s="142" t="s">
        <v>2790</v>
      </c>
      <c r="R191" s="141" t="s">
        <v>2791</v>
      </c>
      <c r="S191" s="142" t="s">
        <v>2792</v>
      </c>
      <c r="T191" s="141" t="s">
        <v>2793</v>
      </c>
      <c r="U191" s="142" t="s">
        <v>2794</v>
      </c>
      <c r="V191" s="141" t="s">
        <v>2795</v>
      </c>
      <c r="W191" s="142" t="s">
        <v>2796</v>
      </c>
      <c r="X191" s="141" t="s">
        <v>2797</v>
      </c>
      <c r="Y191" s="142" t="s">
        <v>2798</v>
      </c>
      <c r="Z191" s="141" t="s">
        <v>2799</v>
      </c>
      <c r="AA191" s="142" t="s">
        <v>2800</v>
      </c>
      <c r="AB191" s="141" t="s">
        <v>2801</v>
      </c>
      <c r="AC191" s="142" t="s">
        <v>2817</v>
      </c>
      <c r="AD191" s="141" t="s">
        <v>2818</v>
      </c>
      <c r="AE191" s="142" t="s">
        <v>2819</v>
      </c>
      <c r="AF191" s="141" t="s">
        <v>2821</v>
      </c>
      <c r="AG191" s="142" t="s">
        <v>2822</v>
      </c>
      <c r="AH191" s="141" t="s">
        <v>2823</v>
      </c>
      <c r="AI191" s="142" t="s">
        <v>2824</v>
      </c>
      <c r="AJ191" s="141" t="s">
        <v>2825</v>
      </c>
      <c r="AK191" s="318" t="s">
        <v>2826</v>
      </c>
      <c r="AL191" s="428" t="s">
        <v>2827</v>
      </c>
      <c r="AM191" s="285" t="s">
        <v>2831</v>
      </c>
      <c r="AN191" s="425" t="s">
        <v>2832</v>
      </c>
      <c r="AO191" s="498" t="s">
        <v>2833</v>
      </c>
      <c r="AP191" s="592" t="s">
        <v>2834</v>
      </c>
      <c r="AQ191" s="198" t="s">
        <v>3011</v>
      </c>
      <c r="AR191" s="180" t="s">
        <v>3012</v>
      </c>
      <c r="AS191" s="498" t="s">
        <v>3013</v>
      </c>
      <c r="AT191" s="592" t="s">
        <v>3014</v>
      </c>
      <c r="AU191" s="498" t="s">
        <v>3015</v>
      </c>
      <c r="AV191" s="592" t="s">
        <v>3206</v>
      </c>
      <c r="AW191" s="198" t="s">
        <v>3207</v>
      </c>
      <c r="AX191" s="592" t="s">
        <v>3272</v>
      </c>
      <c r="AY191" s="198" t="s">
        <v>3273</v>
      </c>
      <c r="AZ191" s="1079" t="str">
        <f t="shared" si="325"/>
        <v/>
      </c>
      <c r="BA191" s="1079"/>
      <c r="BB191" s="1079"/>
      <c r="BC191" s="1079"/>
      <c r="BD191" s="1079"/>
      <c r="BE191" s="1079"/>
      <c r="BF191" s="1079"/>
      <c r="BG191" s="1079"/>
      <c r="BH191" s="1079"/>
      <c r="BI191" s="884"/>
      <c r="BJ191" s="884"/>
      <c r="BK191" s="884"/>
      <c r="BL191" s="884"/>
      <c r="BS191" s="884"/>
      <c r="BT191" s="884"/>
      <c r="BU191" s="884"/>
      <c r="BV191" s="885"/>
      <c r="CB191" s="2077"/>
      <c r="CC191" s="2077"/>
      <c r="CD191" s="2077"/>
      <c r="CE191" s="2077"/>
      <c r="CF191" s="2077"/>
      <c r="CG191" s="2077"/>
      <c r="CH191" s="2077"/>
      <c r="CI191" s="2077"/>
      <c r="CJ191" s="2077"/>
      <c r="CK191" s="2077"/>
      <c r="CL191" s="2077"/>
      <c r="CM191" s="2077"/>
      <c r="CN191" s="2077"/>
      <c r="CO191" s="2077"/>
      <c r="CP191" s="2077"/>
      <c r="CQ191" s="2077"/>
      <c r="CR191" s="2077"/>
      <c r="CS191" s="2077"/>
      <c r="CT191" s="2077"/>
      <c r="CU191" s="2077"/>
      <c r="CV191" s="2077"/>
      <c r="CW191" s="2077"/>
      <c r="CX191" s="2077" t="str">
        <f t="shared" si="326"/>
        <v/>
      </c>
      <c r="CY191" s="2077" t="str">
        <f t="shared" si="327"/>
        <v/>
      </c>
      <c r="CZ191" s="2077"/>
      <c r="DA191" s="2077"/>
      <c r="DB191" s="1363"/>
      <c r="DC191" s="1363"/>
      <c r="DD191" s="1363"/>
      <c r="DE191" s="1363"/>
      <c r="DF191" s="1363"/>
      <c r="DG191" s="1363"/>
      <c r="DH191" s="1363"/>
      <c r="DI191" s="1363"/>
      <c r="DJ191" s="1363"/>
      <c r="DK191" s="1363"/>
      <c r="DL191" s="1363"/>
      <c r="DM191" s="1363"/>
      <c r="DN191" s="1363"/>
      <c r="DO191" s="1363"/>
      <c r="DP191" s="1363"/>
      <c r="DQ191" s="1363"/>
      <c r="DR191" s="1363"/>
      <c r="DS191" s="1363"/>
      <c r="DT191" s="1363"/>
      <c r="DU191" s="1363"/>
      <c r="DV191" s="1363"/>
      <c r="DW191" s="1363"/>
      <c r="DX191" s="1363">
        <f t="shared" si="328"/>
        <v>0</v>
      </c>
      <c r="DY191" s="1363">
        <f t="shared" si="328"/>
        <v>0</v>
      </c>
    </row>
    <row r="192" spans="1:129" ht="16.5" customHeight="1" x14ac:dyDescent="0.25">
      <c r="A192" s="2458">
        <v>11055250</v>
      </c>
      <c r="B192" s="5958" t="s">
        <v>2306</v>
      </c>
      <c r="C192" s="5294"/>
      <c r="D192" s="1864" t="s">
        <v>2777</v>
      </c>
      <c r="E192" s="708" t="s">
        <v>2778</v>
      </c>
      <c r="F192" s="141" t="s">
        <v>2779</v>
      </c>
      <c r="G192" s="142" t="s">
        <v>2780</v>
      </c>
      <c r="H192" s="141" t="s">
        <v>2781</v>
      </c>
      <c r="I192" s="142" t="s">
        <v>2782</v>
      </c>
      <c r="J192" s="141" t="s">
        <v>2783</v>
      </c>
      <c r="K192" s="142" t="s">
        <v>2784</v>
      </c>
      <c r="L192" s="141" t="s">
        <v>2785</v>
      </c>
      <c r="M192" s="142" t="s">
        <v>2786</v>
      </c>
      <c r="N192" s="141" t="s">
        <v>2787</v>
      </c>
      <c r="O192" s="142" t="s">
        <v>2788</v>
      </c>
      <c r="P192" s="141" t="s">
        <v>2789</v>
      </c>
      <c r="Q192" s="142" t="s">
        <v>2790</v>
      </c>
      <c r="R192" s="141" t="s">
        <v>2791</v>
      </c>
      <c r="S192" s="142" t="s">
        <v>2792</v>
      </c>
      <c r="T192" s="141" t="s">
        <v>2793</v>
      </c>
      <c r="U192" s="142" t="s">
        <v>2794</v>
      </c>
      <c r="V192" s="141" t="s">
        <v>2795</v>
      </c>
      <c r="W192" s="142" t="s">
        <v>2796</v>
      </c>
      <c r="X192" s="141" t="s">
        <v>2797</v>
      </c>
      <c r="Y192" s="142" t="s">
        <v>2798</v>
      </c>
      <c r="Z192" s="141" t="s">
        <v>2799</v>
      </c>
      <c r="AA192" s="142" t="s">
        <v>2800</v>
      </c>
      <c r="AB192" s="141" t="s">
        <v>2801</v>
      </c>
      <c r="AC192" s="142" t="s">
        <v>2817</v>
      </c>
      <c r="AD192" s="141" t="s">
        <v>2818</v>
      </c>
      <c r="AE192" s="142" t="s">
        <v>2819</v>
      </c>
      <c r="AF192" s="141" t="s">
        <v>2821</v>
      </c>
      <c r="AG192" s="142" t="s">
        <v>2822</v>
      </c>
      <c r="AH192" s="141" t="s">
        <v>2823</v>
      </c>
      <c r="AI192" s="142" t="s">
        <v>2824</v>
      </c>
      <c r="AJ192" s="141" t="s">
        <v>2825</v>
      </c>
      <c r="AK192" s="142" t="s">
        <v>2826</v>
      </c>
      <c r="AL192" s="592" t="s">
        <v>2827</v>
      </c>
      <c r="AM192" s="198" t="s">
        <v>2831</v>
      </c>
      <c r="AN192" s="141" t="s">
        <v>2832</v>
      </c>
      <c r="AO192" s="498" t="s">
        <v>2833</v>
      </c>
      <c r="AP192" s="592" t="s">
        <v>2834</v>
      </c>
      <c r="AQ192" s="198" t="s">
        <v>3011</v>
      </c>
      <c r="AR192" s="180" t="s">
        <v>3012</v>
      </c>
      <c r="AS192" s="498" t="s">
        <v>3013</v>
      </c>
      <c r="AT192" s="592" t="s">
        <v>3014</v>
      </c>
      <c r="AU192" s="498" t="s">
        <v>3015</v>
      </c>
      <c r="AV192" s="592" t="s">
        <v>3206</v>
      </c>
      <c r="AW192" s="198" t="s">
        <v>3207</v>
      </c>
      <c r="AX192" s="592" t="s">
        <v>3272</v>
      </c>
      <c r="AY192" s="198" t="s">
        <v>3273</v>
      </c>
      <c r="AZ192" s="1079" t="str">
        <f t="shared" si="325"/>
        <v/>
      </c>
      <c r="BA192" s="1079"/>
      <c r="BB192" s="1079"/>
      <c r="BC192" s="1079"/>
      <c r="BD192" s="1079"/>
      <c r="BE192" s="1079"/>
      <c r="BF192" s="1079"/>
      <c r="BG192" s="1079"/>
      <c r="BH192" s="1079"/>
      <c r="BI192" s="884"/>
      <c r="BJ192" s="884"/>
      <c r="BK192" s="884"/>
      <c r="BL192" s="884"/>
      <c r="BS192" s="884"/>
      <c r="BT192" s="884"/>
      <c r="BU192" s="884"/>
      <c r="BV192" s="885"/>
      <c r="CB192" s="2077"/>
      <c r="CC192" s="2077"/>
      <c r="CD192" s="2077"/>
      <c r="CE192" s="2077"/>
      <c r="CF192" s="2077"/>
      <c r="CG192" s="2077"/>
      <c r="CH192" s="2077"/>
      <c r="CI192" s="2077"/>
      <c r="CJ192" s="2077"/>
      <c r="CK192" s="2077"/>
      <c r="CL192" s="2077"/>
      <c r="CM192" s="2077"/>
      <c r="CN192" s="2077"/>
      <c r="CO192" s="2077"/>
      <c r="CP192" s="2077"/>
      <c r="CQ192" s="2077"/>
      <c r="CR192" s="2077"/>
      <c r="CS192" s="2077"/>
      <c r="CT192" s="2077"/>
      <c r="CU192" s="2077"/>
      <c r="CV192" s="2077"/>
      <c r="CW192" s="2077"/>
      <c r="CX192" s="2077" t="str">
        <f t="shared" si="326"/>
        <v/>
      </c>
      <c r="CY192" s="2077" t="str">
        <f t="shared" si="327"/>
        <v/>
      </c>
      <c r="CZ192" s="2077"/>
      <c r="DA192" s="2077"/>
      <c r="DB192" s="1363"/>
      <c r="DC192" s="1363"/>
      <c r="DD192" s="1363"/>
      <c r="DE192" s="1363"/>
      <c r="DF192" s="1363"/>
      <c r="DG192" s="1363"/>
      <c r="DH192" s="1363"/>
      <c r="DI192" s="1363"/>
      <c r="DJ192" s="1363"/>
      <c r="DK192" s="1363"/>
      <c r="DL192" s="1363"/>
      <c r="DM192" s="1363"/>
      <c r="DN192" s="1363"/>
      <c r="DO192" s="1363"/>
      <c r="DP192" s="1363"/>
      <c r="DQ192" s="1363"/>
      <c r="DR192" s="1363"/>
      <c r="DS192" s="1363"/>
      <c r="DT192" s="1363"/>
      <c r="DU192" s="1363"/>
      <c r="DV192" s="1363"/>
      <c r="DW192" s="1363"/>
      <c r="DX192" s="1363">
        <f t="shared" si="328"/>
        <v>0</v>
      </c>
      <c r="DY192" s="1363">
        <f t="shared" si="328"/>
        <v>0</v>
      </c>
    </row>
    <row r="193" spans="1:129" ht="16.5" customHeight="1" x14ac:dyDescent="0.25">
      <c r="A193" s="2458">
        <v>11055260</v>
      </c>
      <c r="B193" s="5556" t="s">
        <v>2307</v>
      </c>
      <c r="C193" s="5557"/>
      <c r="D193" s="1864" t="s">
        <v>2777</v>
      </c>
      <c r="E193" s="708" t="s">
        <v>2778</v>
      </c>
      <c r="F193" s="173" t="s">
        <v>2779</v>
      </c>
      <c r="G193" s="145" t="s">
        <v>2780</v>
      </c>
      <c r="H193" s="173" t="s">
        <v>2781</v>
      </c>
      <c r="I193" s="145" t="s">
        <v>2782</v>
      </c>
      <c r="J193" s="173" t="s">
        <v>2783</v>
      </c>
      <c r="K193" s="145" t="s">
        <v>2784</v>
      </c>
      <c r="L193" s="173" t="s">
        <v>2785</v>
      </c>
      <c r="M193" s="145" t="s">
        <v>2786</v>
      </c>
      <c r="N193" s="173" t="s">
        <v>2787</v>
      </c>
      <c r="O193" s="145" t="s">
        <v>2788</v>
      </c>
      <c r="P193" s="141" t="s">
        <v>2789</v>
      </c>
      <c r="Q193" s="142" t="s">
        <v>2790</v>
      </c>
      <c r="R193" s="141" t="s">
        <v>2791</v>
      </c>
      <c r="S193" s="142" t="s">
        <v>2792</v>
      </c>
      <c r="T193" s="141" t="s">
        <v>2793</v>
      </c>
      <c r="U193" s="142" t="s">
        <v>2794</v>
      </c>
      <c r="V193" s="141" t="s">
        <v>2795</v>
      </c>
      <c r="W193" s="142" t="s">
        <v>2796</v>
      </c>
      <c r="X193" s="141" t="s">
        <v>2797</v>
      </c>
      <c r="Y193" s="142" t="s">
        <v>2798</v>
      </c>
      <c r="Z193" s="141" t="s">
        <v>2799</v>
      </c>
      <c r="AA193" s="142" t="s">
        <v>2800</v>
      </c>
      <c r="AB193" s="141" t="s">
        <v>2801</v>
      </c>
      <c r="AC193" s="142" t="s">
        <v>2817</v>
      </c>
      <c r="AD193" s="141" t="s">
        <v>2818</v>
      </c>
      <c r="AE193" s="142" t="s">
        <v>2819</v>
      </c>
      <c r="AF193" s="141" t="s">
        <v>2821</v>
      </c>
      <c r="AG193" s="142" t="s">
        <v>2822</v>
      </c>
      <c r="AH193" s="141" t="s">
        <v>2823</v>
      </c>
      <c r="AI193" s="142" t="s">
        <v>2824</v>
      </c>
      <c r="AJ193" s="141" t="s">
        <v>2825</v>
      </c>
      <c r="AK193" s="142" t="s">
        <v>2826</v>
      </c>
      <c r="AL193" s="592" t="s">
        <v>2827</v>
      </c>
      <c r="AM193" s="198" t="s">
        <v>2831</v>
      </c>
      <c r="AN193" s="141" t="s">
        <v>2832</v>
      </c>
      <c r="AO193" s="498" t="s">
        <v>2833</v>
      </c>
      <c r="AP193" s="592" t="s">
        <v>2834</v>
      </c>
      <c r="AQ193" s="198" t="s">
        <v>3011</v>
      </c>
      <c r="AR193" s="180" t="s">
        <v>3012</v>
      </c>
      <c r="AS193" s="498" t="s">
        <v>3013</v>
      </c>
      <c r="AT193" s="592" t="s">
        <v>3014</v>
      </c>
      <c r="AU193" s="498" t="s">
        <v>3015</v>
      </c>
      <c r="AV193" s="592" t="s">
        <v>3206</v>
      </c>
      <c r="AW193" s="198" t="s">
        <v>3207</v>
      </c>
      <c r="AX193" s="592" t="s">
        <v>3272</v>
      </c>
      <c r="AY193" s="198" t="s">
        <v>3273</v>
      </c>
      <c r="AZ193" s="1079" t="str">
        <f t="shared" si="325"/>
        <v/>
      </c>
      <c r="BA193" s="1079"/>
      <c r="BB193" s="1079"/>
      <c r="BC193" s="1079"/>
      <c r="BD193" s="1079"/>
      <c r="BE193" s="1079"/>
      <c r="BF193" s="1079"/>
      <c r="BG193" s="1079"/>
      <c r="BH193" s="1079"/>
      <c r="BI193" s="884"/>
      <c r="BJ193" s="884"/>
      <c r="BK193" s="884"/>
      <c r="BL193" s="884"/>
      <c r="BS193" s="884"/>
      <c r="BT193" s="884"/>
      <c r="BU193" s="884"/>
      <c r="BV193" s="885"/>
      <c r="CB193" s="2077"/>
      <c r="CC193" s="2077"/>
      <c r="CD193" s="2077"/>
      <c r="CE193" s="2077"/>
      <c r="CF193" s="2077"/>
      <c r="CG193" s="2077"/>
      <c r="CH193" s="2077"/>
      <c r="CI193" s="2077"/>
      <c r="CJ193" s="2077"/>
      <c r="CK193" s="2077"/>
      <c r="CL193" s="2077"/>
      <c r="CM193" s="2077"/>
      <c r="CN193" s="2077"/>
      <c r="CO193" s="2077"/>
      <c r="CP193" s="2077"/>
      <c r="CQ193" s="2077"/>
      <c r="CR193" s="2077"/>
      <c r="CS193" s="2077"/>
      <c r="CT193" s="2077"/>
      <c r="CU193" s="2077"/>
      <c r="CV193" s="2077"/>
      <c r="CW193" s="2077"/>
      <c r="CX193" s="2077" t="str">
        <f t="shared" si="326"/>
        <v/>
      </c>
      <c r="CY193" s="2077" t="str">
        <f t="shared" si="327"/>
        <v/>
      </c>
      <c r="CZ193" s="2077"/>
      <c r="DA193" s="2077"/>
      <c r="DB193" s="1363"/>
      <c r="DC193" s="1363"/>
      <c r="DD193" s="1363"/>
      <c r="DE193" s="1363"/>
      <c r="DF193" s="1363"/>
      <c r="DG193" s="1363"/>
      <c r="DH193" s="1363"/>
      <c r="DI193" s="1363"/>
      <c r="DJ193" s="1363"/>
      <c r="DK193" s="1363"/>
      <c r="DL193" s="1363"/>
      <c r="DM193" s="1363"/>
      <c r="DN193" s="1363"/>
      <c r="DO193" s="1363"/>
      <c r="DP193" s="1363"/>
      <c r="DQ193" s="1363"/>
      <c r="DR193" s="1363"/>
      <c r="DS193" s="1363"/>
      <c r="DT193" s="1363"/>
      <c r="DU193" s="1363"/>
      <c r="DV193" s="1363"/>
      <c r="DW193" s="1363"/>
      <c r="DX193" s="1363">
        <f t="shared" si="328"/>
        <v>0</v>
      </c>
      <c r="DY193" s="1363">
        <f t="shared" si="328"/>
        <v>0</v>
      </c>
    </row>
    <row r="194" spans="1:129" ht="16.350000000000001" customHeight="1" x14ac:dyDescent="0.25">
      <c r="A194" s="2458">
        <v>11055270</v>
      </c>
      <c r="B194" s="5958" t="s">
        <v>2272</v>
      </c>
      <c r="C194" s="5294"/>
      <c r="D194" s="1864" t="s">
        <v>2777</v>
      </c>
      <c r="E194" s="708" t="s">
        <v>2778</v>
      </c>
      <c r="F194" s="173" t="s">
        <v>2779</v>
      </c>
      <c r="G194" s="145" t="s">
        <v>2780</v>
      </c>
      <c r="H194" s="173" t="s">
        <v>2781</v>
      </c>
      <c r="I194" s="145" t="s">
        <v>2782</v>
      </c>
      <c r="J194" s="173" t="s">
        <v>2783</v>
      </c>
      <c r="K194" s="145" t="s">
        <v>2784</v>
      </c>
      <c r="L194" s="173" t="s">
        <v>2785</v>
      </c>
      <c r="M194" s="145" t="s">
        <v>2786</v>
      </c>
      <c r="N194" s="173" t="s">
        <v>2787</v>
      </c>
      <c r="O194" s="145" t="s">
        <v>2788</v>
      </c>
      <c r="P194" s="141" t="s">
        <v>2789</v>
      </c>
      <c r="Q194" s="142" t="s">
        <v>2790</v>
      </c>
      <c r="R194" s="141" t="s">
        <v>2791</v>
      </c>
      <c r="S194" s="142" t="s">
        <v>2792</v>
      </c>
      <c r="T194" s="141" t="s">
        <v>2793</v>
      </c>
      <c r="U194" s="142" t="s">
        <v>2794</v>
      </c>
      <c r="V194" s="141" t="s">
        <v>2795</v>
      </c>
      <c r="W194" s="142" t="s">
        <v>2796</v>
      </c>
      <c r="X194" s="141" t="s">
        <v>2797</v>
      </c>
      <c r="Y194" s="142" t="s">
        <v>2798</v>
      </c>
      <c r="Z194" s="141" t="s">
        <v>2799</v>
      </c>
      <c r="AA194" s="142" t="s">
        <v>2800</v>
      </c>
      <c r="AB194" s="141" t="s">
        <v>2801</v>
      </c>
      <c r="AC194" s="142" t="s">
        <v>2817</v>
      </c>
      <c r="AD194" s="141" t="s">
        <v>2818</v>
      </c>
      <c r="AE194" s="142" t="s">
        <v>2819</v>
      </c>
      <c r="AF194" s="141" t="s">
        <v>2821</v>
      </c>
      <c r="AG194" s="142" t="s">
        <v>2822</v>
      </c>
      <c r="AH194" s="141" t="s">
        <v>2823</v>
      </c>
      <c r="AI194" s="142" t="s">
        <v>2824</v>
      </c>
      <c r="AJ194" s="141" t="s">
        <v>2825</v>
      </c>
      <c r="AK194" s="142" t="s">
        <v>2826</v>
      </c>
      <c r="AL194" s="592" t="s">
        <v>2827</v>
      </c>
      <c r="AM194" s="198" t="s">
        <v>2831</v>
      </c>
      <c r="AN194" s="141" t="s">
        <v>2832</v>
      </c>
      <c r="AO194" s="498" t="s">
        <v>2833</v>
      </c>
      <c r="AP194" s="592" t="s">
        <v>2834</v>
      </c>
      <c r="AQ194" s="198" t="s">
        <v>3011</v>
      </c>
      <c r="AR194" s="180" t="s">
        <v>3012</v>
      </c>
      <c r="AS194" s="498" t="s">
        <v>3013</v>
      </c>
      <c r="AT194" s="592" t="s">
        <v>3014</v>
      </c>
      <c r="AU194" s="498" t="s">
        <v>3015</v>
      </c>
      <c r="AV194" s="592" t="s">
        <v>3206</v>
      </c>
      <c r="AW194" s="198" t="s">
        <v>3207</v>
      </c>
      <c r="AX194" s="592" t="s">
        <v>3272</v>
      </c>
      <c r="AY194" s="198" t="s">
        <v>3273</v>
      </c>
      <c r="AZ194" s="1079" t="str">
        <f t="shared" si="325"/>
        <v/>
      </c>
      <c r="BA194" s="1079"/>
      <c r="BB194" s="1079"/>
      <c r="BC194" s="1079"/>
      <c r="BD194" s="1079"/>
      <c r="BE194" s="1079"/>
      <c r="BF194" s="1079"/>
      <c r="BG194" s="1079"/>
      <c r="BH194" s="1079"/>
      <c r="BI194" s="884"/>
      <c r="BJ194" s="884"/>
      <c r="BK194" s="884"/>
      <c r="BL194" s="884"/>
      <c r="BS194" s="884"/>
      <c r="BT194" s="884"/>
      <c r="BU194" s="884"/>
      <c r="BV194" s="885"/>
      <c r="CB194" s="2077"/>
      <c r="CC194" s="2077"/>
      <c r="CD194" s="2077"/>
      <c r="CE194" s="2077"/>
      <c r="CF194" s="2077"/>
      <c r="CG194" s="2077"/>
      <c r="CH194" s="2077"/>
      <c r="CI194" s="2077"/>
      <c r="CJ194" s="2077"/>
      <c r="CK194" s="2077"/>
      <c r="CL194" s="2077"/>
      <c r="CM194" s="2077"/>
      <c r="CN194" s="2077"/>
      <c r="CO194" s="2077"/>
      <c r="CP194" s="2077"/>
      <c r="CQ194" s="2077"/>
      <c r="CR194" s="2077"/>
      <c r="CS194" s="2077"/>
      <c r="CT194" s="2077"/>
      <c r="CU194" s="2077"/>
      <c r="CV194" s="2077"/>
      <c r="CW194" s="2077"/>
      <c r="CX194" s="2077" t="str">
        <f t="shared" si="326"/>
        <v/>
      </c>
      <c r="CY194" s="2077" t="str">
        <f t="shared" si="327"/>
        <v/>
      </c>
      <c r="CZ194" s="2077"/>
      <c r="DA194" s="2077"/>
      <c r="DB194" s="1363"/>
      <c r="DC194" s="1363"/>
      <c r="DD194" s="1363"/>
      <c r="DE194" s="1363"/>
      <c r="DF194" s="1363"/>
      <c r="DG194" s="1363"/>
      <c r="DH194" s="1363"/>
      <c r="DI194" s="1363"/>
      <c r="DJ194" s="1363"/>
      <c r="DK194" s="1363"/>
      <c r="DL194" s="1363"/>
      <c r="DM194" s="1363"/>
      <c r="DN194" s="1363"/>
      <c r="DO194" s="1363"/>
      <c r="DP194" s="1363"/>
      <c r="DQ194" s="1363"/>
      <c r="DR194" s="1363"/>
      <c r="DS194" s="1363"/>
      <c r="DT194" s="1363"/>
      <c r="DU194" s="1363"/>
      <c r="DV194" s="1363"/>
      <c r="DW194" s="1363"/>
      <c r="DX194" s="1363">
        <f t="shared" si="328"/>
        <v>0</v>
      </c>
      <c r="DY194" s="1363">
        <f t="shared" si="328"/>
        <v>0</v>
      </c>
    </row>
    <row r="195" spans="1:129" ht="16.350000000000001" customHeight="1" x14ac:dyDescent="0.25">
      <c r="A195" s="2458">
        <v>11055280</v>
      </c>
      <c r="B195" s="6258" t="s">
        <v>2308</v>
      </c>
      <c r="C195" s="6259"/>
      <c r="D195" s="1866" t="s">
        <v>2777</v>
      </c>
      <c r="E195" s="709" t="s">
        <v>2778</v>
      </c>
      <c r="F195" s="182" t="s">
        <v>2779</v>
      </c>
      <c r="G195" s="146" t="s">
        <v>2780</v>
      </c>
      <c r="H195" s="182" t="s">
        <v>2781</v>
      </c>
      <c r="I195" s="146" t="s">
        <v>2782</v>
      </c>
      <c r="J195" s="182" t="s">
        <v>2783</v>
      </c>
      <c r="K195" s="146" t="s">
        <v>2784</v>
      </c>
      <c r="L195" s="182" t="s">
        <v>2785</v>
      </c>
      <c r="M195" s="146" t="s">
        <v>2786</v>
      </c>
      <c r="N195" s="182" t="s">
        <v>2787</v>
      </c>
      <c r="O195" s="146" t="s">
        <v>2788</v>
      </c>
      <c r="P195" s="182" t="s">
        <v>2789</v>
      </c>
      <c r="Q195" s="146" t="s">
        <v>2790</v>
      </c>
      <c r="R195" s="182" t="s">
        <v>2791</v>
      </c>
      <c r="S195" s="146" t="s">
        <v>2792</v>
      </c>
      <c r="T195" s="182" t="s">
        <v>2793</v>
      </c>
      <c r="U195" s="146" t="s">
        <v>2794</v>
      </c>
      <c r="V195" s="182" t="s">
        <v>2795</v>
      </c>
      <c r="W195" s="146" t="s">
        <v>2796</v>
      </c>
      <c r="X195" s="182" t="s">
        <v>2797</v>
      </c>
      <c r="Y195" s="146" t="s">
        <v>2798</v>
      </c>
      <c r="Z195" s="182" t="s">
        <v>2799</v>
      </c>
      <c r="AA195" s="146" t="s">
        <v>2800</v>
      </c>
      <c r="AB195" s="182" t="s">
        <v>2801</v>
      </c>
      <c r="AC195" s="146" t="s">
        <v>2817</v>
      </c>
      <c r="AD195" s="182" t="s">
        <v>2818</v>
      </c>
      <c r="AE195" s="146" t="s">
        <v>2819</v>
      </c>
      <c r="AF195" s="182" t="s">
        <v>2821</v>
      </c>
      <c r="AG195" s="146" t="s">
        <v>2822</v>
      </c>
      <c r="AH195" s="182" t="s">
        <v>2823</v>
      </c>
      <c r="AI195" s="146" t="s">
        <v>2824</v>
      </c>
      <c r="AJ195" s="182" t="s">
        <v>2825</v>
      </c>
      <c r="AK195" s="146" t="s">
        <v>2826</v>
      </c>
      <c r="AL195" s="598" t="s">
        <v>2827</v>
      </c>
      <c r="AM195" s="240" t="s">
        <v>2831</v>
      </c>
      <c r="AN195" s="182" t="s">
        <v>2832</v>
      </c>
      <c r="AO195" s="655" t="s">
        <v>2833</v>
      </c>
      <c r="AP195" s="598" t="s">
        <v>2834</v>
      </c>
      <c r="AQ195" s="240" t="s">
        <v>3011</v>
      </c>
      <c r="AR195" s="144" t="s">
        <v>3012</v>
      </c>
      <c r="AS195" s="655" t="s">
        <v>3013</v>
      </c>
      <c r="AT195" s="598" t="s">
        <v>3014</v>
      </c>
      <c r="AU195" s="655" t="s">
        <v>3015</v>
      </c>
      <c r="AV195" s="598" t="s">
        <v>3206</v>
      </c>
      <c r="AW195" s="240" t="s">
        <v>3207</v>
      </c>
      <c r="AX195" s="598" t="s">
        <v>3272</v>
      </c>
      <c r="AY195" s="240" t="s">
        <v>3273</v>
      </c>
      <c r="AZ195" s="1079" t="str">
        <f t="shared" si="325"/>
        <v/>
      </c>
      <c r="BA195" s="1079"/>
      <c r="BB195" s="1079"/>
      <c r="BC195" s="1079"/>
      <c r="BD195" s="1079"/>
      <c r="BE195" s="1079"/>
      <c r="BF195" s="1079"/>
      <c r="BG195" s="1079"/>
      <c r="BH195" s="1079"/>
      <c r="BI195" s="884"/>
      <c r="BJ195" s="884"/>
      <c r="BK195" s="884"/>
      <c r="BL195" s="884"/>
      <c r="BS195" s="884"/>
      <c r="BT195" s="884"/>
      <c r="BU195" s="884"/>
      <c r="BV195" s="885"/>
      <c r="CB195" s="2077"/>
      <c r="CC195" s="2077"/>
      <c r="CD195" s="2077"/>
      <c r="CE195" s="2077"/>
      <c r="CF195" s="2077"/>
      <c r="CG195" s="2077"/>
      <c r="CH195" s="2077"/>
      <c r="CI195" s="2077"/>
      <c r="CJ195" s="2077"/>
      <c r="CK195" s="2077"/>
      <c r="CL195" s="2077"/>
      <c r="CM195" s="2077"/>
      <c r="CN195" s="2077"/>
      <c r="CO195" s="2077"/>
      <c r="CP195" s="2077"/>
      <c r="CQ195" s="2077"/>
      <c r="CR195" s="2077"/>
      <c r="CS195" s="2077"/>
      <c r="CT195" s="2077"/>
      <c r="CU195" s="2077"/>
      <c r="CV195" s="2077"/>
      <c r="CW195" s="2077"/>
      <c r="CX195" s="2077" t="str">
        <f t="shared" si="326"/>
        <v/>
      </c>
      <c r="CY195" s="2077" t="str">
        <f t="shared" si="327"/>
        <v/>
      </c>
      <c r="CZ195" s="2077"/>
      <c r="DA195" s="2077"/>
      <c r="DB195" s="1363"/>
      <c r="DC195" s="1363"/>
      <c r="DD195" s="1363"/>
      <c r="DE195" s="1363"/>
      <c r="DF195" s="1363"/>
      <c r="DG195" s="1363"/>
      <c r="DH195" s="1363"/>
      <c r="DI195" s="1363"/>
      <c r="DJ195" s="1363"/>
      <c r="DK195" s="1363"/>
      <c r="DL195" s="1363"/>
      <c r="DM195" s="1363"/>
      <c r="DN195" s="1363"/>
      <c r="DO195" s="1363"/>
      <c r="DP195" s="1363"/>
      <c r="DQ195" s="1363"/>
      <c r="DR195" s="1363"/>
      <c r="DS195" s="1363"/>
      <c r="DT195" s="1363"/>
      <c r="DU195" s="1363"/>
      <c r="DV195" s="1363"/>
      <c r="DW195" s="1363"/>
      <c r="DX195" s="1363">
        <f t="shared" si="328"/>
        <v>0</v>
      </c>
      <c r="DY195" s="1363">
        <f t="shared" si="328"/>
        <v>0</v>
      </c>
    </row>
    <row r="196" spans="1:129" ht="21" customHeight="1" x14ac:dyDescent="0.25">
      <c r="A196" s="2458">
        <v>11055290</v>
      </c>
      <c r="B196" s="6260" t="s">
        <v>2273</v>
      </c>
      <c r="C196" s="2081" t="s">
        <v>2292</v>
      </c>
      <c r="D196" s="1934" t="s">
        <v>2777</v>
      </c>
      <c r="E196" s="1863" t="s">
        <v>2778</v>
      </c>
      <c r="F196" s="96" t="s">
        <v>2779</v>
      </c>
      <c r="G196" s="98" t="s">
        <v>2780</v>
      </c>
      <c r="H196" s="96" t="s">
        <v>2781</v>
      </c>
      <c r="I196" s="98" t="s">
        <v>2782</v>
      </c>
      <c r="J196" s="96" t="s">
        <v>2783</v>
      </c>
      <c r="K196" s="98" t="s">
        <v>2784</v>
      </c>
      <c r="L196" s="96" t="s">
        <v>2785</v>
      </c>
      <c r="M196" s="98" t="s">
        <v>2786</v>
      </c>
      <c r="N196" s="96" t="s">
        <v>2787</v>
      </c>
      <c r="O196" s="98" t="s">
        <v>2788</v>
      </c>
      <c r="P196" s="137" t="s">
        <v>2789</v>
      </c>
      <c r="Q196" s="110" t="s">
        <v>2790</v>
      </c>
      <c r="R196" s="137" t="s">
        <v>2791</v>
      </c>
      <c r="S196" s="110" t="s">
        <v>2792</v>
      </c>
      <c r="T196" s="137" t="s">
        <v>2793</v>
      </c>
      <c r="U196" s="110" t="s">
        <v>2794</v>
      </c>
      <c r="V196" s="137" t="s">
        <v>2795</v>
      </c>
      <c r="W196" s="110" t="s">
        <v>2796</v>
      </c>
      <c r="X196" s="137" t="s">
        <v>2797</v>
      </c>
      <c r="Y196" s="110" t="s">
        <v>2798</v>
      </c>
      <c r="Z196" s="137" t="s">
        <v>2799</v>
      </c>
      <c r="AA196" s="110" t="s">
        <v>2800</v>
      </c>
      <c r="AB196" s="137" t="s">
        <v>2801</v>
      </c>
      <c r="AC196" s="110" t="s">
        <v>2817</v>
      </c>
      <c r="AD196" s="137" t="s">
        <v>2818</v>
      </c>
      <c r="AE196" s="110" t="s">
        <v>2819</v>
      </c>
      <c r="AF196" s="137" t="s">
        <v>2821</v>
      </c>
      <c r="AG196" s="110" t="s">
        <v>2822</v>
      </c>
      <c r="AH196" s="137" t="s">
        <v>2823</v>
      </c>
      <c r="AI196" s="110" t="s">
        <v>2824</v>
      </c>
      <c r="AJ196" s="1109" t="s">
        <v>2825</v>
      </c>
      <c r="AK196" s="2051" t="s">
        <v>2826</v>
      </c>
      <c r="AL196" s="624" t="s">
        <v>2827</v>
      </c>
      <c r="AM196" s="1603" t="s">
        <v>2831</v>
      </c>
      <c r="AN196" s="137" t="s">
        <v>2832</v>
      </c>
      <c r="AO196" s="1602" t="s">
        <v>2833</v>
      </c>
      <c r="AP196" s="624" t="s">
        <v>2834</v>
      </c>
      <c r="AQ196" s="1603" t="s">
        <v>3011</v>
      </c>
      <c r="AR196" s="1601" t="s">
        <v>3012</v>
      </c>
      <c r="AS196" s="1602" t="s">
        <v>3013</v>
      </c>
      <c r="AT196" s="1601" t="s">
        <v>3014</v>
      </c>
      <c r="AU196" s="1602" t="s">
        <v>3015</v>
      </c>
      <c r="AV196" s="1601" t="s">
        <v>3206</v>
      </c>
      <c r="AW196" s="1602" t="s">
        <v>3207</v>
      </c>
      <c r="AX196" s="2046" t="s">
        <v>3272</v>
      </c>
      <c r="AY196" s="1699" t="s">
        <v>3273</v>
      </c>
      <c r="AZ196" s="1079" t="str">
        <f t="shared" si="325"/>
        <v/>
      </c>
      <c r="BA196" s="1079"/>
      <c r="BB196" s="1079"/>
      <c r="BC196" s="1079"/>
      <c r="BD196" s="1079"/>
      <c r="BE196" s="1079"/>
      <c r="BF196" s="1079"/>
      <c r="BG196" s="1079"/>
      <c r="BH196" s="1079"/>
      <c r="BI196" s="884"/>
      <c r="BJ196" s="884"/>
      <c r="BK196" s="884"/>
      <c r="BL196" s="884"/>
      <c r="BS196" s="884"/>
      <c r="BT196" s="884"/>
      <c r="BU196" s="884"/>
      <c r="BV196" s="885"/>
      <c r="CB196" s="2077"/>
      <c r="CC196" s="2077"/>
      <c r="CD196" s="2077"/>
      <c r="CE196" s="2077"/>
      <c r="CF196" s="2077"/>
      <c r="CG196" s="2077"/>
      <c r="CH196" s="2077"/>
      <c r="CI196" s="2077"/>
      <c r="CJ196" s="2077"/>
      <c r="CK196" s="2077"/>
      <c r="CL196" s="2077"/>
      <c r="CM196" s="2077"/>
      <c r="CN196" s="2077"/>
      <c r="CO196" s="2077"/>
      <c r="CP196" s="2077"/>
      <c r="CQ196" s="2077"/>
      <c r="CR196" s="2077"/>
      <c r="CS196" s="2077"/>
      <c r="CT196" s="2077"/>
      <c r="CU196" s="2077"/>
      <c r="CV196" s="2077"/>
      <c r="CW196" s="2077"/>
      <c r="CX196" s="2077" t="str">
        <f t="shared" si="326"/>
        <v/>
      </c>
      <c r="CY196" s="2077" t="str">
        <f t="shared" si="327"/>
        <v/>
      </c>
      <c r="CZ196" s="2077"/>
      <c r="DA196" s="2077"/>
      <c r="DB196" s="1363"/>
      <c r="DC196" s="1363"/>
      <c r="DD196" s="1363"/>
      <c r="DE196" s="1363"/>
      <c r="DF196" s="1363"/>
      <c r="DG196" s="1363"/>
      <c r="DH196" s="1363"/>
      <c r="DI196" s="1363"/>
      <c r="DJ196" s="1363"/>
      <c r="DK196" s="1363"/>
      <c r="DL196" s="1363"/>
      <c r="DM196" s="1363"/>
      <c r="DN196" s="1363"/>
      <c r="DO196" s="1363"/>
      <c r="DP196" s="1363"/>
      <c r="DQ196" s="1363"/>
      <c r="DR196" s="1363"/>
      <c r="DS196" s="1363"/>
      <c r="DT196" s="1363"/>
      <c r="DU196" s="1363"/>
      <c r="DV196" s="1363"/>
      <c r="DW196" s="1363"/>
      <c r="DX196" s="1363">
        <f t="shared" si="328"/>
        <v>0</v>
      </c>
      <c r="DY196" s="1363">
        <f t="shared" si="328"/>
        <v>0</v>
      </c>
    </row>
    <row r="197" spans="1:129" ht="19.5" customHeight="1" x14ac:dyDescent="0.25">
      <c r="A197" s="2458">
        <v>11055300</v>
      </c>
      <c r="B197" s="5831"/>
      <c r="C197" s="1249" t="s">
        <v>2293</v>
      </c>
      <c r="D197" s="1864" t="s">
        <v>2777</v>
      </c>
      <c r="E197" s="708" t="s">
        <v>2778</v>
      </c>
      <c r="F197" s="173" t="s">
        <v>2779</v>
      </c>
      <c r="G197" s="145" t="s">
        <v>2780</v>
      </c>
      <c r="H197" s="173" t="s">
        <v>2781</v>
      </c>
      <c r="I197" s="145" t="s">
        <v>2782</v>
      </c>
      <c r="J197" s="173" t="s">
        <v>2783</v>
      </c>
      <c r="K197" s="145" t="s">
        <v>2784</v>
      </c>
      <c r="L197" s="173" t="s">
        <v>2785</v>
      </c>
      <c r="M197" s="145" t="s">
        <v>2786</v>
      </c>
      <c r="N197" s="173" t="s">
        <v>2787</v>
      </c>
      <c r="O197" s="145" t="s">
        <v>2788</v>
      </c>
      <c r="P197" s="141" t="s">
        <v>2789</v>
      </c>
      <c r="Q197" s="142" t="s">
        <v>2790</v>
      </c>
      <c r="R197" s="141" t="s">
        <v>2791</v>
      </c>
      <c r="S197" s="142" t="s">
        <v>2792</v>
      </c>
      <c r="T197" s="141" t="s">
        <v>2793</v>
      </c>
      <c r="U197" s="142" t="s">
        <v>2794</v>
      </c>
      <c r="V197" s="141" t="s">
        <v>2795</v>
      </c>
      <c r="W197" s="142" t="s">
        <v>2796</v>
      </c>
      <c r="X197" s="141" t="s">
        <v>2797</v>
      </c>
      <c r="Y197" s="142" t="s">
        <v>2798</v>
      </c>
      <c r="Z197" s="141" t="s">
        <v>2799</v>
      </c>
      <c r="AA197" s="142" t="s">
        <v>2800</v>
      </c>
      <c r="AB197" s="141" t="s">
        <v>2801</v>
      </c>
      <c r="AC197" s="142" t="s">
        <v>2817</v>
      </c>
      <c r="AD197" s="141" t="s">
        <v>2818</v>
      </c>
      <c r="AE197" s="142" t="s">
        <v>2819</v>
      </c>
      <c r="AF197" s="141" t="s">
        <v>2821</v>
      </c>
      <c r="AG197" s="142" t="s">
        <v>2822</v>
      </c>
      <c r="AH197" s="141" t="s">
        <v>2823</v>
      </c>
      <c r="AI197" s="142" t="s">
        <v>2824</v>
      </c>
      <c r="AJ197" s="1104" t="s">
        <v>2825</v>
      </c>
      <c r="AK197" s="1596" t="s">
        <v>2826</v>
      </c>
      <c r="AL197" s="592" t="s">
        <v>2827</v>
      </c>
      <c r="AM197" s="198" t="s">
        <v>2831</v>
      </c>
      <c r="AN197" s="141" t="s">
        <v>2832</v>
      </c>
      <c r="AO197" s="498" t="s">
        <v>2833</v>
      </c>
      <c r="AP197" s="592" t="s">
        <v>2834</v>
      </c>
      <c r="AQ197" s="198" t="s">
        <v>3011</v>
      </c>
      <c r="AR197" s="180" t="s">
        <v>3012</v>
      </c>
      <c r="AS197" s="498" t="s">
        <v>3013</v>
      </c>
      <c r="AT197" s="180" t="s">
        <v>3014</v>
      </c>
      <c r="AU197" s="498" t="s">
        <v>3015</v>
      </c>
      <c r="AV197" s="180" t="s">
        <v>3206</v>
      </c>
      <c r="AW197" s="498" t="s">
        <v>3207</v>
      </c>
      <c r="AX197" s="2047" t="s">
        <v>3272</v>
      </c>
      <c r="AY197" s="941" t="s">
        <v>3273</v>
      </c>
      <c r="AZ197" s="1079" t="str">
        <f t="shared" si="325"/>
        <v/>
      </c>
      <c r="BA197" s="1079"/>
      <c r="BB197" s="1079"/>
      <c r="BC197" s="1079"/>
      <c r="BD197" s="1079"/>
      <c r="BE197" s="1079"/>
      <c r="BF197" s="1079"/>
      <c r="BG197" s="1079"/>
      <c r="BH197" s="1079"/>
      <c r="BI197" s="884"/>
      <c r="BJ197" s="884"/>
      <c r="BK197" s="884"/>
      <c r="BL197" s="884"/>
      <c r="BS197" s="884"/>
      <c r="BT197" s="884"/>
      <c r="BU197" s="884"/>
      <c r="BV197" s="885"/>
      <c r="CB197" s="2077"/>
      <c r="CC197" s="2077"/>
      <c r="CD197" s="2077"/>
      <c r="CE197" s="2077"/>
      <c r="CF197" s="2077"/>
      <c r="CG197" s="2077"/>
      <c r="CH197" s="2077"/>
      <c r="CI197" s="2077"/>
      <c r="CJ197" s="2077"/>
      <c r="CK197" s="2077"/>
      <c r="CL197" s="2077"/>
      <c r="CM197" s="2077"/>
      <c r="CN197" s="2077"/>
      <c r="CO197" s="2077"/>
      <c r="CP197" s="2077"/>
      <c r="CQ197" s="2077"/>
      <c r="CR197" s="2077"/>
      <c r="CS197" s="2077"/>
      <c r="CT197" s="2077"/>
      <c r="CU197" s="2077"/>
      <c r="CV197" s="2077"/>
      <c r="CW197" s="2077"/>
      <c r="CX197" s="2077" t="str">
        <f t="shared" si="326"/>
        <v/>
      </c>
      <c r="CY197" s="2077" t="str">
        <f t="shared" si="327"/>
        <v/>
      </c>
      <c r="CZ197" s="2077"/>
      <c r="DA197" s="2077"/>
      <c r="DB197" s="1363"/>
      <c r="DC197" s="1363"/>
      <c r="DD197" s="1363"/>
      <c r="DE197" s="1363"/>
      <c r="DF197" s="1363"/>
      <c r="DG197" s="1363"/>
      <c r="DH197" s="1363"/>
      <c r="DI197" s="1363"/>
      <c r="DJ197" s="1363"/>
      <c r="DK197" s="1363"/>
      <c r="DL197" s="1363"/>
      <c r="DM197" s="1363"/>
      <c r="DN197" s="1363"/>
      <c r="DO197" s="1363"/>
      <c r="DP197" s="1363"/>
      <c r="DQ197" s="1363"/>
      <c r="DR197" s="1363"/>
      <c r="DS197" s="1363"/>
      <c r="DT197" s="1363"/>
      <c r="DU197" s="1363"/>
      <c r="DV197" s="1363"/>
      <c r="DW197" s="1363"/>
      <c r="DX197" s="1363">
        <f t="shared" si="328"/>
        <v>0</v>
      </c>
      <c r="DY197" s="1363">
        <f t="shared" si="328"/>
        <v>0</v>
      </c>
    </row>
    <row r="198" spans="1:129" ht="19.5" customHeight="1" x14ac:dyDescent="0.25">
      <c r="A198" s="2458">
        <v>11055310</v>
      </c>
      <c r="B198" s="5832"/>
      <c r="C198" s="1250" t="s">
        <v>2294</v>
      </c>
      <c r="D198" s="1866" t="s">
        <v>2777</v>
      </c>
      <c r="E198" s="1867" t="s">
        <v>2778</v>
      </c>
      <c r="F198" s="101" t="s">
        <v>2779</v>
      </c>
      <c r="G198" s="103" t="s">
        <v>2780</v>
      </c>
      <c r="H198" s="101" t="s">
        <v>2781</v>
      </c>
      <c r="I198" s="103" t="s">
        <v>2782</v>
      </c>
      <c r="J198" s="101" t="s">
        <v>2783</v>
      </c>
      <c r="K198" s="103" t="s">
        <v>2784</v>
      </c>
      <c r="L198" s="101" t="s">
        <v>2785</v>
      </c>
      <c r="M198" s="103" t="s">
        <v>2786</v>
      </c>
      <c r="N198" s="101" t="s">
        <v>2787</v>
      </c>
      <c r="O198" s="103" t="s">
        <v>2788</v>
      </c>
      <c r="P198" s="166" t="s">
        <v>2789</v>
      </c>
      <c r="Q198" s="102" t="s">
        <v>2790</v>
      </c>
      <c r="R198" s="166" t="s">
        <v>2791</v>
      </c>
      <c r="S198" s="102" t="s">
        <v>2792</v>
      </c>
      <c r="T198" s="166" t="s">
        <v>2793</v>
      </c>
      <c r="U198" s="102" t="s">
        <v>2794</v>
      </c>
      <c r="V198" s="166" t="s">
        <v>2795</v>
      </c>
      <c r="W198" s="102" t="s">
        <v>2796</v>
      </c>
      <c r="X198" s="166" t="s">
        <v>2797</v>
      </c>
      <c r="Y198" s="102" t="s">
        <v>2798</v>
      </c>
      <c r="Z198" s="166" t="s">
        <v>2799</v>
      </c>
      <c r="AA198" s="102" t="s">
        <v>2800</v>
      </c>
      <c r="AB198" s="166" t="s">
        <v>2801</v>
      </c>
      <c r="AC198" s="102" t="s">
        <v>2817</v>
      </c>
      <c r="AD198" s="166" t="s">
        <v>2818</v>
      </c>
      <c r="AE198" s="102" t="s">
        <v>2819</v>
      </c>
      <c r="AF198" s="166" t="s">
        <v>2821</v>
      </c>
      <c r="AG198" s="102" t="s">
        <v>2822</v>
      </c>
      <c r="AH198" s="166" t="s">
        <v>2823</v>
      </c>
      <c r="AI198" s="102" t="s">
        <v>2824</v>
      </c>
      <c r="AJ198" s="1153" t="s">
        <v>2825</v>
      </c>
      <c r="AK198" s="2052" t="s">
        <v>2826</v>
      </c>
      <c r="AL198" s="635" t="s">
        <v>2827</v>
      </c>
      <c r="AM198" s="168" t="s">
        <v>2831</v>
      </c>
      <c r="AN198" s="166" t="s">
        <v>2832</v>
      </c>
      <c r="AO198" s="533" t="s">
        <v>2833</v>
      </c>
      <c r="AP198" s="635" t="s">
        <v>2834</v>
      </c>
      <c r="AQ198" s="168" t="s">
        <v>3011</v>
      </c>
      <c r="AR198" s="126" t="s">
        <v>3012</v>
      </c>
      <c r="AS198" s="533" t="s">
        <v>3013</v>
      </c>
      <c r="AT198" s="126" t="s">
        <v>3014</v>
      </c>
      <c r="AU198" s="533" t="s">
        <v>3015</v>
      </c>
      <c r="AV198" s="126" t="s">
        <v>3206</v>
      </c>
      <c r="AW198" s="533" t="s">
        <v>3207</v>
      </c>
      <c r="AX198" s="2048" t="s">
        <v>3272</v>
      </c>
      <c r="AY198" s="1001" t="s">
        <v>3273</v>
      </c>
      <c r="AZ198" s="1079" t="str">
        <f t="shared" si="325"/>
        <v/>
      </c>
      <c r="BA198" s="1079"/>
      <c r="BB198" s="1079"/>
      <c r="BC198" s="1079"/>
      <c r="BD198" s="1079"/>
      <c r="BE198" s="1079"/>
      <c r="BF198" s="1079"/>
      <c r="BG198" s="1079"/>
      <c r="BH198" s="1079"/>
      <c r="BI198" s="884"/>
      <c r="BJ198" s="884"/>
      <c r="BK198" s="884"/>
      <c r="BL198" s="884"/>
      <c r="BS198" s="884"/>
      <c r="BT198" s="884"/>
      <c r="BU198" s="884"/>
      <c r="BV198" s="885"/>
      <c r="CB198" s="2077"/>
      <c r="CC198" s="2077"/>
      <c r="CD198" s="2077"/>
      <c r="CE198" s="2077"/>
      <c r="CF198" s="2077"/>
      <c r="CG198" s="2077"/>
      <c r="CH198" s="2077"/>
      <c r="CI198" s="2077"/>
      <c r="CJ198" s="2077"/>
      <c r="CK198" s="2077"/>
      <c r="CL198" s="2077"/>
      <c r="CM198" s="2077"/>
      <c r="CN198" s="2077"/>
      <c r="CO198" s="2077"/>
      <c r="CP198" s="2077"/>
      <c r="CQ198" s="2077"/>
      <c r="CR198" s="2077"/>
      <c r="CS198" s="2077"/>
      <c r="CT198" s="2077"/>
      <c r="CU198" s="2077"/>
      <c r="CV198" s="2077"/>
      <c r="CW198" s="2077"/>
      <c r="CX198" s="2077" t="str">
        <f t="shared" si="326"/>
        <v/>
      </c>
      <c r="CY198" s="2077" t="str">
        <f t="shared" si="327"/>
        <v/>
      </c>
      <c r="CZ198" s="2077"/>
      <c r="DA198" s="2077"/>
      <c r="DB198" s="1363"/>
      <c r="DC198" s="1363"/>
      <c r="DD198" s="1363"/>
      <c r="DE198" s="1363"/>
      <c r="DF198" s="1363"/>
      <c r="DG198" s="1363"/>
      <c r="DH198" s="1363"/>
      <c r="DI198" s="1363"/>
      <c r="DJ198" s="1363"/>
      <c r="DK198" s="1363"/>
      <c r="DL198" s="1363"/>
      <c r="DM198" s="1363"/>
      <c r="DN198" s="1363"/>
      <c r="DO198" s="1363"/>
      <c r="DP198" s="1363"/>
      <c r="DQ198" s="1363"/>
      <c r="DR198" s="1363"/>
      <c r="DS198" s="1363"/>
      <c r="DT198" s="1363"/>
      <c r="DU198" s="1363"/>
      <c r="DV198" s="1363"/>
      <c r="DW198" s="1363"/>
      <c r="DX198" s="1363">
        <f t="shared" si="328"/>
        <v>0</v>
      </c>
      <c r="DY198" s="1363">
        <f t="shared" si="328"/>
        <v>0</v>
      </c>
    </row>
    <row r="199" spans="1:129" ht="16.350000000000001" customHeight="1" x14ac:dyDescent="0.25">
      <c r="A199" s="2458">
        <v>11055320</v>
      </c>
      <c r="B199" s="6261" t="s">
        <v>2274</v>
      </c>
      <c r="C199" s="6262"/>
      <c r="D199" s="1934" t="s">
        <v>2777</v>
      </c>
      <c r="E199" s="708" t="s">
        <v>2778</v>
      </c>
      <c r="F199" s="170" t="s">
        <v>2779</v>
      </c>
      <c r="G199" s="97" t="s">
        <v>2780</v>
      </c>
      <c r="H199" s="170" t="s">
        <v>2781</v>
      </c>
      <c r="I199" s="97" t="s">
        <v>2782</v>
      </c>
      <c r="J199" s="170" t="s">
        <v>2783</v>
      </c>
      <c r="K199" s="97" t="s">
        <v>2784</v>
      </c>
      <c r="L199" s="170" t="s">
        <v>2785</v>
      </c>
      <c r="M199" s="97" t="s">
        <v>2786</v>
      </c>
      <c r="N199" s="273" t="s">
        <v>2787</v>
      </c>
      <c r="O199" s="116" t="s">
        <v>2788</v>
      </c>
      <c r="P199" s="273" t="s">
        <v>2789</v>
      </c>
      <c r="Q199" s="116" t="s">
        <v>2790</v>
      </c>
      <c r="R199" s="273" t="s">
        <v>2791</v>
      </c>
      <c r="S199" s="116" t="s">
        <v>2792</v>
      </c>
      <c r="T199" s="273" t="s">
        <v>2793</v>
      </c>
      <c r="U199" s="116" t="s">
        <v>2794</v>
      </c>
      <c r="V199" s="273" t="s">
        <v>2795</v>
      </c>
      <c r="W199" s="116" t="s">
        <v>2796</v>
      </c>
      <c r="X199" s="273" t="s">
        <v>2797</v>
      </c>
      <c r="Y199" s="116" t="s">
        <v>2798</v>
      </c>
      <c r="Z199" s="273" t="s">
        <v>2799</v>
      </c>
      <c r="AA199" s="116" t="s">
        <v>2800</v>
      </c>
      <c r="AB199" s="273" t="s">
        <v>2801</v>
      </c>
      <c r="AC199" s="116" t="s">
        <v>2817</v>
      </c>
      <c r="AD199" s="273" t="s">
        <v>2818</v>
      </c>
      <c r="AE199" s="275" t="s">
        <v>2819</v>
      </c>
      <c r="AF199" s="273" t="s">
        <v>2821</v>
      </c>
      <c r="AG199" s="275" t="s">
        <v>2822</v>
      </c>
      <c r="AH199" s="2037" t="s">
        <v>2823</v>
      </c>
      <c r="AI199" s="2039" t="s">
        <v>2824</v>
      </c>
      <c r="AJ199" s="273" t="s">
        <v>2825</v>
      </c>
      <c r="AK199" s="116" t="s">
        <v>2826</v>
      </c>
      <c r="AL199" s="597" t="s">
        <v>2827</v>
      </c>
      <c r="AM199" s="197" t="s">
        <v>2831</v>
      </c>
      <c r="AN199" s="170" t="s">
        <v>2832</v>
      </c>
      <c r="AO199" s="500" t="s">
        <v>2833</v>
      </c>
      <c r="AP199" s="597" t="s">
        <v>2834</v>
      </c>
      <c r="AQ199" s="197" t="s">
        <v>3011</v>
      </c>
      <c r="AR199" s="124" t="s">
        <v>3012</v>
      </c>
      <c r="AS199" s="500" t="s">
        <v>3013</v>
      </c>
      <c r="AT199" s="597" t="s">
        <v>3014</v>
      </c>
      <c r="AU199" s="500" t="s">
        <v>3015</v>
      </c>
      <c r="AV199" s="597" t="s">
        <v>3206</v>
      </c>
      <c r="AW199" s="197" t="s">
        <v>3207</v>
      </c>
      <c r="AX199" s="597" t="s">
        <v>3272</v>
      </c>
      <c r="AY199" s="197" t="s">
        <v>3273</v>
      </c>
      <c r="AZ199" s="1079" t="str">
        <f t="shared" si="325"/>
        <v/>
      </c>
      <c r="BA199" s="1079"/>
      <c r="BB199" s="1079"/>
      <c r="BC199" s="1079"/>
      <c r="BD199" s="1079"/>
      <c r="BE199" s="1079"/>
      <c r="BF199" s="1079"/>
      <c r="BG199" s="1079"/>
      <c r="BH199" s="1079"/>
      <c r="BI199" s="884"/>
      <c r="BJ199" s="884"/>
      <c r="BK199" s="884"/>
      <c r="BL199" s="884"/>
      <c r="BS199" s="884"/>
      <c r="BT199" s="884"/>
      <c r="BU199" s="884"/>
      <c r="BV199" s="885"/>
      <c r="CB199" s="2077"/>
      <c r="CC199" s="2077"/>
      <c r="CD199" s="2077"/>
      <c r="CE199" s="2077"/>
      <c r="CF199" s="2077"/>
      <c r="CG199" s="2077"/>
      <c r="CH199" s="2077"/>
      <c r="CI199" s="2077"/>
      <c r="CJ199" s="2077"/>
      <c r="CK199" s="2077"/>
      <c r="CL199" s="2077"/>
      <c r="CM199" s="2077"/>
      <c r="CN199" s="2077"/>
      <c r="CO199" s="2077"/>
      <c r="CP199" s="2077"/>
      <c r="CQ199" s="2077"/>
      <c r="CR199" s="2077"/>
      <c r="CS199" s="2077"/>
      <c r="CT199" s="2077"/>
      <c r="CU199" s="2077"/>
      <c r="CV199" s="2077"/>
      <c r="CW199" s="2077"/>
      <c r="CX199" s="2077" t="str">
        <f t="shared" si="326"/>
        <v/>
      </c>
      <c r="CY199" s="2077" t="str">
        <f t="shared" si="327"/>
        <v/>
      </c>
      <c r="CZ199" s="2077"/>
      <c r="DA199" s="2077"/>
      <c r="DB199" s="1363"/>
      <c r="DC199" s="1363"/>
      <c r="DD199" s="1363"/>
      <c r="DE199" s="1363"/>
      <c r="DF199" s="1363"/>
      <c r="DG199" s="1363"/>
      <c r="DH199" s="1363"/>
      <c r="DI199" s="1363"/>
      <c r="DJ199" s="1363"/>
      <c r="DK199" s="1363"/>
      <c r="DL199" s="1363"/>
      <c r="DM199" s="1363"/>
      <c r="DN199" s="1363"/>
      <c r="DO199" s="1363"/>
      <c r="DP199" s="1363"/>
      <c r="DQ199" s="1363"/>
      <c r="DR199" s="1363"/>
      <c r="DS199" s="1363"/>
      <c r="DT199" s="1363"/>
      <c r="DU199" s="1363"/>
      <c r="DV199" s="1363"/>
      <c r="DW199" s="1363"/>
      <c r="DX199" s="1363">
        <f t="shared" si="328"/>
        <v>0</v>
      </c>
      <c r="DY199" s="1363">
        <f t="shared" si="328"/>
        <v>0</v>
      </c>
    </row>
    <row r="200" spans="1:129" ht="16.350000000000001" customHeight="1" x14ac:dyDescent="0.25">
      <c r="A200" s="2458">
        <v>11055330</v>
      </c>
      <c r="B200" s="5958" t="s">
        <v>2309</v>
      </c>
      <c r="C200" s="5294"/>
      <c r="D200" s="1864" t="s">
        <v>2777</v>
      </c>
      <c r="E200" s="1865" t="s">
        <v>2778</v>
      </c>
      <c r="F200" s="141" t="s">
        <v>2779</v>
      </c>
      <c r="G200" s="142" t="s">
        <v>2780</v>
      </c>
      <c r="H200" s="141" t="s">
        <v>2781</v>
      </c>
      <c r="I200" s="142" t="s">
        <v>2782</v>
      </c>
      <c r="J200" s="141" t="s">
        <v>2783</v>
      </c>
      <c r="K200" s="142" t="s">
        <v>2784</v>
      </c>
      <c r="L200" s="141" t="s">
        <v>2785</v>
      </c>
      <c r="M200" s="142" t="s">
        <v>2786</v>
      </c>
      <c r="N200" s="141" t="s">
        <v>2787</v>
      </c>
      <c r="O200" s="142" t="s">
        <v>2788</v>
      </c>
      <c r="P200" s="182" t="s">
        <v>2789</v>
      </c>
      <c r="Q200" s="146" t="s">
        <v>2790</v>
      </c>
      <c r="R200" s="182" t="s">
        <v>2791</v>
      </c>
      <c r="S200" s="146" t="s">
        <v>2792</v>
      </c>
      <c r="T200" s="182" t="s">
        <v>2793</v>
      </c>
      <c r="U200" s="146" t="s">
        <v>2794</v>
      </c>
      <c r="V200" s="182" t="s">
        <v>2795</v>
      </c>
      <c r="W200" s="146" t="s">
        <v>2796</v>
      </c>
      <c r="X200" s="182" t="s">
        <v>2797</v>
      </c>
      <c r="Y200" s="146" t="s">
        <v>2798</v>
      </c>
      <c r="Z200" s="182" t="s">
        <v>2799</v>
      </c>
      <c r="AA200" s="146" t="s">
        <v>2800</v>
      </c>
      <c r="AB200" s="182" t="s">
        <v>2801</v>
      </c>
      <c r="AC200" s="146" t="s">
        <v>2817</v>
      </c>
      <c r="AD200" s="182" t="s">
        <v>2818</v>
      </c>
      <c r="AE200" s="147" t="s">
        <v>2819</v>
      </c>
      <c r="AF200" s="182" t="s">
        <v>2821</v>
      </c>
      <c r="AG200" s="147" t="s">
        <v>2822</v>
      </c>
      <c r="AH200" s="182" t="s">
        <v>2823</v>
      </c>
      <c r="AI200" s="183" t="s">
        <v>2824</v>
      </c>
      <c r="AJ200" s="182" t="s">
        <v>2825</v>
      </c>
      <c r="AK200" s="146" t="s">
        <v>2826</v>
      </c>
      <c r="AL200" s="598" t="s">
        <v>2827</v>
      </c>
      <c r="AM200" s="240" t="s">
        <v>2831</v>
      </c>
      <c r="AN200" s="182" t="s">
        <v>2832</v>
      </c>
      <c r="AO200" s="655" t="s">
        <v>2833</v>
      </c>
      <c r="AP200" s="598" t="s">
        <v>2834</v>
      </c>
      <c r="AQ200" s="240" t="s">
        <v>3011</v>
      </c>
      <c r="AR200" s="144" t="s">
        <v>3012</v>
      </c>
      <c r="AS200" s="655" t="s">
        <v>3013</v>
      </c>
      <c r="AT200" s="598" t="s">
        <v>3014</v>
      </c>
      <c r="AU200" s="655" t="s">
        <v>3015</v>
      </c>
      <c r="AV200" s="598" t="s">
        <v>3206</v>
      </c>
      <c r="AW200" s="240" t="s">
        <v>3207</v>
      </c>
      <c r="AX200" s="598" t="s">
        <v>3272</v>
      </c>
      <c r="AY200" s="240" t="s">
        <v>3273</v>
      </c>
      <c r="AZ200" s="1079" t="str">
        <f t="shared" si="325"/>
        <v/>
      </c>
      <c r="BA200" s="1079"/>
      <c r="BB200" s="1079"/>
      <c r="BC200" s="1079"/>
      <c r="BD200" s="1079"/>
      <c r="BE200" s="1079"/>
      <c r="BF200" s="1079"/>
      <c r="BG200" s="1079"/>
      <c r="BH200" s="1079"/>
      <c r="BI200" s="884"/>
      <c r="BJ200" s="884"/>
      <c r="BK200" s="884"/>
      <c r="BL200" s="884"/>
      <c r="BS200" s="884"/>
      <c r="BT200" s="884"/>
      <c r="BU200" s="884"/>
      <c r="BV200" s="885"/>
      <c r="CB200" s="2077"/>
      <c r="CC200" s="2077"/>
      <c r="CD200" s="2077"/>
      <c r="CE200" s="2077"/>
      <c r="CF200" s="2077"/>
      <c r="CG200" s="2077"/>
      <c r="CH200" s="2077"/>
      <c r="CI200" s="2077"/>
      <c r="CJ200" s="2077"/>
      <c r="CK200" s="2077"/>
      <c r="CL200" s="2077"/>
      <c r="CM200" s="2077"/>
      <c r="CN200" s="2077"/>
      <c r="CO200" s="2077"/>
      <c r="CP200" s="2077"/>
      <c r="CQ200" s="2077"/>
      <c r="CR200" s="2077"/>
      <c r="CS200" s="2077"/>
      <c r="CT200" s="2077"/>
      <c r="CU200" s="2077"/>
      <c r="CV200" s="2077"/>
      <c r="CW200" s="2077"/>
      <c r="CX200" s="2077" t="str">
        <f t="shared" si="326"/>
        <v/>
      </c>
      <c r="CY200" s="2077" t="str">
        <f t="shared" si="327"/>
        <v/>
      </c>
      <c r="CZ200" s="2077"/>
      <c r="DA200" s="2077"/>
      <c r="DB200" s="1363"/>
      <c r="DC200" s="1363"/>
      <c r="DD200" s="1363"/>
      <c r="DE200" s="1363"/>
      <c r="DF200" s="1363"/>
      <c r="DG200" s="1363"/>
      <c r="DH200" s="1363"/>
      <c r="DI200" s="1363"/>
      <c r="DJ200" s="1363"/>
      <c r="DK200" s="1363"/>
      <c r="DL200" s="1363"/>
      <c r="DM200" s="1363"/>
      <c r="DN200" s="1363"/>
      <c r="DO200" s="1363"/>
      <c r="DP200" s="1363"/>
      <c r="DQ200" s="1363"/>
      <c r="DR200" s="1363"/>
      <c r="DS200" s="1363"/>
      <c r="DT200" s="1363"/>
      <c r="DU200" s="1363"/>
      <c r="DV200" s="1363"/>
      <c r="DW200" s="1363"/>
      <c r="DX200" s="1363">
        <f t="shared" si="328"/>
        <v>0</v>
      </c>
      <c r="DY200" s="1363">
        <f t="shared" si="328"/>
        <v>0</v>
      </c>
    </row>
    <row r="201" spans="1:129" ht="16.350000000000001" customHeight="1" x14ac:dyDescent="0.25">
      <c r="A201" s="2458">
        <v>11055340</v>
      </c>
      <c r="B201" s="5958" t="s">
        <v>2276</v>
      </c>
      <c r="C201" s="5294"/>
      <c r="D201" s="1864" t="s">
        <v>2777</v>
      </c>
      <c r="E201" s="1865" t="s">
        <v>2778</v>
      </c>
      <c r="F201" s="141" t="s">
        <v>2779</v>
      </c>
      <c r="G201" s="142" t="s">
        <v>2780</v>
      </c>
      <c r="H201" s="141" t="s">
        <v>2781</v>
      </c>
      <c r="I201" s="142" t="s">
        <v>2782</v>
      </c>
      <c r="J201" s="141" t="s">
        <v>2783</v>
      </c>
      <c r="K201" s="142" t="s">
        <v>2784</v>
      </c>
      <c r="L201" s="141" t="s">
        <v>2785</v>
      </c>
      <c r="M201" s="142" t="s">
        <v>2786</v>
      </c>
      <c r="N201" s="141" t="s">
        <v>2787</v>
      </c>
      <c r="O201" s="142" t="s">
        <v>2788</v>
      </c>
      <c r="P201" s="182" t="s">
        <v>2789</v>
      </c>
      <c r="Q201" s="146" t="s">
        <v>2790</v>
      </c>
      <c r="R201" s="182" t="s">
        <v>2791</v>
      </c>
      <c r="S201" s="146" t="s">
        <v>2792</v>
      </c>
      <c r="T201" s="182" t="s">
        <v>2793</v>
      </c>
      <c r="U201" s="146" t="s">
        <v>2794</v>
      </c>
      <c r="V201" s="182" t="s">
        <v>2795</v>
      </c>
      <c r="W201" s="146" t="s">
        <v>2796</v>
      </c>
      <c r="X201" s="182" t="s">
        <v>2797</v>
      </c>
      <c r="Y201" s="146" t="s">
        <v>2798</v>
      </c>
      <c r="Z201" s="182" t="s">
        <v>2799</v>
      </c>
      <c r="AA201" s="146" t="s">
        <v>2800</v>
      </c>
      <c r="AB201" s="182" t="s">
        <v>2801</v>
      </c>
      <c r="AC201" s="146" t="s">
        <v>2817</v>
      </c>
      <c r="AD201" s="182" t="s">
        <v>2818</v>
      </c>
      <c r="AE201" s="147" t="s">
        <v>2819</v>
      </c>
      <c r="AF201" s="182" t="s">
        <v>2821</v>
      </c>
      <c r="AG201" s="147" t="s">
        <v>2822</v>
      </c>
      <c r="AH201" s="182" t="s">
        <v>2823</v>
      </c>
      <c r="AI201" s="183" t="s">
        <v>2824</v>
      </c>
      <c r="AJ201" s="182" t="s">
        <v>2825</v>
      </c>
      <c r="AK201" s="146" t="s">
        <v>2826</v>
      </c>
      <c r="AL201" s="598" t="s">
        <v>2827</v>
      </c>
      <c r="AM201" s="240" t="s">
        <v>2831</v>
      </c>
      <c r="AN201" s="182" t="s">
        <v>2832</v>
      </c>
      <c r="AO201" s="655" t="s">
        <v>2833</v>
      </c>
      <c r="AP201" s="598" t="s">
        <v>2834</v>
      </c>
      <c r="AQ201" s="240" t="s">
        <v>3011</v>
      </c>
      <c r="AR201" s="144" t="s">
        <v>3012</v>
      </c>
      <c r="AS201" s="655" t="s">
        <v>3013</v>
      </c>
      <c r="AT201" s="598" t="s">
        <v>3014</v>
      </c>
      <c r="AU201" s="655" t="s">
        <v>3015</v>
      </c>
      <c r="AV201" s="598" t="s">
        <v>3206</v>
      </c>
      <c r="AW201" s="240" t="s">
        <v>3207</v>
      </c>
      <c r="AX201" s="598" t="s">
        <v>3272</v>
      </c>
      <c r="AY201" s="240" t="s">
        <v>3273</v>
      </c>
      <c r="AZ201" s="1079" t="str">
        <f t="shared" si="325"/>
        <v/>
      </c>
      <c r="BA201" s="1079"/>
      <c r="BB201" s="1079"/>
      <c r="BC201" s="1079"/>
      <c r="BD201" s="1079"/>
      <c r="BE201" s="1079"/>
      <c r="BF201" s="1079"/>
      <c r="BG201" s="1079"/>
      <c r="BH201" s="1079"/>
      <c r="BI201" s="884"/>
      <c r="BJ201" s="884"/>
      <c r="BK201" s="884"/>
      <c r="BL201" s="884"/>
      <c r="BS201" s="884"/>
      <c r="BT201" s="884"/>
      <c r="BU201" s="884"/>
      <c r="BV201" s="885"/>
      <c r="CB201" s="2077"/>
      <c r="CC201" s="2077"/>
      <c r="CD201" s="2077"/>
      <c r="CE201" s="2077"/>
      <c r="CF201" s="2077"/>
      <c r="CG201" s="2077"/>
      <c r="CH201" s="2077"/>
      <c r="CI201" s="2077"/>
      <c r="CJ201" s="2077"/>
      <c r="CK201" s="2077"/>
      <c r="CL201" s="2077"/>
      <c r="CM201" s="2077"/>
      <c r="CN201" s="2077"/>
      <c r="CO201" s="2077"/>
      <c r="CP201" s="2077"/>
      <c r="CQ201" s="2077"/>
      <c r="CR201" s="2077"/>
      <c r="CS201" s="2077"/>
      <c r="CT201" s="2077"/>
      <c r="CU201" s="2077"/>
      <c r="CV201" s="2077"/>
      <c r="CW201" s="2077"/>
      <c r="CX201" s="2077" t="str">
        <f t="shared" si="326"/>
        <v/>
      </c>
      <c r="CY201" s="2077" t="str">
        <f t="shared" si="327"/>
        <v/>
      </c>
      <c r="CZ201" s="2077"/>
      <c r="DA201" s="2077"/>
      <c r="DB201" s="1363"/>
      <c r="DC201" s="1363"/>
      <c r="DD201" s="1363"/>
      <c r="DE201" s="1363"/>
      <c r="DF201" s="1363"/>
      <c r="DG201" s="1363"/>
      <c r="DH201" s="1363"/>
      <c r="DI201" s="1363"/>
      <c r="DJ201" s="1363"/>
      <c r="DK201" s="1363"/>
      <c r="DL201" s="1363"/>
      <c r="DM201" s="1363"/>
      <c r="DN201" s="1363"/>
      <c r="DO201" s="1363"/>
      <c r="DP201" s="1363"/>
      <c r="DQ201" s="1363"/>
      <c r="DR201" s="1363"/>
      <c r="DS201" s="1363"/>
      <c r="DT201" s="1363"/>
      <c r="DU201" s="1363"/>
      <c r="DV201" s="1363"/>
      <c r="DW201" s="1363"/>
      <c r="DX201" s="1363">
        <f t="shared" si="328"/>
        <v>0</v>
      </c>
      <c r="DY201" s="1363">
        <f t="shared" si="328"/>
        <v>0</v>
      </c>
    </row>
    <row r="202" spans="1:129" ht="16.350000000000001" customHeight="1" x14ac:dyDescent="0.25">
      <c r="A202" s="2458">
        <v>11055341</v>
      </c>
      <c r="B202" s="5958" t="s">
        <v>2310</v>
      </c>
      <c r="C202" s="5294"/>
      <c r="D202" s="1864" t="s">
        <v>2777</v>
      </c>
      <c r="E202" s="629" t="s">
        <v>2778</v>
      </c>
      <c r="F202" s="173" t="s">
        <v>2779</v>
      </c>
      <c r="G202" s="145" t="s">
        <v>2780</v>
      </c>
      <c r="H202" s="173" t="s">
        <v>2781</v>
      </c>
      <c r="I202" s="145" t="s">
        <v>2782</v>
      </c>
      <c r="J202" s="173" t="s">
        <v>2783</v>
      </c>
      <c r="K202" s="145" t="s">
        <v>2784</v>
      </c>
      <c r="L202" s="173" t="s">
        <v>2785</v>
      </c>
      <c r="M202" s="145" t="s">
        <v>2786</v>
      </c>
      <c r="N202" s="173" t="s">
        <v>2787</v>
      </c>
      <c r="O202" s="145" t="s">
        <v>2788</v>
      </c>
      <c r="P202" s="182" t="s">
        <v>2789</v>
      </c>
      <c r="Q202" s="146" t="s">
        <v>2790</v>
      </c>
      <c r="R202" s="182" t="s">
        <v>2791</v>
      </c>
      <c r="S202" s="146" t="s">
        <v>2792</v>
      </c>
      <c r="T202" s="182" t="s">
        <v>2793</v>
      </c>
      <c r="U202" s="146" t="s">
        <v>2794</v>
      </c>
      <c r="V202" s="182" t="s">
        <v>2795</v>
      </c>
      <c r="W202" s="146" t="s">
        <v>2796</v>
      </c>
      <c r="X202" s="182" t="s">
        <v>2797</v>
      </c>
      <c r="Y202" s="146" t="s">
        <v>2798</v>
      </c>
      <c r="Z202" s="182" t="s">
        <v>2799</v>
      </c>
      <c r="AA202" s="146" t="s">
        <v>2800</v>
      </c>
      <c r="AB202" s="182" t="s">
        <v>2801</v>
      </c>
      <c r="AC202" s="146" t="s">
        <v>2817</v>
      </c>
      <c r="AD202" s="182" t="s">
        <v>2818</v>
      </c>
      <c r="AE202" s="147" t="s">
        <v>2819</v>
      </c>
      <c r="AF202" s="182" t="s">
        <v>2821</v>
      </c>
      <c r="AG202" s="147" t="s">
        <v>2822</v>
      </c>
      <c r="AH202" s="182" t="s">
        <v>2823</v>
      </c>
      <c r="AI202" s="183" t="s">
        <v>2824</v>
      </c>
      <c r="AJ202" s="182" t="s">
        <v>2825</v>
      </c>
      <c r="AK202" s="146" t="s">
        <v>2826</v>
      </c>
      <c r="AL202" s="598" t="s">
        <v>2827</v>
      </c>
      <c r="AM202" s="240" t="s">
        <v>2831</v>
      </c>
      <c r="AN202" s="182" t="s">
        <v>2832</v>
      </c>
      <c r="AO202" s="655" t="s">
        <v>2833</v>
      </c>
      <c r="AP202" s="598" t="s">
        <v>2834</v>
      </c>
      <c r="AQ202" s="240" t="s">
        <v>3011</v>
      </c>
      <c r="AR202" s="144" t="s">
        <v>3012</v>
      </c>
      <c r="AS202" s="655" t="s">
        <v>3013</v>
      </c>
      <c r="AT202" s="598" t="s">
        <v>3014</v>
      </c>
      <c r="AU202" s="655" t="s">
        <v>3015</v>
      </c>
      <c r="AV202" s="598" t="s">
        <v>3206</v>
      </c>
      <c r="AW202" s="240" t="s">
        <v>3207</v>
      </c>
      <c r="AX202" s="598" t="s">
        <v>3272</v>
      </c>
      <c r="AY202" s="240" t="s">
        <v>3273</v>
      </c>
      <c r="AZ202" s="1079" t="str">
        <f t="shared" si="325"/>
        <v/>
      </c>
      <c r="BA202" s="1079"/>
      <c r="BB202" s="1079"/>
      <c r="BC202" s="1079"/>
      <c r="BD202" s="1079"/>
      <c r="BE202" s="1079"/>
      <c r="BF202" s="1079"/>
      <c r="BG202" s="1079"/>
      <c r="BH202" s="1079"/>
      <c r="BI202" s="884"/>
      <c r="BJ202" s="884"/>
      <c r="BK202" s="884"/>
      <c r="BL202" s="884"/>
      <c r="BS202" s="884"/>
      <c r="BT202" s="884"/>
      <c r="BU202" s="884"/>
      <c r="BV202" s="885"/>
      <c r="CB202" s="2077"/>
      <c r="CC202" s="2077"/>
      <c r="CD202" s="2077"/>
      <c r="CE202" s="2077"/>
      <c r="CF202" s="2077"/>
      <c r="CG202" s="2077"/>
      <c r="CH202" s="2077"/>
      <c r="CI202" s="2077"/>
      <c r="CJ202" s="2077"/>
      <c r="CK202" s="2077"/>
      <c r="CL202" s="2077"/>
      <c r="CM202" s="2077"/>
      <c r="CN202" s="2077"/>
      <c r="CO202" s="2077"/>
      <c r="CP202" s="2077"/>
      <c r="CQ202" s="2077"/>
      <c r="CR202" s="2077"/>
      <c r="CS202" s="2077"/>
      <c r="CT202" s="2077"/>
      <c r="CU202" s="2077"/>
      <c r="CV202" s="2077"/>
      <c r="CW202" s="2077"/>
      <c r="CX202" s="2077" t="str">
        <f t="shared" si="326"/>
        <v/>
      </c>
      <c r="CY202" s="2077" t="str">
        <f t="shared" si="327"/>
        <v/>
      </c>
      <c r="CZ202" s="2077"/>
      <c r="DA202" s="2077"/>
      <c r="DB202" s="1363"/>
      <c r="DC202" s="1363"/>
      <c r="DD202" s="1363"/>
      <c r="DE202" s="1363"/>
      <c r="DF202" s="1363"/>
      <c r="DG202" s="1363"/>
      <c r="DH202" s="1363"/>
      <c r="DI202" s="1363"/>
      <c r="DJ202" s="1363"/>
      <c r="DK202" s="1363"/>
      <c r="DL202" s="1363"/>
      <c r="DM202" s="1363"/>
      <c r="DN202" s="1363"/>
      <c r="DO202" s="1363"/>
      <c r="DP202" s="1363"/>
      <c r="DQ202" s="1363"/>
      <c r="DR202" s="1363"/>
      <c r="DS202" s="1363"/>
      <c r="DT202" s="1363"/>
      <c r="DU202" s="1363"/>
      <c r="DV202" s="1363"/>
      <c r="DW202" s="1363"/>
      <c r="DX202" s="1363">
        <f t="shared" si="328"/>
        <v>0</v>
      </c>
      <c r="DY202" s="1363">
        <f t="shared" si="328"/>
        <v>0</v>
      </c>
    </row>
    <row r="203" spans="1:129" ht="16.350000000000001" customHeight="1" x14ac:dyDescent="0.25">
      <c r="A203" s="2458">
        <v>11055342</v>
      </c>
      <c r="B203" s="5958" t="s">
        <v>2311</v>
      </c>
      <c r="C203" s="5294"/>
      <c r="D203" s="1864" t="s">
        <v>2777</v>
      </c>
      <c r="E203" s="629" t="s">
        <v>2778</v>
      </c>
      <c r="F203" s="173" t="s">
        <v>2779</v>
      </c>
      <c r="G203" s="145" t="s">
        <v>2780</v>
      </c>
      <c r="H203" s="173" t="s">
        <v>2781</v>
      </c>
      <c r="I203" s="145" t="s">
        <v>2782</v>
      </c>
      <c r="J203" s="173" t="s">
        <v>2783</v>
      </c>
      <c r="K203" s="145" t="s">
        <v>2784</v>
      </c>
      <c r="L203" s="173" t="s">
        <v>2785</v>
      </c>
      <c r="M203" s="145" t="s">
        <v>2786</v>
      </c>
      <c r="N203" s="173" t="s">
        <v>2787</v>
      </c>
      <c r="O203" s="145" t="s">
        <v>2788</v>
      </c>
      <c r="P203" s="182" t="s">
        <v>2789</v>
      </c>
      <c r="Q203" s="146" t="s">
        <v>2790</v>
      </c>
      <c r="R203" s="182" t="s">
        <v>2791</v>
      </c>
      <c r="S203" s="146" t="s">
        <v>2792</v>
      </c>
      <c r="T203" s="182" t="s">
        <v>2793</v>
      </c>
      <c r="U203" s="146" t="s">
        <v>2794</v>
      </c>
      <c r="V203" s="182" t="s">
        <v>2795</v>
      </c>
      <c r="W203" s="146" t="s">
        <v>2796</v>
      </c>
      <c r="X203" s="182" t="s">
        <v>2797</v>
      </c>
      <c r="Y203" s="146" t="s">
        <v>2798</v>
      </c>
      <c r="Z203" s="182" t="s">
        <v>2799</v>
      </c>
      <c r="AA203" s="146" t="s">
        <v>2800</v>
      </c>
      <c r="AB203" s="182" t="s">
        <v>2801</v>
      </c>
      <c r="AC203" s="146" t="s">
        <v>2817</v>
      </c>
      <c r="AD203" s="182" t="s">
        <v>2818</v>
      </c>
      <c r="AE203" s="147" t="s">
        <v>2819</v>
      </c>
      <c r="AF203" s="182" t="s">
        <v>2821</v>
      </c>
      <c r="AG203" s="147" t="s">
        <v>2822</v>
      </c>
      <c r="AH203" s="141" t="s">
        <v>2823</v>
      </c>
      <c r="AI203" s="240" t="s">
        <v>2824</v>
      </c>
      <c r="AJ203" s="141" t="s">
        <v>2825</v>
      </c>
      <c r="AK203" s="144" t="s">
        <v>2826</v>
      </c>
      <c r="AL203" s="598" t="s">
        <v>2827</v>
      </c>
      <c r="AM203" s="240" t="s">
        <v>2831</v>
      </c>
      <c r="AN203" s="182" t="s">
        <v>2832</v>
      </c>
      <c r="AO203" s="655" t="s">
        <v>2833</v>
      </c>
      <c r="AP203" s="598" t="s">
        <v>2834</v>
      </c>
      <c r="AQ203" s="240" t="s">
        <v>3011</v>
      </c>
      <c r="AR203" s="144" t="s">
        <v>3012</v>
      </c>
      <c r="AS203" s="655" t="s">
        <v>3013</v>
      </c>
      <c r="AT203" s="598" t="s">
        <v>3014</v>
      </c>
      <c r="AU203" s="655" t="s">
        <v>3015</v>
      </c>
      <c r="AV203" s="598" t="s">
        <v>3206</v>
      </c>
      <c r="AW203" s="240" t="s">
        <v>3207</v>
      </c>
      <c r="AX203" s="598" t="s">
        <v>3272</v>
      </c>
      <c r="AY203" s="240" t="s">
        <v>3273</v>
      </c>
      <c r="AZ203" s="1079" t="str">
        <f t="shared" si="325"/>
        <v/>
      </c>
      <c r="BA203" s="1079"/>
      <c r="BB203" s="1079"/>
      <c r="BC203" s="1079"/>
      <c r="BD203" s="1079"/>
      <c r="BE203" s="1079"/>
      <c r="BF203" s="1079"/>
      <c r="BG203" s="1079"/>
      <c r="BH203" s="1079"/>
      <c r="BI203" s="884"/>
      <c r="BJ203" s="884"/>
      <c r="BK203" s="884"/>
      <c r="BL203" s="884"/>
      <c r="BS203" s="884"/>
      <c r="BT203" s="884"/>
      <c r="BU203" s="884"/>
      <c r="BV203" s="885"/>
      <c r="CB203" s="2077"/>
      <c r="CC203" s="2077"/>
      <c r="CD203" s="2077"/>
      <c r="CE203" s="2077"/>
      <c r="CF203" s="2077"/>
      <c r="CG203" s="2077"/>
      <c r="CH203" s="2077"/>
      <c r="CI203" s="2077"/>
      <c r="CJ203" s="2077"/>
      <c r="CK203" s="2077"/>
      <c r="CL203" s="2077"/>
      <c r="CM203" s="2077"/>
      <c r="CN203" s="2077"/>
      <c r="CO203" s="2077"/>
      <c r="CP203" s="2077"/>
      <c r="CQ203" s="2077"/>
      <c r="CR203" s="2077"/>
      <c r="CS203" s="2077"/>
      <c r="CT203" s="2077"/>
      <c r="CU203" s="2077"/>
      <c r="CV203" s="2077"/>
      <c r="CW203" s="2077"/>
      <c r="CX203" s="2077" t="str">
        <f t="shared" si="326"/>
        <v/>
      </c>
      <c r="CY203" s="2077" t="str">
        <f t="shared" si="327"/>
        <v/>
      </c>
      <c r="CZ203" s="2077"/>
      <c r="DA203" s="2077"/>
      <c r="DB203" s="1363"/>
      <c r="DC203" s="1363"/>
      <c r="DD203" s="1363"/>
      <c r="DE203" s="1363"/>
      <c r="DF203" s="1363"/>
      <c r="DG203" s="1363"/>
      <c r="DH203" s="1363"/>
      <c r="DI203" s="1363"/>
      <c r="DJ203" s="1363"/>
      <c r="DK203" s="1363"/>
      <c r="DL203" s="1363"/>
      <c r="DM203" s="1363"/>
      <c r="DN203" s="1363"/>
      <c r="DO203" s="1363"/>
      <c r="DP203" s="1363"/>
      <c r="DQ203" s="1363"/>
      <c r="DR203" s="1363"/>
      <c r="DS203" s="1363"/>
      <c r="DT203" s="1363"/>
      <c r="DU203" s="1363"/>
      <c r="DV203" s="1363"/>
      <c r="DW203" s="1363"/>
      <c r="DX203" s="1363">
        <f t="shared" ref="DX203:DY209" si="329">IF(AND(D203&lt;&gt;0,OR(AP203="",AR203="",AT203="",AV203="")),1,0)</f>
        <v>0</v>
      </c>
      <c r="DY203" s="1363">
        <f t="shared" si="329"/>
        <v>0</v>
      </c>
    </row>
    <row r="204" spans="1:129" ht="16.5" customHeight="1" x14ac:dyDescent="0.25">
      <c r="A204" s="2458">
        <v>11055350</v>
      </c>
      <c r="B204" s="2049" t="s">
        <v>2312</v>
      </c>
      <c r="C204" s="2050"/>
      <c r="D204" s="1864" t="s">
        <v>2777</v>
      </c>
      <c r="E204" s="629" t="s">
        <v>2778</v>
      </c>
      <c r="F204" s="173" t="s">
        <v>2779</v>
      </c>
      <c r="G204" s="145" t="s">
        <v>2780</v>
      </c>
      <c r="H204" s="173" t="s">
        <v>2781</v>
      </c>
      <c r="I204" s="145" t="s">
        <v>2782</v>
      </c>
      <c r="J204" s="173" t="s">
        <v>2783</v>
      </c>
      <c r="K204" s="145" t="s">
        <v>2784</v>
      </c>
      <c r="L204" s="173" t="s">
        <v>2785</v>
      </c>
      <c r="M204" s="145" t="s">
        <v>2786</v>
      </c>
      <c r="N204" s="173" t="s">
        <v>2787</v>
      </c>
      <c r="O204" s="145" t="s">
        <v>2788</v>
      </c>
      <c r="P204" s="182" t="s">
        <v>2789</v>
      </c>
      <c r="Q204" s="146" t="s">
        <v>2790</v>
      </c>
      <c r="R204" s="182" t="s">
        <v>2791</v>
      </c>
      <c r="S204" s="146" t="s">
        <v>2792</v>
      </c>
      <c r="T204" s="182" t="s">
        <v>2793</v>
      </c>
      <c r="U204" s="146" t="s">
        <v>2794</v>
      </c>
      <c r="V204" s="182" t="s">
        <v>2795</v>
      </c>
      <c r="W204" s="146" t="s">
        <v>2796</v>
      </c>
      <c r="X204" s="182" t="s">
        <v>2797</v>
      </c>
      <c r="Y204" s="146" t="s">
        <v>2798</v>
      </c>
      <c r="Z204" s="182" t="s">
        <v>2799</v>
      </c>
      <c r="AA204" s="146" t="s">
        <v>2800</v>
      </c>
      <c r="AB204" s="182" t="s">
        <v>2801</v>
      </c>
      <c r="AC204" s="146" t="s">
        <v>2817</v>
      </c>
      <c r="AD204" s="182" t="s">
        <v>2818</v>
      </c>
      <c r="AE204" s="147" t="s">
        <v>2819</v>
      </c>
      <c r="AF204" s="182" t="s">
        <v>2821</v>
      </c>
      <c r="AG204" s="147" t="s">
        <v>2822</v>
      </c>
      <c r="AH204" s="182" t="s">
        <v>2823</v>
      </c>
      <c r="AI204" s="183" t="s">
        <v>2824</v>
      </c>
      <c r="AJ204" s="182" t="s">
        <v>2825</v>
      </c>
      <c r="AK204" s="146" t="s">
        <v>2826</v>
      </c>
      <c r="AL204" s="598" t="s">
        <v>2827</v>
      </c>
      <c r="AM204" s="240" t="s">
        <v>2831</v>
      </c>
      <c r="AN204" s="182" t="s">
        <v>2832</v>
      </c>
      <c r="AO204" s="655" t="s">
        <v>2833</v>
      </c>
      <c r="AP204" s="598" t="s">
        <v>2834</v>
      </c>
      <c r="AQ204" s="240" t="s">
        <v>3011</v>
      </c>
      <c r="AR204" s="144" t="s">
        <v>3012</v>
      </c>
      <c r="AS204" s="655" t="s">
        <v>3013</v>
      </c>
      <c r="AT204" s="598" t="s">
        <v>3014</v>
      </c>
      <c r="AU204" s="655" t="s">
        <v>3015</v>
      </c>
      <c r="AV204" s="598" t="s">
        <v>3206</v>
      </c>
      <c r="AW204" s="240" t="s">
        <v>3207</v>
      </c>
      <c r="AX204" s="598" t="s">
        <v>3272</v>
      </c>
      <c r="AY204" s="240" t="s">
        <v>3273</v>
      </c>
      <c r="AZ204" s="1079" t="str">
        <f t="shared" si="325"/>
        <v/>
      </c>
      <c r="BA204" s="1079"/>
      <c r="BB204" s="1079"/>
      <c r="BC204" s="1079"/>
      <c r="BD204" s="1079"/>
      <c r="BE204" s="1079"/>
      <c r="BF204" s="1079"/>
      <c r="BG204" s="1079"/>
      <c r="BH204" s="1079"/>
      <c r="BI204" s="884"/>
      <c r="BJ204" s="884"/>
      <c r="BK204" s="884"/>
      <c r="BL204" s="884"/>
      <c r="BS204" s="884"/>
      <c r="BT204" s="884"/>
      <c r="BU204" s="884"/>
      <c r="BV204" s="885"/>
      <c r="CB204" s="2077"/>
      <c r="CC204" s="2077"/>
      <c r="CD204" s="2077"/>
      <c r="CE204" s="2077"/>
      <c r="CF204" s="2077"/>
      <c r="CG204" s="2077"/>
      <c r="CH204" s="2077"/>
      <c r="CI204" s="2077"/>
      <c r="CJ204" s="2077"/>
      <c r="CK204" s="2077"/>
      <c r="CL204" s="2077"/>
      <c r="CM204" s="2077"/>
      <c r="CN204" s="2077"/>
      <c r="CO204" s="2077"/>
      <c r="CP204" s="2077"/>
      <c r="CQ204" s="2077"/>
      <c r="CR204" s="2077"/>
      <c r="CS204" s="2077"/>
      <c r="CT204" s="2077"/>
      <c r="CU204" s="2077"/>
      <c r="CV204" s="2077"/>
      <c r="CW204" s="2077"/>
      <c r="CX204" s="2077" t="str">
        <f t="shared" si="326"/>
        <v/>
      </c>
      <c r="CY204" s="2077" t="str">
        <f t="shared" si="327"/>
        <v/>
      </c>
      <c r="CZ204" s="2077"/>
      <c r="DA204" s="2077"/>
      <c r="DB204" s="1363"/>
      <c r="DC204" s="1363"/>
      <c r="DD204" s="1363"/>
      <c r="DE204" s="1363"/>
      <c r="DF204" s="1363"/>
      <c r="DG204" s="1363"/>
      <c r="DH204" s="1363"/>
      <c r="DI204" s="1363"/>
      <c r="DJ204" s="1363"/>
      <c r="DK204" s="1363"/>
      <c r="DL204" s="1363"/>
      <c r="DM204" s="1363"/>
      <c r="DN204" s="1363"/>
      <c r="DO204" s="1363"/>
      <c r="DP204" s="1363"/>
      <c r="DQ204" s="1363"/>
      <c r="DR204" s="1363"/>
      <c r="DS204" s="1363"/>
      <c r="DT204" s="1363"/>
      <c r="DU204" s="1363"/>
      <c r="DV204" s="1363"/>
      <c r="DW204" s="1363"/>
      <c r="DX204" s="1363">
        <f t="shared" si="329"/>
        <v>0</v>
      </c>
      <c r="DY204" s="1363">
        <f t="shared" si="329"/>
        <v>0</v>
      </c>
    </row>
    <row r="205" spans="1:129" ht="16.350000000000001" customHeight="1" x14ac:dyDescent="0.25">
      <c r="A205" s="2458">
        <v>11055351</v>
      </c>
      <c r="B205" s="5958" t="s">
        <v>2313</v>
      </c>
      <c r="C205" s="5294"/>
      <c r="D205" s="1864" t="s">
        <v>2777</v>
      </c>
      <c r="E205" s="629" t="s">
        <v>2778</v>
      </c>
      <c r="F205" s="182" t="s">
        <v>2779</v>
      </c>
      <c r="G205" s="146" t="s">
        <v>2780</v>
      </c>
      <c r="H205" s="182" t="s">
        <v>2781</v>
      </c>
      <c r="I205" s="146" t="s">
        <v>2782</v>
      </c>
      <c r="J205" s="182" t="s">
        <v>2783</v>
      </c>
      <c r="K205" s="146" t="s">
        <v>2784</v>
      </c>
      <c r="L205" s="182" t="s">
        <v>2785</v>
      </c>
      <c r="M205" s="146" t="s">
        <v>2786</v>
      </c>
      <c r="N205" s="182" t="s">
        <v>2787</v>
      </c>
      <c r="O205" s="146" t="s">
        <v>2788</v>
      </c>
      <c r="P205" s="182" t="s">
        <v>2789</v>
      </c>
      <c r="Q205" s="146" t="s">
        <v>2790</v>
      </c>
      <c r="R205" s="182" t="s">
        <v>2791</v>
      </c>
      <c r="S205" s="146" t="s">
        <v>2792</v>
      </c>
      <c r="T205" s="182" t="s">
        <v>2793</v>
      </c>
      <c r="U205" s="146" t="s">
        <v>2794</v>
      </c>
      <c r="V205" s="182" t="s">
        <v>2795</v>
      </c>
      <c r="W205" s="146" t="s">
        <v>2796</v>
      </c>
      <c r="X205" s="182" t="s">
        <v>2797</v>
      </c>
      <c r="Y205" s="146" t="s">
        <v>2798</v>
      </c>
      <c r="Z205" s="182" t="s">
        <v>2799</v>
      </c>
      <c r="AA205" s="146" t="s">
        <v>2800</v>
      </c>
      <c r="AB205" s="182" t="s">
        <v>2801</v>
      </c>
      <c r="AC205" s="146" t="s">
        <v>2817</v>
      </c>
      <c r="AD205" s="182" t="s">
        <v>2818</v>
      </c>
      <c r="AE205" s="147" t="s">
        <v>2819</v>
      </c>
      <c r="AF205" s="182" t="s">
        <v>2821</v>
      </c>
      <c r="AG205" s="147" t="s">
        <v>2822</v>
      </c>
      <c r="AH205" s="182" t="s">
        <v>2823</v>
      </c>
      <c r="AI205" s="183" t="s">
        <v>2824</v>
      </c>
      <c r="AJ205" s="182" t="s">
        <v>2825</v>
      </c>
      <c r="AK205" s="146" t="s">
        <v>2826</v>
      </c>
      <c r="AL205" s="598" t="s">
        <v>2827</v>
      </c>
      <c r="AM205" s="240" t="s">
        <v>2831</v>
      </c>
      <c r="AN205" s="182" t="s">
        <v>2832</v>
      </c>
      <c r="AO205" s="655" t="s">
        <v>2833</v>
      </c>
      <c r="AP205" s="598" t="s">
        <v>2834</v>
      </c>
      <c r="AQ205" s="240" t="s">
        <v>3011</v>
      </c>
      <c r="AR205" s="144" t="s">
        <v>3012</v>
      </c>
      <c r="AS205" s="655" t="s">
        <v>3013</v>
      </c>
      <c r="AT205" s="598" t="s">
        <v>3014</v>
      </c>
      <c r="AU205" s="655" t="s">
        <v>3015</v>
      </c>
      <c r="AV205" s="598" t="s">
        <v>3206</v>
      </c>
      <c r="AW205" s="240" t="s">
        <v>3207</v>
      </c>
      <c r="AX205" s="598" t="s">
        <v>3272</v>
      </c>
      <c r="AY205" s="240" t="s">
        <v>3273</v>
      </c>
      <c r="AZ205" s="1079" t="str">
        <f t="shared" si="325"/>
        <v/>
      </c>
      <c r="BA205" s="1079"/>
      <c r="BB205" s="1079"/>
      <c r="BC205" s="1079"/>
      <c r="BD205" s="1079"/>
      <c r="BE205" s="1079"/>
      <c r="BF205" s="1079"/>
      <c r="BG205" s="1079"/>
      <c r="BH205" s="1079"/>
      <c r="BI205" s="884"/>
      <c r="BJ205" s="884"/>
      <c r="BK205" s="884"/>
      <c r="BL205" s="884"/>
      <c r="BS205" s="884"/>
      <c r="BT205" s="884"/>
      <c r="BU205" s="884"/>
      <c r="BV205" s="885"/>
      <c r="CB205" s="2077"/>
      <c r="CC205" s="2077"/>
      <c r="CD205" s="2077"/>
      <c r="CE205" s="2077"/>
      <c r="CF205" s="2077"/>
      <c r="CG205" s="2077"/>
      <c r="CH205" s="2077"/>
      <c r="CI205" s="2077"/>
      <c r="CJ205" s="2077"/>
      <c r="CK205" s="2077"/>
      <c r="CL205" s="2077"/>
      <c r="CM205" s="2077"/>
      <c r="CN205" s="2077"/>
      <c r="CO205" s="2077"/>
      <c r="CP205" s="2077"/>
      <c r="CQ205" s="2077"/>
      <c r="CR205" s="2077"/>
      <c r="CS205" s="2077"/>
      <c r="CT205" s="2077"/>
      <c r="CU205" s="2077"/>
      <c r="CV205" s="2077"/>
      <c r="CW205" s="2077"/>
      <c r="CX205" s="2077" t="str">
        <f t="shared" si="326"/>
        <v/>
      </c>
      <c r="CY205" s="2077" t="str">
        <f t="shared" si="327"/>
        <v/>
      </c>
      <c r="CZ205" s="2077"/>
      <c r="DA205" s="2077"/>
      <c r="DB205" s="1363"/>
      <c r="DC205" s="1363"/>
      <c r="DD205" s="1363"/>
      <c r="DE205" s="1363"/>
      <c r="DF205" s="1363"/>
      <c r="DG205" s="1363"/>
      <c r="DH205" s="1363"/>
      <c r="DI205" s="1363"/>
      <c r="DJ205" s="1363"/>
      <c r="DK205" s="1363"/>
      <c r="DL205" s="1363"/>
      <c r="DM205" s="1363"/>
      <c r="DN205" s="1363"/>
      <c r="DO205" s="1363"/>
      <c r="DP205" s="1363"/>
      <c r="DQ205" s="1363"/>
      <c r="DR205" s="1363"/>
      <c r="DS205" s="1363"/>
      <c r="DT205" s="1363"/>
      <c r="DU205" s="1363"/>
      <c r="DV205" s="1363"/>
      <c r="DW205" s="1363"/>
      <c r="DX205" s="1363">
        <f t="shared" si="329"/>
        <v>0</v>
      </c>
      <c r="DY205" s="1363">
        <f t="shared" si="329"/>
        <v>0</v>
      </c>
    </row>
    <row r="206" spans="1:129" ht="16.350000000000001" customHeight="1" x14ac:dyDescent="0.25">
      <c r="A206" s="2458">
        <v>11055352</v>
      </c>
      <c r="B206" s="5958" t="s">
        <v>2314</v>
      </c>
      <c r="C206" s="5294"/>
      <c r="D206" s="1864" t="s">
        <v>2777</v>
      </c>
      <c r="E206" s="629" t="s">
        <v>2778</v>
      </c>
      <c r="F206" s="182" t="s">
        <v>2779</v>
      </c>
      <c r="G206" s="146" t="s">
        <v>2780</v>
      </c>
      <c r="H206" s="182" t="s">
        <v>2781</v>
      </c>
      <c r="I206" s="146" t="s">
        <v>2782</v>
      </c>
      <c r="J206" s="182" t="s">
        <v>2783</v>
      </c>
      <c r="K206" s="146" t="s">
        <v>2784</v>
      </c>
      <c r="L206" s="182" t="s">
        <v>2785</v>
      </c>
      <c r="M206" s="146" t="s">
        <v>2786</v>
      </c>
      <c r="N206" s="182" t="s">
        <v>2787</v>
      </c>
      <c r="O206" s="146" t="s">
        <v>2788</v>
      </c>
      <c r="P206" s="182" t="s">
        <v>2789</v>
      </c>
      <c r="Q206" s="146" t="s">
        <v>2790</v>
      </c>
      <c r="R206" s="182" t="s">
        <v>2791</v>
      </c>
      <c r="S206" s="146" t="s">
        <v>2792</v>
      </c>
      <c r="T206" s="182" t="s">
        <v>2793</v>
      </c>
      <c r="U206" s="146" t="s">
        <v>2794</v>
      </c>
      <c r="V206" s="182" t="s">
        <v>2795</v>
      </c>
      <c r="W206" s="146" t="s">
        <v>2796</v>
      </c>
      <c r="X206" s="182" t="s">
        <v>2797</v>
      </c>
      <c r="Y206" s="146" t="s">
        <v>2798</v>
      </c>
      <c r="Z206" s="182" t="s">
        <v>2799</v>
      </c>
      <c r="AA206" s="146" t="s">
        <v>2800</v>
      </c>
      <c r="AB206" s="182" t="s">
        <v>2801</v>
      </c>
      <c r="AC206" s="146" t="s">
        <v>2817</v>
      </c>
      <c r="AD206" s="182" t="s">
        <v>2818</v>
      </c>
      <c r="AE206" s="147" t="s">
        <v>2819</v>
      </c>
      <c r="AF206" s="182" t="s">
        <v>2821</v>
      </c>
      <c r="AG206" s="147" t="s">
        <v>2822</v>
      </c>
      <c r="AH206" s="182" t="s">
        <v>2823</v>
      </c>
      <c r="AI206" s="183" t="s">
        <v>2824</v>
      </c>
      <c r="AJ206" s="182" t="s">
        <v>2825</v>
      </c>
      <c r="AK206" s="146" t="s">
        <v>2826</v>
      </c>
      <c r="AL206" s="598" t="s">
        <v>2827</v>
      </c>
      <c r="AM206" s="240" t="s">
        <v>2831</v>
      </c>
      <c r="AN206" s="182" t="s">
        <v>2832</v>
      </c>
      <c r="AO206" s="655" t="s">
        <v>2833</v>
      </c>
      <c r="AP206" s="598" t="s">
        <v>2834</v>
      </c>
      <c r="AQ206" s="240" t="s">
        <v>3011</v>
      </c>
      <c r="AR206" s="144" t="s">
        <v>3012</v>
      </c>
      <c r="AS206" s="655" t="s">
        <v>3013</v>
      </c>
      <c r="AT206" s="598" t="s">
        <v>3014</v>
      </c>
      <c r="AU206" s="655" t="s">
        <v>3015</v>
      </c>
      <c r="AV206" s="598" t="s">
        <v>3206</v>
      </c>
      <c r="AW206" s="240" t="s">
        <v>3207</v>
      </c>
      <c r="AX206" s="598" t="s">
        <v>3272</v>
      </c>
      <c r="AY206" s="240" t="s">
        <v>3273</v>
      </c>
      <c r="AZ206" s="1079" t="str">
        <f t="shared" si="325"/>
        <v/>
      </c>
      <c r="BA206" s="1079"/>
      <c r="BB206" s="1079"/>
      <c r="BC206" s="1079"/>
      <c r="BD206" s="1079"/>
      <c r="BE206" s="1079"/>
      <c r="BF206" s="1079"/>
      <c r="BG206" s="1079"/>
      <c r="BH206" s="1079"/>
      <c r="BI206" s="884"/>
      <c r="BJ206" s="884"/>
      <c r="BK206" s="884"/>
      <c r="BL206" s="884"/>
      <c r="BS206" s="884"/>
      <c r="BT206" s="884"/>
      <c r="BU206" s="884"/>
      <c r="BV206" s="885"/>
      <c r="CB206" s="2077"/>
      <c r="CC206" s="2077"/>
      <c r="CD206" s="2077"/>
      <c r="CE206" s="2077"/>
      <c r="CF206" s="2077"/>
      <c r="CG206" s="2077"/>
      <c r="CH206" s="2077"/>
      <c r="CI206" s="2077"/>
      <c r="CJ206" s="2077"/>
      <c r="CK206" s="2077"/>
      <c r="CL206" s="2077"/>
      <c r="CM206" s="2077"/>
      <c r="CN206" s="2077"/>
      <c r="CO206" s="2077"/>
      <c r="CP206" s="2077"/>
      <c r="CQ206" s="2077"/>
      <c r="CR206" s="2077"/>
      <c r="CS206" s="2077"/>
      <c r="CT206" s="2077"/>
      <c r="CU206" s="2077"/>
      <c r="CV206" s="2077"/>
      <c r="CW206" s="2077"/>
      <c r="CX206" s="2077" t="str">
        <f t="shared" si="326"/>
        <v/>
      </c>
      <c r="CY206" s="2077" t="str">
        <f t="shared" si="327"/>
        <v/>
      </c>
      <c r="CZ206" s="2077"/>
      <c r="DA206" s="2077"/>
      <c r="DB206" s="1363"/>
      <c r="DC206" s="1363"/>
      <c r="DD206" s="1363"/>
      <c r="DE206" s="1363"/>
      <c r="DF206" s="1363"/>
      <c r="DG206" s="1363"/>
      <c r="DH206" s="1363"/>
      <c r="DI206" s="1363"/>
      <c r="DJ206" s="1363"/>
      <c r="DK206" s="1363"/>
      <c r="DL206" s="1363"/>
      <c r="DM206" s="1363"/>
      <c r="DN206" s="1363"/>
      <c r="DO206" s="1363"/>
      <c r="DP206" s="1363"/>
      <c r="DQ206" s="1363"/>
      <c r="DR206" s="1363"/>
      <c r="DS206" s="1363"/>
      <c r="DT206" s="1363"/>
      <c r="DU206" s="1363"/>
      <c r="DV206" s="1363"/>
      <c r="DW206" s="1363"/>
      <c r="DX206" s="1363">
        <f t="shared" si="329"/>
        <v>0</v>
      </c>
      <c r="DY206" s="1363">
        <f t="shared" si="329"/>
        <v>0</v>
      </c>
    </row>
    <row r="207" spans="1:129" ht="16.350000000000001" customHeight="1" x14ac:dyDescent="0.25">
      <c r="A207" s="2458">
        <v>11055353</v>
      </c>
      <c r="B207" s="5958" t="s">
        <v>2315</v>
      </c>
      <c r="C207" s="5294"/>
      <c r="D207" s="1864" t="s">
        <v>2777</v>
      </c>
      <c r="E207" s="629" t="s">
        <v>2778</v>
      </c>
      <c r="F207" s="182" t="s">
        <v>2779</v>
      </c>
      <c r="G207" s="146" t="s">
        <v>2780</v>
      </c>
      <c r="H207" s="182" t="s">
        <v>2781</v>
      </c>
      <c r="I207" s="146" t="s">
        <v>2782</v>
      </c>
      <c r="J207" s="182" t="s">
        <v>2783</v>
      </c>
      <c r="K207" s="146" t="s">
        <v>2784</v>
      </c>
      <c r="L207" s="182" t="s">
        <v>2785</v>
      </c>
      <c r="M207" s="146" t="s">
        <v>2786</v>
      </c>
      <c r="N207" s="182" t="s">
        <v>2787</v>
      </c>
      <c r="O207" s="146" t="s">
        <v>2788</v>
      </c>
      <c r="P207" s="182" t="s">
        <v>2789</v>
      </c>
      <c r="Q207" s="146" t="s">
        <v>2790</v>
      </c>
      <c r="R207" s="182" t="s">
        <v>2791</v>
      </c>
      <c r="S207" s="146" t="s">
        <v>2792</v>
      </c>
      <c r="T207" s="182" t="s">
        <v>2793</v>
      </c>
      <c r="U207" s="146" t="s">
        <v>2794</v>
      </c>
      <c r="V207" s="182" t="s">
        <v>2795</v>
      </c>
      <c r="W207" s="146" t="s">
        <v>2796</v>
      </c>
      <c r="X207" s="182" t="s">
        <v>2797</v>
      </c>
      <c r="Y207" s="146" t="s">
        <v>2798</v>
      </c>
      <c r="Z207" s="182" t="s">
        <v>2799</v>
      </c>
      <c r="AA207" s="146" t="s">
        <v>2800</v>
      </c>
      <c r="AB207" s="182" t="s">
        <v>2801</v>
      </c>
      <c r="AC207" s="146" t="s">
        <v>2817</v>
      </c>
      <c r="AD207" s="182" t="s">
        <v>2818</v>
      </c>
      <c r="AE207" s="147" t="s">
        <v>2819</v>
      </c>
      <c r="AF207" s="182" t="s">
        <v>2821</v>
      </c>
      <c r="AG207" s="147" t="s">
        <v>2822</v>
      </c>
      <c r="AH207" s="182" t="s">
        <v>2823</v>
      </c>
      <c r="AI207" s="183" t="s">
        <v>2824</v>
      </c>
      <c r="AJ207" s="182" t="s">
        <v>2825</v>
      </c>
      <c r="AK207" s="146" t="s">
        <v>2826</v>
      </c>
      <c r="AL207" s="598" t="s">
        <v>2827</v>
      </c>
      <c r="AM207" s="240" t="s">
        <v>2831</v>
      </c>
      <c r="AN207" s="182" t="s">
        <v>2832</v>
      </c>
      <c r="AO207" s="655" t="s">
        <v>2833</v>
      </c>
      <c r="AP207" s="598" t="s">
        <v>2834</v>
      </c>
      <c r="AQ207" s="240" t="s">
        <v>3011</v>
      </c>
      <c r="AR207" s="144" t="s">
        <v>3012</v>
      </c>
      <c r="AS207" s="655" t="s">
        <v>3013</v>
      </c>
      <c r="AT207" s="598" t="s">
        <v>3014</v>
      </c>
      <c r="AU207" s="655" t="s">
        <v>3015</v>
      </c>
      <c r="AV207" s="598" t="s">
        <v>3206</v>
      </c>
      <c r="AW207" s="240" t="s">
        <v>3207</v>
      </c>
      <c r="AX207" s="598" t="s">
        <v>3272</v>
      </c>
      <c r="AY207" s="240" t="s">
        <v>3273</v>
      </c>
      <c r="AZ207" s="1079" t="str">
        <f t="shared" si="325"/>
        <v/>
      </c>
      <c r="BA207" s="1079"/>
      <c r="BB207" s="1079"/>
      <c r="BC207" s="1079"/>
      <c r="BD207" s="1079"/>
      <c r="BE207" s="1079"/>
      <c r="BF207" s="1079"/>
      <c r="BG207" s="1079"/>
      <c r="BH207" s="1079"/>
      <c r="BI207" s="884"/>
      <c r="BJ207" s="884"/>
      <c r="BK207" s="884"/>
      <c r="BL207" s="884"/>
      <c r="BS207" s="884"/>
      <c r="BT207" s="884"/>
      <c r="BU207" s="884"/>
      <c r="BV207" s="885"/>
      <c r="CB207" s="2077"/>
      <c r="CC207" s="2077"/>
      <c r="CD207" s="2077"/>
      <c r="CE207" s="2077"/>
      <c r="CF207" s="2077"/>
      <c r="CG207" s="2077"/>
      <c r="CH207" s="2077"/>
      <c r="CI207" s="2077"/>
      <c r="CJ207" s="2077"/>
      <c r="CK207" s="2077"/>
      <c r="CL207" s="2077"/>
      <c r="CM207" s="2077"/>
      <c r="CN207" s="2077"/>
      <c r="CO207" s="2077"/>
      <c r="CP207" s="2077"/>
      <c r="CQ207" s="2077"/>
      <c r="CR207" s="2077"/>
      <c r="CS207" s="2077"/>
      <c r="CT207" s="2077"/>
      <c r="CU207" s="2077"/>
      <c r="CV207" s="2077"/>
      <c r="CW207" s="2077"/>
      <c r="CX207" s="2077" t="str">
        <f t="shared" si="326"/>
        <v/>
      </c>
      <c r="CY207" s="2077" t="str">
        <f t="shared" si="327"/>
        <v/>
      </c>
      <c r="CZ207" s="2077"/>
      <c r="DA207" s="2077"/>
      <c r="DB207" s="1363"/>
      <c r="DC207" s="1363"/>
      <c r="DD207" s="1363"/>
      <c r="DE207" s="1363"/>
      <c r="DF207" s="1363"/>
      <c r="DG207" s="1363"/>
      <c r="DH207" s="1363"/>
      <c r="DI207" s="1363"/>
      <c r="DJ207" s="1363"/>
      <c r="DK207" s="1363"/>
      <c r="DL207" s="1363"/>
      <c r="DM207" s="1363"/>
      <c r="DN207" s="1363"/>
      <c r="DO207" s="1363"/>
      <c r="DP207" s="1363"/>
      <c r="DQ207" s="1363"/>
      <c r="DR207" s="1363"/>
      <c r="DS207" s="1363"/>
      <c r="DT207" s="1363"/>
      <c r="DU207" s="1363"/>
      <c r="DV207" s="1363"/>
      <c r="DW207" s="1363"/>
      <c r="DX207" s="1363">
        <f t="shared" si="329"/>
        <v>0</v>
      </c>
      <c r="DY207" s="1363">
        <f t="shared" si="329"/>
        <v>0</v>
      </c>
    </row>
    <row r="208" spans="1:129" ht="16.350000000000001" customHeight="1" x14ac:dyDescent="0.25">
      <c r="A208" s="2458">
        <v>11055360</v>
      </c>
      <c r="B208" s="5958" t="s">
        <v>2316</v>
      </c>
      <c r="C208" s="5294"/>
      <c r="D208" s="1864" t="s">
        <v>2777</v>
      </c>
      <c r="E208" s="629" t="s">
        <v>2778</v>
      </c>
      <c r="F208" s="182" t="s">
        <v>2779</v>
      </c>
      <c r="G208" s="146" t="s">
        <v>2780</v>
      </c>
      <c r="H208" s="182" t="s">
        <v>2781</v>
      </c>
      <c r="I208" s="146" t="s">
        <v>2782</v>
      </c>
      <c r="J208" s="182" t="s">
        <v>2783</v>
      </c>
      <c r="K208" s="146" t="s">
        <v>2784</v>
      </c>
      <c r="L208" s="182" t="s">
        <v>2785</v>
      </c>
      <c r="M208" s="146" t="s">
        <v>2786</v>
      </c>
      <c r="N208" s="182" t="s">
        <v>2787</v>
      </c>
      <c r="O208" s="146" t="s">
        <v>2788</v>
      </c>
      <c r="P208" s="182" t="s">
        <v>2789</v>
      </c>
      <c r="Q208" s="146" t="s">
        <v>2790</v>
      </c>
      <c r="R208" s="182" t="s">
        <v>2791</v>
      </c>
      <c r="S208" s="146" t="s">
        <v>2792</v>
      </c>
      <c r="T208" s="182" t="s">
        <v>2793</v>
      </c>
      <c r="U208" s="146" t="s">
        <v>2794</v>
      </c>
      <c r="V208" s="182" t="s">
        <v>2795</v>
      </c>
      <c r="W208" s="146" t="s">
        <v>2796</v>
      </c>
      <c r="X208" s="182" t="s">
        <v>2797</v>
      </c>
      <c r="Y208" s="146" t="s">
        <v>2798</v>
      </c>
      <c r="Z208" s="182" t="s">
        <v>2799</v>
      </c>
      <c r="AA208" s="146" t="s">
        <v>2800</v>
      </c>
      <c r="AB208" s="182" t="s">
        <v>2801</v>
      </c>
      <c r="AC208" s="146" t="s">
        <v>2817</v>
      </c>
      <c r="AD208" s="182" t="s">
        <v>2818</v>
      </c>
      <c r="AE208" s="147" t="s">
        <v>2819</v>
      </c>
      <c r="AF208" s="182" t="s">
        <v>2821</v>
      </c>
      <c r="AG208" s="147" t="s">
        <v>2822</v>
      </c>
      <c r="AH208" s="182" t="s">
        <v>2823</v>
      </c>
      <c r="AI208" s="183" t="s">
        <v>2824</v>
      </c>
      <c r="AJ208" s="182" t="s">
        <v>2825</v>
      </c>
      <c r="AK208" s="146" t="s">
        <v>2826</v>
      </c>
      <c r="AL208" s="598" t="s">
        <v>2827</v>
      </c>
      <c r="AM208" s="240" t="s">
        <v>2831</v>
      </c>
      <c r="AN208" s="182" t="s">
        <v>2832</v>
      </c>
      <c r="AO208" s="655" t="s">
        <v>2833</v>
      </c>
      <c r="AP208" s="598" t="s">
        <v>2834</v>
      </c>
      <c r="AQ208" s="240" t="s">
        <v>3011</v>
      </c>
      <c r="AR208" s="144" t="s">
        <v>3012</v>
      </c>
      <c r="AS208" s="655" t="s">
        <v>3013</v>
      </c>
      <c r="AT208" s="598" t="s">
        <v>3014</v>
      </c>
      <c r="AU208" s="655" t="s">
        <v>3015</v>
      </c>
      <c r="AV208" s="598" t="s">
        <v>3206</v>
      </c>
      <c r="AW208" s="240" t="s">
        <v>3207</v>
      </c>
      <c r="AX208" s="598" t="s">
        <v>3272</v>
      </c>
      <c r="AY208" s="240" t="s">
        <v>3273</v>
      </c>
      <c r="AZ208" s="1079" t="str">
        <f t="shared" si="325"/>
        <v/>
      </c>
      <c r="BA208" s="1079"/>
      <c r="BB208" s="1079"/>
      <c r="BC208" s="1079"/>
      <c r="BD208" s="1079"/>
      <c r="BE208" s="1079"/>
      <c r="BF208" s="1079"/>
      <c r="BG208" s="1079"/>
      <c r="BH208" s="1079"/>
      <c r="BI208" s="884"/>
      <c r="BJ208" s="884"/>
      <c r="BK208" s="884"/>
      <c r="BL208" s="884"/>
      <c r="BS208" s="884"/>
      <c r="BT208" s="884"/>
      <c r="BU208" s="884"/>
      <c r="BV208" s="885"/>
      <c r="CB208" s="2077"/>
      <c r="CC208" s="2077"/>
      <c r="CD208" s="2077"/>
      <c r="CE208" s="2077"/>
      <c r="CF208" s="2077"/>
      <c r="CG208" s="2077"/>
      <c r="CH208" s="2077"/>
      <c r="CI208" s="2077"/>
      <c r="CJ208" s="2077"/>
      <c r="CK208" s="2077"/>
      <c r="CL208" s="2077"/>
      <c r="CM208" s="2077"/>
      <c r="CN208" s="2077"/>
      <c r="CO208" s="2077"/>
      <c r="CP208" s="2077"/>
      <c r="CQ208" s="2077"/>
      <c r="CR208" s="2077"/>
      <c r="CS208" s="2077"/>
      <c r="CT208" s="2077"/>
      <c r="CU208" s="2077"/>
      <c r="CV208" s="2077"/>
      <c r="CW208" s="2077"/>
      <c r="CX208" s="2077" t="str">
        <f t="shared" si="326"/>
        <v/>
      </c>
      <c r="CY208" s="2077" t="str">
        <f t="shared" si="327"/>
        <v/>
      </c>
      <c r="CZ208" s="2077"/>
      <c r="DA208" s="2077"/>
      <c r="DB208" s="1363"/>
      <c r="DC208" s="1363"/>
      <c r="DD208" s="1363"/>
      <c r="DE208" s="1363"/>
      <c r="DF208" s="1363"/>
      <c r="DG208" s="1363"/>
      <c r="DH208" s="1363"/>
      <c r="DI208" s="1363"/>
      <c r="DJ208" s="1363"/>
      <c r="DK208" s="1363"/>
      <c r="DL208" s="1363"/>
      <c r="DM208" s="1363"/>
      <c r="DN208" s="1363"/>
      <c r="DO208" s="1363"/>
      <c r="DP208" s="1363"/>
      <c r="DQ208" s="1363"/>
      <c r="DR208" s="1363"/>
      <c r="DS208" s="1363"/>
      <c r="DT208" s="1363"/>
      <c r="DU208" s="1363"/>
      <c r="DV208" s="1363"/>
      <c r="DW208" s="1363"/>
      <c r="DX208" s="1363">
        <f t="shared" si="329"/>
        <v>0</v>
      </c>
      <c r="DY208" s="1363">
        <f t="shared" si="329"/>
        <v>0</v>
      </c>
    </row>
    <row r="209" spans="1:131" ht="16.350000000000001" customHeight="1" x14ac:dyDescent="0.25">
      <c r="A209" s="2458">
        <v>11055370</v>
      </c>
      <c r="B209" s="5561" t="s">
        <v>2317</v>
      </c>
      <c r="C209" s="5286"/>
      <c r="D209" s="1866" t="s">
        <v>2777</v>
      </c>
      <c r="E209" s="1867" t="s">
        <v>2778</v>
      </c>
      <c r="F209" s="166" t="s">
        <v>2779</v>
      </c>
      <c r="G209" s="102" t="s">
        <v>2780</v>
      </c>
      <c r="H209" s="166" t="s">
        <v>2781</v>
      </c>
      <c r="I209" s="102" t="s">
        <v>2782</v>
      </c>
      <c r="J209" s="166" t="s">
        <v>2783</v>
      </c>
      <c r="K209" s="102" t="s">
        <v>2784</v>
      </c>
      <c r="L209" s="166" t="s">
        <v>2785</v>
      </c>
      <c r="M209" s="102" t="s">
        <v>2786</v>
      </c>
      <c r="N209" s="166" t="s">
        <v>2787</v>
      </c>
      <c r="O209" s="125" t="s">
        <v>2788</v>
      </c>
      <c r="P209" s="166" t="s">
        <v>2789</v>
      </c>
      <c r="Q209" s="102" t="s">
        <v>2790</v>
      </c>
      <c r="R209" s="166" t="s">
        <v>2791</v>
      </c>
      <c r="S209" s="102" t="s">
        <v>2792</v>
      </c>
      <c r="T209" s="166" t="s">
        <v>2793</v>
      </c>
      <c r="U209" s="102" t="s">
        <v>2794</v>
      </c>
      <c r="V209" s="166" t="s">
        <v>2795</v>
      </c>
      <c r="W209" s="102" t="s">
        <v>2796</v>
      </c>
      <c r="X209" s="166" t="s">
        <v>2797</v>
      </c>
      <c r="Y209" s="102" t="s">
        <v>2798</v>
      </c>
      <c r="Z209" s="166" t="s">
        <v>2799</v>
      </c>
      <c r="AA209" s="102" t="s">
        <v>2800</v>
      </c>
      <c r="AB209" s="166" t="s">
        <v>2801</v>
      </c>
      <c r="AC209" s="102" t="s">
        <v>2817</v>
      </c>
      <c r="AD209" s="166" t="s">
        <v>2818</v>
      </c>
      <c r="AE209" s="270" t="s">
        <v>2819</v>
      </c>
      <c r="AF209" s="166" t="s">
        <v>2821</v>
      </c>
      <c r="AG209" s="270" t="s">
        <v>2822</v>
      </c>
      <c r="AH209" s="166" t="s">
        <v>2823</v>
      </c>
      <c r="AI209" s="125" t="s">
        <v>2824</v>
      </c>
      <c r="AJ209" s="166" t="s">
        <v>2825</v>
      </c>
      <c r="AK209" s="102" t="s">
        <v>2826</v>
      </c>
      <c r="AL209" s="635" t="s">
        <v>2827</v>
      </c>
      <c r="AM209" s="168" t="s">
        <v>2831</v>
      </c>
      <c r="AN209" s="166" t="s">
        <v>2832</v>
      </c>
      <c r="AO209" s="533" t="s">
        <v>2833</v>
      </c>
      <c r="AP209" s="635" t="s">
        <v>2834</v>
      </c>
      <c r="AQ209" s="168" t="s">
        <v>3011</v>
      </c>
      <c r="AR209" s="126" t="s">
        <v>3012</v>
      </c>
      <c r="AS209" s="533" t="s">
        <v>3013</v>
      </c>
      <c r="AT209" s="635" t="s">
        <v>3014</v>
      </c>
      <c r="AU209" s="533" t="s">
        <v>3015</v>
      </c>
      <c r="AV209" s="635" t="s">
        <v>3206</v>
      </c>
      <c r="AW209" s="168" t="s">
        <v>3207</v>
      </c>
      <c r="AX209" s="635" t="s">
        <v>3272</v>
      </c>
      <c r="AY209" s="168" t="s">
        <v>3273</v>
      </c>
      <c r="AZ209" s="1079" t="str">
        <f t="shared" si="325"/>
        <v/>
      </c>
      <c r="BA209" s="1079"/>
      <c r="BB209" s="1079"/>
      <c r="BC209" s="1079"/>
      <c r="BD209" s="1079"/>
      <c r="BE209" s="1079"/>
      <c r="BF209" s="1079"/>
      <c r="BG209" s="1079"/>
      <c r="BH209" s="1079"/>
      <c r="BI209" s="884"/>
      <c r="BJ209" s="884"/>
      <c r="BK209" s="884"/>
      <c r="BL209" s="884"/>
      <c r="BS209" s="884"/>
      <c r="BT209" s="884"/>
      <c r="BU209" s="884"/>
      <c r="BV209" s="885"/>
      <c r="CB209" s="2077"/>
      <c r="CC209" s="2077"/>
      <c r="CD209" s="2077"/>
      <c r="CE209" s="2077"/>
      <c r="CF209" s="2077"/>
      <c r="CG209" s="2077"/>
      <c r="CH209" s="2077"/>
      <c r="CI209" s="2077"/>
      <c r="CJ209" s="2077"/>
      <c r="CK209" s="2077"/>
      <c r="CL209" s="2077"/>
      <c r="CM209" s="2077"/>
      <c r="CN209" s="2077"/>
      <c r="CO209" s="2077"/>
      <c r="CP209" s="2077"/>
      <c r="CQ209" s="2077"/>
      <c r="CR209" s="2077"/>
      <c r="CS209" s="2077"/>
      <c r="CT209" s="2077"/>
      <c r="CU209" s="2077"/>
      <c r="CV209" s="2077"/>
      <c r="CW209" s="2077"/>
      <c r="CX209" s="2077" t="str">
        <f t="shared" si="326"/>
        <v/>
      </c>
      <c r="CY209" s="2077" t="str">
        <f t="shared" si="327"/>
        <v/>
      </c>
      <c r="CZ209" s="2077"/>
      <c r="DA209" s="2077"/>
      <c r="DB209" s="1363"/>
      <c r="DC209" s="1363"/>
      <c r="DD209" s="1363"/>
      <c r="DE209" s="1363"/>
      <c r="DF209" s="1363"/>
      <c r="DG209" s="1363"/>
      <c r="DH209" s="1363"/>
      <c r="DI209" s="1363"/>
      <c r="DJ209" s="1363"/>
      <c r="DK209" s="1363"/>
      <c r="DL209" s="1363"/>
      <c r="DM209" s="1363"/>
      <c r="DN209" s="1363"/>
      <c r="DO209" s="1363"/>
      <c r="DP209" s="1363"/>
      <c r="DQ209" s="1363"/>
      <c r="DR209" s="1363"/>
      <c r="DS209" s="1363"/>
      <c r="DT209" s="1363"/>
      <c r="DU209" s="1363"/>
      <c r="DV209" s="1363"/>
      <c r="DW209" s="1363"/>
      <c r="DX209" s="1363">
        <f t="shared" si="329"/>
        <v>0</v>
      </c>
      <c r="DY209" s="1363">
        <f t="shared" si="329"/>
        <v>0</v>
      </c>
    </row>
    <row r="210" spans="1:131" ht="32.1" customHeight="1" x14ac:dyDescent="0.25">
      <c r="B210" s="3098" t="s">
        <v>2319</v>
      </c>
      <c r="C210" s="2053"/>
      <c r="D210" s="2053"/>
      <c r="E210" s="2053"/>
      <c r="F210" s="2082"/>
      <c r="G210" s="2082"/>
      <c r="H210" s="2082"/>
      <c r="BA210" s="884"/>
      <c r="BB210" s="884"/>
      <c r="BC210" s="884"/>
      <c r="BD210" s="884"/>
      <c r="BE210" s="884"/>
      <c r="BF210" s="884"/>
      <c r="BG210" s="884"/>
      <c r="BH210" s="884"/>
      <c r="BI210" s="884"/>
      <c r="BJ210" s="884"/>
      <c r="BK210" s="884"/>
      <c r="BL210" s="884"/>
      <c r="BM210" s="884"/>
      <c r="BN210" s="884"/>
      <c r="BO210" s="884"/>
      <c r="BP210" s="884"/>
    </row>
    <row r="211" spans="1:131" ht="78.75" customHeight="1" x14ac:dyDescent="0.25">
      <c r="B211" s="1903" t="s">
        <v>2320</v>
      </c>
      <c r="C211" s="1911" t="s">
        <v>2321</v>
      </c>
      <c r="D211" s="1744" t="s">
        <v>2322</v>
      </c>
      <c r="E211" s="2036" t="s">
        <v>2323</v>
      </c>
      <c r="AR211" s="783"/>
      <c r="AS211" s="783"/>
      <c r="AU211" s="210"/>
      <c r="AV211" s="210"/>
      <c r="AX211" s="884"/>
      <c r="AY211" s="884"/>
      <c r="AZ211" s="884"/>
      <c r="BA211" s="884"/>
      <c r="BB211" s="884"/>
      <c r="BC211" s="884"/>
      <c r="BD211" s="884"/>
      <c r="BE211" s="884"/>
      <c r="BF211" s="884"/>
      <c r="BG211" s="884"/>
      <c r="BH211" s="884"/>
      <c r="BI211" s="884"/>
      <c r="BJ211" s="884"/>
      <c r="BK211" s="884"/>
      <c r="BL211" s="884"/>
      <c r="BM211" s="884"/>
      <c r="BT211" s="884"/>
      <c r="BU211" s="884"/>
      <c r="BV211" s="885"/>
    </row>
    <row r="212" spans="1:131" ht="23.25" customHeight="1" x14ac:dyDescent="0.25">
      <c r="A212" s="2458">
        <v>11056000</v>
      </c>
      <c r="B212" s="1919" t="s">
        <v>2324</v>
      </c>
      <c r="C212" s="1680" t="s">
        <v>2777</v>
      </c>
      <c r="D212" s="268" t="s">
        <v>2778</v>
      </c>
      <c r="E212" s="123" t="s">
        <v>2779</v>
      </c>
      <c r="F212" s="1459"/>
      <c r="G212" s="1459"/>
      <c r="AR212" s="783"/>
      <c r="AS212" s="783"/>
      <c r="AU212" s="210"/>
      <c r="AV212" s="210"/>
      <c r="BT212" s="884"/>
      <c r="BU212" s="884"/>
      <c r="BV212" s="885"/>
    </row>
    <row r="213" spans="1:131" ht="25.35" customHeight="1" x14ac:dyDescent="0.25">
      <c r="A213" s="2458">
        <v>11056100</v>
      </c>
      <c r="B213" s="1894" t="s">
        <v>2325</v>
      </c>
      <c r="C213" s="224" t="s">
        <v>2777</v>
      </c>
      <c r="D213" s="247" t="s">
        <v>2778</v>
      </c>
      <c r="E213" s="163" t="s">
        <v>2779</v>
      </c>
      <c r="F213" s="1459"/>
      <c r="G213" s="1459"/>
      <c r="AP213" s="884"/>
      <c r="AQ213" s="884"/>
      <c r="AR213" s="2054"/>
      <c r="AS213" s="2054"/>
      <c r="AT213" s="884"/>
      <c r="AU213" s="884"/>
      <c r="AV213" s="884"/>
      <c r="AW213" s="884"/>
      <c r="AX213" s="884"/>
      <c r="AY213" s="884"/>
      <c r="AZ213" s="884"/>
      <c r="BA213" s="884"/>
      <c r="BB213" s="884"/>
      <c r="BC213" s="884"/>
      <c r="BD213" s="884"/>
      <c r="BE213" s="884"/>
      <c r="BT213" s="884"/>
      <c r="BU213" s="884"/>
      <c r="BV213" s="885"/>
    </row>
    <row r="214" spans="1:131" ht="25.35" customHeight="1" x14ac:dyDescent="0.25">
      <c r="A214" s="2458">
        <v>11056200</v>
      </c>
      <c r="B214" s="1894" t="s">
        <v>2326</v>
      </c>
      <c r="C214" s="224" t="s">
        <v>2777</v>
      </c>
      <c r="D214" s="247" t="s">
        <v>2778</v>
      </c>
      <c r="E214" s="162" t="s">
        <v>2779</v>
      </c>
      <c r="F214" s="1459"/>
      <c r="G214" s="1459"/>
      <c r="AP214" s="884"/>
      <c r="AQ214" s="884"/>
      <c r="AR214" s="2054"/>
      <c r="AS214" s="2054"/>
      <c r="AT214" s="884"/>
      <c r="AU214" s="884"/>
      <c r="AV214" s="884"/>
      <c r="AW214" s="884"/>
      <c r="AX214" s="884"/>
      <c r="AY214" s="884"/>
      <c r="AZ214" s="884"/>
      <c r="BA214" s="884"/>
      <c r="BB214" s="884"/>
      <c r="BC214" s="884"/>
      <c r="BD214" s="884"/>
      <c r="BE214" s="884"/>
      <c r="BT214" s="884"/>
      <c r="BU214" s="884"/>
      <c r="BV214" s="885"/>
    </row>
    <row r="215" spans="1:131" ht="26.25" customHeight="1" x14ac:dyDescent="0.25">
      <c r="A215" s="2458">
        <v>11056300</v>
      </c>
      <c r="B215" s="1932" t="s">
        <v>2327</v>
      </c>
      <c r="C215" s="227" t="s">
        <v>2777</v>
      </c>
      <c r="D215" s="270" t="s">
        <v>2778</v>
      </c>
      <c r="E215" s="125" t="s">
        <v>2779</v>
      </c>
      <c r="F215" s="1459"/>
      <c r="G215" s="1459"/>
      <c r="AP215" s="884"/>
      <c r="AQ215" s="884"/>
      <c r="AR215" s="2054"/>
      <c r="AS215" s="2054"/>
      <c r="AT215" s="884"/>
      <c r="AU215" s="884"/>
      <c r="AV215" s="884"/>
      <c r="AW215" s="884"/>
      <c r="AX215" s="884"/>
      <c r="AY215" s="884"/>
      <c r="AZ215" s="884"/>
      <c r="BA215" s="884"/>
      <c r="BB215" s="884"/>
      <c r="BC215" s="884"/>
      <c r="BD215" s="884"/>
      <c r="BE215" s="884"/>
      <c r="BT215" s="884"/>
      <c r="BU215" s="884"/>
      <c r="BV215" s="885"/>
    </row>
    <row r="216" spans="1:131" s="783" customFormat="1" ht="32.1" customHeight="1" x14ac:dyDescent="0.25">
      <c r="B216" s="2083" t="s">
        <v>2328</v>
      </c>
      <c r="Q216" s="2055"/>
      <c r="AM216" s="2056"/>
      <c r="AN216" s="2056"/>
      <c r="AQ216" s="2055"/>
      <c r="AS216" s="2054"/>
      <c r="AT216" s="2054"/>
      <c r="AU216" s="2054"/>
      <c r="AV216" s="2054"/>
      <c r="AW216" s="2054"/>
      <c r="AX216" s="2054"/>
      <c r="AY216" s="2054"/>
      <c r="AZ216" s="2054"/>
      <c r="BA216" s="2054"/>
      <c r="BB216" s="2054"/>
      <c r="BC216" s="2054"/>
      <c r="BD216" s="2054"/>
      <c r="BE216" s="2054"/>
      <c r="BF216" s="2054"/>
      <c r="BG216" s="2054"/>
      <c r="BH216" s="2054"/>
      <c r="BW216" s="884"/>
      <c r="BX216" s="884"/>
      <c r="BY216" s="885"/>
      <c r="BZ216" s="885"/>
      <c r="CA216" s="885"/>
      <c r="CB216" s="2024"/>
      <c r="CC216" s="2024"/>
      <c r="CD216" s="2024"/>
      <c r="CE216" s="2024"/>
      <c r="CF216" s="2024"/>
      <c r="CG216" s="2024"/>
      <c r="CH216" s="2024"/>
      <c r="CI216" s="2024"/>
      <c r="CJ216" s="2024"/>
      <c r="CK216" s="2024"/>
      <c r="CL216" s="2024"/>
      <c r="CM216" s="2024"/>
      <c r="CN216" s="2024"/>
      <c r="CO216" s="2024"/>
      <c r="CP216" s="2024"/>
      <c r="CQ216" s="2024"/>
      <c r="CR216" s="2024"/>
      <c r="CS216" s="2024"/>
      <c r="CT216" s="2024"/>
      <c r="CU216" s="2024"/>
      <c r="CV216" s="2024"/>
      <c r="CW216" s="2024"/>
      <c r="CX216" s="2024"/>
      <c r="CY216" s="2024"/>
      <c r="CZ216" s="2024"/>
      <c r="DA216" s="2024"/>
      <c r="DB216" s="1346"/>
      <c r="DC216" s="1346"/>
      <c r="DD216" s="1346"/>
      <c r="DE216" s="1346"/>
      <c r="DF216" s="1346"/>
      <c r="DG216" s="1346"/>
      <c r="DH216" s="1346"/>
      <c r="DI216" s="1346"/>
      <c r="DJ216" s="1346"/>
      <c r="DK216" s="1346"/>
      <c r="DL216" s="1346"/>
      <c r="DM216" s="1346"/>
      <c r="DN216" s="1346"/>
      <c r="DO216" s="1346"/>
      <c r="DP216" s="1346"/>
      <c r="DQ216" s="1346"/>
      <c r="DR216" s="1346"/>
      <c r="DS216" s="1346"/>
      <c r="DT216" s="1346"/>
      <c r="DU216" s="1346"/>
      <c r="DV216" s="1346"/>
      <c r="DW216" s="1346"/>
      <c r="DX216" s="1346"/>
      <c r="DY216" s="1346"/>
      <c r="DZ216" s="1346"/>
      <c r="EA216" s="1346"/>
    </row>
    <row r="217" spans="1:131" s="783" customFormat="1" ht="25.35" customHeight="1" x14ac:dyDescent="0.25">
      <c r="B217" s="6295" t="s">
        <v>2284</v>
      </c>
      <c r="C217" s="6272" t="s">
        <v>42</v>
      </c>
      <c r="D217" s="6272"/>
      <c r="E217" s="6272" t="s">
        <v>1865</v>
      </c>
      <c r="F217" s="6272"/>
      <c r="G217" s="6272"/>
      <c r="H217" s="6272"/>
      <c r="I217" s="6272"/>
      <c r="J217" s="6272"/>
      <c r="K217" s="6272"/>
      <c r="L217" s="6272"/>
      <c r="M217" s="6272"/>
      <c r="N217" s="6272"/>
      <c r="O217" s="6272"/>
      <c r="P217" s="6272"/>
      <c r="Q217" s="6272"/>
      <c r="R217" s="6272"/>
      <c r="S217" s="6272"/>
      <c r="T217" s="6272"/>
      <c r="U217" s="6272"/>
      <c r="V217" s="6272"/>
      <c r="W217" s="6272"/>
      <c r="X217" s="6272"/>
      <c r="Y217" s="6272"/>
      <c r="Z217" s="6272"/>
      <c r="AA217" s="6272"/>
      <c r="AB217" s="6272"/>
      <c r="AC217" s="6272"/>
      <c r="AD217" s="6272"/>
      <c r="AE217" s="6272"/>
      <c r="AF217" s="6272"/>
      <c r="AG217" s="6272"/>
      <c r="AH217" s="6272"/>
      <c r="AI217" s="6272"/>
      <c r="AJ217" s="6272"/>
      <c r="AK217" s="6272"/>
      <c r="AL217" s="6275"/>
      <c r="AM217" s="6269" t="s">
        <v>2256</v>
      </c>
      <c r="AN217" s="6270"/>
      <c r="AO217" s="5540" t="s">
        <v>411</v>
      </c>
      <c r="AP217" s="5167"/>
      <c r="AQ217" s="6271" t="s">
        <v>1359</v>
      </c>
      <c r="AR217" s="6271" t="s">
        <v>1358</v>
      </c>
      <c r="AS217" s="2054"/>
      <c r="AT217" s="2054"/>
      <c r="AU217" s="2054"/>
      <c r="AV217" s="2054"/>
      <c r="AW217" s="2054"/>
      <c r="AX217" s="2054"/>
      <c r="AY217" s="2054"/>
      <c r="AZ217" s="2054"/>
      <c r="BA217" s="2054"/>
      <c r="BB217" s="2054"/>
      <c r="BC217" s="2054"/>
      <c r="BD217" s="2054"/>
      <c r="BE217" s="2054"/>
      <c r="BF217" s="2054"/>
      <c r="BG217" s="2054"/>
      <c r="BH217" s="2054"/>
      <c r="BW217" s="884"/>
      <c r="BX217" s="884"/>
      <c r="BY217" s="885"/>
      <c r="BZ217" s="885"/>
      <c r="CA217" s="885"/>
      <c r="CB217" s="2024"/>
      <c r="CC217" s="2024"/>
      <c r="CD217" s="2024"/>
      <c r="CE217" s="2024"/>
      <c r="CF217" s="2024"/>
      <c r="CG217" s="2024"/>
      <c r="CH217" s="2024"/>
      <c r="CI217" s="2024"/>
      <c r="CJ217" s="2024"/>
      <c r="CK217" s="2024"/>
      <c r="CL217" s="2024"/>
      <c r="CM217" s="2024"/>
      <c r="CN217" s="2024"/>
      <c r="CO217" s="2024"/>
      <c r="CP217" s="2024"/>
      <c r="CQ217" s="2024"/>
      <c r="CR217" s="2024"/>
      <c r="CS217" s="2024"/>
      <c r="CT217" s="2024"/>
      <c r="CU217" s="2024"/>
      <c r="CV217" s="2024"/>
      <c r="CW217" s="2024"/>
      <c r="CX217" s="2024"/>
      <c r="CY217" s="2024"/>
      <c r="CZ217" s="2024"/>
      <c r="DA217" s="2024"/>
      <c r="DB217" s="1346"/>
      <c r="DC217" s="1346"/>
      <c r="DD217" s="1346"/>
      <c r="DE217" s="1346"/>
      <c r="DF217" s="1346"/>
      <c r="DG217" s="1346"/>
      <c r="DH217" s="1346"/>
      <c r="DI217" s="1346"/>
      <c r="DJ217" s="1346"/>
      <c r="DK217" s="1346"/>
      <c r="DL217" s="1346"/>
      <c r="DM217" s="1346"/>
      <c r="DN217" s="1346"/>
      <c r="DO217" s="1346"/>
      <c r="DP217" s="1346"/>
      <c r="DQ217" s="1346"/>
      <c r="DR217" s="1346"/>
      <c r="DS217" s="1346"/>
      <c r="DT217" s="1346"/>
      <c r="DU217" s="1346"/>
      <c r="DV217" s="1346"/>
      <c r="DW217" s="1346"/>
      <c r="DX217" s="1346"/>
      <c r="DY217" s="1346"/>
      <c r="DZ217" s="1346"/>
      <c r="EA217" s="1346"/>
    </row>
    <row r="218" spans="1:131" s="783" customFormat="1" ht="16.350000000000001" customHeight="1" x14ac:dyDescent="0.25">
      <c r="B218" s="6296"/>
      <c r="C218" s="6272"/>
      <c r="D218" s="6272"/>
      <c r="E218" s="6272" t="s">
        <v>650</v>
      </c>
      <c r="F218" s="6272"/>
      <c r="G218" s="6272" t="s">
        <v>124</v>
      </c>
      <c r="H218" s="6272"/>
      <c r="I218" s="6272" t="s">
        <v>125</v>
      </c>
      <c r="J218" s="6272"/>
      <c r="K218" s="6272" t="s">
        <v>126</v>
      </c>
      <c r="L218" s="6272"/>
      <c r="M218" s="6272" t="s">
        <v>167</v>
      </c>
      <c r="N218" s="6272"/>
      <c r="O218" s="6272" t="s">
        <v>651</v>
      </c>
      <c r="P218" s="6272"/>
      <c r="Q218" s="6272" t="s">
        <v>652</v>
      </c>
      <c r="R218" s="6272"/>
      <c r="S218" s="6272" t="s">
        <v>653</v>
      </c>
      <c r="T218" s="6272"/>
      <c r="U218" s="6272" t="s">
        <v>654</v>
      </c>
      <c r="V218" s="6272"/>
      <c r="W218" s="6272" t="s">
        <v>655</v>
      </c>
      <c r="X218" s="6272"/>
      <c r="Y218" s="6272" t="s">
        <v>656</v>
      </c>
      <c r="Z218" s="6272"/>
      <c r="AA218" s="6272" t="s">
        <v>657</v>
      </c>
      <c r="AB218" s="6272"/>
      <c r="AC218" s="6272" t="s">
        <v>263</v>
      </c>
      <c r="AD218" s="6272"/>
      <c r="AE218" s="6272" t="s">
        <v>248</v>
      </c>
      <c r="AF218" s="6272"/>
      <c r="AG218" s="6272" t="s">
        <v>264</v>
      </c>
      <c r="AH218" s="6272"/>
      <c r="AI218" s="6272" t="s">
        <v>265</v>
      </c>
      <c r="AJ218" s="6272"/>
      <c r="AK218" s="6272" t="s">
        <v>250</v>
      </c>
      <c r="AL218" s="6275"/>
      <c r="AM218" s="6273" t="s">
        <v>24</v>
      </c>
      <c r="AN218" s="6274" t="s">
        <v>25</v>
      </c>
      <c r="AO218" s="6220" t="s">
        <v>1350</v>
      </c>
      <c r="AP218" s="5123" t="s">
        <v>1351</v>
      </c>
      <c r="AQ218" s="6271"/>
      <c r="AR218" s="6271"/>
      <c r="AS218" s="2035"/>
      <c r="AT218" s="2035"/>
      <c r="AU218" s="2054"/>
      <c r="AV218" s="2054"/>
      <c r="AW218" s="2054"/>
      <c r="AX218" s="2054"/>
      <c r="AY218" s="2054"/>
      <c r="AZ218" s="2054"/>
      <c r="BA218" s="2054"/>
      <c r="BB218" s="2054"/>
      <c r="BC218" s="2054"/>
      <c r="BD218" s="2054"/>
      <c r="BE218" s="2054"/>
      <c r="BF218" s="2054"/>
      <c r="BG218" s="2054"/>
      <c r="BH218" s="2054"/>
      <c r="BW218" s="884"/>
      <c r="BX218" s="884"/>
      <c r="BY218" s="885"/>
      <c r="BZ218" s="885"/>
      <c r="CA218" s="885"/>
      <c r="CB218" s="2024"/>
      <c r="CC218" s="2024"/>
      <c r="CD218" s="2024"/>
      <c r="CE218" s="2024"/>
      <c r="CF218" s="2024"/>
      <c r="CG218" s="2024"/>
      <c r="CH218" s="2024"/>
      <c r="CI218" s="2024"/>
      <c r="CJ218" s="2024"/>
      <c r="CK218" s="2024"/>
      <c r="CL218" s="2024"/>
      <c r="CM218" s="2024"/>
      <c r="CN218" s="2024"/>
      <c r="CO218" s="2024"/>
      <c r="CP218" s="2024"/>
      <c r="CQ218" s="2024"/>
      <c r="CR218" s="2024"/>
      <c r="CS218" s="2024"/>
      <c r="CT218" s="2024"/>
      <c r="CU218" s="2024"/>
      <c r="CV218" s="2024"/>
      <c r="CW218" s="2024"/>
      <c r="CX218" s="2024"/>
      <c r="CY218" s="2024"/>
      <c r="CZ218" s="2024"/>
      <c r="DA218" s="2024"/>
      <c r="DB218" s="1346"/>
      <c r="DC218" s="1346"/>
      <c r="DD218" s="1346"/>
      <c r="DE218" s="1346"/>
      <c r="DF218" s="1346"/>
      <c r="DG218" s="1346"/>
      <c r="DH218" s="1346"/>
      <c r="DI218" s="1346"/>
      <c r="DJ218" s="1346"/>
      <c r="DK218" s="1346"/>
      <c r="DL218" s="1346"/>
      <c r="DM218" s="1346"/>
      <c r="DN218" s="1346"/>
      <c r="DO218" s="1346"/>
      <c r="DP218" s="1346"/>
      <c r="DQ218" s="1346"/>
      <c r="DR218" s="1346"/>
      <c r="DS218" s="1346"/>
      <c r="DT218" s="1346"/>
      <c r="DU218" s="1346"/>
      <c r="DV218" s="1346"/>
      <c r="DW218" s="1346"/>
      <c r="DX218" s="1346"/>
      <c r="DY218" s="1346"/>
      <c r="DZ218" s="1346"/>
      <c r="EA218" s="1346"/>
    </row>
    <row r="219" spans="1:131" s="783" customFormat="1" ht="16.350000000000001" customHeight="1" x14ac:dyDescent="0.25">
      <c r="B219" s="6297"/>
      <c r="C219" s="2057" t="s">
        <v>2257</v>
      </c>
      <c r="D219" s="2058" t="s">
        <v>2258</v>
      </c>
      <c r="E219" s="2059" t="s">
        <v>2257</v>
      </c>
      <c r="F219" s="2060" t="s">
        <v>2258</v>
      </c>
      <c r="G219" s="2059" t="s">
        <v>2257</v>
      </c>
      <c r="H219" s="2060" t="s">
        <v>2258</v>
      </c>
      <c r="I219" s="2059" t="s">
        <v>2257</v>
      </c>
      <c r="J219" s="2060" t="s">
        <v>2258</v>
      </c>
      <c r="K219" s="2059" t="s">
        <v>2257</v>
      </c>
      <c r="L219" s="2060" t="s">
        <v>2258</v>
      </c>
      <c r="M219" s="2059" t="s">
        <v>2257</v>
      </c>
      <c r="N219" s="2060" t="s">
        <v>2258</v>
      </c>
      <c r="O219" s="2059" t="s">
        <v>2257</v>
      </c>
      <c r="P219" s="2060" t="s">
        <v>2258</v>
      </c>
      <c r="Q219" s="2059" t="s">
        <v>2257</v>
      </c>
      <c r="R219" s="2060" t="s">
        <v>2258</v>
      </c>
      <c r="S219" s="2059" t="s">
        <v>2257</v>
      </c>
      <c r="T219" s="2060" t="s">
        <v>2258</v>
      </c>
      <c r="U219" s="2059" t="s">
        <v>2257</v>
      </c>
      <c r="V219" s="2060" t="s">
        <v>2258</v>
      </c>
      <c r="W219" s="2059" t="s">
        <v>2257</v>
      </c>
      <c r="X219" s="2060" t="s">
        <v>2258</v>
      </c>
      <c r="Y219" s="2059" t="s">
        <v>2257</v>
      </c>
      <c r="Z219" s="2060" t="s">
        <v>2258</v>
      </c>
      <c r="AA219" s="2059" t="s">
        <v>2257</v>
      </c>
      <c r="AB219" s="2060" t="s">
        <v>2258</v>
      </c>
      <c r="AC219" s="2059" t="s">
        <v>2257</v>
      </c>
      <c r="AD219" s="2060" t="s">
        <v>2258</v>
      </c>
      <c r="AE219" s="2059" t="s">
        <v>2257</v>
      </c>
      <c r="AF219" s="2060" t="s">
        <v>2258</v>
      </c>
      <c r="AG219" s="2059" t="s">
        <v>2257</v>
      </c>
      <c r="AH219" s="2060" t="s">
        <v>2258</v>
      </c>
      <c r="AI219" s="2059" t="s">
        <v>2257</v>
      </c>
      <c r="AJ219" s="2060" t="s">
        <v>2258</v>
      </c>
      <c r="AK219" s="2059" t="s">
        <v>2257</v>
      </c>
      <c r="AL219" s="2061" t="s">
        <v>2258</v>
      </c>
      <c r="AM219" s="6273"/>
      <c r="AN219" s="6274"/>
      <c r="AO219" s="6221"/>
      <c r="AP219" s="5403"/>
      <c r="AQ219" s="6271"/>
      <c r="AR219" s="6271"/>
      <c r="AS219" s="2035"/>
      <c r="AT219" s="2035"/>
      <c r="AU219" s="2054"/>
      <c r="AV219" s="2054"/>
      <c r="AW219" s="2054"/>
      <c r="AX219" s="2054"/>
      <c r="AY219" s="2054"/>
      <c r="AZ219" s="2054"/>
      <c r="BA219" s="2054"/>
      <c r="BB219" s="2054"/>
      <c r="BC219" s="2054"/>
      <c r="BD219" s="2054"/>
      <c r="BE219" s="2054"/>
      <c r="BF219" s="2054"/>
      <c r="BG219" s="2054"/>
      <c r="BH219" s="2054"/>
      <c r="BW219" s="884"/>
      <c r="BX219" s="884"/>
      <c r="BY219" s="885"/>
      <c r="BZ219" s="885"/>
      <c r="CA219" s="885"/>
      <c r="CB219" s="2024"/>
      <c r="CC219" s="2024"/>
      <c r="CD219" s="2024"/>
      <c r="CE219" s="2024"/>
      <c r="CF219" s="2024"/>
      <c r="CG219" s="2024"/>
      <c r="CH219" s="2024"/>
      <c r="CI219" s="2024"/>
      <c r="CJ219" s="2024"/>
      <c r="CK219" s="2024"/>
      <c r="CL219" s="2024"/>
      <c r="CM219" s="2024"/>
      <c r="CN219" s="2024"/>
      <c r="CO219" s="2024"/>
      <c r="CP219" s="2024"/>
      <c r="CQ219" s="2024"/>
      <c r="CR219" s="2024"/>
      <c r="CS219" s="2024"/>
      <c r="CT219" s="2024"/>
      <c r="CU219" s="2024"/>
      <c r="CV219" s="2024"/>
      <c r="CW219" s="2024"/>
      <c r="CX219" s="2024"/>
      <c r="CY219" s="2024"/>
      <c r="CZ219" s="2024"/>
      <c r="DA219" s="2024"/>
      <c r="DB219" s="1346"/>
      <c r="DC219" s="1346"/>
      <c r="DD219" s="1346"/>
      <c r="DE219" s="1346"/>
      <c r="DF219" s="1346"/>
      <c r="DG219" s="1346"/>
      <c r="DH219" s="1346"/>
      <c r="DI219" s="1346"/>
      <c r="DJ219" s="1346"/>
      <c r="DK219" s="1346"/>
      <c r="DL219" s="1346"/>
      <c r="DM219" s="1346"/>
      <c r="DN219" s="1346"/>
      <c r="DO219" s="1346"/>
      <c r="DP219" s="1346"/>
      <c r="DQ219" s="1346"/>
      <c r="DR219" s="1346"/>
      <c r="DS219" s="1346"/>
      <c r="DT219" s="1346"/>
      <c r="DU219" s="1346"/>
      <c r="DV219" s="1346"/>
      <c r="DW219" s="1346"/>
      <c r="DX219" s="1346"/>
      <c r="DY219" s="1346"/>
      <c r="DZ219" s="1346"/>
      <c r="EA219" s="1346"/>
    </row>
    <row r="220" spans="1:131" s="783" customFormat="1" ht="16.350000000000001" customHeight="1" x14ac:dyDescent="0.25">
      <c r="A220" s="2458">
        <v>11056472</v>
      </c>
      <c r="B220" s="1926" t="s">
        <v>415</v>
      </c>
      <c r="C220" s="2032" t="s">
        <v>2777</v>
      </c>
      <c r="D220" s="1855" t="s">
        <v>2778</v>
      </c>
      <c r="E220" s="1605" t="s">
        <v>2779</v>
      </c>
      <c r="F220" s="1596" t="s">
        <v>2780</v>
      </c>
      <c r="G220" s="1104" t="s">
        <v>2781</v>
      </c>
      <c r="H220" s="1596" t="s">
        <v>2782</v>
      </c>
      <c r="I220" s="141" t="s">
        <v>2783</v>
      </c>
      <c r="J220" s="142" t="s">
        <v>2784</v>
      </c>
      <c r="K220" s="141" t="s">
        <v>2785</v>
      </c>
      <c r="L220" s="142" t="s">
        <v>2786</v>
      </c>
      <c r="M220" s="141" t="s">
        <v>2787</v>
      </c>
      <c r="N220" s="142" t="s">
        <v>2788</v>
      </c>
      <c r="O220" s="141" t="s">
        <v>2789</v>
      </c>
      <c r="P220" s="142" t="s">
        <v>2790</v>
      </c>
      <c r="Q220" s="141" t="s">
        <v>2791</v>
      </c>
      <c r="R220" s="142" t="s">
        <v>2792</v>
      </c>
      <c r="S220" s="141" t="s">
        <v>2793</v>
      </c>
      <c r="T220" s="142" t="s">
        <v>2794</v>
      </c>
      <c r="U220" s="141" t="s">
        <v>2795</v>
      </c>
      <c r="V220" s="142" t="s">
        <v>2796</v>
      </c>
      <c r="W220" s="141" t="s">
        <v>2797</v>
      </c>
      <c r="X220" s="142" t="s">
        <v>2798</v>
      </c>
      <c r="Y220" s="141" t="s">
        <v>2799</v>
      </c>
      <c r="Z220" s="142" t="s">
        <v>2800</v>
      </c>
      <c r="AA220" s="1104" t="s">
        <v>2801</v>
      </c>
      <c r="AB220" s="1596" t="s">
        <v>2817</v>
      </c>
      <c r="AC220" s="1104" t="s">
        <v>2818</v>
      </c>
      <c r="AD220" s="1596" t="s">
        <v>2819</v>
      </c>
      <c r="AE220" s="1104" t="s">
        <v>2821</v>
      </c>
      <c r="AF220" s="1596" t="s">
        <v>2822</v>
      </c>
      <c r="AG220" s="1104" t="s">
        <v>2823</v>
      </c>
      <c r="AH220" s="1596" t="s">
        <v>2824</v>
      </c>
      <c r="AI220" s="1104" t="s">
        <v>2825</v>
      </c>
      <c r="AJ220" s="1596" t="s">
        <v>2826</v>
      </c>
      <c r="AK220" s="1104" t="s">
        <v>2827</v>
      </c>
      <c r="AL220" s="2062" t="s">
        <v>2831</v>
      </c>
      <c r="AM220" s="1605" t="s">
        <v>2832</v>
      </c>
      <c r="AN220" s="517" t="s">
        <v>2833</v>
      </c>
      <c r="AO220" s="1601" t="s">
        <v>2834</v>
      </c>
      <c r="AP220" s="198" t="s">
        <v>3011</v>
      </c>
      <c r="AQ220" s="141" t="s">
        <v>3012</v>
      </c>
      <c r="AR220" s="164" t="s">
        <v>3013</v>
      </c>
      <c r="AS220" s="1091"/>
      <c r="AT220" s="1079"/>
      <c r="AU220" s="2063"/>
      <c r="AV220" s="2063"/>
      <c r="AW220" s="1079"/>
      <c r="AX220" s="1079"/>
      <c r="AY220" s="1079"/>
      <c r="AZ220" s="1079"/>
      <c r="BA220" s="1079"/>
      <c r="BB220" s="1079"/>
      <c r="BC220" s="1079"/>
      <c r="BD220" s="1079"/>
      <c r="BE220" s="2054"/>
      <c r="BF220" s="2054"/>
      <c r="BG220" s="2054"/>
      <c r="BH220" s="2054"/>
      <c r="BW220" s="884"/>
      <c r="BX220" s="884"/>
      <c r="BY220" s="885"/>
      <c r="BZ220" s="885"/>
      <c r="CA220" s="885"/>
      <c r="CB220" s="2024" t="str">
        <f t="shared" ref="CB220:CB226" si="330">IF(C220&lt;   D220,"* El total de Reactivos NO DEBE ser superior al total de Procesados. ","")</f>
        <v xml:space="preserve">* El total de Reactivos NO DEBE ser superior al total de Procesados. </v>
      </c>
      <c r="CC220" s="2024" t="e">
        <f t="shared" ref="CC220:CC226" si="331">IF(C220&lt;&gt; AM220+ AN220,"* La suma de las columnas Sexo DEBE SER IGUAL a los Procesados. ","")</f>
        <v>#VALUE!</v>
      </c>
      <c r="CD220" s="2024" t="e">
        <f t="shared" ref="CD220:CD226" si="332">IF(C220&lt;  AO220+ AP220,"* La suma de las columna Trans NO DEBE ser superior al total de Procesados. ","")</f>
        <v>#VALUE!</v>
      </c>
      <c r="CE220" s="2024" t="str">
        <f t="shared" ref="CE220:CE226" si="333">IF(C220&lt;  AQ220,"* La columna Pueblos Originarios NO DEBE ser superior al total de Procesados. ","")</f>
        <v xml:space="preserve">* La columna Pueblos Originarios NO DEBE ser superior al total de Procesados. </v>
      </c>
      <c r="CF220" s="2024" t="str">
        <f t="shared" ref="CF220:CF226" si="334">IF(C220&lt;  AR220,"* La columna Migrantes NO DEBE ser superior al total de Procesados. ","")</f>
        <v xml:space="preserve">* La columna Migrantes NO DEBE ser superior al total de Procesados. </v>
      </c>
      <c r="CG220" s="2024" t="str">
        <f t="shared" ref="CG220:CG226" si="335">IF(E220&lt;F220,"* Los exámenes Reactivos de 0 a 4 años años NO DEBEN ser mayor a los Exámenes Procesados de la misma edad. ","")</f>
        <v xml:space="preserve">* Los exámenes Reactivos de 0 a 4 años años NO DEBEN ser mayor a los Exámenes Procesados de la misma edad. </v>
      </c>
      <c r="CH220" s="2024" t="str">
        <f t="shared" ref="CH220:CH226" si="336">IF(G220&lt;H220,"* Los exámenes Reactivos de 5 a 9 años años NO DEBEN ser mayor a los Exámenes Procesados de la misma edad. ","")</f>
        <v xml:space="preserve">* Los exámenes Reactivos de 5 a 9 años años NO DEBEN ser mayor a los Exámenes Procesados de la misma edad. </v>
      </c>
      <c r="CI220" s="2024" t="str">
        <f t="shared" ref="CI220:CI226" si="337">IF(I220&lt;J220,"* Los exámenes Reactivos de 10 a 14 años años NO DEBEN ser mayor a los Exámenes Procesados de la misma edad. ","")</f>
        <v xml:space="preserve">* Los exámenes Reactivos de 10 a 14 años años NO DEBEN ser mayor a los Exámenes Procesados de la misma edad. </v>
      </c>
      <c r="CJ220" s="2024" t="str">
        <f t="shared" ref="CJ220:CJ226" si="338">IF(K220&lt;L220,"* Los exámenes Reactivos de 15 a 19 años años NO DEBEN ser mayor a los Exámenes Procesados de la misma edad. ","")</f>
        <v xml:space="preserve">* Los exámenes Reactivos de 15 a 19 años años NO DEBEN ser mayor a los Exámenes Procesados de la misma edad. </v>
      </c>
      <c r="CK220" s="2024" t="str">
        <f t="shared" ref="CK220:CK226" si="339">IF(M220&lt;N220,"* Los exámenes Reactivos de 20 a 24 años años NO DEBEN ser mayor a los Exámenes Procesados de la misma edad. ","")</f>
        <v xml:space="preserve">* Los exámenes Reactivos de 20 a 24 años años NO DEBEN ser mayor a los Exámenes Procesados de la misma edad. </v>
      </c>
      <c r="CL220" s="2024" t="str">
        <f t="shared" ref="CL220:CL226" si="340">IF(O220&lt;P220,"* Los exámenes Reactivos de 25 a 29 años años NO DEBEN ser mayor a los Exámenes Procesados de la misma edad. ","")</f>
        <v xml:space="preserve">* Los exámenes Reactivos de 25 a 29 años años NO DEBEN ser mayor a los Exámenes Procesados de la misma edad. </v>
      </c>
      <c r="CM220" s="2024" t="str">
        <f t="shared" ref="CM220:CM226" si="341">IF(Q220&lt;R220,"* Los exámenes Reactivos de 30 a 34 años años NO DEBEN ser mayor a los Exámenes Procesados de la misma edad. ","")</f>
        <v xml:space="preserve">* Los exámenes Reactivos de 30 a 34 años años NO DEBEN ser mayor a los Exámenes Procesados de la misma edad. </v>
      </c>
      <c r="CN220" s="2024" t="str">
        <f t="shared" ref="CN220:CN226" si="342">IF(S220&lt;T220,"* Los exámenes Reactivos de 35 a 39 años años NO DEBEN ser mayor a los Exámenes Procesados de la misma edad. ","")</f>
        <v xml:space="preserve">* Los exámenes Reactivos de 35 a 39 años años NO DEBEN ser mayor a los Exámenes Procesados de la misma edad. </v>
      </c>
      <c r="CO220" s="2024" t="str">
        <f t="shared" ref="CO220:CO226" si="343">IF(U220&lt;V220,"* Los exámenes Reactivos de 40 a 44 años años NO DEBEN ser mayor a los Exámenes Procesados de la misma edad. ","")</f>
        <v xml:space="preserve">* Los exámenes Reactivos de 40 a 44 años años NO DEBEN ser mayor a los Exámenes Procesados de la misma edad. </v>
      </c>
      <c r="CP220" s="2024" t="str">
        <f t="shared" ref="CP220:CP226" si="344">IF(W220&lt;X220,"* Los exámenes Reactivos de 45 a 49 años años NO DEBEN ser mayor a los Exámenes Procesados de la misma edad. ","")</f>
        <v xml:space="preserve">* Los exámenes Reactivos de 45 a 49 años años NO DEBEN ser mayor a los Exámenes Procesados de la misma edad. </v>
      </c>
      <c r="CQ220" s="2024" t="str">
        <f t="shared" ref="CQ220:CQ226" si="345">IF(Y220&lt;Z220,"* Los exámenes Reactivos de 50 a 54 años años NO DEBEN ser mayor a los Exámenes Procesados de la misma edad. ","")</f>
        <v xml:space="preserve">* Los exámenes Reactivos de 50 a 54 años años NO DEBEN ser mayor a los Exámenes Procesados de la misma edad. </v>
      </c>
      <c r="CR220" s="2024" t="str">
        <f t="shared" ref="CR220:CR226" si="346">IF(AA220&lt;AB220,"* Los exámenes Reactivos de 55 a 59 años años NO DEBEN ser mayor a los Exámenes Procesados de la misma edad. ","")</f>
        <v xml:space="preserve">* Los exámenes Reactivos de 55 a 59 años años NO DEBEN ser mayor a los Exámenes Procesados de la misma edad. </v>
      </c>
      <c r="CS220" s="2024" t="str">
        <f t="shared" ref="CS220:CS226" si="347">IF(AC220&lt;AD220,"* Los exámenes Reactivos de 60 a 64 años años NO DEBEN ser mayor a los Exámenes Procesados de la misma edad. ","")</f>
        <v xml:space="preserve">* Los exámenes Reactivos de 60 a 64 años años NO DEBEN ser mayor a los Exámenes Procesados de la misma edad. </v>
      </c>
      <c r="CT220" s="2024" t="str">
        <f t="shared" ref="CT220:CT226" si="348">IF(AE220&lt;AF220,"* Los exámenes Reactivos de 65 a 69 años años NO DEBEN ser mayor a los Exámenes Procesados de la misma edad. ","")</f>
        <v xml:space="preserve">* Los exámenes Reactivos de 65 a 69 años años NO DEBEN ser mayor a los Exámenes Procesados de la misma edad. </v>
      </c>
      <c r="CU220" s="2024" t="str">
        <f t="shared" ref="CU220:CU226" si="349">IF(AG220&lt;AH220,"* Los exámenes Reactivos de 70 a 74 años años NO DEBEN ser mayor a los Exámenes Procesados de la misma edad. ","")</f>
        <v xml:space="preserve">* Los exámenes Reactivos de 70 a 74 años años NO DEBEN ser mayor a los Exámenes Procesados de la misma edad. </v>
      </c>
      <c r="CV220" s="2024" t="str">
        <f t="shared" ref="CV220:CV226" si="350">IF(AI220&lt;AJ220,"* Los exámenes Reactivos de 75 a 79 años años NO DEBEN ser mayor a los Exámenes Procesados de la misma edad. ","")</f>
        <v xml:space="preserve">* Los exámenes Reactivos de 75 a 79 años años NO DEBEN ser mayor a los Exámenes Procesados de la misma edad. </v>
      </c>
      <c r="CW220" s="2024" t="str">
        <f t="shared" ref="CW220:CW226" si="351">IF(AK220&lt;AL220,"* Los exámenes Reactivos de 80 y más años años NO DEBEN ser mayor a los Exámenes Procesados de la misma edad. ","")</f>
        <v xml:space="preserve">* Los exámenes Reactivos de 80 y más años años NO DEBEN ser mayor a los Exámenes Procesados de la misma edad. </v>
      </c>
      <c r="CX220" s="2024"/>
      <c r="CY220" s="2024"/>
      <c r="CZ220" s="2024"/>
      <c r="DA220" s="2024"/>
      <c r="DB220" s="1346">
        <f t="shared" ref="DB220:DB226" si="352">IF(C220&lt;   D220,1,0)</f>
        <v>1</v>
      </c>
      <c r="DC220" s="1346" t="e">
        <f t="shared" ref="DC220:DC226" si="353">IF(C220&lt;&gt; AM220+AN220,1,0)</f>
        <v>#VALUE!</v>
      </c>
      <c r="DD220" s="1346" t="e">
        <f t="shared" ref="DD220:DD226" si="354">IF(C220&lt;  AO220+AP220,1,0)</f>
        <v>#VALUE!</v>
      </c>
      <c r="DE220" s="1346">
        <f t="shared" ref="DE220:DE226" si="355">IF(C220&lt;  AQ220,1,0)</f>
        <v>1</v>
      </c>
      <c r="DF220" s="1346">
        <f t="shared" ref="DF220:DF226" si="356">IF(C220&lt;  AR220,1,0)</f>
        <v>1</v>
      </c>
      <c r="DG220" s="1346">
        <f t="shared" ref="DG220:DG226" si="357">IF(E220&lt;F220,1,0)</f>
        <v>1</v>
      </c>
      <c r="DH220" s="1346">
        <f t="shared" ref="DH220:DH226" si="358">IF(G220&lt;H220,1,0)</f>
        <v>1</v>
      </c>
      <c r="DI220" s="1346">
        <f t="shared" ref="DI220:DI226" si="359">IF(I220&lt;J220,1,0)</f>
        <v>1</v>
      </c>
      <c r="DJ220" s="1346">
        <f t="shared" ref="DJ220:DJ226" si="360">IF(K220&lt;L220,1,0)</f>
        <v>1</v>
      </c>
      <c r="DK220" s="1346">
        <f t="shared" ref="DK220:DK226" si="361">IF(M220&lt;N220,1,0)</f>
        <v>1</v>
      </c>
      <c r="DL220" s="1346">
        <f t="shared" ref="DL220:DL226" si="362">IF(O220&lt;P220,1,0)</f>
        <v>1</v>
      </c>
      <c r="DM220" s="1346">
        <f t="shared" ref="DM220:DM226" si="363">IF(Q220&lt;R220,1,0)</f>
        <v>1</v>
      </c>
      <c r="DN220" s="1346">
        <f t="shared" ref="DN220:DN226" si="364">IF(S220&lt;T220,1,0)</f>
        <v>1</v>
      </c>
      <c r="DO220" s="1346">
        <f t="shared" ref="DO220:DO226" si="365">IF(U220&lt;V220,1,0)</f>
        <v>1</v>
      </c>
      <c r="DP220" s="1346">
        <f t="shared" ref="DP220:DP226" si="366">IF(W220&lt;X220,1,0)</f>
        <v>1</v>
      </c>
      <c r="DQ220" s="1346">
        <f t="shared" ref="DQ220:DQ226" si="367">IF(Y220&lt;Z220,1,0)</f>
        <v>1</v>
      </c>
      <c r="DR220" s="1346">
        <f t="shared" ref="DR220:DR226" si="368">IF(AA220&lt;AB220,1,0)</f>
        <v>1</v>
      </c>
      <c r="DS220" s="1346">
        <f t="shared" ref="DS220:DS226" si="369">IF(AC220&lt;AD220,1,0)</f>
        <v>1</v>
      </c>
      <c r="DT220" s="1346">
        <f t="shared" ref="DT220:DT226" si="370">IF(AE220&lt;AF220,1,0)</f>
        <v>1</v>
      </c>
      <c r="DU220" s="1346">
        <f t="shared" ref="DU220:DU226" si="371">IF(AG220&lt;AH220,1,0)</f>
        <v>1</v>
      </c>
      <c r="DV220" s="1346">
        <f t="shared" ref="DV220:DV226" si="372">IF(AI220&lt;AJ220,1,0)</f>
        <v>1</v>
      </c>
      <c r="DW220" s="1346">
        <f t="shared" ref="DW220:DW226" si="373">IF(AK220&lt;AL220,1,0)</f>
        <v>1</v>
      </c>
      <c r="DX220" s="1346"/>
      <c r="DY220" s="1346"/>
      <c r="DZ220" s="1346"/>
      <c r="EA220" s="1346">
        <v>0</v>
      </c>
    </row>
    <row r="221" spans="1:131" s="783" customFormat="1" ht="16.350000000000001" customHeight="1" x14ac:dyDescent="0.25">
      <c r="A221" s="2458">
        <v>11056473</v>
      </c>
      <c r="B221" s="1926" t="s">
        <v>2329</v>
      </c>
      <c r="C221" s="707" t="s">
        <v>2777</v>
      </c>
      <c r="D221" s="281" t="s">
        <v>2778</v>
      </c>
      <c r="E221" s="1605" t="s">
        <v>2779</v>
      </c>
      <c r="F221" s="1596" t="s">
        <v>2780</v>
      </c>
      <c r="G221" s="1104" t="s">
        <v>2781</v>
      </c>
      <c r="H221" s="1596" t="s">
        <v>2782</v>
      </c>
      <c r="I221" s="1104" t="s">
        <v>2783</v>
      </c>
      <c r="J221" s="1596" t="s">
        <v>2784</v>
      </c>
      <c r="K221" s="141" t="s">
        <v>2785</v>
      </c>
      <c r="L221" s="142" t="s">
        <v>2786</v>
      </c>
      <c r="M221" s="141" t="s">
        <v>2787</v>
      </c>
      <c r="N221" s="142" t="s">
        <v>2788</v>
      </c>
      <c r="O221" s="141" t="s">
        <v>2789</v>
      </c>
      <c r="P221" s="142" t="s">
        <v>2790</v>
      </c>
      <c r="Q221" s="141" t="s">
        <v>2791</v>
      </c>
      <c r="R221" s="142" t="s">
        <v>2792</v>
      </c>
      <c r="S221" s="141" t="s">
        <v>2793</v>
      </c>
      <c r="T221" s="142" t="s">
        <v>2794</v>
      </c>
      <c r="U221" s="141" t="s">
        <v>2795</v>
      </c>
      <c r="V221" s="142" t="s">
        <v>2796</v>
      </c>
      <c r="W221" s="141" t="s">
        <v>2797</v>
      </c>
      <c r="X221" s="142" t="s">
        <v>2798</v>
      </c>
      <c r="Y221" s="141" t="s">
        <v>2799</v>
      </c>
      <c r="Z221" s="142" t="s">
        <v>2800</v>
      </c>
      <c r="AA221" s="141" t="s">
        <v>2801</v>
      </c>
      <c r="AB221" s="142" t="s">
        <v>2817</v>
      </c>
      <c r="AC221" s="141" t="s">
        <v>2818</v>
      </c>
      <c r="AD221" s="142" t="s">
        <v>2819</v>
      </c>
      <c r="AE221" s="141" t="s">
        <v>2821</v>
      </c>
      <c r="AF221" s="142" t="s">
        <v>2822</v>
      </c>
      <c r="AG221" s="141" t="s">
        <v>2823</v>
      </c>
      <c r="AH221" s="142" t="s">
        <v>2824</v>
      </c>
      <c r="AI221" s="141" t="s">
        <v>2825</v>
      </c>
      <c r="AJ221" s="142" t="s">
        <v>2826</v>
      </c>
      <c r="AK221" s="141" t="s">
        <v>2827</v>
      </c>
      <c r="AL221" s="318" t="s">
        <v>2831</v>
      </c>
      <c r="AM221" s="180" t="s">
        <v>2832</v>
      </c>
      <c r="AN221" s="318" t="s">
        <v>2833</v>
      </c>
      <c r="AO221" s="180" t="s">
        <v>2834</v>
      </c>
      <c r="AP221" s="198" t="s">
        <v>3011</v>
      </c>
      <c r="AQ221" s="141" t="s">
        <v>3012</v>
      </c>
      <c r="AR221" s="164" t="s">
        <v>3013</v>
      </c>
      <c r="AS221" s="1057"/>
      <c r="AT221" s="1079"/>
      <c r="AU221" s="2063"/>
      <c r="AV221" s="2063"/>
      <c r="AW221" s="1079"/>
      <c r="AX221" s="1079"/>
      <c r="AY221" s="1079"/>
      <c r="AZ221" s="1079"/>
      <c r="BA221" s="1079"/>
      <c r="BB221" s="1079"/>
      <c r="BC221" s="1079"/>
      <c r="BD221" s="1079"/>
      <c r="BE221" s="2054"/>
      <c r="BF221" s="2054"/>
      <c r="BG221" s="2054"/>
      <c r="BH221" s="2054"/>
      <c r="BW221" s="884"/>
      <c r="BX221" s="884"/>
      <c r="BY221" s="885"/>
      <c r="BZ221" s="885"/>
      <c r="CA221" s="885"/>
      <c r="CB221" s="2024" t="str">
        <f t="shared" si="330"/>
        <v xml:space="preserve">* El total de Reactivos NO DEBE ser superior al total de Procesados. </v>
      </c>
      <c r="CC221" s="2024" t="e">
        <f t="shared" si="331"/>
        <v>#VALUE!</v>
      </c>
      <c r="CD221" s="2024" t="e">
        <f t="shared" si="332"/>
        <v>#VALUE!</v>
      </c>
      <c r="CE221" s="2024" t="str">
        <f t="shared" si="333"/>
        <v xml:space="preserve">* La columna Pueblos Originarios NO DEBE ser superior al total de Procesados. </v>
      </c>
      <c r="CF221" s="2024" t="str">
        <f t="shared" si="334"/>
        <v xml:space="preserve">* La columna Migrantes NO DEBE ser superior al total de Procesados. </v>
      </c>
      <c r="CG221" s="2024" t="str">
        <f t="shared" si="335"/>
        <v xml:space="preserve">* Los exámenes Reactivos de 0 a 4 años años NO DEBEN ser mayor a los Exámenes Procesados de la misma edad. </v>
      </c>
      <c r="CH221" s="2024" t="str">
        <f t="shared" si="336"/>
        <v xml:space="preserve">* Los exámenes Reactivos de 5 a 9 años años NO DEBEN ser mayor a los Exámenes Procesados de la misma edad. </v>
      </c>
      <c r="CI221" s="2024" t="str">
        <f t="shared" si="337"/>
        <v xml:space="preserve">* Los exámenes Reactivos de 10 a 14 años años NO DEBEN ser mayor a los Exámenes Procesados de la misma edad. </v>
      </c>
      <c r="CJ221" s="2024" t="str">
        <f t="shared" si="338"/>
        <v xml:space="preserve">* Los exámenes Reactivos de 15 a 19 años años NO DEBEN ser mayor a los Exámenes Procesados de la misma edad. </v>
      </c>
      <c r="CK221" s="2024" t="str">
        <f t="shared" si="339"/>
        <v xml:space="preserve">* Los exámenes Reactivos de 20 a 24 años años NO DEBEN ser mayor a los Exámenes Procesados de la misma edad. </v>
      </c>
      <c r="CL221" s="2024" t="str">
        <f t="shared" si="340"/>
        <v xml:space="preserve">* Los exámenes Reactivos de 25 a 29 años años NO DEBEN ser mayor a los Exámenes Procesados de la misma edad. </v>
      </c>
      <c r="CM221" s="2024" t="str">
        <f t="shared" si="341"/>
        <v xml:space="preserve">* Los exámenes Reactivos de 30 a 34 años años NO DEBEN ser mayor a los Exámenes Procesados de la misma edad. </v>
      </c>
      <c r="CN221" s="2024" t="str">
        <f t="shared" si="342"/>
        <v xml:space="preserve">* Los exámenes Reactivos de 35 a 39 años años NO DEBEN ser mayor a los Exámenes Procesados de la misma edad. </v>
      </c>
      <c r="CO221" s="2024" t="str">
        <f t="shared" si="343"/>
        <v xml:space="preserve">* Los exámenes Reactivos de 40 a 44 años años NO DEBEN ser mayor a los Exámenes Procesados de la misma edad. </v>
      </c>
      <c r="CP221" s="2024" t="str">
        <f t="shared" si="344"/>
        <v xml:space="preserve">* Los exámenes Reactivos de 45 a 49 años años NO DEBEN ser mayor a los Exámenes Procesados de la misma edad. </v>
      </c>
      <c r="CQ221" s="2024" t="str">
        <f t="shared" si="345"/>
        <v xml:space="preserve">* Los exámenes Reactivos de 50 a 54 años años NO DEBEN ser mayor a los Exámenes Procesados de la misma edad. </v>
      </c>
      <c r="CR221" s="2024" t="str">
        <f t="shared" si="346"/>
        <v xml:space="preserve">* Los exámenes Reactivos de 55 a 59 años años NO DEBEN ser mayor a los Exámenes Procesados de la misma edad. </v>
      </c>
      <c r="CS221" s="2024" t="str">
        <f t="shared" si="347"/>
        <v xml:space="preserve">* Los exámenes Reactivos de 60 a 64 años años NO DEBEN ser mayor a los Exámenes Procesados de la misma edad. </v>
      </c>
      <c r="CT221" s="2024" t="str">
        <f t="shared" si="348"/>
        <v xml:space="preserve">* Los exámenes Reactivos de 65 a 69 años años NO DEBEN ser mayor a los Exámenes Procesados de la misma edad. </v>
      </c>
      <c r="CU221" s="2024" t="str">
        <f t="shared" si="349"/>
        <v xml:space="preserve">* Los exámenes Reactivos de 70 a 74 años años NO DEBEN ser mayor a los Exámenes Procesados de la misma edad. </v>
      </c>
      <c r="CV221" s="2024" t="str">
        <f t="shared" si="350"/>
        <v xml:space="preserve">* Los exámenes Reactivos de 75 a 79 años años NO DEBEN ser mayor a los Exámenes Procesados de la misma edad. </v>
      </c>
      <c r="CW221" s="2024" t="str">
        <f t="shared" si="351"/>
        <v xml:space="preserve">* Los exámenes Reactivos de 80 y más años años NO DEBEN ser mayor a los Exámenes Procesados de la misma edad. </v>
      </c>
      <c r="CX221" s="2024"/>
      <c r="CY221" s="2024"/>
      <c r="CZ221" s="2024"/>
      <c r="DA221" s="2024"/>
      <c r="DB221" s="1346">
        <f t="shared" si="352"/>
        <v>1</v>
      </c>
      <c r="DC221" s="1346" t="e">
        <f t="shared" si="353"/>
        <v>#VALUE!</v>
      </c>
      <c r="DD221" s="1346" t="e">
        <f t="shared" si="354"/>
        <v>#VALUE!</v>
      </c>
      <c r="DE221" s="1346">
        <f t="shared" si="355"/>
        <v>1</v>
      </c>
      <c r="DF221" s="1346">
        <f t="shared" si="356"/>
        <v>1</v>
      </c>
      <c r="DG221" s="1346">
        <f t="shared" si="357"/>
        <v>1</v>
      </c>
      <c r="DH221" s="1346">
        <f t="shared" si="358"/>
        <v>1</v>
      </c>
      <c r="DI221" s="1346">
        <f t="shared" si="359"/>
        <v>1</v>
      </c>
      <c r="DJ221" s="1346">
        <f t="shared" si="360"/>
        <v>1</v>
      </c>
      <c r="DK221" s="1346">
        <f t="shared" si="361"/>
        <v>1</v>
      </c>
      <c r="DL221" s="1346">
        <f t="shared" si="362"/>
        <v>1</v>
      </c>
      <c r="DM221" s="1346">
        <f t="shared" si="363"/>
        <v>1</v>
      </c>
      <c r="DN221" s="1346">
        <f t="shared" si="364"/>
        <v>1</v>
      </c>
      <c r="DO221" s="1346">
        <f t="shared" si="365"/>
        <v>1</v>
      </c>
      <c r="DP221" s="1346">
        <f t="shared" si="366"/>
        <v>1</v>
      </c>
      <c r="DQ221" s="1346">
        <f t="shared" si="367"/>
        <v>1</v>
      </c>
      <c r="DR221" s="1346">
        <f t="shared" si="368"/>
        <v>1</v>
      </c>
      <c r="DS221" s="1346">
        <f t="shared" si="369"/>
        <v>1</v>
      </c>
      <c r="DT221" s="1346">
        <f t="shared" si="370"/>
        <v>1</v>
      </c>
      <c r="DU221" s="1346">
        <f t="shared" si="371"/>
        <v>1</v>
      </c>
      <c r="DV221" s="1346">
        <f t="shared" si="372"/>
        <v>1</v>
      </c>
      <c r="DW221" s="1346">
        <f t="shared" si="373"/>
        <v>1</v>
      </c>
      <c r="DX221" s="1346"/>
      <c r="DY221" s="1346"/>
      <c r="DZ221" s="1346"/>
      <c r="EA221" s="1346">
        <v>0</v>
      </c>
    </row>
    <row r="222" spans="1:131" s="783" customFormat="1" ht="16.350000000000001" customHeight="1" x14ac:dyDescent="0.25">
      <c r="A222" s="2458">
        <v>11056474</v>
      </c>
      <c r="B222" s="1926" t="s">
        <v>2330</v>
      </c>
      <c r="C222" s="707" t="s">
        <v>2777</v>
      </c>
      <c r="D222" s="281" t="s">
        <v>2778</v>
      </c>
      <c r="E222" s="180" t="s">
        <v>2779</v>
      </c>
      <c r="F222" s="142" t="s">
        <v>2780</v>
      </c>
      <c r="G222" s="141" t="s">
        <v>2781</v>
      </c>
      <c r="H222" s="142" t="s">
        <v>2782</v>
      </c>
      <c r="I222" s="141" t="s">
        <v>2783</v>
      </c>
      <c r="J222" s="142" t="s">
        <v>2784</v>
      </c>
      <c r="K222" s="141" t="s">
        <v>2785</v>
      </c>
      <c r="L222" s="142" t="s">
        <v>2786</v>
      </c>
      <c r="M222" s="141" t="s">
        <v>2787</v>
      </c>
      <c r="N222" s="142" t="s">
        <v>2788</v>
      </c>
      <c r="O222" s="141" t="s">
        <v>2789</v>
      </c>
      <c r="P222" s="142" t="s">
        <v>2790</v>
      </c>
      <c r="Q222" s="141" t="s">
        <v>2791</v>
      </c>
      <c r="R222" s="142" t="s">
        <v>2792</v>
      </c>
      <c r="S222" s="141" t="s">
        <v>2793</v>
      </c>
      <c r="T222" s="142" t="s">
        <v>2794</v>
      </c>
      <c r="U222" s="141" t="s">
        <v>2795</v>
      </c>
      <c r="V222" s="142" t="s">
        <v>2796</v>
      </c>
      <c r="W222" s="141" t="s">
        <v>2797</v>
      </c>
      <c r="X222" s="142" t="s">
        <v>2798</v>
      </c>
      <c r="Y222" s="141" t="s">
        <v>2799</v>
      </c>
      <c r="Z222" s="142" t="s">
        <v>2800</v>
      </c>
      <c r="AA222" s="141" t="s">
        <v>2801</v>
      </c>
      <c r="AB222" s="142" t="s">
        <v>2817</v>
      </c>
      <c r="AC222" s="141" t="s">
        <v>2818</v>
      </c>
      <c r="AD222" s="142" t="s">
        <v>2819</v>
      </c>
      <c r="AE222" s="141" t="s">
        <v>2821</v>
      </c>
      <c r="AF222" s="142" t="s">
        <v>2822</v>
      </c>
      <c r="AG222" s="141" t="s">
        <v>2823</v>
      </c>
      <c r="AH222" s="142" t="s">
        <v>2824</v>
      </c>
      <c r="AI222" s="141" t="s">
        <v>2825</v>
      </c>
      <c r="AJ222" s="142" t="s">
        <v>2826</v>
      </c>
      <c r="AK222" s="141" t="s">
        <v>2827</v>
      </c>
      <c r="AL222" s="318" t="s">
        <v>2831</v>
      </c>
      <c r="AM222" s="180" t="s">
        <v>2832</v>
      </c>
      <c r="AN222" s="318" t="s">
        <v>2833</v>
      </c>
      <c r="AO222" s="180" t="s">
        <v>2834</v>
      </c>
      <c r="AP222" s="198" t="s">
        <v>3011</v>
      </c>
      <c r="AQ222" s="141" t="s">
        <v>3012</v>
      </c>
      <c r="AR222" s="164" t="s">
        <v>3013</v>
      </c>
      <c r="AS222" s="1057"/>
      <c r="AT222" s="1079"/>
      <c r="AU222" s="2063"/>
      <c r="AV222" s="2063"/>
      <c r="AW222" s="1079"/>
      <c r="AX222" s="1079"/>
      <c r="AY222" s="1079"/>
      <c r="AZ222" s="1079"/>
      <c r="BA222" s="1079"/>
      <c r="BB222" s="1079"/>
      <c r="BC222" s="1079"/>
      <c r="BD222" s="1079"/>
      <c r="BE222" s="2054"/>
      <c r="BF222" s="2054"/>
      <c r="BG222" s="2054"/>
      <c r="BH222" s="2054"/>
      <c r="BW222" s="884"/>
      <c r="BX222" s="884"/>
      <c r="BY222" s="885"/>
      <c r="BZ222" s="885"/>
      <c r="CA222" s="885"/>
      <c r="CB222" s="2024" t="str">
        <f t="shared" si="330"/>
        <v xml:space="preserve">* El total de Reactivos NO DEBE ser superior al total de Procesados. </v>
      </c>
      <c r="CC222" s="2024" t="e">
        <f t="shared" si="331"/>
        <v>#VALUE!</v>
      </c>
      <c r="CD222" s="2024" t="e">
        <f t="shared" si="332"/>
        <v>#VALUE!</v>
      </c>
      <c r="CE222" s="2024" t="str">
        <f t="shared" si="333"/>
        <v xml:space="preserve">* La columna Pueblos Originarios NO DEBE ser superior al total de Procesados. </v>
      </c>
      <c r="CF222" s="2024" t="str">
        <f t="shared" si="334"/>
        <v xml:space="preserve">* La columna Migrantes NO DEBE ser superior al total de Procesados. </v>
      </c>
      <c r="CG222" s="2024" t="str">
        <f t="shared" si="335"/>
        <v xml:space="preserve">* Los exámenes Reactivos de 0 a 4 años años NO DEBEN ser mayor a los Exámenes Procesados de la misma edad. </v>
      </c>
      <c r="CH222" s="2024" t="str">
        <f t="shared" si="336"/>
        <v xml:space="preserve">* Los exámenes Reactivos de 5 a 9 años años NO DEBEN ser mayor a los Exámenes Procesados de la misma edad. </v>
      </c>
      <c r="CI222" s="2024" t="str">
        <f t="shared" si="337"/>
        <v xml:space="preserve">* Los exámenes Reactivos de 10 a 14 años años NO DEBEN ser mayor a los Exámenes Procesados de la misma edad. </v>
      </c>
      <c r="CJ222" s="2024" t="str">
        <f t="shared" si="338"/>
        <v xml:space="preserve">* Los exámenes Reactivos de 15 a 19 años años NO DEBEN ser mayor a los Exámenes Procesados de la misma edad. </v>
      </c>
      <c r="CK222" s="2024" t="str">
        <f t="shared" si="339"/>
        <v xml:space="preserve">* Los exámenes Reactivos de 20 a 24 años años NO DEBEN ser mayor a los Exámenes Procesados de la misma edad. </v>
      </c>
      <c r="CL222" s="2024" t="str">
        <f t="shared" si="340"/>
        <v xml:space="preserve">* Los exámenes Reactivos de 25 a 29 años años NO DEBEN ser mayor a los Exámenes Procesados de la misma edad. </v>
      </c>
      <c r="CM222" s="2024" t="str">
        <f t="shared" si="341"/>
        <v xml:space="preserve">* Los exámenes Reactivos de 30 a 34 años años NO DEBEN ser mayor a los Exámenes Procesados de la misma edad. </v>
      </c>
      <c r="CN222" s="2024" t="str">
        <f t="shared" si="342"/>
        <v xml:space="preserve">* Los exámenes Reactivos de 35 a 39 años años NO DEBEN ser mayor a los Exámenes Procesados de la misma edad. </v>
      </c>
      <c r="CO222" s="2024" t="str">
        <f t="shared" si="343"/>
        <v xml:space="preserve">* Los exámenes Reactivos de 40 a 44 años años NO DEBEN ser mayor a los Exámenes Procesados de la misma edad. </v>
      </c>
      <c r="CP222" s="2024" t="str">
        <f t="shared" si="344"/>
        <v xml:space="preserve">* Los exámenes Reactivos de 45 a 49 años años NO DEBEN ser mayor a los Exámenes Procesados de la misma edad. </v>
      </c>
      <c r="CQ222" s="2024" t="str">
        <f t="shared" si="345"/>
        <v xml:space="preserve">* Los exámenes Reactivos de 50 a 54 años años NO DEBEN ser mayor a los Exámenes Procesados de la misma edad. </v>
      </c>
      <c r="CR222" s="2024" t="str">
        <f t="shared" si="346"/>
        <v xml:space="preserve">* Los exámenes Reactivos de 55 a 59 años años NO DEBEN ser mayor a los Exámenes Procesados de la misma edad. </v>
      </c>
      <c r="CS222" s="2024" t="str">
        <f t="shared" si="347"/>
        <v xml:space="preserve">* Los exámenes Reactivos de 60 a 64 años años NO DEBEN ser mayor a los Exámenes Procesados de la misma edad. </v>
      </c>
      <c r="CT222" s="2024" t="str">
        <f t="shared" si="348"/>
        <v xml:space="preserve">* Los exámenes Reactivos de 65 a 69 años años NO DEBEN ser mayor a los Exámenes Procesados de la misma edad. </v>
      </c>
      <c r="CU222" s="2024" t="str">
        <f t="shared" si="349"/>
        <v xml:space="preserve">* Los exámenes Reactivos de 70 a 74 años años NO DEBEN ser mayor a los Exámenes Procesados de la misma edad. </v>
      </c>
      <c r="CV222" s="2024" t="str">
        <f t="shared" si="350"/>
        <v xml:space="preserve">* Los exámenes Reactivos de 75 a 79 años años NO DEBEN ser mayor a los Exámenes Procesados de la misma edad. </v>
      </c>
      <c r="CW222" s="2024" t="str">
        <f t="shared" si="351"/>
        <v xml:space="preserve">* Los exámenes Reactivos de 80 y más años años NO DEBEN ser mayor a los Exámenes Procesados de la misma edad. </v>
      </c>
      <c r="CX222" s="2024"/>
      <c r="CY222" s="2024"/>
      <c r="CZ222" s="2024"/>
      <c r="DA222" s="2024"/>
      <c r="DB222" s="1346">
        <f t="shared" si="352"/>
        <v>1</v>
      </c>
      <c r="DC222" s="1346" t="e">
        <f t="shared" si="353"/>
        <v>#VALUE!</v>
      </c>
      <c r="DD222" s="1346" t="e">
        <f t="shared" si="354"/>
        <v>#VALUE!</v>
      </c>
      <c r="DE222" s="1346">
        <f t="shared" si="355"/>
        <v>1</v>
      </c>
      <c r="DF222" s="1346">
        <f t="shared" si="356"/>
        <v>1</v>
      </c>
      <c r="DG222" s="1346">
        <f t="shared" si="357"/>
        <v>1</v>
      </c>
      <c r="DH222" s="1346">
        <f t="shared" si="358"/>
        <v>1</v>
      </c>
      <c r="DI222" s="1346">
        <f t="shared" si="359"/>
        <v>1</v>
      </c>
      <c r="DJ222" s="1346">
        <f t="shared" si="360"/>
        <v>1</v>
      </c>
      <c r="DK222" s="1346">
        <f t="shared" si="361"/>
        <v>1</v>
      </c>
      <c r="DL222" s="1346">
        <f t="shared" si="362"/>
        <v>1</v>
      </c>
      <c r="DM222" s="1346">
        <f t="shared" si="363"/>
        <v>1</v>
      </c>
      <c r="DN222" s="1346">
        <f t="shared" si="364"/>
        <v>1</v>
      </c>
      <c r="DO222" s="1346">
        <f t="shared" si="365"/>
        <v>1</v>
      </c>
      <c r="DP222" s="1346">
        <f t="shared" si="366"/>
        <v>1</v>
      </c>
      <c r="DQ222" s="1346">
        <f t="shared" si="367"/>
        <v>1</v>
      </c>
      <c r="DR222" s="1346">
        <f t="shared" si="368"/>
        <v>1</v>
      </c>
      <c r="DS222" s="1346">
        <f t="shared" si="369"/>
        <v>1</v>
      </c>
      <c r="DT222" s="1346">
        <f t="shared" si="370"/>
        <v>1</v>
      </c>
      <c r="DU222" s="1346">
        <f t="shared" si="371"/>
        <v>1</v>
      </c>
      <c r="DV222" s="1346">
        <f t="shared" si="372"/>
        <v>1</v>
      </c>
      <c r="DW222" s="1346">
        <f t="shared" si="373"/>
        <v>1</v>
      </c>
      <c r="DX222" s="1346"/>
      <c r="DY222" s="1346"/>
      <c r="DZ222" s="1346"/>
      <c r="EA222" s="1346">
        <v>0</v>
      </c>
    </row>
    <row r="223" spans="1:131" s="783" customFormat="1" ht="16.350000000000001" customHeight="1" x14ac:dyDescent="0.25">
      <c r="A223" s="2458">
        <v>11056475</v>
      </c>
      <c r="B223" s="1926" t="s">
        <v>2331</v>
      </c>
      <c r="C223" s="707" t="s">
        <v>2777</v>
      </c>
      <c r="D223" s="281" t="s">
        <v>2778</v>
      </c>
      <c r="E223" s="180" t="s">
        <v>2779</v>
      </c>
      <c r="F223" s="142" t="s">
        <v>2780</v>
      </c>
      <c r="G223" s="141" t="s">
        <v>2781</v>
      </c>
      <c r="H223" s="142" t="s">
        <v>2782</v>
      </c>
      <c r="I223" s="141" t="s">
        <v>2783</v>
      </c>
      <c r="J223" s="142" t="s">
        <v>2784</v>
      </c>
      <c r="K223" s="141" t="s">
        <v>2785</v>
      </c>
      <c r="L223" s="142" t="s">
        <v>2786</v>
      </c>
      <c r="M223" s="141" t="s">
        <v>2787</v>
      </c>
      <c r="N223" s="142" t="s">
        <v>2788</v>
      </c>
      <c r="O223" s="141" t="s">
        <v>2789</v>
      </c>
      <c r="P223" s="142" t="s">
        <v>2790</v>
      </c>
      <c r="Q223" s="141" t="s">
        <v>2791</v>
      </c>
      <c r="R223" s="142" t="s">
        <v>2792</v>
      </c>
      <c r="S223" s="141" t="s">
        <v>2793</v>
      </c>
      <c r="T223" s="142" t="s">
        <v>2794</v>
      </c>
      <c r="U223" s="141" t="s">
        <v>2795</v>
      </c>
      <c r="V223" s="142" t="s">
        <v>2796</v>
      </c>
      <c r="W223" s="141" t="s">
        <v>2797</v>
      </c>
      <c r="X223" s="142" t="s">
        <v>2798</v>
      </c>
      <c r="Y223" s="141" t="s">
        <v>2799</v>
      </c>
      <c r="Z223" s="142" t="s">
        <v>2800</v>
      </c>
      <c r="AA223" s="141" t="s">
        <v>2801</v>
      </c>
      <c r="AB223" s="142" t="s">
        <v>2817</v>
      </c>
      <c r="AC223" s="141" t="s">
        <v>2818</v>
      </c>
      <c r="AD223" s="142" t="s">
        <v>2819</v>
      </c>
      <c r="AE223" s="141" t="s">
        <v>2821</v>
      </c>
      <c r="AF223" s="142" t="s">
        <v>2822</v>
      </c>
      <c r="AG223" s="141" t="s">
        <v>2823</v>
      </c>
      <c r="AH223" s="142" t="s">
        <v>2824</v>
      </c>
      <c r="AI223" s="141" t="s">
        <v>2825</v>
      </c>
      <c r="AJ223" s="142" t="s">
        <v>2826</v>
      </c>
      <c r="AK223" s="141" t="s">
        <v>2827</v>
      </c>
      <c r="AL223" s="318" t="s">
        <v>2831</v>
      </c>
      <c r="AM223" s="180" t="s">
        <v>2832</v>
      </c>
      <c r="AN223" s="318" t="s">
        <v>2833</v>
      </c>
      <c r="AO223" s="180" t="s">
        <v>2834</v>
      </c>
      <c r="AP223" s="198" t="s">
        <v>3011</v>
      </c>
      <c r="AQ223" s="141" t="s">
        <v>3012</v>
      </c>
      <c r="AR223" s="164" t="s">
        <v>3013</v>
      </c>
      <c r="AS223" s="1057"/>
      <c r="AT223" s="1079"/>
      <c r="AU223" s="2063"/>
      <c r="AV223" s="2063"/>
      <c r="AW223" s="1079"/>
      <c r="AX223" s="1079"/>
      <c r="AY223" s="1079"/>
      <c r="AZ223" s="1079"/>
      <c r="BA223" s="1079"/>
      <c r="BB223" s="1079"/>
      <c r="BC223" s="1079"/>
      <c r="BD223" s="1079"/>
      <c r="BE223" s="2054"/>
      <c r="BF223" s="2054"/>
      <c r="BG223" s="2054"/>
      <c r="BH223" s="2054"/>
      <c r="BW223" s="884"/>
      <c r="BX223" s="884"/>
      <c r="BY223" s="885"/>
      <c r="BZ223" s="885"/>
      <c r="CA223" s="885"/>
      <c r="CB223" s="2024" t="str">
        <f t="shared" si="330"/>
        <v xml:space="preserve">* El total de Reactivos NO DEBE ser superior al total de Procesados. </v>
      </c>
      <c r="CC223" s="2024" t="e">
        <f t="shared" si="331"/>
        <v>#VALUE!</v>
      </c>
      <c r="CD223" s="2024" t="e">
        <f t="shared" si="332"/>
        <v>#VALUE!</v>
      </c>
      <c r="CE223" s="2024" t="str">
        <f t="shared" si="333"/>
        <v xml:space="preserve">* La columna Pueblos Originarios NO DEBE ser superior al total de Procesados. </v>
      </c>
      <c r="CF223" s="2024" t="str">
        <f t="shared" si="334"/>
        <v xml:space="preserve">* La columna Migrantes NO DEBE ser superior al total de Procesados. </v>
      </c>
      <c r="CG223" s="2024" t="str">
        <f t="shared" si="335"/>
        <v xml:space="preserve">* Los exámenes Reactivos de 0 a 4 años años NO DEBEN ser mayor a los Exámenes Procesados de la misma edad. </v>
      </c>
      <c r="CH223" s="2024" t="str">
        <f t="shared" si="336"/>
        <v xml:space="preserve">* Los exámenes Reactivos de 5 a 9 años años NO DEBEN ser mayor a los Exámenes Procesados de la misma edad. </v>
      </c>
      <c r="CI223" s="2024" t="str">
        <f t="shared" si="337"/>
        <v xml:space="preserve">* Los exámenes Reactivos de 10 a 14 años años NO DEBEN ser mayor a los Exámenes Procesados de la misma edad. </v>
      </c>
      <c r="CJ223" s="2024" t="str">
        <f t="shared" si="338"/>
        <v xml:space="preserve">* Los exámenes Reactivos de 15 a 19 años años NO DEBEN ser mayor a los Exámenes Procesados de la misma edad. </v>
      </c>
      <c r="CK223" s="2024" t="str">
        <f t="shared" si="339"/>
        <v xml:space="preserve">* Los exámenes Reactivos de 20 a 24 años años NO DEBEN ser mayor a los Exámenes Procesados de la misma edad. </v>
      </c>
      <c r="CL223" s="2024" t="str">
        <f t="shared" si="340"/>
        <v xml:space="preserve">* Los exámenes Reactivos de 25 a 29 años años NO DEBEN ser mayor a los Exámenes Procesados de la misma edad. </v>
      </c>
      <c r="CM223" s="2024" t="str">
        <f t="shared" si="341"/>
        <v xml:space="preserve">* Los exámenes Reactivos de 30 a 34 años años NO DEBEN ser mayor a los Exámenes Procesados de la misma edad. </v>
      </c>
      <c r="CN223" s="2024" t="str">
        <f t="shared" si="342"/>
        <v xml:space="preserve">* Los exámenes Reactivos de 35 a 39 años años NO DEBEN ser mayor a los Exámenes Procesados de la misma edad. </v>
      </c>
      <c r="CO223" s="2024" t="str">
        <f t="shared" si="343"/>
        <v xml:space="preserve">* Los exámenes Reactivos de 40 a 44 años años NO DEBEN ser mayor a los Exámenes Procesados de la misma edad. </v>
      </c>
      <c r="CP223" s="2024" t="str">
        <f t="shared" si="344"/>
        <v xml:space="preserve">* Los exámenes Reactivos de 45 a 49 años años NO DEBEN ser mayor a los Exámenes Procesados de la misma edad. </v>
      </c>
      <c r="CQ223" s="2024" t="str">
        <f t="shared" si="345"/>
        <v xml:space="preserve">* Los exámenes Reactivos de 50 a 54 años años NO DEBEN ser mayor a los Exámenes Procesados de la misma edad. </v>
      </c>
      <c r="CR223" s="2024" t="str">
        <f t="shared" si="346"/>
        <v xml:space="preserve">* Los exámenes Reactivos de 55 a 59 años años NO DEBEN ser mayor a los Exámenes Procesados de la misma edad. </v>
      </c>
      <c r="CS223" s="2024" t="str">
        <f t="shared" si="347"/>
        <v xml:space="preserve">* Los exámenes Reactivos de 60 a 64 años años NO DEBEN ser mayor a los Exámenes Procesados de la misma edad. </v>
      </c>
      <c r="CT223" s="2024" t="str">
        <f t="shared" si="348"/>
        <v xml:space="preserve">* Los exámenes Reactivos de 65 a 69 años años NO DEBEN ser mayor a los Exámenes Procesados de la misma edad. </v>
      </c>
      <c r="CU223" s="2024" t="str">
        <f t="shared" si="349"/>
        <v xml:space="preserve">* Los exámenes Reactivos de 70 a 74 años años NO DEBEN ser mayor a los Exámenes Procesados de la misma edad. </v>
      </c>
      <c r="CV223" s="2024" t="str">
        <f t="shared" si="350"/>
        <v xml:space="preserve">* Los exámenes Reactivos de 75 a 79 años años NO DEBEN ser mayor a los Exámenes Procesados de la misma edad. </v>
      </c>
      <c r="CW223" s="2024" t="str">
        <f t="shared" si="351"/>
        <v xml:space="preserve">* Los exámenes Reactivos de 80 y más años años NO DEBEN ser mayor a los Exámenes Procesados de la misma edad. </v>
      </c>
      <c r="CX223" s="2024"/>
      <c r="CY223" s="2024"/>
      <c r="CZ223" s="2024"/>
      <c r="DA223" s="2024"/>
      <c r="DB223" s="1346">
        <f t="shared" si="352"/>
        <v>1</v>
      </c>
      <c r="DC223" s="1346" t="e">
        <f t="shared" si="353"/>
        <v>#VALUE!</v>
      </c>
      <c r="DD223" s="1346" t="e">
        <f t="shared" si="354"/>
        <v>#VALUE!</v>
      </c>
      <c r="DE223" s="1346">
        <f t="shared" si="355"/>
        <v>1</v>
      </c>
      <c r="DF223" s="1346">
        <f t="shared" si="356"/>
        <v>1</v>
      </c>
      <c r="DG223" s="1346">
        <f t="shared" si="357"/>
        <v>1</v>
      </c>
      <c r="DH223" s="1346">
        <f t="shared" si="358"/>
        <v>1</v>
      </c>
      <c r="DI223" s="1346">
        <f t="shared" si="359"/>
        <v>1</v>
      </c>
      <c r="DJ223" s="1346">
        <f t="shared" si="360"/>
        <v>1</v>
      </c>
      <c r="DK223" s="1346">
        <f t="shared" si="361"/>
        <v>1</v>
      </c>
      <c r="DL223" s="1346">
        <f t="shared" si="362"/>
        <v>1</v>
      </c>
      <c r="DM223" s="1346">
        <f t="shared" si="363"/>
        <v>1</v>
      </c>
      <c r="DN223" s="1346">
        <f t="shared" si="364"/>
        <v>1</v>
      </c>
      <c r="DO223" s="1346">
        <f t="shared" si="365"/>
        <v>1</v>
      </c>
      <c r="DP223" s="1346">
        <f t="shared" si="366"/>
        <v>1</v>
      </c>
      <c r="DQ223" s="1346">
        <f t="shared" si="367"/>
        <v>1</v>
      </c>
      <c r="DR223" s="1346">
        <f t="shared" si="368"/>
        <v>1</v>
      </c>
      <c r="DS223" s="1346">
        <f t="shared" si="369"/>
        <v>1</v>
      </c>
      <c r="DT223" s="1346">
        <f t="shared" si="370"/>
        <v>1</v>
      </c>
      <c r="DU223" s="1346">
        <f t="shared" si="371"/>
        <v>1</v>
      </c>
      <c r="DV223" s="1346">
        <f t="shared" si="372"/>
        <v>1</v>
      </c>
      <c r="DW223" s="1346">
        <f t="shared" si="373"/>
        <v>1</v>
      </c>
      <c r="DX223" s="1346"/>
      <c r="DY223" s="1346"/>
      <c r="DZ223" s="1346"/>
      <c r="EA223" s="1346">
        <v>0</v>
      </c>
    </row>
    <row r="224" spans="1:131" s="783" customFormat="1" ht="15.95" customHeight="1" x14ac:dyDescent="0.25">
      <c r="A224" s="2458">
        <v>11056476</v>
      </c>
      <c r="B224" s="1905" t="s">
        <v>2332</v>
      </c>
      <c r="C224" s="707" t="s">
        <v>2777</v>
      </c>
      <c r="D224" s="281" t="s">
        <v>2778</v>
      </c>
      <c r="E224" s="180" t="s">
        <v>2779</v>
      </c>
      <c r="F224" s="142" t="s">
        <v>2780</v>
      </c>
      <c r="G224" s="141" t="s">
        <v>2781</v>
      </c>
      <c r="H224" s="142" t="s">
        <v>2782</v>
      </c>
      <c r="I224" s="141" t="s">
        <v>2783</v>
      </c>
      <c r="J224" s="142" t="s">
        <v>2784</v>
      </c>
      <c r="K224" s="141" t="s">
        <v>2785</v>
      </c>
      <c r="L224" s="142" t="s">
        <v>2786</v>
      </c>
      <c r="M224" s="141" t="s">
        <v>2787</v>
      </c>
      <c r="N224" s="142" t="s">
        <v>2788</v>
      </c>
      <c r="O224" s="141" t="s">
        <v>2789</v>
      </c>
      <c r="P224" s="142" t="s">
        <v>2790</v>
      </c>
      <c r="Q224" s="141" t="s">
        <v>2791</v>
      </c>
      <c r="R224" s="142" t="s">
        <v>2792</v>
      </c>
      <c r="S224" s="141" t="s">
        <v>2793</v>
      </c>
      <c r="T224" s="142" t="s">
        <v>2794</v>
      </c>
      <c r="U224" s="141" t="s">
        <v>2795</v>
      </c>
      <c r="V224" s="142" t="s">
        <v>2796</v>
      </c>
      <c r="W224" s="141" t="s">
        <v>2797</v>
      </c>
      <c r="X224" s="142" t="s">
        <v>2798</v>
      </c>
      <c r="Y224" s="141" t="s">
        <v>2799</v>
      </c>
      <c r="Z224" s="142" t="s">
        <v>2800</v>
      </c>
      <c r="AA224" s="141" t="s">
        <v>2801</v>
      </c>
      <c r="AB224" s="142" t="s">
        <v>2817</v>
      </c>
      <c r="AC224" s="141" t="s">
        <v>2818</v>
      </c>
      <c r="AD224" s="142" t="s">
        <v>2819</v>
      </c>
      <c r="AE224" s="141" t="s">
        <v>2821</v>
      </c>
      <c r="AF224" s="142" t="s">
        <v>2822</v>
      </c>
      <c r="AG224" s="141" t="s">
        <v>2823</v>
      </c>
      <c r="AH224" s="142" t="s">
        <v>2824</v>
      </c>
      <c r="AI224" s="141" t="s">
        <v>2825</v>
      </c>
      <c r="AJ224" s="142" t="s">
        <v>2826</v>
      </c>
      <c r="AK224" s="141" t="s">
        <v>2827</v>
      </c>
      <c r="AL224" s="318" t="s">
        <v>2831</v>
      </c>
      <c r="AM224" s="180" t="s">
        <v>2832</v>
      </c>
      <c r="AN224" s="318" t="s">
        <v>2833</v>
      </c>
      <c r="AO224" s="180" t="s">
        <v>2834</v>
      </c>
      <c r="AP224" s="198" t="s">
        <v>3011</v>
      </c>
      <c r="AQ224" s="141" t="s">
        <v>3012</v>
      </c>
      <c r="AR224" s="164" t="s">
        <v>3013</v>
      </c>
      <c r="AS224" s="1057"/>
      <c r="AT224" s="1079"/>
      <c r="AU224" s="2063"/>
      <c r="AV224" s="2063"/>
      <c r="AW224" s="1079"/>
      <c r="AX224" s="1079"/>
      <c r="AY224" s="1079"/>
      <c r="AZ224" s="1079"/>
      <c r="BA224" s="1079"/>
      <c r="BB224" s="1079"/>
      <c r="BC224" s="1079"/>
      <c r="BD224" s="1079"/>
      <c r="BE224" s="2054"/>
      <c r="BF224" s="2054"/>
      <c r="BG224" s="2054"/>
      <c r="BH224" s="2054"/>
      <c r="BW224" s="884"/>
      <c r="BX224" s="884"/>
      <c r="BY224" s="885"/>
      <c r="BZ224" s="885"/>
      <c r="CA224" s="885"/>
      <c r="CB224" s="2024" t="str">
        <f t="shared" si="330"/>
        <v xml:space="preserve">* El total de Reactivos NO DEBE ser superior al total de Procesados. </v>
      </c>
      <c r="CC224" s="2024" t="e">
        <f t="shared" si="331"/>
        <v>#VALUE!</v>
      </c>
      <c r="CD224" s="2024" t="e">
        <f t="shared" si="332"/>
        <v>#VALUE!</v>
      </c>
      <c r="CE224" s="2024" t="str">
        <f t="shared" si="333"/>
        <v xml:space="preserve">* La columna Pueblos Originarios NO DEBE ser superior al total de Procesados. </v>
      </c>
      <c r="CF224" s="2024" t="str">
        <f t="shared" si="334"/>
        <v xml:space="preserve">* La columna Migrantes NO DEBE ser superior al total de Procesados. </v>
      </c>
      <c r="CG224" s="2024" t="str">
        <f t="shared" si="335"/>
        <v xml:space="preserve">* Los exámenes Reactivos de 0 a 4 años años NO DEBEN ser mayor a los Exámenes Procesados de la misma edad. </v>
      </c>
      <c r="CH224" s="2024" t="str">
        <f t="shared" si="336"/>
        <v xml:space="preserve">* Los exámenes Reactivos de 5 a 9 años años NO DEBEN ser mayor a los Exámenes Procesados de la misma edad. </v>
      </c>
      <c r="CI224" s="2024" t="str">
        <f t="shared" si="337"/>
        <v xml:space="preserve">* Los exámenes Reactivos de 10 a 14 años años NO DEBEN ser mayor a los Exámenes Procesados de la misma edad. </v>
      </c>
      <c r="CJ224" s="2024" t="str">
        <f t="shared" si="338"/>
        <v xml:space="preserve">* Los exámenes Reactivos de 15 a 19 años años NO DEBEN ser mayor a los Exámenes Procesados de la misma edad. </v>
      </c>
      <c r="CK224" s="2024" t="str">
        <f t="shared" si="339"/>
        <v xml:space="preserve">* Los exámenes Reactivos de 20 a 24 años años NO DEBEN ser mayor a los Exámenes Procesados de la misma edad. </v>
      </c>
      <c r="CL224" s="2024" t="str">
        <f t="shared" si="340"/>
        <v xml:space="preserve">* Los exámenes Reactivos de 25 a 29 años años NO DEBEN ser mayor a los Exámenes Procesados de la misma edad. </v>
      </c>
      <c r="CM224" s="2024" t="str">
        <f t="shared" si="341"/>
        <v xml:space="preserve">* Los exámenes Reactivos de 30 a 34 años años NO DEBEN ser mayor a los Exámenes Procesados de la misma edad. </v>
      </c>
      <c r="CN224" s="2024" t="str">
        <f t="shared" si="342"/>
        <v xml:space="preserve">* Los exámenes Reactivos de 35 a 39 años años NO DEBEN ser mayor a los Exámenes Procesados de la misma edad. </v>
      </c>
      <c r="CO224" s="2024" t="str">
        <f t="shared" si="343"/>
        <v xml:space="preserve">* Los exámenes Reactivos de 40 a 44 años años NO DEBEN ser mayor a los Exámenes Procesados de la misma edad. </v>
      </c>
      <c r="CP224" s="2024" t="str">
        <f t="shared" si="344"/>
        <v xml:space="preserve">* Los exámenes Reactivos de 45 a 49 años años NO DEBEN ser mayor a los Exámenes Procesados de la misma edad. </v>
      </c>
      <c r="CQ224" s="2024" t="str">
        <f t="shared" si="345"/>
        <v xml:space="preserve">* Los exámenes Reactivos de 50 a 54 años años NO DEBEN ser mayor a los Exámenes Procesados de la misma edad. </v>
      </c>
      <c r="CR224" s="2024" t="str">
        <f t="shared" si="346"/>
        <v xml:space="preserve">* Los exámenes Reactivos de 55 a 59 años años NO DEBEN ser mayor a los Exámenes Procesados de la misma edad. </v>
      </c>
      <c r="CS224" s="2024" t="str">
        <f t="shared" si="347"/>
        <v xml:space="preserve">* Los exámenes Reactivos de 60 a 64 años años NO DEBEN ser mayor a los Exámenes Procesados de la misma edad. </v>
      </c>
      <c r="CT224" s="2024" t="str">
        <f t="shared" si="348"/>
        <v xml:space="preserve">* Los exámenes Reactivos de 65 a 69 años años NO DEBEN ser mayor a los Exámenes Procesados de la misma edad. </v>
      </c>
      <c r="CU224" s="2024" t="str">
        <f t="shared" si="349"/>
        <v xml:space="preserve">* Los exámenes Reactivos de 70 a 74 años años NO DEBEN ser mayor a los Exámenes Procesados de la misma edad. </v>
      </c>
      <c r="CV224" s="2024" t="str">
        <f t="shared" si="350"/>
        <v xml:space="preserve">* Los exámenes Reactivos de 75 a 79 años años NO DEBEN ser mayor a los Exámenes Procesados de la misma edad. </v>
      </c>
      <c r="CW224" s="2024" t="str">
        <f t="shared" si="351"/>
        <v xml:space="preserve">* Los exámenes Reactivos de 80 y más años años NO DEBEN ser mayor a los Exámenes Procesados de la misma edad. </v>
      </c>
      <c r="CX224" s="2024"/>
      <c r="CY224" s="2024"/>
      <c r="CZ224" s="2024"/>
      <c r="DA224" s="2024"/>
      <c r="DB224" s="1346">
        <f t="shared" si="352"/>
        <v>1</v>
      </c>
      <c r="DC224" s="1346" t="e">
        <f t="shared" si="353"/>
        <v>#VALUE!</v>
      </c>
      <c r="DD224" s="1346" t="e">
        <f t="shared" si="354"/>
        <v>#VALUE!</v>
      </c>
      <c r="DE224" s="1346">
        <f t="shared" si="355"/>
        <v>1</v>
      </c>
      <c r="DF224" s="1346">
        <f t="shared" si="356"/>
        <v>1</v>
      </c>
      <c r="DG224" s="1346">
        <f t="shared" si="357"/>
        <v>1</v>
      </c>
      <c r="DH224" s="1346">
        <f t="shared" si="358"/>
        <v>1</v>
      </c>
      <c r="DI224" s="1346">
        <f t="shared" si="359"/>
        <v>1</v>
      </c>
      <c r="DJ224" s="1346">
        <f t="shared" si="360"/>
        <v>1</v>
      </c>
      <c r="DK224" s="1346">
        <f t="shared" si="361"/>
        <v>1</v>
      </c>
      <c r="DL224" s="1346">
        <f t="shared" si="362"/>
        <v>1</v>
      </c>
      <c r="DM224" s="1346">
        <f t="shared" si="363"/>
        <v>1</v>
      </c>
      <c r="DN224" s="1346">
        <f t="shared" si="364"/>
        <v>1</v>
      </c>
      <c r="DO224" s="1346">
        <f t="shared" si="365"/>
        <v>1</v>
      </c>
      <c r="DP224" s="1346">
        <f t="shared" si="366"/>
        <v>1</v>
      </c>
      <c r="DQ224" s="1346">
        <f t="shared" si="367"/>
        <v>1</v>
      </c>
      <c r="DR224" s="1346">
        <f t="shared" si="368"/>
        <v>1</v>
      </c>
      <c r="DS224" s="1346">
        <f t="shared" si="369"/>
        <v>1</v>
      </c>
      <c r="DT224" s="1346">
        <f t="shared" si="370"/>
        <v>1</v>
      </c>
      <c r="DU224" s="1346">
        <f t="shared" si="371"/>
        <v>1</v>
      </c>
      <c r="DV224" s="1346">
        <f t="shared" si="372"/>
        <v>1</v>
      </c>
      <c r="DW224" s="1346">
        <f t="shared" si="373"/>
        <v>1</v>
      </c>
      <c r="DX224" s="1346"/>
      <c r="DY224" s="1346"/>
      <c r="DZ224" s="1346"/>
      <c r="EA224" s="1346">
        <v>0</v>
      </c>
    </row>
    <row r="225" spans="1:131" s="783" customFormat="1" ht="16.350000000000001" customHeight="1" x14ac:dyDescent="0.25">
      <c r="A225" s="2458">
        <v>11056477</v>
      </c>
      <c r="B225" s="1926" t="s">
        <v>2333</v>
      </c>
      <c r="C225" s="707" t="s">
        <v>2777</v>
      </c>
      <c r="D225" s="281" t="s">
        <v>2778</v>
      </c>
      <c r="E225" s="180" t="s">
        <v>2779</v>
      </c>
      <c r="F225" s="142" t="s">
        <v>2780</v>
      </c>
      <c r="G225" s="141" t="s">
        <v>2781</v>
      </c>
      <c r="H225" s="142" t="s">
        <v>2782</v>
      </c>
      <c r="I225" s="141" t="s">
        <v>2783</v>
      </c>
      <c r="J225" s="142" t="s">
        <v>2784</v>
      </c>
      <c r="K225" s="141" t="s">
        <v>2785</v>
      </c>
      <c r="L225" s="142" t="s">
        <v>2786</v>
      </c>
      <c r="M225" s="141" t="s">
        <v>2787</v>
      </c>
      <c r="N225" s="142" t="s">
        <v>2788</v>
      </c>
      <c r="O225" s="141" t="s">
        <v>2789</v>
      </c>
      <c r="P225" s="142" t="s">
        <v>2790</v>
      </c>
      <c r="Q225" s="141" t="s">
        <v>2791</v>
      </c>
      <c r="R225" s="142" t="s">
        <v>2792</v>
      </c>
      <c r="S225" s="141" t="s">
        <v>2793</v>
      </c>
      <c r="T225" s="142" t="s">
        <v>2794</v>
      </c>
      <c r="U225" s="141" t="s">
        <v>2795</v>
      </c>
      <c r="V225" s="142" t="s">
        <v>2796</v>
      </c>
      <c r="W225" s="141" t="s">
        <v>2797</v>
      </c>
      <c r="X225" s="142" t="s">
        <v>2798</v>
      </c>
      <c r="Y225" s="141" t="s">
        <v>2799</v>
      </c>
      <c r="Z225" s="142" t="s">
        <v>2800</v>
      </c>
      <c r="AA225" s="141" t="s">
        <v>2801</v>
      </c>
      <c r="AB225" s="142" t="s">
        <v>2817</v>
      </c>
      <c r="AC225" s="141" t="s">
        <v>2818</v>
      </c>
      <c r="AD225" s="142" t="s">
        <v>2819</v>
      </c>
      <c r="AE225" s="141" t="s">
        <v>2821</v>
      </c>
      <c r="AF225" s="142" t="s">
        <v>2822</v>
      </c>
      <c r="AG225" s="141" t="s">
        <v>2823</v>
      </c>
      <c r="AH225" s="142" t="s">
        <v>2824</v>
      </c>
      <c r="AI225" s="141" t="s">
        <v>2825</v>
      </c>
      <c r="AJ225" s="142" t="s">
        <v>2826</v>
      </c>
      <c r="AK225" s="141" t="s">
        <v>2827</v>
      </c>
      <c r="AL225" s="318" t="s">
        <v>2831</v>
      </c>
      <c r="AM225" s="180" t="s">
        <v>2832</v>
      </c>
      <c r="AN225" s="318" t="s">
        <v>2833</v>
      </c>
      <c r="AO225" s="180" t="s">
        <v>2834</v>
      </c>
      <c r="AP225" s="198" t="s">
        <v>3011</v>
      </c>
      <c r="AQ225" s="141" t="s">
        <v>3012</v>
      </c>
      <c r="AR225" s="164" t="s">
        <v>3013</v>
      </c>
      <c r="AS225" s="1057"/>
      <c r="AT225" s="1079"/>
      <c r="AU225" s="2063"/>
      <c r="AV225" s="2063"/>
      <c r="AW225" s="1079"/>
      <c r="AX225" s="1079"/>
      <c r="AY225" s="1079"/>
      <c r="AZ225" s="1079"/>
      <c r="BA225" s="1079"/>
      <c r="BB225" s="1079"/>
      <c r="BC225" s="1079"/>
      <c r="BD225" s="1079"/>
      <c r="BE225" s="2054"/>
      <c r="BF225" s="2054"/>
      <c r="BG225" s="2054"/>
      <c r="BH225" s="2054"/>
      <c r="BW225" s="884"/>
      <c r="BX225" s="884"/>
      <c r="BY225" s="885"/>
      <c r="BZ225" s="885"/>
      <c r="CA225" s="885"/>
      <c r="CB225" s="2024" t="str">
        <f t="shared" si="330"/>
        <v xml:space="preserve">* El total de Reactivos NO DEBE ser superior al total de Procesados. </v>
      </c>
      <c r="CC225" s="2024" t="e">
        <f t="shared" si="331"/>
        <v>#VALUE!</v>
      </c>
      <c r="CD225" s="2024" t="e">
        <f t="shared" si="332"/>
        <v>#VALUE!</v>
      </c>
      <c r="CE225" s="2024" t="str">
        <f t="shared" si="333"/>
        <v xml:space="preserve">* La columna Pueblos Originarios NO DEBE ser superior al total de Procesados. </v>
      </c>
      <c r="CF225" s="2024" t="str">
        <f t="shared" si="334"/>
        <v xml:space="preserve">* La columna Migrantes NO DEBE ser superior al total de Procesados. </v>
      </c>
      <c r="CG225" s="2024" t="str">
        <f t="shared" si="335"/>
        <v xml:space="preserve">* Los exámenes Reactivos de 0 a 4 años años NO DEBEN ser mayor a los Exámenes Procesados de la misma edad. </v>
      </c>
      <c r="CH225" s="2024" t="str">
        <f t="shared" si="336"/>
        <v xml:space="preserve">* Los exámenes Reactivos de 5 a 9 años años NO DEBEN ser mayor a los Exámenes Procesados de la misma edad. </v>
      </c>
      <c r="CI225" s="2024" t="str">
        <f t="shared" si="337"/>
        <v xml:space="preserve">* Los exámenes Reactivos de 10 a 14 años años NO DEBEN ser mayor a los Exámenes Procesados de la misma edad. </v>
      </c>
      <c r="CJ225" s="2024" t="str">
        <f t="shared" si="338"/>
        <v xml:space="preserve">* Los exámenes Reactivos de 15 a 19 años años NO DEBEN ser mayor a los Exámenes Procesados de la misma edad. </v>
      </c>
      <c r="CK225" s="2024" t="str">
        <f t="shared" si="339"/>
        <v xml:space="preserve">* Los exámenes Reactivos de 20 a 24 años años NO DEBEN ser mayor a los Exámenes Procesados de la misma edad. </v>
      </c>
      <c r="CL225" s="2024" t="str">
        <f t="shared" si="340"/>
        <v xml:space="preserve">* Los exámenes Reactivos de 25 a 29 años años NO DEBEN ser mayor a los Exámenes Procesados de la misma edad. </v>
      </c>
      <c r="CM225" s="2024" t="str">
        <f t="shared" si="341"/>
        <v xml:space="preserve">* Los exámenes Reactivos de 30 a 34 años años NO DEBEN ser mayor a los Exámenes Procesados de la misma edad. </v>
      </c>
      <c r="CN225" s="2024" t="str">
        <f t="shared" si="342"/>
        <v xml:space="preserve">* Los exámenes Reactivos de 35 a 39 años años NO DEBEN ser mayor a los Exámenes Procesados de la misma edad. </v>
      </c>
      <c r="CO225" s="2024" t="str">
        <f t="shared" si="343"/>
        <v xml:space="preserve">* Los exámenes Reactivos de 40 a 44 años años NO DEBEN ser mayor a los Exámenes Procesados de la misma edad. </v>
      </c>
      <c r="CP225" s="2024" t="str">
        <f t="shared" si="344"/>
        <v xml:space="preserve">* Los exámenes Reactivos de 45 a 49 años años NO DEBEN ser mayor a los Exámenes Procesados de la misma edad. </v>
      </c>
      <c r="CQ225" s="2024" t="str">
        <f t="shared" si="345"/>
        <v xml:space="preserve">* Los exámenes Reactivos de 50 a 54 años años NO DEBEN ser mayor a los Exámenes Procesados de la misma edad. </v>
      </c>
      <c r="CR225" s="2024" t="str">
        <f t="shared" si="346"/>
        <v xml:space="preserve">* Los exámenes Reactivos de 55 a 59 años años NO DEBEN ser mayor a los Exámenes Procesados de la misma edad. </v>
      </c>
      <c r="CS225" s="2024" t="str">
        <f t="shared" si="347"/>
        <v xml:space="preserve">* Los exámenes Reactivos de 60 a 64 años años NO DEBEN ser mayor a los Exámenes Procesados de la misma edad. </v>
      </c>
      <c r="CT225" s="2024" t="str">
        <f t="shared" si="348"/>
        <v xml:space="preserve">* Los exámenes Reactivos de 65 a 69 años años NO DEBEN ser mayor a los Exámenes Procesados de la misma edad. </v>
      </c>
      <c r="CU225" s="2024" t="str">
        <f t="shared" si="349"/>
        <v xml:space="preserve">* Los exámenes Reactivos de 70 a 74 años años NO DEBEN ser mayor a los Exámenes Procesados de la misma edad. </v>
      </c>
      <c r="CV225" s="2024" t="str">
        <f t="shared" si="350"/>
        <v xml:space="preserve">* Los exámenes Reactivos de 75 a 79 años años NO DEBEN ser mayor a los Exámenes Procesados de la misma edad. </v>
      </c>
      <c r="CW225" s="2024" t="str">
        <f t="shared" si="351"/>
        <v xml:space="preserve">* Los exámenes Reactivos de 80 y más años años NO DEBEN ser mayor a los Exámenes Procesados de la misma edad. </v>
      </c>
      <c r="CX225" s="2024"/>
      <c r="CY225" s="2024"/>
      <c r="CZ225" s="2024"/>
      <c r="DA225" s="2024"/>
      <c r="DB225" s="1346">
        <f t="shared" si="352"/>
        <v>1</v>
      </c>
      <c r="DC225" s="1346" t="e">
        <f t="shared" si="353"/>
        <v>#VALUE!</v>
      </c>
      <c r="DD225" s="1346" t="e">
        <f t="shared" si="354"/>
        <v>#VALUE!</v>
      </c>
      <c r="DE225" s="1346">
        <f t="shared" si="355"/>
        <v>1</v>
      </c>
      <c r="DF225" s="1346">
        <f t="shared" si="356"/>
        <v>1</v>
      </c>
      <c r="DG225" s="1346">
        <f t="shared" si="357"/>
        <v>1</v>
      </c>
      <c r="DH225" s="1346">
        <f t="shared" si="358"/>
        <v>1</v>
      </c>
      <c r="DI225" s="1346">
        <f t="shared" si="359"/>
        <v>1</v>
      </c>
      <c r="DJ225" s="1346">
        <f t="shared" si="360"/>
        <v>1</v>
      </c>
      <c r="DK225" s="1346">
        <f t="shared" si="361"/>
        <v>1</v>
      </c>
      <c r="DL225" s="1346">
        <f t="shared" si="362"/>
        <v>1</v>
      </c>
      <c r="DM225" s="1346">
        <f t="shared" si="363"/>
        <v>1</v>
      </c>
      <c r="DN225" s="1346">
        <f t="shared" si="364"/>
        <v>1</v>
      </c>
      <c r="DO225" s="1346">
        <f t="shared" si="365"/>
        <v>1</v>
      </c>
      <c r="DP225" s="1346">
        <f t="shared" si="366"/>
        <v>1</v>
      </c>
      <c r="DQ225" s="1346">
        <f t="shared" si="367"/>
        <v>1</v>
      </c>
      <c r="DR225" s="1346">
        <f t="shared" si="368"/>
        <v>1</v>
      </c>
      <c r="DS225" s="1346">
        <f t="shared" si="369"/>
        <v>1</v>
      </c>
      <c r="DT225" s="1346">
        <f t="shared" si="370"/>
        <v>1</v>
      </c>
      <c r="DU225" s="1346">
        <f t="shared" si="371"/>
        <v>1</v>
      </c>
      <c r="DV225" s="1346">
        <f t="shared" si="372"/>
        <v>1</v>
      </c>
      <c r="DW225" s="1346">
        <f t="shared" si="373"/>
        <v>1</v>
      </c>
      <c r="DX225" s="1346"/>
      <c r="DY225" s="1346"/>
      <c r="DZ225" s="1346"/>
      <c r="EA225" s="1346">
        <v>0</v>
      </c>
    </row>
    <row r="226" spans="1:131" s="783" customFormat="1" ht="16.350000000000001" customHeight="1" x14ac:dyDescent="0.25">
      <c r="A226" s="2458">
        <v>11056478</v>
      </c>
      <c r="B226" s="1906" t="s">
        <v>318</v>
      </c>
      <c r="C226" s="587" t="s">
        <v>2777</v>
      </c>
      <c r="D226" s="1853" t="s">
        <v>2778</v>
      </c>
      <c r="E226" s="126" t="s">
        <v>2779</v>
      </c>
      <c r="F226" s="102" t="s">
        <v>2780</v>
      </c>
      <c r="G226" s="166" t="s">
        <v>2781</v>
      </c>
      <c r="H226" s="102" t="s">
        <v>2782</v>
      </c>
      <c r="I226" s="166" t="s">
        <v>2783</v>
      </c>
      <c r="J226" s="102" t="s">
        <v>2784</v>
      </c>
      <c r="K226" s="166" t="s">
        <v>2785</v>
      </c>
      <c r="L226" s="102" t="s">
        <v>2786</v>
      </c>
      <c r="M226" s="166" t="s">
        <v>2787</v>
      </c>
      <c r="N226" s="102" t="s">
        <v>2788</v>
      </c>
      <c r="O226" s="166" t="s">
        <v>2789</v>
      </c>
      <c r="P226" s="102" t="s">
        <v>2790</v>
      </c>
      <c r="Q226" s="166" t="s">
        <v>2791</v>
      </c>
      <c r="R226" s="102" t="s">
        <v>2792</v>
      </c>
      <c r="S226" s="166" t="s">
        <v>2793</v>
      </c>
      <c r="T226" s="102" t="s">
        <v>2794</v>
      </c>
      <c r="U226" s="166" t="s">
        <v>2795</v>
      </c>
      <c r="V226" s="102" t="s">
        <v>2796</v>
      </c>
      <c r="W226" s="166" t="s">
        <v>2797</v>
      </c>
      <c r="X226" s="102" t="s">
        <v>2798</v>
      </c>
      <c r="Y226" s="166" t="s">
        <v>2799</v>
      </c>
      <c r="Z226" s="102" t="s">
        <v>2800</v>
      </c>
      <c r="AA226" s="166" t="s">
        <v>2801</v>
      </c>
      <c r="AB226" s="102" t="s">
        <v>2817</v>
      </c>
      <c r="AC226" s="166" t="s">
        <v>2818</v>
      </c>
      <c r="AD226" s="102" t="s">
        <v>2819</v>
      </c>
      <c r="AE226" s="166" t="s">
        <v>2821</v>
      </c>
      <c r="AF226" s="102" t="s">
        <v>2822</v>
      </c>
      <c r="AG226" s="166" t="s">
        <v>2823</v>
      </c>
      <c r="AH226" s="102" t="s">
        <v>2824</v>
      </c>
      <c r="AI226" s="166" t="s">
        <v>2825</v>
      </c>
      <c r="AJ226" s="102" t="s">
        <v>2826</v>
      </c>
      <c r="AK226" s="166" t="s">
        <v>2827</v>
      </c>
      <c r="AL226" s="319" t="s">
        <v>2831</v>
      </c>
      <c r="AM226" s="126" t="s">
        <v>2832</v>
      </c>
      <c r="AN226" s="319" t="s">
        <v>2833</v>
      </c>
      <c r="AO226" s="126" t="s">
        <v>2834</v>
      </c>
      <c r="AP226" s="168" t="s">
        <v>3011</v>
      </c>
      <c r="AQ226" s="166" t="s">
        <v>3012</v>
      </c>
      <c r="AR226" s="105" t="s">
        <v>3013</v>
      </c>
      <c r="AS226" s="1057"/>
      <c r="AT226" s="1079"/>
      <c r="AU226" s="2063"/>
      <c r="AV226" s="2063"/>
      <c r="AW226" s="1079"/>
      <c r="AX226" s="1079"/>
      <c r="AY226" s="1079"/>
      <c r="AZ226" s="1079"/>
      <c r="BA226" s="1079"/>
      <c r="BB226" s="1079"/>
      <c r="BC226" s="1079"/>
      <c r="BD226" s="1079"/>
      <c r="BE226" s="2054"/>
      <c r="BF226" s="2054"/>
      <c r="BG226" s="2054"/>
      <c r="BH226" s="2054"/>
      <c r="BW226" s="884"/>
      <c r="BX226" s="884"/>
      <c r="BY226" s="885"/>
      <c r="BZ226" s="885"/>
      <c r="CA226" s="885"/>
      <c r="CB226" s="2024" t="str">
        <f t="shared" si="330"/>
        <v xml:space="preserve">* El total de Reactivos NO DEBE ser superior al total de Procesados. </v>
      </c>
      <c r="CC226" s="2024" t="e">
        <f t="shared" si="331"/>
        <v>#VALUE!</v>
      </c>
      <c r="CD226" s="2024" t="e">
        <f t="shared" si="332"/>
        <v>#VALUE!</v>
      </c>
      <c r="CE226" s="2024" t="str">
        <f t="shared" si="333"/>
        <v xml:space="preserve">* La columna Pueblos Originarios NO DEBE ser superior al total de Procesados. </v>
      </c>
      <c r="CF226" s="2024" t="str">
        <f t="shared" si="334"/>
        <v xml:space="preserve">* La columna Migrantes NO DEBE ser superior al total de Procesados. </v>
      </c>
      <c r="CG226" s="2024" t="str">
        <f t="shared" si="335"/>
        <v xml:space="preserve">* Los exámenes Reactivos de 0 a 4 años años NO DEBEN ser mayor a los Exámenes Procesados de la misma edad. </v>
      </c>
      <c r="CH226" s="2024" t="str">
        <f t="shared" si="336"/>
        <v xml:space="preserve">* Los exámenes Reactivos de 5 a 9 años años NO DEBEN ser mayor a los Exámenes Procesados de la misma edad. </v>
      </c>
      <c r="CI226" s="2024" t="str">
        <f t="shared" si="337"/>
        <v xml:space="preserve">* Los exámenes Reactivos de 10 a 14 años años NO DEBEN ser mayor a los Exámenes Procesados de la misma edad. </v>
      </c>
      <c r="CJ226" s="2024" t="str">
        <f t="shared" si="338"/>
        <v xml:space="preserve">* Los exámenes Reactivos de 15 a 19 años años NO DEBEN ser mayor a los Exámenes Procesados de la misma edad. </v>
      </c>
      <c r="CK226" s="2024" t="str">
        <f t="shared" si="339"/>
        <v xml:space="preserve">* Los exámenes Reactivos de 20 a 24 años años NO DEBEN ser mayor a los Exámenes Procesados de la misma edad. </v>
      </c>
      <c r="CL226" s="2024" t="str">
        <f t="shared" si="340"/>
        <v xml:space="preserve">* Los exámenes Reactivos de 25 a 29 años años NO DEBEN ser mayor a los Exámenes Procesados de la misma edad. </v>
      </c>
      <c r="CM226" s="2024" t="str">
        <f t="shared" si="341"/>
        <v xml:space="preserve">* Los exámenes Reactivos de 30 a 34 años años NO DEBEN ser mayor a los Exámenes Procesados de la misma edad. </v>
      </c>
      <c r="CN226" s="2024" t="str">
        <f t="shared" si="342"/>
        <v xml:space="preserve">* Los exámenes Reactivos de 35 a 39 años años NO DEBEN ser mayor a los Exámenes Procesados de la misma edad. </v>
      </c>
      <c r="CO226" s="2024" t="str">
        <f t="shared" si="343"/>
        <v xml:space="preserve">* Los exámenes Reactivos de 40 a 44 años años NO DEBEN ser mayor a los Exámenes Procesados de la misma edad. </v>
      </c>
      <c r="CP226" s="2024" t="str">
        <f t="shared" si="344"/>
        <v xml:space="preserve">* Los exámenes Reactivos de 45 a 49 años años NO DEBEN ser mayor a los Exámenes Procesados de la misma edad. </v>
      </c>
      <c r="CQ226" s="2024" t="str">
        <f t="shared" si="345"/>
        <v xml:space="preserve">* Los exámenes Reactivos de 50 a 54 años años NO DEBEN ser mayor a los Exámenes Procesados de la misma edad. </v>
      </c>
      <c r="CR226" s="2024" t="str">
        <f t="shared" si="346"/>
        <v xml:space="preserve">* Los exámenes Reactivos de 55 a 59 años años NO DEBEN ser mayor a los Exámenes Procesados de la misma edad. </v>
      </c>
      <c r="CS226" s="2024" t="str">
        <f t="shared" si="347"/>
        <v xml:space="preserve">* Los exámenes Reactivos de 60 a 64 años años NO DEBEN ser mayor a los Exámenes Procesados de la misma edad. </v>
      </c>
      <c r="CT226" s="2024" t="str">
        <f t="shared" si="348"/>
        <v xml:space="preserve">* Los exámenes Reactivos de 65 a 69 años años NO DEBEN ser mayor a los Exámenes Procesados de la misma edad. </v>
      </c>
      <c r="CU226" s="2024" t="str">
        <f t="shared" si="349"/>
        <v xml:space="preserve">* Los exámenes Reactivos de 70 a 74 años años NO DEBEN ser mayor a los Exámenes Procesados de la misma edad. </v>
      </c>
      <c r="CV226" s="2024" t="str">
        <f t="shared" si="350"/>
        <v xml:space="preserve">* Los exámenes Reactivos de 75 a 79 años años NO DEBEN ser mayor a los Exámenes Procesados de la misma edad. </v>
      </c>
      <c r="CW226" s="2024" t="str">
        <f t="shared" si="351"/>
        <v xml:space="preserve">* Los exámenes Reactivos de 80 y más años años NO DEBEN ser mayor a los Exámenes Procesados de la misma edad. </v>
      </c>
      <c r="CX226" s="2024"/>
      <c r="CY226" s="2024"/>
      <c r="CZ226" s="2024"/>
      <c r="DA226" s="2024"/>
      <c r="DB226" s="1346">
        <f t="shared" si="352"/>
        <v>1</v>
      </c>
      <c r="DC226" s="1346" t="e">
        <f t="shared" si="353"/>
        <v>#VALUE!</v>
      </c>
      <c r="DD226" s="1346" t="e">
        <f t="shared" si="354"/>
        <v>#VALUE!</v>
      </c>
      <c r="DE226" s="1346">
        <f t="shared" si="355"/>
        <v>1</v>
      </c>
      <c r="DF226" s="1346">
        <f t="shared" si="356"/>
        <v>1</v>
      </c>
      <c r="DG226" s="1346">
        <f t="shared" si="357"/>
        <v>1</v>
      </c>
      <c r="DH226" s="1346">
        <f t="shared" si="358"/>
        <v>1</v>
      </c>
      <c r="DI226" s="1346">
        <f t="shared" si="359"/>
        <v>1</v>
      </c>
      <c r="DJ226" s="1346">
        <f t="shared" si="360"/>
        <v>1</v>
      </c>
      <c r="DK226" s="1346">
        <f t="shared" si="361"/>
        <v>1</v>
      </c>
      <c r="DL226" s="1346">
        <f t="shared" si="362"/>
        <v>1</v>
      </c>
      <c r="DM226" s="1346">
        <f t="shared" si="363"/>
        <v>1</v>
      </c>
      <c r="DN226" s="1346">
        <f t="shared" si="364"/>
        <v>1</v>
      </c>
      <c r="DO226" s="1346">
        <f t="shared" si="365"/>
        <v>1</v>
      </c>
      <c r="DP226" s="1346">
        <f t="shared" si="366"/>
        <v>1</v>
      </c>
      <c r="DQ226" s="1346">
        <f t="shared" si="367"/>
        <v>1</v>
      </c>
      <c r="DR226" s="1346">
        <f t="shared" si="368"/>
        <v>1</v>
      </c>
      <c r="DS226" s="1346">
        <f t="shared" si="369"/>
        <v>1</v>
      </c>
      <c r="DT226" s="1346">
        <f t="shared" si="370"/>
        <v>1</v>
      </c>
      <c r="DU226" s="1346">
        <f t="shared" si="371"/>
        <v>1</v>
      </c>
      <c r="DV226" s="1346">
        <f t="shared" si="372"/>
        <v>1</v>
      </c>
      <c r="DW226" s="1346">
        <f t="shared" si="373"/>
        <v>1</v>
      </c>
      <c r="DX226" s="1346"/>
      <c r="DY226" s="1346"/>
      <c r="DZ226" s="1346"/>
      <c r="EA226" s="1346">
        <v>0</v>
      </c>
    </row>
    <row r="227" spans="1:131" s="783" customFormat="1" ht="32.1" customHeight="1" x14ac:dyDescent="0.25">
      <c r="B227" s="2083" t="s">
        <v>2334</v>
      </c>
      <c r="Q227" s="2055"/>
      <c r="AQ227" s="2055"/>
      <c r="AS227" s="2035"/>
      <c r="AT227" s="2035"/>
      <c r="AU227" s="2054"/>
      <c r="AV227" s="2054"/>
      <c r="AW227" s="2054"/>
      <c r="AX227" s="2054"/>
      <c r="AY227" s="2054"/>
      <c r="AZ227" s="2054"/>
      <c r="BA227" s="2054"/>
      <c r="BB227" s="2054"/>
      <c r="BC227" s="2054"/>
      <c r="BD227" s="2054"/>
      <c r="BE227" s="2054"/>
      <c r="BF227" s="2054"/>
      <c r="BG227" s="2054"/>
      <c r="BH227" s="2054"/>
      <c r="BW227" s="884"/>
      <c r="BX227" s="884"/>
      <c r="BY227" s="885"/>
      <c r="BZ227" s="885"/>
      <c r="CA227" s="885"/>
      <c r="CB227" s="2024"/>
      <c r="CC227" s="2024"/>
      <c r="CD227" s="2024"/>
      <c r="CE227" s="2024"/>
      <c r="CF227" s="2024"/>
      <c r="CG227" s="2024"/>
      <c r="CH227" s="2024"/>
      <c r="CI227" s="2024"/>
      <c r="CJ227" s="2024"/>
      <c r="CK227" s="2024"/>
      <c r="CL227" s="2024"/>
      <c r="CM227" s="2024"/>
      <c r="CN227" s="2024"/>
      <c r="CO227" s="2024"/>
      <c r="CP227" s="2024"/>
      <c r="CQ227" s="2024"/>
      <c r="CR227" s="2024"/>
      <c r="CS227" s="2024"/>
      <c r="CT227" s="2024"/>
      <c r="CU227" s="2024"/>
      <c r="CV227" s="2024"/>
      <c r="CW227" s="2024"/>
      <c r="CX227" s="2024"/>
      <c r="CY227" s="2024"/>
      <c r="CZ227" s="2024"/>
      <c r="DA227" s="2024"/>
      <c r="DB227" s="1346"/>
      <c r="DC227" s="1346"/>
      <c r="DD227" s="1346"/>
      <c r="DE227" s="1346"/>
      <c r="DF227" s="1346"/>
      <c r="DG227" s="1346"/>
      <c r="DH227" s="1346"/>
      <c r="DI227" s="1346"/>
      <c r="DJ227" s="1346"/>
      <c r="DK227" s="1346"/>
      <c r="DL227" s="1346"/>
      <c r="DM227" s="1346"/>
      <c r="DN227" s="1346"/>
      <c r="DO227" s="1346"/>
      <c r="DP227" s="1346"/>
      <c r="DQ227" s="1346"/>
      <c r="DR227" s="1346"/>
      <c r="DS227" s="1346"/>
      <c r="DT227" s="1346"/>
      <c r="DU227" s="1346"/>
      <c r="DV227" s="1346"/>
      <c r="DW227" s="1346"/>
      <c r="DX227" s="1346"/>
      <c r="DY227" s="1346"/>
      <c r="DZ227" s="1346"/>
      <c r="EA227" s="1346"/>
    </row>
    <row r="228" spans="1:131" s="783" customFormat="1" ht="25.35" customHeight="1" x14ac:dyDescent="0.25">
      <c r="B228" s="6295" t="s">
        <v>2284</v>
      </c>
      <c r="C228" s="6272" t="s">
        <v>42</v>
      </c>
      <c r="D228" s="6272"/>
      <c r="E228" s="6272" t="s">
        <v>1865</v>
      </c>
      <c r="F228" s="6272"/>
      <c r="G228" s="6272"/>
      <c r="H228" s="6272"/>
      <c r="I228" s="6272"/>
      <c r="J228" s="6272"/>
      <c r="K228" s="6272"/>
      <c r="L228" s="6272"/>
      <c r="M228" s="6272"/>
      <c r="N228" s="6272"/>
      <c r="O228" s="6272"/>
      <c r="P228" s="6272"/>
      <c r="Q228" s="6272"/>
      <c r="R228" s="6272"/>
      <c r="S228" s="6272"/>
      <c r="T228" s="6272"/>
      <c r="U228" s="6272"/>
      <c r="V228" s="6272"/>
      <c r="W228" s="6272"/>
      <c r="X228" s="6272"/>
      <c r="Y228" s="6272"/>
      <c r="Z228" s="6272"/>
      <c r="AA228" s="6272"/>
      <c r="AB228" s="6272"/>
      <c r="AC228" s="6272"/>
      <c r="AD228" s="6272"/>
      <c r="AE228" s="6272"/>
      <c r="AF228" s="6272"/>
      <c r="AG228" s="6272"/>
      <c r="AH228" s="6272"/>
      <c r="AI228" s="6272"/>
      <c r="AJ228" s="6272"/>
      <c r="AK228" s="6272"/>
      <c r="AL228" s="6275"/>
      <c r="AM228" s="6278" t="s">
        <v>2256</v>
      </c>
      <c r="AN228" s="6279"/>
      <c r="AO228" s="5540" t="s">
        <v>411</v>
      </c>
      <c r="AP228" s="5167"/>
      <c r="AQ228" s="6271" t="s">
        <v>1359</v>
      </c>
      <c r="AR228" s="6271" t="s">
        <v>1358</v>
      </c>
      <c r="AS228" s="2035"/>
      <c r="AT228" s="2035"/>
      <c r="AU228" s="2054"/>
      <c r="AV228" s="2054"/>
      <c r="AW228" s="2054"/>
      <c r="AX228" s="2054"/>
      <c r="AY228" s="2054"/>
      <c r="AZ228" s="2054"/>
      <c r="BA228" s="2054"/>
      <c r="BB228" s="2054"/>
      <c r="BC228" s="2054"/>
      <c r="BD228" s="2054"/>
      <c r="BE228" s="2054"/>
      <c r="BF228" s="2054"/>
      <c r="BG228" s="2054"/>
      <c r="BH228" s="2054"/>
      <c r="BW228" s="884"/>
      <c r="BX228" s="884"/>
      <c r="BY228" s="885"/>
      <c r="BZ228" s="885"/>
      <c r="CA228" s="885"/>
      <c r="CB228" s="2024"/>
      <c r="CC228" s="2024"/>
      <c r="CD228" s="2024"/>
      <c r="CE228" s="2024"/>
      <c r="CF228" s="2024"/>
      <c r="CG228" s="2024"/>
      <c r="CH228" s="2024"/>
      <c r="CI228" s="2024"/>
      <c r="CJ228" s="2024"/>
      <c r="CK228" s="2024"/>
      <c r="CL228" s="2024"/>
      <c r="CM228" s="2024"/>
      <c r="CN228" s="2024"/>
      <c r="CO228" s="2024"/>
      <c r="CP228" s="2024"/>
      <c r="CQ228" s="2024"/>
      <c r="CR228" s="2024"/>
      <c r="CS228" s="2024"/>
      <c r="CT228" s="2024"/>
      <c r="CU228" s="2024"/>
      <c r="CV228" s="2024"/>
      <c r="CW228" s="2024"/>
      <c r="CX228" s="2024"/>
      <c r="CY228" s="2024"/>
      <c r="CZ228" s="2024"/>
      <c r="DA228" s="2024"/>
      <c r="DB228" s="1346"/>
      <c r="DC228" s="1346"/>
      <c r="DD228" s="1346"/>
      <c r="DE228" s="1346"/>
      <c r="DF228" s="1346"/>
      <c r="DG228" s="1346"/>
      <c r="DH228" s="1346"/>
      <c r="DI228" s="1346"/>
      <c r="DJ228" s="1346"/>
      <c r="DK228" s="1346"/>
      <c r="DL228" s="1346"/>
      <c r="DM228" s="1346"/>
      <c r="DN228" s="1346"/>
      <c r="DO228" s="1346"/>
      <c r="DP228" s="1346"/>
      <c r="DQ228" s="1346"/>
      <c r="DR228" s="1346"/>
      <c r="DS228" s="1346"/>
      <c r="DT228" s="1346"/>
      <c r="DU228" s="1346"/>
      <c r="DV228" s="1346"/>
      <c r="DW228" s="1346"/>
      <c r="DX228" s="1346"/>
      <c r="DY228" s="1346"/>
      <c r="DZ228" s="1346"/>
      <c r="EA228" s="1346"/>
    </row>
    <row r="229" spans="1:131" s="783" customFormat="1" ht="16.350000000000001" customHeight="1" x14ac:dyDescent="0.25">
      <c r="B229" s="6296"/>
      <c r="C229" s="6272"/>
      <c r="D229" s="6272"/>
      <c r="E229" s="6272" t="s">
        <v>650</v>
      </c>
      <c r="F229" s="6272"/>
      <c r="G229" s="6272" t="s">
        <v>124</v>
      </c>
      <c r="H229" s="6272"/>
      <c r="I229" s="6272" t="s">
        <v>125</v>
      </c>
      <c r="J229" s="6272"/>
      <c r="K229" s="6272" t="s">
        <v>126</v>
      </c>
      <c r="L229" s="6272"/>
      <c r="M229" s="6272" t="s">
        <v>167</v>
      </c>
      <c r="N229" s="6272"/>
      <c r="O229" s="6272" t="s">
        <v>651</v>
      </c>
      <c r="P229" s="6272"/>
      <c r="Q229" s="6272" t="s">
        <v>652</v>
      </c>
      <c r="R229" s="6272"/>
      <c r="S229" s="6272" t="s">
        <v>653</v>
      </c>
      <c r="T229" s="6272"/>
      <c r="U229" s="6272" t="s">
        <v>654</v>
      </c>
      <c r="V229" s="6272"/>
      <c r="W229" s="6272" t="s">
        <v>655</v>
      </c>
      <c r="X229" s="6272"/>
      <c r="Y229" s="6272" t="s">
        <v>656</v>
      </c>
      <c r="Z229" s="6272"/>
      <c r="AA229" s="6272" t="s">
        <v>657</v>
      </c>
      <c r="AB229" s="6272"/>
      <c r="AC229" s="6272" t="s">
        <v>263</v>
      </c>
      <c r="AD229" s="6272"/>
      <c r="AE229" s="6272" t="s">
        <v>248</v>
      </c>
      <c r="AF229" s="6272"/>
      <c r="AG229" s="6272" t="s">
        <v>264</v>
      </c>
      <c r="AH229" s="6272"/>
      <c r="AI229" s="6272" t="s">
        <v>265</v>
      </c>
      <c r="AJ229" s="6272"/>
      <c r="AK229" s="6272" t="s">
        <v>250</v>
      </c>
      <c r="AL229" s="6275"/>
      <c r="AM229" s="6293" t="s">
        <v>24</v>
      </c>
      <c r="AN229" s="6276" t="s">
        <v>25</v>
      </c>
      <c r="AO229" s="6220" t="s">
        <v>1350</v>
      </c>
      <c r="AP229" s="5123" t="s">
        <v>1351</v>
      </c>
      <c r="AQ229" s="6271"/>
      <c r="AR229" s="6271"/>
      <c r="AS229" s="2035"/>
      <c r="AT229" s="2035"/>
      <c r="AU229" s="2054"/>
      <c r="AV229" s="2054"/>
      <c r="AW229" s="2054"/>
      <c r="AX229" s="2054"/>
      <c r="AY229" s="2054"/>
      <c r="AZ229" s="2054"/>
      <c r="BA229" s="2054"/>
      <c r="BB229" s="2054"/>
      <c r="BC229" s="2054"/>
      <c r="BD229" s="2054"/>
      <c r="BE229" s="2054"/>
      <c r="BF229" s="2054"/>
      <c r="BG229" s="2054"/>
      <c r="BH229" s="2054"/>
      <c r="BW229" s="884"/>
      <c r="BX229" s="884"/>
      <c r="BY229" s="885"/>
      <c r="BZ229" s="885"/>
      <c r="CA229" s="885"/>
      <c r="CB229" s="2024"/>
      <c r="CC229" s="2024"/>
      <c r="CD229" s="2024"/>
      <c r="CE229" s="2024"/>
      <c r="CF229" s="2024"/>
      <c r="CG229" s="2024"/>
      <c r="CH229" s="2024"/>
      <c r="CI229" s="2024"/>
      <c r="CJ229" s="2024"/>
      <c r="CK229" s="2024"/>
      <c r="CL229" s="2024"/>
      <c r="CM229" s="2024"/>
      <c r="CN229" s="2024"/>
      <c r="CO229" s="2024"/>
      <c r="CP229" s="2024"/>
      <c r="CQ229" s="2024"/>
      <c r="CR229" s="2024"/>
      <c r="CS229" s="2024"/>
      <c r="CT229" s="2024"/>
      <c r="CU229" s="2024"/>
      <c r="CV229" s="2024"/>
      <c r="CW229" s="2024"/>
      <c r="CX229" s="2024"/>
      <c r="CY229" s="2024"/>
      <c r="CZ229" s="2024"/>
      <c r="DA229" s="2024"/>
      <c r="DB229" s="1346"/>
      <c r="DC229" s="1346"/>
      <c r="DD229" s="1346"/>
      <c r="DE229" s="1346"/>
      <c r="DF229" s="1346"/>
      <c r="DG229" s="1346"/>
      <c r="DH229" s="1346"/>
      <c r="DI229" s="1346"/>
      <c r="DJ229" s="1346"/>
      <c r="DK229" s="1346"/>
      <c r="DL229" s="1346"/>
      <c r="DM229" s="1346"/>
      <c r="DN229" s="1346"/>
      <c r="DO229" s="1346"/>
      <c r="DP229" s="1346"/>
      <c r="DQ229" s="1346"/>
      <c r="DR229" s="1346"/>
      <c r="DS229" s="1346"/>
      <c r="DT229" s="1346"/>
      <c r="DU229" s="1346"/>
      <c r="DV229" s="1346"/>
      <c r="DW229" s="1346"/>
      <c r="DX229" s="1346"/>
      <c r="DY229" s="1346"/>
      <c r="DZ229" s="1346"/>
      <c r="EA229" s="1346"/>
    </row>
    <row r="230" spans="1:131" s="783" customFormat="1" ht="16.350000000000001" customHeight="1" x14ac:dyDescent="0.25">
      <c r="B230" s="6297"/>
      <c r="C230" s="2057" t="s">
        <v>2257</v>
      </c>
      <c r="D230" s="2058" t="s">
        <v>2258</v>
      </c>
      <c r="E230" s="2059" t="s">
        <v>2257</v>
      </c>
      <c r="F230" s="2060" t="s">
        <v>2258</v>
      </c>
      <c r="G230" s="2059" t="s">
        <v>2257</v>
      </c>
      <c r="H230" s="2060" t="s">
        <v>2258</v>
      </c>
      <c r="I230" s="2059" t="s">
        <v>2257</v>
      </c>
      <c r="J230" s="2060" t="s">
        <v>2258</v>
      </c>
      <c r="K230" s="2059" t="s">
        <v>2257</v>
      </c>
      <c r="L230" s="2060" t="s">
        <v>2258</v>
      </c>
      <c r="M230" s="2059" t="s">
        <v>2257</v>
      </c>
      <c r="N230" s="2060" t="s">
        <v>2258</v>
      </c>
      <c r="O230" s="2059" t="s">
        <v>2257</v>
      </c>
      <c r="P230" s="2060" t="s">
        <v>2258</v>
      </c>
      <c r="Q230" s="2059" t="s">
        <v>2257</v>
      </c>
      <c r="R230" s="2060" t="s">
        <v>2258</v>
      </c>
      <c r="S230" s="2059" t="s">
        <v>2257</v>
      </c>
      <c r="T230" s="2060" t="s">
        <v>2258</v>
      </c>
      <c r="U230" s="2059" t="s">
        <v>2257</v>
      </c>
      <c r="V230" s="2060" t="s">
        <v>2258</v>
      </c>
      <c r="W230" s="2059" t="s">
        <v>2257</v>
      </c>
      <c r="X230" s="2060" t="s">
        <v>2258</v>
      </c>
      <c r="Y230" s="2059" t="s">
        <v>2257</v>
      </c>
      <c r="Z230" s="2060" t="s">
        <v>2258</v>
      </c>
      <c r="AA230" s="2059" t="s">
        <v>2257</v>
      </c>
      <c r="AB230" s="2060" t="s">
        <v>2258</v>
      </c>
      <c r="AC230" s="2059" t="s">
        <v>2257</v>
      </c>
      <c r="AD230" s="2060" t="s">
        <v>2258</v>
      </c>
      <c r="AE230" s="2059" t="s">
        <v>2257</v>
      </c>
      <c r="AF230" s="2060" t="s">
        <v>2258</v>
      </c>
      <c r="AG230" s="2059" t="s">
        <v>2257</v>
      </c>
      <c r="AH230" s="2060" t="s">
        <v>2258</v>
      </c>
      <c r="AI230" s="2059" t="s">
        <v>2257</v>
      </c>
      <c r="AJ230" s="2060" t="s">
        <v>2258</v>
      </c>
      <c r="AK230" s="2059" t="s">
        <v>2257</v>
      </c>
      <c r="AL230" s="2061" t="s">
        <v>2258</v>
      </c>
      <c r="AM230" s="6294"/>
      <c r="AN230" s="6277"/>
      <c r="AO230" s="6221"/>
      <c r="AP230" s="5403"/>
      <c r="AQ230" s="6271"/>
      <c r="AR230" s="6271"/>
      <c r="AS230" s="2035"/>
      <c r="AT230" s="2035"/>
      <c r="AU230" s="2054"/>
      <c r="AV230" s="2054"/>
      <c r="AW230" s="2054"/>
      <c r="AX230" s="2054"/>
      <c r="AY230" s="2054"/>
      <c r="AZ230" s="2054"/>
      <c r="BA230" s="2054"/>
      <c r="BB230" s="2054"/>
      <c r="BC230" s="2054"/>
      <c r="BD230" s="2054"/>
      <c r="BE230" s="2054"/>
      <c r="BF230" s="2054"/>
      <c r="BG230" s="2054"/>
      <c r="BH230" s="2054"/>
      <c r="BW230" s="884"/>
      <c r="BX230" s="884"/>
      <c r="BY230" s="885"/>
      <c r="BZ230" s="885"/>
      <c r="CA230" s="885"/>
      <c r="CB230" s="2024"/>
      <c r="CC230" s="2024"/>
      <c r="CD230" s="2024"/>
      <c r="CE230" s="2024"/>
      <c r="CF230" s="2024"/>
      <c r="CG230" s="2024"/>
      <c r="CH230" s="2024"/>
      <c r="CI230" s="2024"/>
      <c r="CJ230" s="2024"/>
      <c r="CK230" s="2024"/>
      <c r="CL230" s="2024"/>
      <c r="CM230" s="2024"/>
      <c r="CN230" s="2024"/>
      <c r="CO230" s="2024"/>
      <c r="CP230" s="2024"/>
      <c r="CQ230" s="2024"/>
      <c r="CR230" s="2024"/>
      <c r="CS230" s="2024"/>
      <c r="CT230" s="2024"/>
      <c r="CU230" s="2024"/>
      <c r="CV230" s="2024"/>
      <c r="CW230" s="2024"/>
      <c r="CX230" s="2024"/>
      <c r="CY230" s="2024"/>
      <c r="CZ230" s="2024"/>
      <c r="DA230" s="2024"/>
      <c r="DB230" s="1346"/>
      <c r="DC230" s="1346"/>
      <c r="DD230" s="1346"/>
      <c r="DE230" s="1346"/>
      <c r="DF230" s="1346"/>
      <c r="DG230" s="1346"/>
      <c r="DH230" s="1346"/>
      <c r="DI230" s="1346"/>
      <c r="DJ230" s="1346"/>
      <c r="DK230" s="1346"/>
      <c r="DL230" s="1346"/>
      <c r="DM230" s="1346"/>
      <c r="DN230" s="1346"/>
      <c r="DO230" s="1346"/>
      <c r="DP230" s="1346"/>
      <c r="DQ230" s="1346"/>
      <c r="DR230" s="1346"/>
      <c r="DS230" s="1346"/>
      <c r="DT230" s="1346"/>
      <c r="DU230" s="1346"/>
      <c r="DV230" s="1346"/>
      <c r="DW230" s="1346"/>
      <c r="DX230" s="1346"/>
      <c r="DY230" s="1346"/>
      <c r="DZ230" s="1346"/>
      <c r="EA230" s="1346"/>
    </row>
    <row r="231" spans="1:131" s="783" customFormat="1" ht="16.350000000000001" customHeight="1" x14ac:dyDescent="0.25">
      <c r="A231" s="2458">
        <v>11056479</v>
      </c>
      <c r="B231" s="1926" t="s">
        <v>415</v>
      </c>
      <c r="C231" s="2032" t="s">
        <v>2777</v>
      </c>
      <c r="D231" s="1855" t="s">
        <v>2778</v>
      </c>
      <c r="E231" s="1605" t="s">
        <v>2779</v>
      </c>
      <c r="F231" s="1596" t="s">
        <v>2780</v>
      </c>
      <c r="G231" s="1104" t="s">
        <v>2781</v>
      </c>
      <c r="H231" s="1596" t="s">
        <v>2782</v>
      </c>
      <c r="I231" s="141" t="s">
        <v>2783</v>
      </c>
      <c r="J231" s="142" t="s">
        <v>2784</v>
      </c>
      <c r="K231" s="141" t="s">
        <v>2785</v>
      </c>
      <c r="L231" s="142" t="s">
        <v>2786</v>
      </c>
      <c r="M231" s="141" t="s">
        <v>2787</v>
      </c>
      <c r="N231" s="142" t="s">
        <v>2788</v>
      </c>
      <c r="O231" s="141" t="s">
        <v>2789</v>
      </c>
      <c r="P231" s="142" t="s">
        <v>2790</v>
      </c>
      <c r="Q231" s="141" t="s">
        <v>2791</v>
      </c>
      <c r="R231" s="142" t="s">
        <v>2792</v>
      </c>
      <c r="S231" s="141" t="s">
        <v>2793</v>
      </c>
      <c r="T231" s="142" t="s">
        <v>2794</v>
      </c>
      <c r="U231" s="141" t="s">
        <v>2795</v>
      </c>
      <c r="V231" s="142" t="s">
        <v>2796</v>
      </c>
      <c r="W231" s="141" t="s">
        <v>2797</v>
      </c>
      <c r="X231" s="142" t="s">
        <v>2798</v>
      </c>
      <c r="Y231" s="141" t="s">
        <v>2799</v>
      </c>
      <c r="Z231" s="142" t="s">
        <v>2800</v>
      </c>
      <c r="AA231" s="1104" t="s">
        <v>2801</v>
      </c>
      <c r="AB231" s="1596" t="s">
        <v>2817</v>
      </c>
      <c r="AC231" s="1104" t="s">
        <v>2818</v>
      </c>
      <c r="AD231" s="1596" t="s">
        <v>2819</v>
      </c>
      <c r="AE231" s="1104" t="s">
        <v>2821</v>
      </c>
      <c r="AF231" s="1596" t="s">
        <v>2822</v>
      </c>
      <c r="AG231" s="1104" t="s">
        <v>2823</v>
      </c>
      <c r="AH231" s="1596" t="s">
        <v>2824</v>
      </c>
      <c r="AI231" s="1104" t="s">
        <v>2825</v>
      </c>
      <c r="AJ231" s="1596" t="s">
        <v>2826</v>
      </c>
      <c r="AK231" s="1104" t="s">
        <v>2827</v>
      </c>
      <c r="AL231" s="2062" t="s">
        <v>2831</v>
      </c>
      <c r="AM231" s="1605" t="s">
        <v>2832</v>
      </c>
      <c r="AN231" s="517" t="s">
        <v>2833</v>
      </c>
      <c r="AO231" s="1601" t="s">
        <v>2834</v>
      </c>
      <c r="AP231" s="198" t="s">
        <v>3011</v>
      </c>
      <c r="AQ231" s="141" t="s">
        <v>3012</v>
      </c>
      <c r="AR231" s="164" t="s">
        <v>3013</v>
      </c>
      <c r="AS231" s="1057"/>
      <c r="AT231" s="1079"/>
      <c r="AU231" s="2063"/>
      <c r="AV231" s="2063"/>
      <c r="AW231" s="1079"/>
      <c r="AX231" s="1079"/>
      <c r="AY231" s="1079"/>
      <c r="AZ231" s="1079"/>
      <c r="BA231" s="1079"/>
      <c r="BB231" s="1079"/>
      <c r="BC231" s="1079"/>
      <c r="BD231" s="1079"/>
      <c r="BE231" s="2054"/>
      <c r="BF231" s="2054"/>
      <c r="BG231" s="2054"/>
      <c r="BH231" s="2054"/>
      <c r="BW231" s="884"/>
      <c r="BX231" s="884"/>
      <c r="BY231" s="885"/>
      <c r="BZ231" s="885"/>
      <c r="CA231" s="885"/>
      <c r="CB231" s="2024" t="str">
        <f t="shared" ref="CB231:CB237" si="374">IF(C231&lt;   D231,"* El total de Reactivos NO DEBE ser superior al total de Procesados. ","")</f>
        <v xml:space="preserve">* El total de Reactivos NO DEBE ser superior al total de Procesados. </v>
      </c>
      <c r="CC231" s="2024" t="e">
        <f t="shared" ref="CC231:CC237" si="375">IF(C231&lt;&gt; AM231+ AN231,"* La suma de las columnas Sexo DEBE SER IGUAL a los Procesados. ","")</f>
        <v>#VALUE!</v>
      </c>
      <c r="CD231" s="2024" t="e">
        <f t="shared" ref="CD231:CD237" si="376">IF(C231&lt;  AO231+ AP231,"* La suma de las columna Trans NO DEBE ser superior al total de Procesados. ","")</f>
        <v>#VALUE!</v>
      </c>
      <c r="CE231" s="2024" t="str">
        <f t="shared" ref="CE231:CE237" si="377">IF(C231&lt;  AQ231,"* La columna Pueblos Originarios NO DEBE ser superior al total de Procesados. ","")</f>
        <v xml:space="preserve">* La columna Pueblos Originarios NO DEBE ser superior al total de Procesados. </v>
      </c>
      <c r="CF231" s="2024" t="str">
        <f t="shared" ref="CF231:CF237" si="378">IF(C231&lt;  AR231,"* La columna Migrantes NO DEBE ser superior al total de Procesados. ","")</f>
        <v xml:space="preserve">* La columna Migrantes NO DEBE ser superior al total de Procesados. </v>
      </c>
      <c r="CG231" s="2024" t="str">
        <f t="shared" ref="CG231:CG237" si="379">IF(E231&lt;F231,"* Los exámenes Reactivos de 0 a 4 años años NO DEBEN ser mayor a los Exámenes Procesados de la misma edad. ","")</f>
        <v xml:space="preserve">* Los exámenes Reactivos de 0 a 4 años años NO DEBEN ser mayor a los Exámenes Procesados de la misma edad. </v>
      </c>
      <c r="CH231" s="2024" t="str">
        <f t="shared" ref="CH231:CH237" si="380">IF(G231&lt;H231,"* Los exámenes Reactivos de 5 a 9 años años NO DEBEN ser mayor a los Exámenes Procesados de la misma edad. ","")</f>
        <v xml:space="preserve">* Los exámenes Reactivos de 5 a 9 años años NO DEBEN ser mayor a los Exámenes Procesados de la misma edad. </v>
      </c>
      <c r="CI231" s="2024" t="str">
        <f t="shared" ref="CI231:CI237" si="381">IF(I231&lt;J231,"* Los exámenes Reactivos de 10 a 14 años años NO DEBEN ser mayor a los Exámenes Procesados de la misma edad. ","")</f>
        <v xml:space="preserve">* Los exámenes Reactivos de 10 a 14 años años NO DEBEN ser mayor a los Exámenes Procesados de la misma edad. </v>
      </c>
      <c r="CJ231" s="2024" t="str">
        <f t="shared" ref="CJ231:CJ237" si="382">IF(K231&lt;L231,"* Los exámenes Reactivos de 15 a 19 años años NO DEBEN ser mayor a los Exámenes Procesados de la misma edad. ","")</f>
        <v xml:space="preserve">* Los exámenes Reactivos de 15 a 19 años años NO DEBEN ser mayor a los Exámenes Procesados de la misma edad. </v>
      </c>
      <c r="CK231" s="2024" t="str">
        <f t="shared" ref="CK231:CK237" si="383">IF(M231&lt;N231,"* Los exámenes Reactivos de 20 a 24 años años NO DEBEN ser mayor a los Exámenes Procesados de la misma edad. ","")</f>
        <v xml:space="preserve">* Los exámenes Reactivos de 20 a 24 años años NO DEBEN ser mayor a los Exámenes Procesados de la misma edad. </v>
      </c>
      <c r="CL231" s="2024" t="str">
        <f t="shared" ref="CL231:CL237" si="384">IF(O231&lt;P231,"* Los exámenes Reactivos de 25 a 29 años años NO DEBEN ser mayor a los Exámenes Procesados de la misma edad. ","")</f>
        <v xml:space="preserve">* Los exámenes Reactivos de 25 a 29 años años NO DEBEN ser mayor a los Exámenes Procesados de la misma edad. </v>
      </c>
      <c r="CM231" s="2024" t="str">
        <f t="shared" ref="CM231:CM237" si="385">IF(Q231&lt;R231,"* Los exámenes Reactivos de 30 a 34 años años NO DEBEN ser mayor a los Exámenes Procesados de la misma edad. ","")</f>
        <v xml:space="preserve">* Los exámenes Reactivos de 30 a 34 años años NO DEBEN ser mayor a los Exámenes Procesados de la misma edad. </v>
      </c>
      <c r="CN231" s="2024" t="str">
        <f t="shared" ref="CN231:CN237" si="386">IF(S231&lt;T231,"* Los exámenes Reactivos de 35 a 39 años años NO DEBEN ser mayor a los Exámenes Procesados de la misma edad. ","")</f>
        <v xml:space="preserve">* Los exámenes Reactivos de 35 a 39 años años NO DEBEN ser mayor a los Exámenes Procesados de la misma edad. </v>
      </c>
      <c r="CO231" s="2024" t="str">
        <f t="shared" ref="CO231:CO237" si="387">IF(U231&lt;V231,"* Los exámenes Reactivos de 40 a 44 años años NO DEBEN ser mayor a los Exámenes Procesados de la misma edad. ","")</f>
        <v xml:space="preserve">* Los exámenes Reactivos de 40 a 44 años años NO DEBEN ser mayor a los Exámenes Procesados de la misma edad. </v>
      </c>
      <c r="CP231" s="2024" t="str">
        <f t="shared" ref="CP231:CP237" si="388">IF(W231&lt;X231,"* Los exámenes Reactivos de 45 a 49 años años NO DEBEN ser mayor a los Exámenes Procesados de la misma edad. ","")</f>
        <v xml:space="preserve">* Los exámenes Reactivos de 45 a 49 años años NO DEBEN ser mayor a los Exámenes Procesados de la misma edad. </v>
      </c>
      <c r="CQ231" s="2024" t="str">
        <f t="shared" ref="CQ231:CQ237" si="389">IF(Y231&lt;Z231,"* Los exámenes Reactivos de 50 a 54 años años NO DEBEN ser mayor a los Exámenes Procesados de la misma edad. ","")</f>
        <v xml:space="preserve">* Los exámenes Reactivos de 50 a 54 años años NO DEBEN ser mayor a los Exámenes Procesados de la misma edad. </v>
      </c>
      <c r="CR231" s="2024" t="str">
        <f t="shared" ref="CR231:CR237" si="390">IF(AA231&lt;AB231,"* Los exámenes Reactivos de 55 a 59 años años NO DEBEN ser mayor a los Exámenes Procesados de la misma edad. ","")</f>
        <v xml:space="preserve">* Los exámenes Reactivos de 55 a 59 años años NO DEBEN ser mayor a los Exámenes Procesados de la misma edad. </v>
      </c>
      <c r="CS231" s="2024" t="str">
        <f t="shared" ref="CS231:CS237" si="391">IF(AC231&lt;AD231,"* Los exámenes Reactivos de 60 a 64 años años NO DEBEN ser mayor a los Exámenes Procesados de la misma edad. ","")</f>
        <v xml:space="preserve">* Los exámenes Reactivos de 60 a 64 años años NO DEBEN ser mayor a los Exámenes Procesados de la misma edad. </v>
      </c>
      <c r="CT231" s="2024" t="str">
        <f t="shared" ref="CT231:CT237" si="392">IF(AE231&lt;AF231,"* Los exámenes Reactivos de 65 a 69 años años NO DEBEN ser mayor a los Exámenes Procesados de la misma edad. ","")</f>
        <v xml:space="preserve">* Los exámenes Reactivos de 65 a 69 años años NO DEBEN ser mayor a los Exámenes Procesados de la misma edad. </v>
      </c>
      <c r="CU231" s="2024" t="str">
        <f t="shared" ref="CU231:CU237" si="393">IF(AG231&lt;AH231,"* Los exámenes Reactivos de 70 a 74 años años NO DEBEN ser mayor a los Exámenes Procesados de la misma edad. ","")</f>
        <v xml:space="preserve">* Los exámenes Reactivos de 70 a 74 años años NO DEBEN ser mayor a los Exámenes Procesados de la misma edad. </v>
      </c>
      <c r="CV231" s="2024" t="str">
        <f t="shared" ref="CV231:CV237" si="394">IF(AI231&lt;AJ231,"* Los exámenes Reactivos de 75 a 79 años años NO DEBEN ser mayor a los Exámenes Procesados de la misma edad. ","")</f>
        <v xml:space="preserve">* Los exámenes Reactivos de 75 a 79 años años NO DEBEN ser mayor a los Exámenes Procesados de la misma edad. </v>
      </c>
      <c r="CW231" s="2024" t="str">
        <f t="shared" ref="CW231:CW237" si="395">IF(AK231&lt;AL231,"* Los exámenes Reactivos de 80 y más años años NO DEBEN ser mayor a los Exámenes Procesados de la misma edad. ","")</f>
        <v xml:space="preserve">* Los exámenes Reactivos de 80 y más años años NO DEBEN ser mayor a los Exámenes Procesados de la misma edad. </v>
      </c>
      <c r="CX231" s="2024"/>
      <c r="CY231" s="2024"/>
      <c r="CZ231" s="2024"/>
      <c r="DA231" s="2024"/>
      <c r="DB231" s="1346"/>
      <c r="DC231" s="1346"/>
      <c r="DD231" s="1346"/>
      <c r="DE231" s="1346"/>
      <c r="DF231" s="1346"/>
      <c r="DG231" s="1346">
        <f t="shared" ref="DG231:DG237" si="396">IF(E231&lt;F231,1,0)</f>
        <v>1</v>
      </c>
      <c r="DH231" s="1346">
        <f t="shared" ref="DH231:DH237" si="397">IF(G231&lt;H231,1,0)</f>
        <v>1</v>
      </c>
      <c r="DI231" s="1346">
        <f t="shared" ref="DI231:DI237" si="398">IF(I231&lt;J231,1,0)</f>
        <v>1</v>
      </c>
      <c r="DJ231" s="1346">
        <f t="shared" ref="DJ231:DJ237" si="399">IF(K231&lt;L231,1,0)</f>
        <v>1</v>
      </c>
      <c r="DK231" s="1346">
        <f t="shared" ref="DK231:DK237" si="400">IF(M231&lt;N231,1,0)</f>
        <v>1</v>
      </c>
      <c r="DL231" s="1346">
        <f t="shared" ref="DL231:DL237" si="401">IF(O231&lt;P231,1,0)</f>
        <v>1</v>
      </c>
      <c r="DM231" s="1346">
        <f t="shared" ref="DM231:DM237" si="402">IF(Q231&lt;R231,1,0)</f>
        <v>1</v>
      </c>
      <c r="DN231" s="1346">
        <f t="shared" ref="DN231:DN237" si="403">IF(S231&lt;T231,1,0)</f>
        <v>1</v>
      </c>
      <c r="DO231" s="1346">
        <f t="shared" ref="DO231:DO237" si="404">IF(U231&lt;V231,1,0)</f>
        <v>1</v>
      </c>
      <c r="DP231" s="1346">
        <f t="shared" ref="DP231:DP237" si="405">IF(W231&lt;X231,1,0)</f>
        <v>1</v>
      </c>
      <c r="DQ231" s="1346">
        <f t="shared" ref="DQ231:DQ237" si="406">IF(Y231&lt;Z231,1,0)</f>
        <v>1</v>
      </c>
      <c r="DR231" s="1346">
        <f t="shared" ref="DR231:DR237" si="407">IF(AA231&lt;AB231,1,0)</f>
        <v>1</v>
      </c>
      <c r="DS231" s="1346">
        <f t="shared" ref="DS231:DS237" si="408">IF(AC231&lt;AD231,1,0)</f>
        <v>1</v>
      </c>
      <c r="DT231" s="1346">
        <f t="shared" ref="DT231:DT237" si="409">IF(AE231&lt;AF231,1,0)</f>
        <v>1</v>
      </c>
      <c r="DU231" s="1346">
        <f t="shared" ref="DU231:DU237" si="410">IF(AG231&lt;AH231,1,0)</f>
        <v>1</v>
      </c>
      <c r="DV231" s="1346">
        <f t="shared" ref="DV231:DV237" si="411">IF(AI231&lt;AJ231,1,0)</f>
        <v>1</v>
      </c>
      <c r="DW231" s="1346">
        <f t="shared" ref="DW231:DW237" si="412">IF(AK231&lt;AL231,1,0)</f>
        <v>1</v>
      </c>
      <c r="DX231" s="1346"/>
      <c r="DY231" s="1346"/>
      <c r="DZ231" s="1346"/>
      <c r="EA231" s="1346">
        <v>0</v>
      </c>
    </row>
    <row r="232" spans="1:131" s="783" customFormat="1" ht="16.350000000000001" customHeight="1" x14ac:dyDescent="0.25">
      <c r="A232" s="2458">
        <v>11056480</v>
      </c>
      <c r="B232" s="1926" t="s">
        <v>2329</v>
      </c>
      <c r="C232" s="707" t="s">
        <v>2777</v>
      </c>
      <c r="D232" s="281" t="s">
        <v>2778</v>
      </c>
      <c r="E232" s="1605" t="s">
        <v>2779</v>
      </c>
      <c r="F232" s="1596" t="s">
        <v>2780</v>
      </c>
      <c r="G232" s="1104" t="s">
        <v>2781</v>
      </c>
      <c r="H232" s="1596" t="s">
        <v>2782</v>
      </c>
      <c r="I232" s="1104" t="s">
        <v>2783</v>
      </c>
      <c r="J232" s="1596" t="s">
        <v>2784</v>
      </c>
      <c r="K232" s="141" t="s">
        <v>2785</v>
      </c>
      <c r="L232" s="142" t="s">
        <v>2786</v>
      </c>
      <c r="M232" s="141" t="s">
        <v>2787</v>
      </c>
      <c r="N232" s="142" t="s">
        <v>2788</v>
      </c>
      <c r="O232" s="141" t="s">
        <v>2789</v>
      </c>
      <c r="P232" s="142" t="s">
        <v>2790</v>
      </c>
      <c r="Q232" s="141" t="s">
        <v>2791</v>
      </c>
      <c r="R232" s="142" t="s">
        <v>2792</v>
      </c>
      <c r="S232" s="141" t="s">
        <v>2793</v>
      </c>
      <c r="T232" s="142" t="s">
        <v>2794</v>
      </c>
      <c r="U232" s="141" t="s">
        <v>2795</v>
      </c>
      <c r="V232" s="142" t="s">
        <v>2796</v>
      </c>
      <c r="W232" s="141" t="s">
        <v>2797</v>
      </c>
      <c r="X232" s="142" t="s">
        <v>2798</v>
      </c>
      <c r="Y232" s="141" t="s">
        <v>2799</v>
      </c>
      <c r="Z232" s="142" t="s">
        <v>2800</v>
      </c>
      <c r="AA232" s="141" t="s">
        <v>2801</v>
      </c>
      <c r="AB232" s="142" t="s">
        <v>2817</v>
      </c>
      <c r="AC232" s="141" t="s">
        <v>2818</v>
      </c>
      <c r="AD232" s="142" t="s">
        <v>2819</v>
      </c>
      <c r="AE232" s="141" t="s">
        <v>2821</v>
      </c>
      <c r="AF232" s="142" t="s">
        <v>2822</v>
      </c>
      <c r="AG232" s="141" t="s">
        <v>2823</v>
      </c>
      <c r="AH232" s="142" t="s">
        <v>2824</v>
      </c>
      <c r="AI232" s="141" t="s">
        <v>2825</v>
      </c>
      <c r="AJ232" s="142" t="s">
        <v>2826</v>
      </c>
      <c r="AK232" s="141" t="s">
        <v>2827</v>
      </c>
      <c r="AL232" s="318" t="s">
        <v>2831</v>
      </c>
      <c r="AM232" s="180" t="s">
        <v>2832</v>
      </c>
      <c r="AN232" s="318" t="s">
        <v>2833</v>
      </c>
      <c r="AO232" s="180" t="s">
        <v>2834</v>
      </c>
      <c r="AP232" s="198" t="s">
        <v>3011</v>
      </c>
      <c r="AQ232" s="141" t="s">
        <v>3012</v>
      </c>
      <c r="AR232" s="164" t="s">
        <v>3013</v>
      </c>
      <c r="AS232" s="1057"/>
      <c r="AT232" s="1079"/>
      <c r="AU232" s="2063"/>
      <c r="AV232" s="2063"/>
      <c r="AW232" s="1079"/>
      <c r="AX232" s="1079"/>
      <c r="AY232" s="1079"/>
      <c r="AZ232" s="1079"/>
      <c r="BA232" s="1079"/>
      <c r="BB232" s="1079"/>
      <c r="BC232" s="1079"/>
      <c r="BD232" s="1079"/>
      <c r="BE232" s="2054"/>
      <c r="BF232" s="2054"/>
      <c r="BG232" s="2054"/>
      <c r="BH232" s="2054"/>
      <c r="BW232" s="884"/>
      <c r="BX232" s="884"/>
      <c r="BY232" s="885"/>
      <c r="BZ232" s="885"/>
      <c r="CA232" s="885"/>
      <c r="CB232" s="2024" t="str">
        <f t="shared" si="374"/>
        <v xml:space="preserve">* El total de Reactivos NO DEBE ser superior al total de Procesados. </v>
      </c>
      <c r="CC232" s="2024" t="e">
        <f t="shared" si="375"/>
        <v>#VALUE!</v>
      </c>
      <c r="CD232" s="2024" t="e">
        <f t="shared" si="376"/>
        <v>#VALUE!</v>
      </c>
      <c r="CE232" s="2024" t="str">
        <f t="shared" si="377"/>
        <v xml:space="preserve">* La columna Pueblos Originarios NO DEBE ser superior al total de Procesados. </v>
      </c>
      <c r="CF232" s="2024" t="str">
        <f t="shared" si="378"/>
        <v xml:space="preserve">* La columna Migrantes NO DEBE ser superior al total de Procesados. </v>
      </c>
      <c r="CG232" s="2024" t="str">
        <f t="shared" si="379"/>
        <v xml:space="preserve">* Los exámenes Reactivos de 0 a 4 años años NO DEBEN ser mayor a los Exámenes Procesados de la misma edad. </v>
      </c>
      <c r="CH232" s="2024" t="str">
        <f t="shared" si="380"/>
        <v xml:space="preserve">* Los exámenes Reactivos de 5 a 9 años años NO DEBEN ser mayor a los Exámenes Procesados de la misma edad. </v>
      </c>
      <c r="CI232" s="2024" t="str">
        <f t="shared" si="381"/>
        <v xml:space="preserve">* Los exámenes Reactivos de 10 a 14 años años NO DEBEN ser mayor a los Exámenes Procesados de la misma edad. </v>
      </c>
      <c r="CJ232" s="2024" t="str">
        <f t="shared" si="382"/>
        <v xml:space="preserve">* Los exámenes Reactivos de 15 a 19 años años NO DEBEN ser mayor a los Exámenes Procesados de la misma edad. </v>
      </c>
      <c r="CK232" s="2024" t="str">
        <f t="shared" si="383"/>
        <v xml:space="preserve">* Los exámenes Reactivos de 20 a 24 años años NO DEBEN ser mayor a los Exámenes Procesados de la misma edad. </v>
      </c>
      <c r="CL232" s="2024" t="str">
        <f t="shared" si="384"/>
        <v xml:space="preserve">* Los exámenes Reactivos de 25 a 29 años años NO DEBEN ser mayor a los Exámenes Procesados de la misma edad. </v>
      </c>
      <c r="CM232" s="2024" t="str">
        <f t="shared" si="385"/>
        <v xml:space="preserve">* Los exámenes Reactivos de 30 a 34 años años NO DEBEN ser mayor a los Exámenes Procesados de la misma edad. </v>
      </c>
      <c r="CN232" s="2024" t="str">
        <f t="shared" si="386"/>
        <v xml:space="preserve">* Los exámenes Reactivos de 35 a 39 años años NO DEBEN ser mayor a los Exámenes Procesados de la misma edad. </v>
      </c>
      <c r="CO232" s="2024" t="str">
        <f t="shared" si="387"/>
        <v xml:space="preserve">* Los exámenes Reactivos de 40 a 44 años años NO DEBEN ser mayor a los Exámenes Procesados de la misma edad. </v>
      </c>
      <c r="CP232" s="2024" t="str">
        <f t="shared" si="388"/>
        <v xml:space="preserve">* Los exámenes Reactivos de 45 a 49 años años NO DEBEN ser mayor a los Exámenes Procesados de la misma edad. </v>
      </c>
      <c r="CQ232" s="2024" t="str">
        <f t="shared" si="389"/>
        <v xml:space="preserve">* Los exámenes Reactivos de 50 a 54 años años NO DEBEN ser mayor a los Exámenes Procesados de la misma edad. </v>
      </c>
      <c r="CR232" s="2024" t="str">
        <f t="shared" si="390"/>
        <v xml:space="preserve">* Los exámenes Reactivos de 55 a 59 años años NO DEBEN ser mayor a los Exámenes Procesados de la misma edad. </v>
      </c>
      <c r="CS232" s="2024" t="str">
        <f t="shared" si="391"/>
        <v xml:space="preserve">* Los exámenes Reactivos de 60 a 64 años años NO DEBEN ser mayor a los Exámenes Procesados de la misma edad. </v>
      </c>
      <c r="CT232" s="2024" t="str">
        <f t="shared" si="392"/>
        <v xml:space="preserve">* Los exámenes Reactivos de 65 a 69 años años NO DEBEN ser mayor a los Exámenes Procesados de la misma edad. </v>
      </c>
      <c r="CU232" s="2024" t="str">
        <f t="shared" si="393"/>
        <v xml:space="preserve">* Los exámenes Reactivos de 70 a 74 años años NO DEBEN ser mayor a los Exámenes Procesados de la misma edad. </v>
      </c>
      <c r="CV232" s="2024" t="str">
        <f t="shared" si="394"/>
        <v xml:space="preserve">* Los exámenes Reactivos de 75 a 79 años años NO DEBEN ser mayor a los Exámenes Procesados de la misma edad. </v>
      </c>
      <c r="CW232" s="2024" t="str">
        <f t="shared" si="395"/>
        <v xml:space="preserve">* Los exámenes Reactivos de 80 y más años años NO DEBEN ser mayor a los Exámenes Procesados de la misma edad. </v>
      </c>
      <c r="CX232" s="2024"/>
      <c r="CY232" s="2024"/>
      <c r="CZ232" s="2024"/>
      <c r="DA232" s="2024"/>
      <c r="DB232" s="1346"/>
      <c r="DC232" s="1346"/>
      <c r="DD232" s="1346"/>
      <c r="DE232" s="1346"/>
      <c r="DF232" s="1346"/>
      <c r="DG232" s="1346">
        <f t="shared" si="396"/>
        <v>1</v>
      </c>
      <c r="DH232" s="1346">
        <f t="shared" si="397"/>
        <v>1</v>
      </c>
      <c r="DI232" s="1346">
        <f t="shared" si="398"/>
        <v>1</v>
      </c>
      <c r="DJ232" s="1346">
        <f t="shared" si="399"/>
        <v>1</v>
      </c>
      <c r="DK232" s="1346">
        <f t="shared" si="400"/>
        <v>1</v>
      </c>
      <c r="DL232" s="1346">
        <f t="shared" si="401"/>
        <v>1</v>
      </c>
      <c r="DM232" s="1346">
        <f t="shared" si="402"/>
        <v>1</v>
      </c>
      <c r="DN232" s="1346">
        <f t="shared" si="403"/>
        <v>1</v>
      </c>
      <c r="DO232" s="1346">
        <f t="shared" si="404"/>
        <v>1</v>
      </c>
      <c r="DP232" s="1346">
        <f t="shared" si="405"/>
        <v>1</v>
      </c>
      <c r="DQ232" s="1346">
        <f t="shared" si="406"/>
        <v>1</v>
      </c>
      <c r="DR232" s="1346">
        <f t="shared" si="407"/>
        <v>1</v>
      </c>
      <c r="DS232" s="1346">
        <f t="shared" si="408"/>
        <v>1</v>
      </c>
      <c r="DT232" s="1346">
        <f t="shared" si="409"/>
        <v>1</v>
      </c>
      <c r="DU232" s="1346">
        <f t="shared" si="410"/>
        <v>1</v>
      </c>
      <c r="DV232" s="1346">
        <f t="shared" si="411"/>
        <v>1</v>
      </c>
      <c r="DW232" s="1346">
        <f t="shared" si="412"/>
        <v>1</v>
      </c>
      <c r="DX232" s="1346"/>
      <c r="DY232" s="1346"/>
      <c r="DZ232" s="1346"/>
      <c r="EA232" s="1346">
        <v>0</v>
      </c>
    </row>
    <row r="233" spans="1:131" s="783" customFormat="1" ht="16.350000000000001" customHeight="1" x14ac:dyDescent="0.25">
      <c r="A233" s="2458">
        <v>11056481</v>
      </c>
      <c r="B233" s="1926" t="s">
        <v>2330</v>
      </c>
      <c r="C233" s="707" t="s">
        <v>2777</v>
      </c>
      <c r="D233" s="281" t="s">
        <v>2778</v>
      </c>
      <c r="E233" s="180" t="s">
        <v>2779</v>
      </c>
      <c r="F233" s="142" t="s">
        <v>2780</v>
      </c>
      <c r="G233" s="141" t="s">
        <v>2781</v>
      </c>
      <c r="H233" s="142" t="s">
        <v>2782</v>
      </c>
      <c r="I233" s="141" t="s">
        <v>2783</v>
      </c>
      <c r="J233" s="142" t="s">
        <v>2784</v>
      </c>
      <c r="K233" s="141" t="s">
        <v>2785</v>
      </c>
      <c r="L233" s="142" t="s">
        <v>2786</v>
      </c>
      <c r="M233" s="141" t="s">
        <v>2787</v>
      </c>
      <c r="N233" s="142" t="s">
        <v>2788</v>
      </c>
      <c r="O233" s="141" t="s">
        <v>2789</v>
      </c>
      <c r="P233" s="142" t="s">
        <v>2790</v>
      </c>
      <c r="Q233" s="141" t="s">
        <v>2791</v>
      </c>
      <c r="R233" s="142" t="s">
        <v>2792</v>
      </c>
      <c r="S233" s="141" t="s">
        <v>2793</v>
      </c>
      <c r="T233" s="142" t="s">
        <v>2794</v>
      </c>
      <c r="U233" s="141" t="s">
        <v>2795</v>
      </c>
      <c r="V233" s="142" t="s">
        <v>2796</v>
      </c>
      <c r="W233" s="141" t="s">
        <v>2797</v>
      </c>
      <c r="X233" s="142" t="s">
        <v>2798</v>
      </c>
      <c r="Y233" s="141" t="s">
        <v>2799</v>
      </c>
      <c r="Z233" s="142" t="s">
        <v>2800</v>
      </c>
      <c r="AA233" s="141" t="s">
        <v>2801</v>
      </c>
      <c r="AB233" s="142" t="s">
        <v>2817</v>
      </c>
      <c r="AC233" s="141" t="s">
        <v>2818</v>
      </c>
      <c r="AD233" s="142" t="s">
        <v>2819</v>
      </c>
      <c r="AE233" s="141" t="s">
        <v>2821</v>
      </c>
      <c r="AF233" s="142" t="s">
        <v>2822</v>
      </c>
      <c r="AG233" s="141" t="s">
        <v>2823</v>
      </c>
      <c r="AH233" s="142" t="s">
        <v>2824</v>
      </c>
      <c r="AI233" s="141" t="s">
        <v>2825</v>
      </c>
      <c r="AJ233" s="142" t="s">
        <v>2826</v>
      </c>
      <c r="AK233" s="141" t="s">
        <v>2827</v>
      </c>
      <c r="AL233" s="318" t="s">
        <v>2831</v>
      </c>
      <c r="AM233" s="180" t="s">
        <v>2832</v>
      </c>
      <c r="AN233" s="318" t="s">
        <v>2833</v>
      </c>
      <c r="AO233" s="180" t="s">
        <v>2834</v>
      </c>
      <c r="AP233" s="198" t="s">
        <v>3011</v>
      </c>
      <c r="AQ233" s="141" t="s">
        <v>3012</v>
      </c>
      <c r="AR233" s="164" t="s">
        <v>3013</v>
      </c>
      <c r="AS233" s="1057"/>
      <c r="AT233" s="1079"/>
      <c r="AU233" s="2063"/>
      <c r="AV233" s="2063"/>
      <c r="AW233" s="1079"/>
      <c r="AX233" s="1079"/>
      <c r="AY233" s="1079"/>
      <c r="AZ233" s="1079"/>
      <c r="BA233" s="1079"/>
      <c r="BB233" s="1079"/>
      <c r="BC233" s="1079"/>
      <c r="BD233" s="1079"/>
      <c r="BE233" s="2054"/>
      <c r="BF233" s="2054"/>
      <c r="BG233" s="2054"/>
      <c r="BH233" s="2054"/>
      <c r="BW233" s="884"/>
      <c r="BX233" s="884"/>
      <c r="BY233" s="885"/>
      <c r="BZ233" s="885"/>
      <c r="CA233" s="885"/>
      <c r="CB233" s="2024" t="str">
        <f t="shared" si="374"/>
        <v xml:space="preserve">* El total de Reactivos NO DEBE ser superior al total de Procesados. </v>
      </c>
      <c r="CC233" s="2024" t="e">
        <f t="shared" si="375"/>
        <v>#VALUE!</v>
      </c>
      <c r="CD233" s="2024" t="e">
        <f t="shared" si="376"/>
        <v>#VALUE!</v>
      </c>
      <c r="CE233" s="2024" t="str">
        <f t="shared" si="377"/>
        <v xml:space="preserve">* La columna Pueblos Originarios NO DEBE ser superior al total de Procesados. </v>
      </c>
      <c r="CF233" s="2024" t="str">
        <f t="shared" si="378"/>
        <v xml:space="preserve">* La columna Migrantes NO DEBE ser superior al total de Procesados. </v>
      </c>
      <c r="CG233" s="2024" t="str">
        <f t="shared" si="379"/>
        <v xml:space="preserve">* Los exámenes Reactivos de 0 a 4 años años NO DEBEN ser mayor a los Exámenes Procesados de la misma edad. </v>
      </c>
      <c r="CH233" s="2024" t="str">
        <f t="shared" si="380"/>
        <v xml:space="preserve">* Los exámenes Reactivos de 5 a 9 años años NO DEBEN ser mayor a los Exámenes Procesados de la misma edad. </v>
      </c>
      <c r="CI233" s="2024" t="str">
        <f t="shared" si="381"/>
        <v xml:space="preserve">* Los exámenes Reactivos de 10 a 14 años años NO DEBEN ser mayor a los Exámenes Procesados de la misma edad. </v>
      </c>
      <c r="CJ233" s="2024" t="str">
        <f t="shared" si="382"/>
        <v xml:space="preserve">* Los exámenes Reactivos de 15 a 19 años años NO DEBEN ser mayor a los Exámenes Procesados de la misma edad. </v>
      </c>
      <c r="CK233" s="2024" t="str">
        <f t="shared" si="383"/>
        <v xml:space="preserve">* Los exámenes Reactivos de 20 a 24 años años NO DEBEN ser mayor a los Exámenes Procesados de la misma edad. </v>
      </c>
      <c r="CL233" s="2024" t="str">
        <f t="shared" si="384"/>
        <v xml:space="preserve">* Los exámenes Reactivos de 25 a 29 años años NO DEBEN ser mayor a los Exámenes Procesados de la misma edad. </v>
      </c>
      <c r="CM233" s="2024" t="str">
        <f t="shared" si="385"/>
        <v xml:space="preserve">* Los exámenes Reactivos de 30 a 34 años años NO DEBEN ser mayor a los Exámenes Procesados de la misma edad. </v>
      </c>
      <c r="CN233" s="2024" t="str">
        <f t="shared" si="386"/>
        <v xml:space="preserve">* Los exámenes Reactivos de 35 a 39 años años NO DEBEN ser mayor a los Exámenes Procesados de la misma edad. </v>
      </c>
      <c r="CO233" s="2024" t="str">
        <f t="shared" si="387"/>
        <v xml:space="preserve">* Los exámenes Reactivos de 40 a 44 años años NO DEBEN ser mayor a los Exámenes Procesados de la misma edad. </v>
      </c>
      <c r="CP233" s="2024" t="str">
        <f t="shared" si="388"/>
        <v xml:space="preserve">* Los exámenes Reactivos de 45 a 49 años años NO DEBEN ser mayor a los Exámenes Procesados de la misma edad. </v>
      </c>
      <c r="CQ233" s="2024" t="str">
        <f t="shared" si="389"/>
        <v xml:space="preserve">* Los exámenes Reactivos de 50 a 54 años años NO DEBEN ser mayor a los Exámenes Procesados de la misma edad. </v>
      </c>
      <c r="CR233" s="2024" t="str">
        <f t="shared" si="390"/>
        <v xml:space="preserve">* Los exámenes Reactivos de 55 a 59 años años NO DEBEN ser mayor a los Exámenes Procesados de la misma edad. </v>
      </c>
      <c r="CS233" s="2024" t="str">
        <f t="shared" si="391"/>
        <v xml:space="preserve">* Los exámenes Reactivos de 60 a 64 años años NO DEBEN ser mayor a los Exámenes Procesados de la misma edad. </v>
      </c>
      <c r="CT233" s="2024" t="str">
        <f t="shared" si="392"/>
        <v xml:space="preserve">* Los exámenes Reactivos de 65 a 69 años años NO DEBEN ser mayor a los Exámenes Procesados de la misma edad. </v>
      </c>
      <c r="CU233" s="2024" t="str">
        <f t="shared" si="393"/>
        <v xml:space="preserve">* Los exámenes Reactivos de 70 a 74 años años NO DEBEN ser mayor a los Exámenes Procesados de la misma edad. </v>
      </c>
      <c r="CV233" s="2024" t="str">
        <f t="shared" si="394"/>
        <v xml:space="preserve">* Los exámenes Reactivos de 75 a 79 años años NO DEBEN ser mayor a los Exámenes Procesados de la misma edad. </v>
      </c>
      <c r="CW233" s="2024" t="str">
        <f t="shared" si="395"/>
        <v xml:space="preserve">* Los exámenes Reactivos de 80 y más años años NO DEBEN ser mayor a los Exámenes Procesados de la misma edad. </v>
      </c>
      <c r="CX233" s="2024"/>
      <c r="CY233" s="2024"/>
      <c r="CZ233" s="2024"/>
      <c r="DA233" s="2024"/>
      <c r="DB233" s="1346"/>
      <c r="DC233" s="1346"/>
      <c r="DD233" s="1346"/>
      <c r="DE233" s="1346"/>
      <c r="DF233" s="1346"/>
      <c r="DG233" s="1346">
        <f t="shared" si="396"/>
        <v>1</v>
      </c>
      <c r="DH233" s="1346">
        <f t="shared" si="397"/>
        <v>1</v>
      </c>
      <c r="DI233" s="1346">
        <f t="shared" si="398"/>
        <v>1</v>
      </c>
      <c r="DJ233" s="1346">
        <f t="shared" si="399"/>
        <v>1</v>
      </c>
      <c r="DK233" s="1346">
        <f t="shared" si="400"/>
        <v>1</v>
      </c>
      <c r="DL233" s="1346">
        <f t="shared" si="401"/>
        <v>1</v>
      </c>
      <c r="DM233" s="1346">
        <f t="shared" si="402"/>
        <v>1</v>
      </c>
      <c r="DN233" s="1346">
        <f t="shared" si="403"/>
        <v>1</v>
      </c>
      <c r="DO233" s="1346">
        <f t="shared" si="404"/>
        <v>1</v>
      </c>
      <c r="DP233" s="1346">
        <f t="shared" si="405"/>
        <v>1</v>
      </c>
      <c r="DQ233" s="1346">
        <f t="shared" si="406"/>
        <v>1</v>
      </c>
      <c r="DR233" s="1346">
        <f t="shared" si="407"/>
        <v>1</v>
      </c>
      <c r="DS233" s="1346">
        <f t="shared" si="408"/>
        <v>1</v>
      </c>
      <c r="DT233" s="1346">
        <f t="shared" si="409"/>
        <v>1</v>
      </c>
      <c r="DU233" s="1346">
        <f t="shared" si="410"/>
        <v>1</v>
      </c>
      <c r="DV233" s="1346">
        <f t="shared" si="411"/>
        <v>1</v>
      </c>
      <c r="DW233" s="1346">
        <f t="shared" si="412"/>
        <v>1</v>
      </c>
      <c r="DX233" s="1346"/>
      <c r="DY233" s="1346"/>
      <c r="DZ233" s="1346"/>
      <c r="EA233" s="1346">
        <v>0</v>
      </c>
    </row>
    <row r="234" spans="1:131" s="783" customFormat="1" ht="16.350000000000001" customHeight="1" x14ac:dyDescent="0.25">
      <c r="A234" s="2458">
        <v>11056482</v>
      </c>
      <c r="B234" s="1926" t="s">
        <v>2331</v>
      </c>
      <c r="C234" s="707" t="s">
        <v>2777</v>
      </c>
      <c r="D234" s="281" t="s">
        <v>2778</v>
      </c>
      <c r="E234" s="180" t="s">
        <v>2779</v>
      </c>
      <c r="F234" s="142" t="s">
        <v>2780</v>
      </c>
      <c r="G234" s="141" t="s">
        <v>2781</v>
      </c>
      <c r="H234" s="142" t="s">
        <v>2782</v>
      </c>
      <c r="I234" s="141" t="s">
        <v>2783</v>
      </c>
      <c r="J234" s="142" t="s">
        <v>2784</v>
      </c>
      <c r="K234" s="141" t="s">
        <v>2785</v>
      </c>
      <c r="L234" s="142" t="s">
        <v>2786</v>
      </c>
      <c r="M234" s="141" t="s">
        <v>2787</v>
      </c>
      <c r="N234" s="142" t="s">
        <v>2788</v>
      </c>
      <c r="O234" s="141" t="s">
        <v>2789</v>
      </c>
      <c r="P234" s="142" t="s">
        <v>2790</v>
      </c>
      <c r="Q234" s="141" t="s">
        <v>2791</v>
      </c>
      <c r="R234" s="142" t="s">
        <v>2792</v>
      </c>
      <c r="S234" s="141" t="s">
        <v>2793</v>
      </c>
      <c r="T234" s="142" t="s">
        <v>2794</v>
      </c>
      <c r="U234" s="141" t="s">
        <v>2795</v>
      </c>
      <c r="V234" s="142" t="s">
        <v>2796</v>
      </c>
      <c r="W234" s="141" t="s">
        <v>2797</v>
      </c>
      <c r="X234" s="142" t="s">
        <v>2798</v>
      </c>
      <c r="Y234" s="141" t="s">
        <v>2799</v>
      </c>
      <c r="Z234" s="142" t="s">
        <v>2800</v>
      </c>
      <c r="AA234" s="141" t="s">
        <v>2801</v>
      </c>
      <c r="AB234" s="142" t="s">
        <v>2817</v>
      </c>
      <c r="AC234" s="141" t="s">
        <v>2818</v>
      </c>
      <c r="AD234" s="142" t="s">
        <v>2819</v>
      </c>
      <c r="AE234" s="141" t="s">
        <v>2821</v>
      </c>
      <c r="AF234" s="142" t="s">
        <v>2822</v>
      </c>
      <c r="AG234" s="141" t="s">
        <v>2823</v>
      </c>
      <c r="AH234" s="142" t="s">
        <v>2824</v>
      </c>
      <c r="AI234" s="141" t="s">
        <v>2825</v>
      </c>
      <c r="AJ234" s="142" t="s">
        <v>2826</v>
      </c>
      <c r="AK234" s="141" t="s">
        <v>2827</v>
      </c>
      <c r="AL234" s="318" t="s">
        <v>2831</v>
      </c>
      <c r="AM234" s="180" t="s">
        <v>2832</v>
      </c>
      <c r="AN234" s="318" t="s">
        <v>2833</v>
      </c>
      <c r="AO234" s="180" t="s">
        <v>2834</v>
      </c>
      <c r="AP234" s="198" t="s">
        <v>3011</v>
      </c>
      <c r="AQ234" s="141" t="s">
        <v>3012</v>
      </c>
      <c r="AR234" s="164" t="s">
        <v>3013</v>
      </c>
      <c r="AS234" s="1057"/>
      <c r="AT234" s="1079"/>
      <c r="AU234" s="2063"/>
      <c r="AV234" s="2063"/>
      <c r="AW234" s="1079"/>
      <c r="AX234" s="1079"/>
      <c r="AY234" s="1079"/>
      <c r="AZ234" s="1079"/>
      <c r="BA234" s="1079"/>
      <c r="BB234" s="1079"/>
      <c r="BC234" s="1079"/>
      <c r="BD234" s="1079"/>
      <c r="BE234" s="2054"/>
      <c r="BF234" s="2054"/>
      <c r="BG234" s="2054"/>
      <c r="BH234" s="2054"/>
      <c r="BW234" s="884"/>
      <c r="BX234" s="884"/>
      <c r="BY234" s="885"/>
      <c r="BZ234" s="885"/>
      <c r="CA234" s="885"/>
      <c r="CB234" s="2024" t="str">
        <f t="shared" si="374"/>
        <v xml:space="preserve">* El total de Reactivos NO DEBE ser superior al total de Procesados. </v>
      </c>
      <c r="CC234" s="2024" t="e">
        <f t="shared" si="375"/>
        <v>#VALUE!</v>
      </c>
      <c r="CD234" s="2024" t="e">
        <f t="shared" si="376"/>
        <v>#VALUE!</v>
      </c>
      <c r="CE234" s="2024" t="str">
        <f t="shared" si="377"/>
        <v xml:space="preserve">* La columna Pueblos Originarios NO DEBE ser superior al total de Procesados. </v>
      </c>
      <c r="CF234" s="2024" t="str">
        <f t="shared" si="378"/>
        <v xml:space="preserve">* La columna Migrantes NO DEBE ser superior al total de Procesados. </v>
      </c>
      <c r="CG234" s="2024" t="str">
        <f t="shared" si="379"/>
        <v xml:space="preserve">* Los exámenes Reactivos de 0 a 4 años años NO DEBEN ser mayor a los Exámenes Procesados de la misma edad. </v>
      </c>
      <c r="CH234" s="2024" t="str">
        <f t="shared" si="380"/>
        <v xml:space="preserve">* Los exámenes Reactivos de 5 a 9 años años NO DEBEN ser mayor a los Exámenes Procesados de la misma edad. </v>
      </c>
      <c r="CI234" s="2024" t="str">
        <f t="shared" si="381"/>
        <v xml:space="preserve">* Los exámenes Reactivos de 10 a 14 años años NO DEBEN ser mayor a los Exámenes Procesados de la misma edad. </v>
      </c>
      <c r="CJ234" s="2024" t="str">
        <f t="shared" si="382"/>
        <v xml:space="preserve">* Los exámenes Reactivos de 15 a 19 años años NO DEBEN ser mayor a los Exámenes Procesados de la misma edad. </v>
      </c>
      <c r="CK234" s="2024" t="str">
        <f t="shared" si="383"/>
        <v xml:space="preserve">* Los exámenes Reactivos de 20 a 24 años años NO DEBEN ser mayor a los Exámenes Procesados de la misma edad. </v>
      </c>
      <c r="CL234" s="2024" t="str">
        <f t="shared" si="384"/>
        <v xml:space="preserve">* Los exámenes Reactivos de 25 a 29 años años NO DEBEN ser mayor a los Exámenes Procesados de la misma edad. </v>
      </c>
      <c r="CM234" s="2024" t="str">
        <f t="shared" si="385"/>
        <v xml:space="preserve">* Los exámenes Reactivos de 30 a 34 años años NO DEBEN ser mayor a los Exámenes Procesados de la misma edad. </v>
      </c>
      <c r="CN234" s="2024" t="str">
        <f t="shared" si="386"/>
        <v xml:space="preserve">* Los exámenes Reactivos de 35 a 39 años años NO DEBEN ser mayor a los Exámenes Procesados de la misma edad. </v>
      </c>
      <c r="CO234" s="2024" t="str">
        <f t="shared" si="387"/>
        <v xml:space="preserve">* Los exámenes Reactivos de 40 a 44 años años NO DEBEN ser mayor a los Exámenes Procesados de la misma edad. </v>
      </c>
      <c r="CP234" s="2024" t="str">
        <f t="shared" si="388"/>
        <v xml:space="preserve">* Los exámenes Reactivos de 45 a 49 años años NO DEBEN ser mayor a los Exámenes Procesados de la misma edad. </v>
      </c>
      <c r="CQ234" s="2024" t="str">
        <f t="shared" si="389"/>
        <v xml:space="preserve">* Los exámenes Reactivos de 50 a 54 años años NO DEBEN ser mayor a los Exámenes Procesados de la misma edad. </v>
      </c>
      <c r="CR234" s="2024" t="str">
        <f t="shared" si="390"/>
        <v xml:space="preserve">* Los exámenes Reactivos de 55 a 59 años años NO DEBEN ser mayor a los Exámenes Procesados de la misma edad. </v>
      </c>
      <c r="CS234" s="2024" t="str">
        <f t="shared" si="391"/>
        <v xml:space="preserve">* Los exámenes Reactivos de 60 a 64 años años NO DEBEN ser mayor a los Exámenes Procesados de la misma edad. </v>
      </c>
      <c r="CT234" s="2024" t="str">
        <f t="shared" si="392"/>
        <v xml:space="preserve">* Los exámenes Reactivos de 65 a 69 años años NO DEBEN ser mayor a los Exámenes Procesados de la misma edad. </v>
      </c>
      <c r="CU234" s="2024" t="str">
        <f t="shared" si="393"/>
        <v xml:space="preserve">* Los exámenes Reactivos de 70 a 74 años años NO DEBEN ser mayor a los Exámenes Procesados de la misma edad. </v>
      </c>
      <c r="CV234" s="2024" t="str">
        <f t="shared" si="394"/>
        <v xml:space="preserve">* Los exámenes Reactivos de 75 a 79 años años NO DEBEN ser mayor a los Exámenes Procesados de la misma edad. </v>
      </c>
      <c r="CW234" s="2024" t="str">
        <f t="shared" si="395"/>
        <v xml:space="preserve">* Los exámenes Reactivos de 80 y más años años NO DEBEN ser mayor a los Exámenes Procesados de la misma edad. </v>
      </c>
      <c r="CX234" s="2024"/>
      <c r="CY234" s="2024"/>
      <c r="CZ234" s="2024"/>
      <c r="DA234" s="2024"/>
      <c r="DB234" s="1346"/>
      <c r="DC234" s="1346"/>
      <c r="DD234" s="1346"/>
      <c r="DE234" s="1346"/>
      <c r="DF234" s="1346"/>
      <c r="DG234" s="1346">
        <f t="shared" si="396"/>
        <v>1</v>
      </c>
      <c r="DH234" s="1346">
        <f t="shared" si="397"/>
        <v>1</v>
      </c>
      <c r="DI234" s="1346">
        <f t="shared" si="398"/>
        <v>1</v>
      </c>
      <c r="DJ234" s="1346">
        <f t="shared" si="399"/>
        <v>1</v>
      </c>
      <c r="DK234" s="1346">
        <f t="shared" si="400"/>
        <v>1</v>
      </c>
      <c r="DL234" s="1346">
        <f t="shared" si="401"/>
        <v>1</v>
      </c>
      <c r="DM234" s="1346">
        <f t="shared" si="402"/>
        <v>1</v>
      </c>
      <c r="DN234" s="1346">
        <f t="shared" si="403"/>
        <v>1</v>
      </c>
      <c r="DO234" s="1346">
        <f t="shared" si="404"/>
        <v>1</v>
      </c>
      <c r="DP234" s="1346">
        <f t="shared" si="405"/>
        <v>1</v>
      </c>
      <c r="DQ234" s="1346">
        <f t="shared" si="406"/>
        <v>1</v>
      </c>
      <c r="DR234" s="1346">
        <f t="shared" si="407"/>
        <v>1</v>
      </c>
      <c r="DS234" s="1346">
        <f t="shared" si="408"/>
        <v>1</v>
      </c>
      <c r="DT234" s="1346">
        <f t="shared" si="409"/>
        <v>1</v>
      </c>
      <c r="DU234" s="1346">
        <f t="shared" si="410"/>
        <v>1</v>
      </c>
      <c r="DV234" s="1346">
        <f t="shared" si="411"/>
        <v>1</v>
      </c>
      <c r="DW234" s="1346">
        <f t="shared" si="412"/>
        <v>1</v>
      </c>
      <c r="DX234" s="1346"/>
      <c r="DY234" s="1346"/>
      <c r="DZ234" s="1346"/>
      <c r="EA234" s="1346">
        <v>0</v>
      </c>
    </row>
    <row r="235" spans="1:131" s="783" customFormat="1" ht="15.95" customHeight="1" x14ac:dyDescent="0.25">
      <c r="A235" s="2458">
        <v>11056483</v>
      </c>
      <c r="B235" s="1905" t="s">
        <v>2332</v>
      </c>
      <c r="C235" s="707" t="s">
        <v>2777</v>
      </c>
      <c r="D235" s="281" t="s">
        <v>2778</v>
      </c>
      <c r="E235" s="180" t="s">
        <v>2779</v>
      </c>
      <c r="F235" s="142" t="s">
        <v>2780</v>
      </c>
      <c r="G235" s="141" t="s">
        <v>2781</v>
      </c>
      <c r="H235" s="142" t="s">
        <v>2782</v>
      </c>
      <c r="I235" s="141" t="s">
        <v>2783</v>
      </c>
      <c r="J235" s="142" t="s">
        <v>2784</v>
      </c>
      <c r="K235" s="141" t="s">
        <v>2785</v>
      </c>
      <c r="L235" s="142" t="s">
        <v>2786</v>
      </c>
      <c r="M235" s="141" t="s">
        <v>2787</v>
      </c>
      <c r="N235" s="142" t="s">
        <v>2788</v>
      </c>
      <c r="O235" s="141" t="s">
        <v>2789</v>
      </c>
      <c r="P235" s="142" t="s">
        <v>2790</v>
      </c>
      <c r="Q235" s="141" t="s">
        <v>2791</v>
      </c>
      <c r="R235" s="142" t="s">
        <v>2792</v>
      </c>
      <c r="S235" s="141" t="s">
        <v>2793</v>
      </c>
      <c r="T235" s="142" t="s">
        <v>2794</v>
      </c>
      <c r="U235" s="141" t="s">
        <v>2795</v>
      </c>
      <c r="V235" s="142" t="s">
        <v>2796</v>
      </c>
      <c r="W235" s="141" t="s">
        <v>2797</v>
      </c>
      <c r="X235" s="142" t="s">
        <v>2798</v>
      </c>
      <c r="Y235" s="141" t="s">
        <v>2799</v>
      </c>
      <c r="Z235" s="142" t="s">
        <v>2800</v>
      </c>
      <c r="AA235" s="141" t="s">
        <v>2801</v>
      </c>
      <c r="AB235" s="142" t="s">
        <v>2817</v>
      </c>
      <c r="AC235" s="141" t="s">
        <v>2818</v>
      </c>
      <c r="AD235" s="142" t="s">
        <v>2819</v>
      </c>
      <c r="AE235" s="141" t="s">
        <v>2821</v>
      </c>
      <c r="AF235" s="142" t="s">
        <v>2822</v>
      </c>
      <c r="AG235" s="141" t="s">
        <v>2823</v>
      </c>
      <c r="AH235" s="142" t="s">
        <v>2824</v>
      </c>
      <c r="AI235" s="141" t="s">
        <v>2825</v>
      </c>
      <c r="AJ235" s="142" t="s">
        <v>2826</v>
      </c>
      <c r="AK235" s="141" t="s">
        <v>2827</v>
      </c>
      <c r="AL235" s="318" t="s">
        <v>2831</v>
      </c>
      <c r="AM235" s="180" t="s">
        <v>2832</v>
      </c>
      <c r="AN235" s="318" t="s">
        <v>2833</v>
      </c>
      <c r="AO235" s="180" t="s">
        <v>2834</v>
      </c>
      <c r="AP235" s="198" t="s">
        <v>3011</v>
      </c>
      <c r="AQ235" s="141" t="s">
        <v>3012</v>
      </c>
      <c r="AR235" s="164" t="s">
        <v>3013</v>
      </c>
      <c r="AS235" s="1057"/>
      <c r="AT235" s="1079"/>
      <c r="AU235" s="2063"/>
      <c r="AV235" s="2063"/>
      <c r="AW235" s="1079"/>
      <c r="AX235" s="1079"/>
      <c r="AY235" s="1079"/>
      <c r="AZ235" s="1079"/>
      <c r="BA235" s="1079"/>
      <c r="BB235" s="1079"/>
      <c r="BC235" s="1079"/>
      <c r="BD235" s="1079"/>
      <c r="BE235" s="2054"/>
      <c r="BF235" s="2054"/>
      <c r="BG235" s="2054"/>
      <c r="BH235" s="2054"/>
      <c r="BW235" s="884"/>
      <c r="BX235" s="884"/>
      <c r="BY235" s="885"/>
      <c r="BZ235" s="885"/>
      <c r="CA235" s="885"/>
      <c r="CB235" s="2024" t="str">
        <f t="shared" si="374"/>
        <v xml:space="preserve">* El total de Reactivos NO DEBE ser superior al total de Procesados. </v>
      </c>
      <c r="CC235" s="2024" t="e">
        <f t="shared" si="375"/>
        <v>#VALUE!</v>
      </c>
      <c r="CD235" s="2024" t="e">
        <f t="shared" si="376"/>
        <v>#VALUE!</v>
      </c>
      <c r="CE235" s="2024" t="str">
        <f t="shared" si="377"/>
        <v xml:space="preserve">* La columna Pueblos Originarios NO DEBE ser superior al total de Procesados. </v>
      </c>
      <c r="CF235" s="2024" t="str">
        <f t="shared" si="378"/>
        <v xml:space="preserve">* La columna Migrantes NO DEBE ser superior al total de Procesados. </v>
      </c>
      <c r="CG235" s="2024" t="str">
        <f t="shared" si="379"/>
        <v xml:space="preserve">* Los exámenes Reactivos de 0 a 4 años años NO DEBEN ser mayor a los Exámenes Procesados de la misma edad. </v>
      </c>
      <c r="CH235" s="2024" t="str">
        <f t="shared" si="380"/>
        <v xml:space="preserve">* Los exámenes Reactivos de 5 a 9 años años NO DEBEN ser mayor a los Exámenes Procesados de la misma edad. </v>
      </c>
      <c r="CI235" s="2024" t="str">
        <f t="shared" si="381"/>
        <v xml:space="preserve">* Los exámenes Reactivos de 10 a 14 años años NO DEBEN ser mayor a los Exámenes Procesados de la misma edad. </v>
      </c>
      <c r="CJ235" s="2024" t="str">
        <f t="shared" si="382"/>
        <v xml:space="preserve">* Los exámenes Reactivos de 15 a 19 años años NO DEBEN ser mayor a los Exámenes Procesados de la misma edad. </v>
      </c>
      <c r="CK235" s="2024" t="str">
        <f t="shared" si="383"/>
        <v xml:space="preserve">* Los exámenes Reactivos de 20 a 24 años años NO DEBEN ser mayor a los Exámenes Procesados de la misma edad. </v>
      </c>
      <c r="CL235" s="2024" t="str">
        <f t="shared" si="384"/>
        <v xml:space="preserve">* Los exámenes Reactivos de 25 a 29 años años NO DEBEN ser mayor a los Exámenes Procesados de la misma edad. </v>
      </c>
      <c r="CM235" s="2024" t="str">
        <f t="shared" si="385"/>
        <v xml:space="preserve">* Los exámenes Reactivos de 30 a 34 años años NO DEBEN ser mayor a los Exámenes Procesados de la misma edad. </v>
      </c>
      <c r="CN235" s="2024" t="str">
        <f t="shared" si="386"/>
        <v xml:space="preserve">* Los exámenes Reactivos de 35 a 39 años años NO DEBEN ser mayor a los Exámenes Procesados de la misma edad. </v>
      </c>
      <c r="CO235" s="2024" t="str">
        <f t="shared" si="387"/>
        <v xml:space="preserve">* Los exámenes Reactivos de 40 a 44 años años NO DEBEN ser mayor a los Exámenes Procesados de la misma edad. </v>
      </c>
      <c r="CP235" s="2024" t="str">
        <f t="shared" si="388"/>
        <v xml:space="preserve">* Los exámenes Reactivos de 45 a 49 años años NO DEBEN ser mayor a los Exámenes Procesados de la misma edad. </v>
      </c>
      <c r="CQ235" s="2024" t="str">
        <f t="shared" si="389"/>
        <v xml:space="preserve">* Los exámenes Reactivos de 50 a 54 años años NO DEBEN ser mayor a los Exámenes Procesados de la misma edad. </v>
      </c>
      <c r="CR235" s="2024" t="str">
        <f t="shared" si="390"/>
        <v xml:space="preserve">* Los exámenes Reactivos de 55 a 59 años años NO DEBEN ser mayor a los Exámenes Procesados de la misma edad. </v>
      </c>
      <c r="CS235" s="2024" t="str">
        <f t="shared" si="391"/>
        <v xml:space="preserve">* Los exámenes Reactivos de 60 a 64 años años NO DEBEN ser mayor a los Exámenes Procesados de la misma edad. </v>
      </c>
      <c r="CT235" s="2024" t="str">
        <f t="shared" si="392"/>
        <v xml:space="preserve">* Los exámenes Reactivos de 65 a 69 años años NO DEBEN ser mayor a los Exámenes Procesados de la misma edad. </v>
      </c>
      <c r="CU235" s="2024" t="str">
        <f t="shared" si="393"/>
        <v xml:space="preserve">* Los exámenes Reactivos de 70 a 74 años años NO DEBEN ser mayor a los Exámenes Procesados de la misma edad. </v>
      </c>
      <c r="CV235" s="2024" t="str">
        <f t="shared" si="394"/>
        <v xml:space="preserve">* Los exámenes Reactivos de 75 a 79 años años NO DEBEN ser mayor a los Exámenes Procesados de la misma edad. </v>
      </c>
      <c r="CW235" s="2024" t="str">
        <f t="shared" si="395"/>
        <v xml:space="preserve">* Los exámenes Reactivos de 80 y más años años NO DEBEN ser mayor a los Exámenes Procesados de la misma edad. </v>
      </c>
      <c r="CX235" s="2024"/>
      <c r="CY235" s="2024"/>
      <c r="CZ235" s="2024"/>
      <c r="DA235" s="2024"/>
      <c r="DB235" s="1346"/>
      <c r="DC235" s="1346"/>
      <c r="DD235" s="1346"/>
      <c r="DE235" s="1346"/>
      <c r="DF235" s="1346"/>
      <c r="DG235" s="1346">
        <f t="shared" si="396"/>
        <v>1</v>
      </c>
      <c r="DH235" s="1346">
        <f t="shared" si="397"/>
        <v>1</v>
      </c>
      <c r="DI235" s="1346">
        <f t="shared" si="398"/>
        <v>1</v>
      </c>
      <c r="DJ235" s="1346">
        <f t="shared" si="399"/>
        <v>1</v>
      </c>
      <c r="DK235" s="1346">
        <f t="shared" si="400"/>
        <v>1</v>
      </c>
      <c r="DL235" s="1346">
        <f t="shared" si="401"/>
        <v>1</v>
      </c>
      <c r="DM235" s="1346">
        <f t="shared" si="402"/>
        <v>1</v>
      </c>
      <c r="DN235" s="1346">
        <f t="shared" si="403"/>
        <v>1</v>
      </c>
      <c r="DO235" s="1346">
        <f t="shared" si="404"/>
        <v>1</v>
      </c>
      <c r="DP235" s="1346">
        <f t="shared" si="405"/>
        <v>1</v>
      </c>
      <c r="DQ235" s="1346">
        <f t="shared" si="406"/>
        <v>1</v>
      </c>
      <c r="DR235" s="1346">
        <f t="shared" si="407"/>
        <v>1</v>
      </c>
      <c r="DS235" s="1346">
        <f t="shared" si="408"/>
        <v>1</v>
      </c>
      <c r="DT235" s="1346">
        <f t="shared" si="409"/>
        <v>1</v>
      </c>
      <c r="DU235" s="1346">
        <f t="shared" si="410"/>
        <v>1</v>
      </c>
      <c r="DV235" s="1346">
        <f t="shared" si="411"/>
        <v>1</v>
      </c>
      <c r="DW235" s="1346">
        <f t="shared" si="412"/>
        <v>1</v>
      </c>
      <c r="DX235" s="1346"/>
      <c r="DY235" s="1346"/>
      <c r="DZ235" s="1346"/>
      <c r="EA235" s="1346">
        <v>0</v>
      </c>
    </row>
    <row r="236" spans="1:131" s="783" customFormat="1" ht="16.350000000000001" customHeight="1" x14ac:dyDescent="0.25">
      <c r="A236" s="2458">
        <v>11056484</v>
      </c>
      <c r="B236" s="1926" t="s">
        <v>2333</v>
      </c>
      <c r="C236" s="707" t="s">
        <v>2777</v>
      </c>
      <c r="D236" s="281" t="s">
        <v>2778</v>
      </c>
      <c r="E236" s="180" t="s">
        <v>2779</v>
      </c>
      <c r="F236" s="142" t="s">
        <v>2780</v>
      </c>
      <c r="G236" s="141" t="s">
        <v>2781</v>
      </c>
      <c r="H236" s="142" t="s">
        <v>2782</v>
      </c>
      <c r="I236" s="141" t="s">
        <v>2783</v>
      </c>
      <c r="J236" s="142" t="s">
        <v>2784</v>
      </c>
      <c r="K236" s="141" t="s">
        <v>2785</v>
      </c>
      <c r="L236" s="142" t="s">
        <v>2786</v>
      </c>
      <c r="M236" s="141" t="s">
        <v>2787</v>
      </c>
      <c r="N236" s="142" t="s">
        <v>2788</v>
      </c>
      <c r="O236" s="141" t="s">
        <v>2789</v>
      </c>
      <c r="P236" s="142" t="s">
        <v>2790</v>
      </c>
      <c r="Q236" s="141" t="s">
        <v>2791</v>
      </c>
      <c r="R236" s="142" t="s">
        <v>2792</v>
      </c>
      <c r="S236" s="141" t="s">
        <v>2793</v>
      </c>
      <c r="T236" s="142" t="s">
        <v>2794</v>
      </c>
      <c r="U236" s="141" t="s">
        <v>2795</v>
      </c>
      <c r="V236" s="142" t="s">
        <v>2796</v>
      </c>
      <c r="W236" s="141" t="s">
        <v>2797</v>
      </c>
      <c r="X236" s="142" t="s">
        <v>2798</v>
      </c>
      <c r="Y236" s="141" t="s">
        <v>2799</v>
      </c>
      <c r="Z236" s="142" t="s">
        <v>2800</v>
      </c>
      <c r="AA236" s="141" t="s">
        <v>2801</v>
      </c>
      <c r="AB236" s="142" t="s">
        <v>2817</v>
      </c>
      <c r="AC236" s="141" t="s">
        <v>2818</v>
      </c>
      <c r="AD236" s="142" t="s">
        <v>2819</v>
      </c>
      <c r="AE236" s="141" t="s">
        <v>2821</v>
      </c>
      <c r="AF236" s="142" t="s">
        <v>2822</v>
      </c>
      <c r="AG236" s="141" t="s">
        <v>2823</v>
      </c>
      <c r="AH236" s="142" t="s">
        <v>2824</v>
      </c>
      <c r="AI236" s="141" t="s">
        <v>2825</v>
      </c>
      <c r="AJ236" s="142" t="s">
        <v>2826</v>
      </c>
      <c r="AK236" s="141" t="s">
        <v>2827</v>
      </c>
      <c r="AL236" s="318" t="s">
        <v>2831</v>
      </c>
      <c r="AM236" s="180" t="s">
        <v>2832</v>
      </c>
      <c r="AN236" s="318" t="s">
        <v>2833</v>
      </c>
      <c r="AO236" s="180" t="s">
        <v>2834</v>
      </c>
      <c r="AP236" s="198" t="s">
        <v>3011</v>
      </c>
      <c r="AQ236" s="141" t="s">
        <v>3012</v>
      </c>
      <c r="AR236" s="164" t="s">
        <v>3013</v>
      </c>
      <c r="AS236" s="1057"/>
      <c r="AT236" s="1079"/>
      <c r="AU236" s="2063"/>
      <c r="AV236" s="2063"/>
      <c r="AW236" s="1079"/>
      <c r="AX236" s="1079"/>
      <c r="AY236" s="1079"/>
      <c r="AZ236" s="1079"/>
      <c r="BA236" s="1079"/>
      <c r="BB236" s="1079"/>
      <c r="BC236" s="1079"/>
      <c r="BD236" s="1079"/>
      <c r="BE236" s="2054"/>
      <c r="BF236" s="2054"/>
      <c r="BG236" s="2054"/>
      <c r="BH236" s="2054"/>
      <c r="BW236" s="884"/>
      <c r="BX236" s="884"/>
      <c r="BY236" s="885"/>
      <c r="BZ236" s="885"/>
      <c r="CA236" s="885"/>
      <c r="CB236" s="2024" t="str">
        <f t="shared" si="374"/>
        <v xml:space="preserve">* El total de Reactivos NO DEBE ser superior al total de Procesados. </v>
      </c>
      <c r="CC236" s="2024" t="e">
        <f t="shared" si="375"/>
        <v>#VALUE!</v>
      </c>
      <c r="CD236" s="2024" t="e">
        <f t="shared" si="376"/>
        <v>#VALUE!</v>
      </c>
      <c r="CE236" s="2024" t="str">
        <f t="shared" si="377"/>
        <v xml:space="preserve">* La columna Pueblos Originarios NO DEBE ser superior al total de Procesados. </v>
      </c>
      <c r="CF236" s="2024" t="str">
        <f t="shared" si="378"/>
        <v xml:space="preserve">* La columna Migrantes NO DEBE ser superior al total de Procesados. </v>
      </c>
      <c r="CG236" s="2024" t="str">
        <f t="shared" si="379"/>
        <v xml:space="preserve">* Los exámenes Reactivos de 0 a 4 años años NO DEBEN ser mayor a los Exámenes Procesados de la misma edad. </v>
      </c>
      <c r="CH236" s="2024" t="str">
        <f t="shared" si="380"/>
        <v xml:space="preserve">* Los exámenes Reactivos de 5 a 9 años años NO DEBEN ser mayor a los Exámenes Procesados de la misma edad. </v>
      </c>
      <c r="CI236" s="2024" t="str">
        <f t="shared" si="381"/>
        <v xml:space="preserve">* Los exámenes Reactivos de 10 a 14 años años NO DEBEN ser mayor a los Exámenes Procesados de la misma edad. </v>
      </c>
      <c r="CJ236" s="2024" t="str">
        <f t="shared" si="382"/>
        <v xml:space="preserve">* Los exámenes Reactivos de 15 a 19 años años NO DEBEN ser mayor a los Exámenes Procesados de la misma edad. </v>
      </c>
      <c r="CK236" s="2024" t="str">
        <f t="shared" si="383"/>
        <v xml:space="preserve">* Los exámenes Reactivos de 20 a 24 años años NO DEBEN ser mayor a los Exámenes Procesados de la misma edad. </v>
      </c>
      <c r="CL236" s="2024" t="str">
        <f t="shared" si="384"/>
        <v xml:space="preserve">* Los exámenes Reactivos de 25 a 29 años años NO DEBEN ser mayor a los Exámenes Procesados de la misma edad. </v>
      </c>
      <c r="CM236" s="2024" t="str">
        <f t="shared" si="385"/>
        <v xml:space="preserve">* Los exámenes Reactivos de 30 a 34 años años NO DEBEN ser mayor a los Exámenes Procesados de la misma edad. </v>
      </c>
      <c r="CN236" s="2024" t="str">
        <f t="shared" si="386"/>
        <v xml:space="preserve">* Los exámenes Reactivos de 35 a 39 años años NO DEBEN ser mayor a los Exámenes Procesados de la misma edad. </v>
      </c>
      <c r="CO236" s="2024" t="str">
        <f t="shared" si="387"/>
        <v xml:space="preserve">* Los exámenes Reactivos de 40 a 44 años años NO DEBEN ser mayor a los Exámenes Procesados de la misma edad. </v>
      </c>
      <c r="CP236" s="2024" t="str">
        <f t="shared" si="388"/>
        <v xml:space="preserve">* Los exámenes Reactivos de 45 a 49 años años NO DEBEN ser mayor a los Exámenes Procesados de la misma edad. </v>
      </c>
      <c r="CQ236" s="2024" t="str">
        <f t="shared" si="389"/>
        <v xml:space="preserve">* Los exámenes Reactivos de 50 a 54 años años NO DEBEN ser mayor a los Exámenes Procesados de la misma edad. </v>
      </c>
      <c r="CR236" s="2024" t="str">
        <f t="shared" si="390"/>
        <v xml:space="preserve">* Los exámenes Reactivos de 55 a 59 años años NO DEBEN ser mayor a los Exámenes Procesados de la misma edad. </v>
      </c>
      <c r="CS236" s="2024" t="str">
        <f t="shared" si="391"/>
        <v xml:space="preserve">* Los exámenes Reactivos de 60 a 64 años años NO DEBEN ser mayor a los Exámenes Procesados de la misma edad. </v>
      </c>
      <c r="CT236" s="2024" t="str">
        <f t="shared" si="392"/>
        <v xml:space="preserve">* Los exámenes Reactivos de 65 a 69 años años NO DEBEN ser mayor a los Exámenes Procesados de la misma edad. </v>
      </c>
      <c r="CU236" s="2024" t="str">
        <f t="shared" si="393"/>
        <v xml:space="preserve">* Los exámenes Reactivos de 70 a 74 años años NO DEBEN ser mayor a los Exámenes Procesados de la misma edad. </v>
      </c>
      <c r="CV236" s="2024" t="str">
        <f t="shared" si="394"/>
        <v xml:space="preserve">* Los exámenes Reactivos de 75 a 79 años años NO DEBEN ser mayor a los Exámenes Procesados de la misma edad. </v>
      </c>
      <c r="CW236" s="2024" t="str">
        <f t="shared" si="395"/>
        <v xml:space="preserve">* Los exámenes Reactivos de 80 y más años años NO DEBEN ser mayor a los Exámenes Procesados de la misma edad. </v>
      </c>
      <c r="CX236" s="2024"/>
      <c r="CY236" s="2024"/>
      <c r="CZ236" s="2024"/>
      <c r="DA236" s="2024"/>
      <c r="DB236" s="1346"/>
      <c r="DC236" s="1346"/>
      <c r="DD236" s="1346"/>
      <c r="DE236" s="1346"/>
      <c r="DF236" s="1346"/>
      <c r="DG236" s="1346">
        <f t="shared" si="396"/>
        <v>1</v>
      </c>
      <c r="DH236" s="1346">
        <f t="shared" si="397"/>
        <v>1</v>
      </c>
      <c r="DI236" s="1346">
        <f t="shared" si="398"/>
        <v>1</v>
      </c>
      <c r="DJ236" s="1346">
        <f t="shared" si="399"/>
        <v>1</v>
      </c>
      <c r="DK236" s="1346">
        <f t="shared" si="400"/>
        <v>1</v>
      </c>
      <c r="DL236" s="1346">
        <f t="shared" si="401"/>
        <v>1</v>
      </c>
      <c r="DM236" s="1346">
        <f t="shared" si="402"/>
        <v>1</v>
      </c>
      <c r="DN236" s="1346">
        <f t="shared" si="403"/>
        <v>1</v>
      </c>
      <c r="DO236" s="1346">
        <f t="shared" si="404"/>
        <v>1</v>
      </c>
      <c r="DP236" s="1346">
        <f t="shared" si="405"/>
        <v>1</v>
      </c>
      <c r="DQ236" s="1346">
        <f t="shared" si="406"/>
        <v>1</v>
      </c>
      <c r="DR236" s="1346">
        <f t="shared" si="407"/>
        <v>1</v>
      </c>
      <c r="DS236" s="1346">
        <f t="shared" si="408"/>
        <v>1</v>
      </c>
      <c r="DT236" s="1346">
        <f t="shared" si="409"/>
        <v>1</v>
      </c>
      <c r="DU236" s="1346">
        <f t="shared" si="410"/>
        <v>1</v>
      </c>
      <c r="DV236" s="1346">
        <f t="shared" si="411"/>
        <v>1</v>
      </c>
      <c r="DW236" s="1346">
        <f t="shared" si="412"/>
        <v>1</v>
      </c>
      <c r="DX236" s="1346"/>
      <c r="DY236" s="1346"/>
      <c r="DZ236" s="1346"/>
      <c r="EA236" s="1346">
        <v>0</v>
      </c>
    </row>
    <row r="237" spans="1:131" s="783" customFormat="1" ht="16.350000000000001" customHeight="1" x14ac:dyDescent="0.25">
      <c r="A237" s="2458">
        <v>11056485</v>
      </c>
      <c r="B237" s="1906" t="s">
        <v>318</v>
      </c>
      <c r="C237" s="587" t="s">
        <v>2777</v>
      </c>
      <c r="D237" s="1853" t="s">
        <v>2778</v>
      </c>
      <c r="E237" s="126" t="s">
        <v>2779</v>
      </c>
      <c r="F237" s="102" t="s">
        <v>2780</v>
      </c>
      <c r="G237" s="166" t="s">
        <v>2781</v>
      </c>
      <c r="H237" s="102" t="s">
        <v>2782</v>
      </c>
      <c r="I237" s="166" t="s">
        <v>2783</v>
      </c>
      <c r="J237" s="102" t="s">
        <v>2784</v>
      </c>
      <c r="K237" s="166" t="s">
        <v>2785</v>
      </c>
      <c r="L237" s="102" t="s">
        <v>2786</v>
      </c>
      <c r="M237" s="166" t="s">
        <v>2787</v>
      </c>
      <c r="N237" s="102" t="s">
        <v>2788</v>
      </c>
      <c r="O237" s="166" t="s">
        <v>2789</v>
      </c>
      <c r="P237" s="102" t="s">
        <v>2790</v>
      </c>
      <c r="Q237" s="166" t="s">
        <v>2791</v>
      </c>
      <c r="R237" s="102" t="s">
        <v>2792</v>
      </c>
      <c r="S237" s="166" t="s">
        <v>2793</v>
      </c>
      <c r="T237" s="102" t="s">
        <v>2794</v>
      </c>
      <c r="U237" s="166" t="s">
        <v>2795</v>
      </c>
      <c r="V237" s="102" t="s">
        <v>2796</v>
      </c>
      <c r="W237" s="166" t="s">
        <v>2797</v>
      </c>
      <c r="X237" s="102" t="s">
        <v>2798</v>
      </c>
      <c r="Y237" s="166" t="s">
        <v>2799</v>
      </c>
      <c r="Z237" s="102" t="s">
        <v>2800</v>
      </c>
      <c r="AA237" s="166" t="s">
        <v>2801</v>
      </c>
      <c r="AB237" s="102" t="s">
        <v>2817</v>
      </c>
      <c r="AC237" s="166" t="s">
        <v>2818</v>
      </c>
      <c r="AD237" s="102" t="s">
        <v>2819</v>
      </c>
      <c r="AE237" s="166" t="s">
        <v>2821</v>
      </c>
      <c r="AF237" s="102" t="s">
        <v>2822</v>
      </c>
      <c r="AG237" s="166" t="s">
        <v>2823</v>
      </c>
      <c r="AH237" s="102" t="s">
        <v>2824</v>
      </c>
      <c r="AI237" s="166" t="s">
        <v>2825</v>
      </c>
      <c r="AJ237" s="102" t="s">
        <v>2826</v>
      </c>
      <c r="AK237" s="166" t="s">
        <v>2827</v>
      </c>
      <c r="AL237" s="319" t="s">
        <v>2831</v>
      </c>
      <c r="AM237" s="126" t="s">
        <v>2832</v>
      </c>
      <c r="AN237" s="319" t="s">
        <v>2833</v>
      </c>
      <c r="AO237" s="126" t="s">
        <v>2834</v>
      </c>
      <c r="AP237" s="168" t="s">
        <v>3011</v>
      </c>
      <c r="AQ237" s="166" t="s">
        <v>3012</v>
      </c>
      <c r="AR237" s="105" t="s">
        <v>3013</v>
      </c>
      <c r="AS237" s="1057"/>
      <c r="AT237" s="1079"/>
      <c r="AU237" s="2063"/>
      <c r="AV237" s="2063"/>
      <c r="AW237" s="1079"/>
      <c r="AX237" s="1079"/>
      <c r="AY237" s="1079"/>
      <c r="AZ237" s="1079"/>
      <c r="BA237" s="1079"/>
      <c r="BB237" s="1079"/>
      <c r="BC237" s="1079"/>
      <c r="BD237" s="1079"/>
      <c r="BE237" s="2054"/>
      <c r="BF237" s="2054"/>
      <c r="BG237" s="2054"/>
      <c r="BH237" s="2054"/>
      <c r="BW237" s="884"/>
      <c r="BX237" s="884"/>
      <c r="BY237" s="885"/>
      <c r="BZ237" s="885"/>
      <c r="CA237" s="885"/>
      <c r="CB237" s="2024" t="str">
        <f t="shared" si="374"/>
        <v xml:space="preserve">* El total de Reactivos NO DEBE ser superior al total de Procesados. </v>
      </c>
      <c r="CC237" s="2024" t="e">
        <f t="shared" si="375"/>
        <v>#VALUE!</v>
      </c>
      <c r="CD237" s="2024" t="e">
        <f t="shared" si="376"/>
        <v>#VALUE!</v>
      </c>
      <c r="CE237" s="2024" t="str">
        <f t="shared" si="377"/>
        <v xml:space="preserve">* La columna Pueblos Originarios NO DEBE ser superior al total de Procesados. </v>
      </c>
      <c r="CF237" s="2024" t="str">
        <f t="shared" si="378"/>
        <v xml:space="preserve">* La columna Migrantes NO DEBE ser superior al total de Procesados. </v>
      </c>
      <c r="CG237" s="2024" t="str">
        <f t="shared" si="379"/>
        <v xml:space="preserve">* Los exámenes Reactivos de 0 a 4 años años NO DEBEN ser mayor a los Exámenes Procesados de la misma edad. </v>
      </c>
      <c r="CH237" s="2024" t="str">
        <f t="shared" si="380"/>
        <v xml:space="preserve">* Los exámenes Reactivos de 5 a 9 años años NO DEBEN ser mayor a los Exámenes Procesados de la misma edad. </v>
      </c>
      <c r="CI237" s="2024" t="str">
        <f t="shared" si="381"/>
        <v xml:space="preserve">* Los exámenes Reactivos de 10 a 14 años años NO DEBEN ser mayor a los Exámenes Procesados de la misma edad. </v>
      </c>
      <c r="CJ237" s="2024" t="str">
        <f t="shared" si="382"/>
        <v xml:space="preserve">* Los exámenes Reactivos de 15 a 19 años años NO DEBEN ser mayor a los Exámenes Procesados de la misma edad. </v>
      </c>
      <c r="CK237" s="2024" t="str">
        <f t="shared" si="383"/>
        <v xml:space="preserve">* Los exámenes Reactivos de 20 a 24 años años NO DEBEN ser mayor a los Exámenes Procesados de la misma edad. </v>
      </c>
      <c r="CL237" s="2024" t="str">
        <f t="shared" si="384"/>
        <v xml:space="preserve">* Los exámenes Reactivos de 25 a 29 años años NO DEBEN ser mayor a los Exámenes Procesados de la misma edad. </v>
      </c>
      <c r="CM237" s="2024" t="str">
        <f t="shared" si="385"/>
        <v xml:space="preserve">* Los exámenes Reactivos de 30 a 34 años años NO DEBEN ser mayor a los Exámenes Procesados de la misma edad. </v>
      </c>
      <c r="CN237" s="2024" t="str">
        <f t="shared" si="386"/>
        <v xml:space="preserve">* Los exámenes Reactivos de 35 a 39 años años NO DEBEN ser mayor a los Exámenes Procesados de la misma edad. </v>
      </c>
      <c r="CO237" s="2024" t="str">
        <f t="shared" si="387"/>
        <v xml:space="preserve">* Los exámenes Reactivos de 40 a 44 años años NO DEBEN ser mayor a los Exámenes Procesados de la misma edad. </v>
      </c>
      <c r="CP237" s="2024" t="str">
        <f t="shared" si="388"/>
        <v xml:space="preserve">* Los exámenes Reactivos de 45 a 49 años años NO DEBEN ser mayor a los Exámenes Procesados de la misma edad. </v>
      </c>
      <c r="CQ237" s="2024" t="str">
        <f t="shared" si="389"/>
        <v xml:space="preserve">* Los exámenes Reactivos de 50 a 54 años años NO DEBEN ser mayor a los Exámenes Procesados de la misma edad. </v>
      </c>
      <c r="CR237" s="2024" t="str">
        <f t="shared" si="390"/>
        <v xml:space="preserve">* Los exámenes Reactivos de 55 a 59 años años NO DEBEN ser mayor a los Exámenes Procesados de la misma edad. </v>
      </c>
      <c r="CS237" s="2024" t="str">
        <f t="shared" si="391"/>
        <v xml:space="preserve">* Los exámenes Reactivos de 60 a 64 años años NO DEBEN ser mayor a los Exámenes Procesados de la misma edad. </v>
      </c>
      <c r="CT237" s="2024" t="str">
        <f t="shared" si="392"/>
        <v xml:space="preserve">* Los exámenes Reactivos de 65 a 69 años años NO DEBEN ser mayor a los Exámenes Procesados de la misma edad. </v>
      </c>
      <c r="CU237" s="2024" t="str">
        <f t="shared" si="393"/>
        <v xml:space="preserve">* Los exámenes Reactivos de 70 a 74 años años NO DEBEN ser mayor a los Exámenes Procesados de la misma edad. </v>
      </c>
      <c r="CV237" s="2024" t="str">
        <f t="shared" si="394"/>
        <v xml:space="preserve">* Los exámenes Reactivos de 75 a 79 años años NO DEBEN ser mayor a los Exámenes Procesados de la misma edad. </v>
      </c>
      <c r="CW237" s="2024" t="str">
        <f t="shared" si="395"/>
        <v xml:space="preserve">* Los exámenes Reactivos de 80 y más años años NO DEBEN ser mayor a los Exámenes Procesados de la misma edad. </v>
      </c>
      <c r="CX237" s="2024"/>
      <c r="CY237" s="2024"/>
      <c r="CZ237" s="2024"/>
      <c r="DA237" s="2024"/>
      <c r="DB237" s="1346"/>
      <c r="DC237" s="1346"/>
      <c r="DD237" s="1346"/>
      <c r="DE237" s="1346"/>
      <c r="DF237" s="1346"/>
      <c r="DG237" s="1346">
        <f t="shared" si="396"/>
        <v>1</v>
      </c>
      <c r="DH237" s="1346">
        <f t="shared" si="397"/>
        <v>1</v>
      </c>
      <c r="DI237" s="1346">
        <f t="shared" si="398"/>
        <v>1</v>
      </c>
      <c r="DJ237" s="1346">
        <f t="shared" si="399"/>
        <v>1</v>
      </c>
      <c r="DK237" s="1346">
        <f t="shared" si="400"/>
        <v>1</v>
      </c>
      <c r="DL237" s="1346">
        <f t="shared" si="401"/>
        <v>1</v>
      </c>
      <c r="DM237" s="1346">
        <f t="shared" si="402"/>
        <v>1</v>
      </c>
      <c r="DN237" s="1346">
        <f t="shared" si="403"/>
        <v>1</v>
      </c>
      <c r="DO237" s="1346">
        <f t="shared" si="404"/>
        <v>1</v>
      </c>
      <c r="DP237" s="1346">
        <f t="shared" si="405"/>
        <v>1</v>
      </c>
      <c r="DQ237" s="1346">
        <f t="shared" si="406"/>
        <v>1</v>
      </c>
      <c r="DR237" s="1346">
        <f t="shared" si="407"/>
        <v>1</v>
      </c>
      <c r="DS237" s="1346">
        <f t="shared" si="408"/>
        <v>1</v>
      </c>
      <c r="DT237" s="1346">
        <f t="shared" si="409"/>
        <v>1</v>
      </c>
      <c r="DU237" s="1346">
        <f t="shared" si="410"/>
        <v>1</v>
      </c>
      <c r="DV237" s="1346">
        <f t="shared" si="411"/>
        <v>1</v>
      </c>
      <c r="DW237" s="1346">
        <f t="shared" si="412"/>
        <v>1</v>
      </c>
      <c r="DX237" s="1346"/>
      <c r="DY237" s="1346"/>
      <c r="DZ237" s="1346"/>
      <c r="EA237" s="1346">
        <v>0</v>
      </c>
    </row>
    <row r="238" spans="1:131" ht="27" customHeight="1" x14ac:dyDescent="0.25">
      <c r="B238" s="2083" t="s">
        <v>2335</v>
      </c>
      <c r="C238"/>
      <c r="D238"/>
      <c r="E238"/>
      <c r="F238"/>
      <c r="G238"/>
      <c r="H238"/>
      <c r="I238"/>
      <c r="J238"/>
      <c r="K238" s="2084"/>
      <c r="L238" s="2084"/>
      <c r="M238" s="2084"/>
      <c r="N238" s="2084"/>
      <c r="O238" s="2084"/>
      <c r="P238" s="2084"/>
      <c r="Q238" s="2084"/>
      <c r="R238" s="2084"/>
      <c r="S238" s="2084"/>
      <c r="T238" s="2084"/>
      <c r="U238" s="2084"/>
      <c r="V238" s="2084"/>
      <c r="W238" s="2084"/>
      <c r="X238" s="2084"/>
      <c r="Y238" s="2084"/>
      <c r="Z238" s="2084"/>
      <c r="AA238" s="2084"/>
      <c r="AB238" s="2084"/>
      <c r="AC238" s="2084"/>
      <c r="AD238" s="2084"/>
      <c r="AE238" s="2084"/>
      <c r="AF238" s="2084"/>
      <c r="AG238" s="2084"/>
      <c r="AH238" s="2084"/>
      <c r="AI238" s="2084"/>
      <c r="AJ238" s="2084"/>
      <c r="AK238" s="2084"/>
      <c r="AL238" s="2084"/>
      <c r="AM238" s="2084"/>
      <c r="AN238" s="2084"/>
      <c r="AO238" s="2084"/>
      <c r="AP238" s="2084"/>
      <c r="AQ238" s="2084"/>
      <c r="AR238" s="2084"/>
      <c r="AS238" s="2084"/>
      <c r="AT238" s="884"/>
      <c r="AU238" s="884"/>
      <c r="AV238" s="884"/>
      <c r="AW238" s="884"/>
      <c r="AX238" s="884"/>
      <c r="AY238" s="884"/>
      <c r="AZ238" s="884"/>
      <c r="BA238" s="884"/>
      <c r="BB238" s="884"/>
      <c r="BC238" s="884"/>
      <c r="BD238" s="884"/>
      <c r="BE238" s="884"/>
      <c r="BF238" s="884"/>
      <c r="BG238" s="884"/>
      <c r="BH238" s="884"/>
    </row>
    <row r="239" spans="1:131" ht="15" customHeight="1" x14ac:dyDescent="0.25">
      <c r="B239" s="6283" t="s">
        <v>2336</v>
      </c>
      <c r="C239" s="6284"/>
      <c r="D239" s="6289" t="s">
        <v>42</v>
      </c>
      <c r="E239" s="6290"/>
      <c r="F239" s="6280"/>
      <c r="G239" s="6281"/>
      <c r="H239" s="6281"/>
      <c r="I239" s="6281"/>
      <c r="J239" s="6281"/>
      <c r="K239" s="6281"/>
      <c r="L239" s="6281"/>
      <c r="M239" s="6281"/>
      <c r="N239" s="6281"/>
      <c r="O239" s="6281"/>
      <c r="P239" s="6281"/>
      <c r="Q239" s="6281"/>
      <c r="R239" s="6281"/>
      <c r="S239" s="6281"/>
      <c r="T239" s="6281"/>
      <c r="U239" s="6281"/>
      <c r="V239" s="6281"/>
      <c r="W239" s="6281"/>
      <c r="X239" s="6281"/>
      <c r="Y239" s="6281"/>
      <c r="Z239" s="6281"/>
      <c r="AA239" s="6281"/>
      <c r="AB239" s="6281"/>
      <c r="AC239" s="6281"/>
      <c r="AD239" s="6281"/>
      <c r="AE239" s="6281"/>
      <c r="AF239" s="6281"/>
      <c r="AG239" s="6281"/>
      <c r="AH239" s="6281"/>
      <c r="AI239" s="6281"/>
      <c r="AJ239" s="6281"/>
      <c r="AK239" s="6282"/>
      <c r="AL239" s="6240" t="s">
        <v>195</v>
      </c>
      <c r="AM239" s="6238"/>
      <c r="AN239" s="6238"/>
      <c r="AO239" s="6239"/>
      <c r="AP239" s="6240" t="s">
        <v>411</v>
      </c>
      <c r="AQ239" s="6238"/>
      <c r="AR239" s="6238"/>
      <c r="AS239" s="6239"/>
      <c r="AT239" s="6241" t="s">
        <v>2298</v>
      </c>
      <c r="AU239" s="6242"/>
      <c r="AV239" s="6241" t="s">
        <v>1358</v>
      </c>
      <c r="AW239" s="6242"/>
      <c r="AX239" s="6267" t="s">
        <v>2029</v>
      </c>
      <c r="AY239" s="6249"/>
      <c r="AZ239" s="884"/>
      <c r="BA239" s="884"/>
      <c r="BB239" s="884"/>
      <c r="BC239" s="884"/>
      <c r="BD239" s="884"/>
      <c r="BE239" s="884"/>
      <c r="BF239" s="884"/>
      <c r="BG239" s="884"/>
      <c r="BH239" s="884"/>
    </row>
    <row r="240" spans="1:131" ht="21.75" customHeight="1" x14ac:dyDescent="0.25">
      <c r="B240" s="6285"/>
      <c r="C240" s="6286"/>
      <c r="D240" s="6291"/>
      <c r="E240" s="6292"/>
      <c r="F240" s="6251" t="s">
        <v>2299</v>
      </c>
      <c r="G240" s="5730"/>
      <c r="H240" s="6251" t="s">
        <v>1355</v>
      </c>
      <c r="I240" s="5730"/>
      <c r="J240" s="6251" t="s">
        <v>2300</v>
      </c>
      <c r="K240" s="5730"/>
      <c r="L240" s="6234" t="s">
        <v>124</v>
      </c>
      <c r="M240" s="6237"/>
      <c r="N240" s="6234" t="s">
        <v>125</v>
      </c>
      <c r="O240" s="6237"/>
      <c r="P240" s="6234" t="s">
        <v>126</v>
      </c>
      <c r="Q240" s="6237"/>
      <c r="R240" s="6234" t="s">
        <v>167</v>
      </c>
      <c r="S240" s="6237"/>
      <c r="T240" s="6234" t="s">
        <v>651</v>
      </c>
      <c r="U240" s="6237"/>
      <c r="V240" s="6234" t="s">
        <v>652</v>
      </c>
      <c r="W240" s="6237"/>
      <c r="X240" s="6235" t="s">
        <v>653</v>
      </c>
      <c r="Y240" s="6237"/>
      <c r="Z240" s="6235" t="s">
        <v>654</v>
      </c>
      <c r="AA240" s="6237"/>
      <c r="AB240" s="6235" t="s">
        <v>655</v>
      </c>
      <c r="AC240" s="6237"/>
      <c r="AD240" s="6234" t="s">
        <v>656</v>
      </c>
      <c r="AE240" s="6237"/>
      <c r="AF240" s="6235" t="s">
        <v>657</v>
      </c>
      <c r="AG240" s="6237"/>
      <c r="AH240" s="6235" t="s">
        <v>263</v>
      </c>
      <c r="AI240" s="6237"/>
      <c r="AJ240" s="6235" t="s">
        <v>2337</v>
      </c>
      <c r="AK240" s="6236"/>
      <c r="AL240" s="6252" t="s">
        <v>24</v>
      </c>
      <c r="AM240" s="6253"/>
      <c r="AN240" s="6254" t="s">
        <v>25</v>
      </c>
      <c r="AO240" s="6255"/>
      <c r="AP240" s="6252" t="s">
        <v>1351</v>
      </c>
      <c r="AQ240" s="6253"/>
      <c r="AR240" s="6254" t="s">
        <v>1350</v>
      </c>
      <c r="AS240" s="6255"/>
      <c r="AT240" s="6243"/>
      <c r="AU240" s="6244"/>
      <c r="AV240" s="6243"/>
      <c r="AW240" s="6244"/>
      <c r="AX240" s="6268"/>
      <c r="AY240" s="5417"/>
      <c r="AZ240" s="884"/>
      <c r="BA240" s="884"/>
      <c r="BB240" s="884"/>
      <c r="BC240" s="884"/>
      <c r="BD240" s="884"/>
      <c r="BE240" s="884"/>
      <c r="BF240" s="884"/>
      <c r="BG240" s="884"/>
      <c r="BH240" s="884"/>
    </row>
    <row r="241" spans="1:129" ht="39" customHeight="1" x14ac:dyDescent="0.25">
      <c r="B241" s="6287"/>
      <c r="C241" s="6288"/>
      <c r="D241" s="1732" t="s">
        <v>2257</v>
      </c>
      <c r="E241" s="2080" t="s">
        <v>2302</v>
      </c>
      <c r="F241" s="1910" t="s">
        <v>2257</v>
      </c>
      <c r="G241" s="2080" t="s">
        <v>2302</v>
      </c>
      <c r="H241" s="1910" t="s">
        <v>2257</v>
      </c>
      <c r="I241" s="2080" t="s">
        <v>2302</v>
      </c>
      <c r="J241" s="1732" t="s">
        <v>2257</v>
      </c>
      <c r="K241" s="2080" t="s">
        <v>2302</v>
      </c>
      <c r="L241" s="1732" t="s">
        <v>2257</v>
      </c>
      <c r="M241" s="2080" t="s">
        <v>2302</v>
      </c>
      <c r="N241" s="1910" t="s">
        <v>2257</v>
      </c>
      <c r="O241" s="2080" t="s">
        <v>2302</v>
      </c>
      <c r="P241" s="1910" t="s">
        <v>2257</v>
      </c>
      <c r="Q241" s="2080" t="s">
        <v>2302</v>
      </c>
      <c r="R241" s="1910" t="s">
        <v>2257</v>
      </c>
      <c r="S241" s="2080" t="s">
        <v>2302</v>
      </c>
      <c r="T241" s="1910" t="s">
        <v>2257</v>
      </c>
      <c r="U241" s="2080" t="s">
        <v>2302</v>
      </c>
      <c r="V241" s="1910" t="s">
        <v>2257</v>
      </c>
      <c r="W241" s="2080" t="s">
        <v>2302</v>
      </c>
      <c r="X241" s="1732" t="s">
        <v>2257</v>
      </c>
      <c r="Y241" s="2080" t="s">
        <v>2302</v>
      </c>
      <c r="Z241" s="1732" t="s">
        <v>2257</v>
      </c>
      <c r="AA241" s="2080" t="s">
        <v>2302</v>
      </c>
      <c r="AB241" s="1732" t="s">
        <v>2257</v>
      </c>
      <c r="AC241" s="2080" t="s">
        <v>2302</v>
      </c>
      <c r="AD241" s="1910" t="s">
        <v>2257</v>
      </c>
      <c r="AE241" s="2080" t="s">
        <v>2302</v>
      </c>
      <c r="AF241" s="1732" t="s">
        <v>2257</v>
      </c>
      <c r="AG241" s="2080" t="s">
        <v>2302</v>
      </c>
      <c r="AH241" s="1732" t="s">
        <v>2257</v>
      </c>
      <c r="AI241" s="2080" t="s">
        <v>2302</v>
      </c>
      <c r="AJ241" s="1732" t="s">
        <v>2257</v>
      </c>
      <c r="AK241" s="2080" t="s">
        <v>2302</v>
      </c>
      <c r="AL241" s="2079" t="s">
        <v>2257</v>
      </c>
      <c r="AM241" s="2080" t="s">
        <v>2302</v>
      </c>
      <c r="AN241" s="1732" t="s">
        <v>2257</v>
      </c>
      <c r="AO241" s="2080" t="s">
        <v>2302</v>
      </c>
      <c r="AP241" s="2079" t="s">
        <v>2257</v>
      </c>
      <c r="AQ241" s="2080" t="s">
        <v>2302</v>
      </c>
      <c r="AR241" s="1732" t="s">
        <v>2257</v>
      </c>
      <c r="AS241" s="2080" t="s">
        <v>2302</v>
      </c>
      <c r="AT241" s="2079" t="s">
        <v>2257</v>
      </c>
      <c r="AU241" s="2080" t="s">
        <v>2302</v>
      </c>
      <c r="AV241" s="2079" t="s">
        <v>2257</v>
      </c>
      <c r="AW241" s="2080" t="s">
        <v>2302</v>
      </c>
      <c r="AX241" s="2079" t="s">
        <v>2257</v>
      </c>
      <c r="AY241" s="2080" t="s">
        <v>2302</v>
      </c>
      <c r="AZ241" s="884"/>
      <c r="BA241" s="884"/>
      <c r="BB241" s="884"/>
      <c r="BC241" s="884"/>
      <c r="BD241" s="884"/>
      <c r="BE241" s="884"/>
      <c r="BF241" s="884"/>
      <c r="BG241" s="884"/>
      <c r="BH241" s="884"/>
    </row>
    <row r="242" spans="1:129" ht="18" customHeight="1" x14ac:dyDescent="0.25">
      <c r="A242" s="2458">
        <v>11057100</v>
      </c>
      <c r="B242" s="6299" t="s">
        <v>2338</v>
      </c>
      <c r="C242" s="1765" t="s">
        <v>2303</v>
      </c>
      <c r="D242" s="2085" t="s">
        <v>2777</v>
      </c>
      <c r="E242" s="2086" t="s">
        <v>2778</v>
      </c>
      <c r="F242" s="2087" t="s">
        <v>2779</v>
      </c>
      <c r="G242" s="2088" t="s">
        <v>2780</v>
      </c>
      <c r="H242" s="2089" t="s">
        <v>2781</v>
      </c>
      <c r="I242" s="2088" t="s">
        <v>2782</v>
      </c>
      <c r="J242" s="2089" t="s">
        <v>2783</v>
      </c>
      <c r="K242" s="2088" t="s">
        <v>2784</v>
      </c>
      <c r="L242" s="2089" t="s">
        <v>2785</v>
      </c>
      <c r="M242" s="2088" t="s">
        <v>2786</v>
      </c>
      <c r="N242" s="820" t="s">
        <v>2787</v>
      </c>
      <c r="O242" s="821" t="s">
        <v>2788</v>
      </c>
      <c r="P242" s="819" t="s">
        <v>2789</v>
      </c>
      <c r="Q242" s="821" t="s">
        <v>2790</v>
      </c>
      <c r="R242" s="818" t="s">
        <v>2791</v>
      </c>
      <c r="S242" s="821" t="s">
        <v>2792</v>
      </c>
      <c r="T242" s="818" t="s">
        <v>2793</v>
      </c>
      <c r="U242" s="821" t="s">
        <v>2794</v>
      </c>
      <c r="V242" s="818" t="s">
        <v>2795</v>
      </c>
      <c r="W242" s="821" t="s">
        <v>2796</v>
      </c>
      <c r="X242" s="820" t="s">
        <v>2797</v>
      </c>
      <c r="Y242" s="821" t="s">
        <v>2798</v>
      </c>
      <c r="Z242" s="820" t="s">
        <v>2799</v>
      </c>
      <c r="AA242" s="821" t="s">
        <v>2800</v>
      </c>
      <c r="AB242" s="820" t="s">
        <v>2801</v>
      </c>
      <c r="AC242" s="821" t="s">
        <v>2817</v>
      </c>
      <c r="AD242" s="818" t="s">
        <v>2818</v>
      </c>
      <c r="AE242" s="821" t="s">
        <v>2819</v>
      </c>
      <c r="AF242" s="2090" t="s">
        <v>2821</v>
      </c>
      <c r="AG242" s="2091" t="s">
        <v>2822</v>
      </c>
      <c r="AH242" s="2090" t="s">
        <v>2823</v>
      </c>
      <c r="AI242" s="2091" t="s">
        <v>2824</v>
      </c>
      <c r="AJ242" s="2090" t="s">
        <v>2825</v>
      </c>
      <c r="AK242" s="2092" t="s">
        <v>2826</v>
      </c>
      <c r="AL242" s="2093" t="s">
        <v>2827</v>
      </c>
      <c r="AM242" s="2091" t="s">
        <v>2831</v>
      </c>
      <c r="AN242" s="820" t="s">
        <v>2832</v>
      </c>
      <c r="AO242" s="832" t="s">
        <v>2833</v>
      </c>
      <c r="AP242" s="2094" t="s">
        <v>2834</v>
      </c>
      <c r="AQ242" s="821" t="s">
        <v>3011</v>
      </c>
      <c r="AR242" s="820" t="s">
        <v>3012</v>
      </c>
      <c r="AS242" s="832" t="s">
        <v>3013</v>
      </c>
      <c r="AT242" s="2094" t="s">
        <v>3014</v>
      </c>
      <c r="AU242" s="832" t="s">
        <v>3015</v>
      </c>
      <c r="AV242" s="2094" t="s">
        <v>3206</v>
      </c>
      <c r="AW242" s="821" t="s">
        <v>3207</v>
      </c>
      <c r="AX242" s="2094" t="s">
        <v>3272</v>
      </c>
      <c r="AY242" s="821" t="s">
        <v>3273</v>
      </c>
      <c r="AZ242" s="1079" t="e">
        <f t="shared" ref="AZ242:AZ264" si="413">$CB242&amp;$CC242&amp;$CD242&amp;$CE242&amp;$CF242&amp;$CG242&amp;$CH242&amp;$CI242&amp;$CJ242&amp;$CK242&amp;$CL242&amp;$CM242&amp;$CN242&amp;$CO242&amp;$CP242&amp;$CQ242&amp;$CR242&amp;$CS242&amp;$CT242&amp;$CU242&amp;$CV242&amp;$CW242&amp;$CX242&amp;$CY242&amp;$CZ242&amp;$DA242</f>
        <v>#VALUE!</v>
      </c>
      <c r="BA242" s="884"/>
      <c r="BB242" s="884"/>
      <c r="BC242" s="884"/>
      <c r="BD242" s="884"/>
      <c r="BE242" s="884"/>
      <c r="BF242" s="884"/>
      <c r="BG242" s="884"/>
      <c r="BH242" s="884"/>
      <c r="CB242" s="2077" t="str">
        <f t="shared" ref="CB242:CB264" si="414">IF(DB242=1,"* El total de Confirmados Positivos por ISP NO DEBE ser mayor que el total de Procesados. ","")</f>
        <v xml:space="preserve">* El total de Confirmados Positivos por ISP NO DEBE ser mayor que el total de Procesados. </v>
      </c>
      <c r="CC242" s="2077"/>
      <c r="CD242" s="2077" t="e">
        <f t="shared" ref="CD242:CD264" si="415">IF((AP242+AR242)&gt;D242,"* El Total de Procesados Trans NO DEBE ser mayor al Total de Procesados. ",IF((AQ242+AS242)&gt;E242,"* El Total de Confirmados Trans NO DEBE ser mayor al Total de Confirmados. ",""))</f>
        <v>#VALUE!</v>
      </c>
      <c r="CE242" s="2077" t="str">
        <f t="shared" ref="CE242:CE264" si="416">IF(AT242&gt;D242,"* El Total de Pueblos Originarios Procesados NO DEBE ser mayor al Total de Procesados. ",IF(AU242&gt;E242,"* El Total de Pueblos Originarios Confirmados NO DEBE ser mayor al Total de Confirmados. ",""))</f>
        <v xml:space="preserve">* El Total de Pueblos Originarios Procesados NO DEBE ser mayor al Total de Procesados. </v>
      </c>
      <c r="CF242" s="2077" t="str">
        <f t="shared" ref="CF242:CF264" si="417">IF(AV242&gt;D242,"* El Total de Migrantes Procesados NO DEBE ser mayor al Total de Procesados. ",IF(AW242&gt;E242,"* El Total deMigrantes Confirmados NO DEBE ser mayor al Total de Confirmados. ",""))</f>
        <v xml:space="preserve">* El Total de Migrantes Procesados NO DEBE ser mayor al Total de Procesados. </v>
      </c>
      <c r="CG242" s="2077" t="e">
        <f t="shared" ref="CG242:CG264" si="418">IF((N242+P242)&lt;AX242,"* El Total de Procesados de 14-18 años NO DEBE ser mayor al Total de Procesados registrados en los grupos de edad 10 a 14 y 15 a 19 años. ",IF((O242+Q242)&lt;AY242,"* El Total de Confirmados de 14-18 años NO DEBE ser mayor al Total de Confirmados registrados en los grupos de edad 10 a 14 y 15 a 19 años. ",""))</f>
        <v>#VALUE!</v>
      </c>
      <c r="CH242" s="2077" t="str">
        <f t="shared" ref="CH242:CH264" si="419">IF(DH242=1,CONCATENATE("* Los exámenes positivos de ",$F$158," NO DEBEN ser mayor a los exámenes procesados de la misma edad. "),"")</f>
        <v xml:space="preserve">* Los exámenes positivos de Menor de 12 meses NO DEBEN ser mayor a los exámenes procesados de la misma edad. </v>
      </c>
      <c r="CI242" s="2077" t="str">
        <f t="shared" ref="CI242:CI264" si="420">IF(DI242=1,CONCATENATE("* Los exámenes positivos de ",$H$158," NO DEBEN ser mayor a los exámenes procesados de la misma edad. "),"")</f>
        <v xml:space="preserve">* Los exámenes positivos de 12-24 meses NO DEBEN ser mayor a los exámenes procesados de la misma edad. </v>
      </c>
      <c r="CJ242" s="2077" t="str">
        <f t="shared" ref="CJ242:CJ264" si="421">IF(DJ242=1,CONCATENATE("* Los exámenes positivos de ",$J$158," NO DEBEN ser mayor a los exámenes procesados de la misma edad. "),"")</f>
        <v xml:space="preserve">* Los exámenes positivos de 3 a 4 años NO DEBEN ser mayor a los exámenes procesados de la misma edad. </v>
      </c>
      <c r="CK242" s="2077" t="str">
        <f t="shared" ref="CK242:CK264" si="422">IF(DK242=1,CONCATENATE("* Los exámenes positivos de ",$L$158," NO DEBEN ser mayor a los exámenes procesados de la misma edad. "),"")</f>
        <v xml:space="preserve">* Los exámenes positivos de 5 a 9 años NO DEBEN ser mayor a los exámenes procesados de la misma edad. </v>
      </c>
      <c r="CL242" s="2077" t="str">
        <f t="shared" ref="CL242:CL264" si="423">IF(DL242=1,CONCATENATE("* Los exámenes positivos de ",$N$158," NO DEBEN ser mayor a los exámenes procesados de la misma edad. "),"")</f>
        <v xml:space="preserve">* Los exámenes positivos de 10 a 14 años NO DEBEN ser mayor a los exámenes procesados de la misma edad. </v>
      </c>
      <c r="CM242" s="2077" t="str">
        <f t="shared" ref="CM242:CM264" si="424">IF(DM242=1,CONCATENATE("* Los exámenes positivos de ",$P$158," NO DEBEN ser mayor a los exámenes procesados de la misma edad. "),"")</f>
        <v xml:space="preserve">* Los exámenes positivos de 15 a 19 años NO DEBEN ser mayor a los exámenes procesados de la misma edad. </v>
      </c>
      <c r="CN242" s="2077" t="str">
        <f t="shared" ref="CN242:CN264" si="425">IF(DN242=1,CONCATENATE("* Los exámenes positivos de ",$R$158," NO DEBEN ser mayor a los exámenes procesados de la misma edad. "),"")</f>
        <v xml:space="preserve">* Los exámenes positivos de 20 a 24 años NO DEBEN ser mayor a los exámenes procesados de la misma edad. </v>
      </c>
      <c r="CO242" s="2077" t="str">
        <f t="shared" ref="CO242:CO264" si="426">IF(DO242=1,CONCATENATE("* Los exámenes positivos de ",$T$158," NO DEBEN ser mayor a los exámenes procesados de la misma edad. "),"")</f>
        <v xml:space="preserve">* Los exámenes positivos de 25 a 29 años NO DEBEN ser mayor a los exámenes procesados de la misma edad. </v>
      </c>
      <c r="CP242" s="2077" t="str">
        <f t="shared" ref="CP242:CP264" si="427">IF(DP242=1,CONCATENATE("* Los exámenes positivos de ",$V$158," NO DEBEN ser mayor a los exámenes procesados de la misma edad. "),"")</f>
        <v xml:space="preserve">* Los exámenes positivos de 30 a 34 años NO DEBEN ser mayor a los exámenes procesados de la misma edad. </v>
      </c>
      <c r="CQ242" s="2077" t="str">
        <f t="shared" ref="CQ242:CQ264" si="428">IF(DQ242=1,CONCATENATE("* Los exámenes positivos de ",$X$158," NO DEBEN ser mayor a los exámenes procesados de la misma edad. "),"")</f>
        <v xml:space="preserve">* Los exámenes positivos de 35 a 39 años NO DEBEN ser mayor a los exámenes procesados de la misma edad. </v>
      </c>
      <c r="CR242" s="2077" t="str">
        <f t="shared" ref="CR242:CR264" si="429">IF(DR242=1,CONCATENATE("* Los exámenes positivos de ",$Z$158," NO DEBEN ser mayor a los exámenes procesados de la misma edad. "),"")</f>
        <v xml:space="preserve">* Los exámenes positivos de 40 a 44 años NO DEBEN ser mayor a los exámenes procesados de la misma edad. </v>
      </c>
      <c r="CS242" s="2077" t="str">
        <f t="shared" ref="CS242:CS264" si="430">IF(DS242=1,CONCATENATE("* Los exámenes positivos de ",$AB$158," NO DEBEN ser mayor a los exámenes procesados de la misma edad. "),"")</f>
        <v xml:space="preserve">* Los exámenes positivos de 45 a 49 años NO DEBEN ser mayor a los exámenes procesados de la misma edad. </v>
      </c>
      <c r="CT242" s="2077" t="str">
        <f t="shared" ref="CT242:CT264" si="431">IF(DT242=1,CONCATENATE("* Los exámenes positivos de ",$AD$158," NO DEBEN ser mayor a los exámenes procesados de la misma edad. "),"")</f>
        <v xml:space="preserve">* Los exámenes positivos de 50 a 54 años NO DEBEN ser mayor a los exámenes procesados de la misma edad. </v>
      </c>
      <c r="CU242" s="2077" t="str">
        <f t="shared" ref="CU242:CU264" si="432">IF(DU242=1,CONCATENATE("* Los exámenes positivos de ",$AF$158," NO DEBEN ser mayor a los exámenes procesados de la misma edad. "),"")</f>
        <v xml:space="preserve">* Los exámenes positivos de 55 a 59 años NO DEBEN ser mayor a los exámenes procesados de la misma edad. </v>
      </c>
      <c r="CV242" s="2077" t="str">
        <f t="shared" ref="CV242:CV264" si="433">IF(DV242=1,CONCATENATE("* Los exámenes positivos de ",$AH$158," NO DEBEN ser mayor a los exámenes procesados de la misma edad. "),"")</f>
        <v xml:space="preserve">* Los exámenes positivos de 60 a 64 años NO DEBEN ser mayor a los exámenes procesados de la misma edad. </v>
      </c>
      <c r="CW242" s="2077" t="str">
        <f t="shared" ref="CW242:CW264" si="434">IF(DW242=1,CONCATENATE("* Los exámenes positivos de ",$AJ$158," NO DEBEN ser mayor a los exámenes procesados de la misma edad. "),"")</f>
        <v xml:space="preserve">* Los exámenes positivos de  65 y más años NO DEBEN ser mayor a los exámenes procesados de la misma edad. </v>
      </c>
      <c r="CX242" s="2077" t="str">
        <f t="shared" ref="CX242:CX264" si="435">IF(DX242=1,"* No olvide digitar la columna Procesados Trans y/o Pueblos Originarios y/o Migrantes (Digite Cero si no tiene). ","")</f>
        <v/>
      </c>
      <c r="CY242" s="2077" t="str">
        <f t="shared" ref="CY242:CY264" si="436">IF(DY242=1,"* No olvide digitar la columna Confirmados Trans y/o Pueblos Originarios y/o Migrantes (Digite Cero si no tiene). ","")</f>
        <v/>
      </c>
      <c r="CZ242" s="2077"/>
      <c r="DA242" s="2077"/>
      <c r="DB242" s="1363">
        <f>IF(D242&lt;E242,1,0)</f>
        <v>1</v>
      </c>
      <c r="DC242" s="1363"/>
      <c r="DD242" s="1363" t="e">
        <f t="shared" ref="DD242:DD264" si="437">IF(OR((AP242+AR242)&gt;D242,(AQ242+AS242)&gt;E242),1,0)</f>
        <v>#VALUE!</v>
      </c>
      <c r="DE242" s="1363">
        <f t="shared" ref="DE242:DE264" si="438">IF(OR(AT242&gt;D242,AU242&gt;E242),1,0)</f>
        <v>1</v>
      </c>
      <c r="DF242" s="1363">
        <f t="shared" ref="DF242:DF264" si="439">IF(OR(AW242&gt;E242,AV242&gt;D242),1,0)</f>
        <v>1</v>
      </c>
      <c r="DG242" s="1363" t="e">
        <f t="shared" ref="DG242:DG264" si="440">IF(OR((N242+P242)&lt;AX242,(O242+Q242)&lt;AY242),1,0)</f>
        <v>#VALUE!</v>
      </c>
      <c r="DH242" s="1363">
        <f t="shared" ref="DH242:DH264" si="441">IF(F242&lt;G242,1,0)</f>
        <v>1</v>
      </c>
      <c r="DI242" s="1363">
        <f t="shared" ref="DI242:DI264" si="442">IF(H242&lt;I242,1,0)</f>
        <v>1</v>
      </c>
      <c r="DJ242" s="1363">
        <f t="shared" ref="DJ242:DJ264" si="443">IF(J242&lt;K242,1,0)</f>
        <v>1</v>
      </c>
      <c r="DK242" s="1363">
        <f t="shared" ref="DK242:DK264" si="444">IF(L242&lt;M242,1,0)</f>
        <v>1</v>
      </c>
      <c r="DL242" s="1363">
        <f t="shared" ref="DL242:DL264" si="445">IF(N242&lt;O242,1,0)</f>
        <v>1</v>
      </c>
      <c r="DM242" s="1363">
        <f t="shared" ref="DM242:DM264" si="446">IF(P242&lt;Q242,1,0)</f>
        <v>1</v>
      </c>
      <c r="DN242" s="1363">
        <f t="shared" ref="DN242:DN264" si="447">IF(R242&lt;S242,1,0)</f>
        <v>1</v>
      </c>
      <c r="DO242" s="1363">
        <f t="shared" ref="DO242:DO264" si="448">IF(T242&lt;U242,1,0)</f>
        <v>1</v>
      </c>
      <c r="DP242" s="1363">
        <f t="shared" ref="DP242:DP264" si="449">IF(V242&lt;W242,1,0)</f>
        <v>1</v>
      </c>
      <c r="DQ242" s="1363">
        <f t="shared" ref="DQ242:DQ264" si="450">IF(X242&lt;Y242,1,0)</f>
        <v>1</v>
      </c>
      <c r="DR242" s="1363">
        <f>IF(Z242&lt;AA242,1,0)</f>
        <v>1</v>
      </c>
      <c r="DS242" s="1363">
        <f t="shared" ref="DS242:DS264" si="451">IF(AB242&lt;AC242,1,0)</f>
        <v>1</v>
      </c>
      <c r="DT242" s="1363">
        <f t="shared" ref="DT242:DT264" si="452">IF(AD242&lt;AE242,1,0)</f>
        <v>1</v>
      </c>
      <c r="DU242" s="1363">
        <f t="shared" ref="DU242:DU264" si="453">IF(AF242&lt;AG242,1,0)</f>
        <v>1</v>
      </c>
      <c r="DV242" s="1363">
        <f t="shared" ref="DV242:DV264" si="454">IF(AH242&lt;AI242,1,0)</f>
        <v>1</v>
      </c>
      <c r="DW242" s="1363">
        <f t="shared" ref="DW242:DW264" si="455">IF(AJ242&lt;AK242,1,0)</f>
        <v>1</v>
      </c>
      <c r="DX242" s="1363">
        <f t="shared" ref="DX242:DY257" si="456">IF(AND(D242&lt;&gt;0,OR(AP242="",AR242="",AT242="",AV242="")),1,0)</f>
        <v>0</v>
      </c>
      <c r="DY242" s="1363">
        <f>IF(AND(E242&lt;&gt;0,OR(AQ242="",AS242="",AU242="",AW242="")),1,0)</f>
        <v>0</v>
      </c>
    </row>
    <row r="243" spans="1:129" ht="18" customHeight="1" x14ac:dyDescent="0.25">
      <c r="A243" s="2458">
        <v>11057101</v>
      </c>
      <c r="B243" s="5810"/>
      <c r="C243" s="1004" t="s">
        <v>2304</v>
      </c>
      <c r="D243" s="2095" t="s">
        <v>2777</v>
      </c>
      <c r="E243" s="2096" t="s">
        <v>2778</v>
      </c>
      <c r="F243" s="2097" t="s">
        <v>2779</v>
      </c>
      <c r="G243" s="2098" t="s">
        <v>2780</v>
      </c>
      <c r="H243" s="2099" t="s">
        <v>2781</v>
      </c>
      <c r="I243" s="2098" t="s">
        <v>2782</v>
      </c>
      <c r="J243" s="2099" t="s">
        <v>2783</v>
      </c>
      <c r="K243" s="2098" t="s">
        <v>2784</v>
      </c>
      <c r="L243" s="2099" t="s">
        <v>2785</v>
      </c>
      <c r="M243" s="2098" t="s">
        <v>2786</v>
      </c>
      <c r="N243" s="820" t="s">
        <v>2787</v>
      </c>
      <c r="O243" s="821" t="s">
        <v>2788</v>
      </c>
      <c r="P243" s="819" t="s">
        <v>2789</v>
      </c>
      <c r="Q243" s="821" t="s">
        <v>2790</v>
      </c>
      <c r="R243" s="818" t="s">
        <v>2791</v>
      </c>
      <c r="S243" s="821" t="s">
        <v>2792</v>
      </c>
      <c r="T243" s="818" t="s">
        <v>2793</v>
      </c>
      <c r="U243" s="821" t="s">
        <v>2794</v>
      </c>
      <c r="V243" s="818" t="s">
        <v>2795</v>
      </c>
      <c r="W243" s="821" t="s">
        <v>2796</v>
      </c>
      <c r="X243" s="820" t="s">
        <v>2797</v>
      </c>
      <c r="Y243" s="821" t="s">
        <v>2798</v>
      </c>
      <c r="Z243" s="820" t="s">
        <v>2799</v>
      </c>
      <c r="AA243" s="821" t="s">
        <v>2800</v>
      </c>
      <c r="AB243" s="820" t="s">
        <v>2801</v>
      </c>
      <c r="AC243" s="821" t="s">
        <v>2817</v>
      </c>
      <c r="AD243" s="818" t="s">
        <v>2818</v>
      </c>
      <c r="AE243" s="821" t="s">
        <v>2819</v>
      </c>
      <c r="AF243" s="2090" t="s">
        <v>2821</v>
      </c>
      <c r="AG243" s="2091" t="s">
        <v>2822</v>
      </c>
      <c r="AH243" s="2090" t="s">
        <v>2823</v>
      </c>
      <c r="AI243" s="2091" t="s">
        <v>2824</v>
      </c>
      <c r="AJ243" s="2090" t="s">
        <v>2825</v>
      </c>
      <c r="AK243" s="2092" t="s">
        <v>2826</v>
      </c>
      <c r="AL243" s="2093" t="s">
        <v>2827</v>
      </c>
      <c r="AM243" s="2091" t="s">
        <v>2831</v>
      </c>
      <c r="AN243" s="820" t="s">
        <v>2832</v>
      </c>
      <c r="AO243" s="832" t="s">
        <v>2833</v>
      </c>
      <c r="AP243" s="2094" t="s">
        <v>2834</v>
      </c>
      <c r="AQ243" s="821" t="s">
        <v>3011</v>
      </c>
      <c r="AR243" s="820" t="s">
        <v>3012</v>
      </c>
      <c r="AS243" s="832" t="s">
        <v>3013</v>
      </c>
      <c r="AT243" s="2094" t="s">
        <v>3014</v>
      </c>
      <c r="AU243" s="832" t="s">
        <v>3015</v>
      </c>
      <c r="AV243" s="2094" t="s">
        <v>3206</v>
      </c>
      <c r="AW243" s="821" t="s">
        <v>3207</v>
      </c>
      <c r="AX243" s="2094" t="s">
        <v>3272</v>
      </c>
      <c r="AY243" s="821" t="s">
        <v>3273</v>
      </c>
      <c r="AZ243" s="1079" t="e">
        <f t="shared" si="413"/>
        <v>#VALUE!</v>
      </c>
      <c r="BA243" s="884"/>
      <c r="BB243" s="884"/>
      <c r="BC243" s="884"/>
      <c r="BD243" s="884"/>
      <c r="BE243" s="884"/>
      <c r="BF243" s="884"/>
      <c r="BG243" s="884"/>
      <c r="BH243" s="884"/>
      <c r="CB243" s="2077" t="str">
        <f t="shared" si="414"/>
        <v xml:space="preserve">* El total de Confirmados Positivos por ISP NO DEBE ser mayor que el total de Procesados. </v>
      </c>
      <c r="CC243" s="2077"/>
      <c r="CD243" s="2077" t="e">
        <f t="shared" si="415"/>
        <v>#VALUE!</v>
      </c>
      <c r="CE243" s="2077" t="str">
        <f t="shared" si="416"/>
        <v xml:space="preserve">* El Total de Pueblos Originarios Procesados NO DEBE ser mayor al Total de Procesados. </v>
      </c>
      <c r="CF243" s="2077" t="str">
        <f t="shared" si="417"/>
        <v xml:space="preserve">* El Total de Migrantes Procesados NO DEBE ser mayor al Total de Procesados. </v>
      </c>
      <c r="CG243" s="2077" t="e">
        <f t="shared" si="418"/>
        <v>#VALUE!</v>
      </c>
      <c r="CH243" s="2077" t="str">
        <f t="shared" si="419"/>
        <v xml:space="preserve">* Los exámenes positivos de Menor de 12 meses NO DEBEN ser mayor a los exámenes procesados de la misma edad. </v>
      </c>
      <c r="CI243" s="2077" t="str">
        <f t="shared" si="420"/>
        <v xml:space="preserve">* Los exámenes positivos de 12-24 meses NO DEBEN ser mayor a los exámenes procesados de la misma edad. </v>
      </c>
      <c r="CJ243" s="2077" t="str">
        <f t="shared" si="421"/>
        <v xml:space="preserve">* Los exámenes positivos de 3 a 4 años NO DEBEN ser mayor a los exámenes procesados de la misma edad. </v>
      </c>
      <c r="CK243" s="2077" t="str">
        <f t="shared" si="422"/>
        <v xml:space="preserve">* Los exámenes positivos de 5 a 9 años NO DEBEN ser mayor a los exámenes procesados de la misma edad. </v>
      </c>
      <c r="CL243" s="2077" t="str">
        <f t="shared" si="423"/>
        <v xml:space="preserve">* Los exámenes positivos de 10 a 14 años NO DEBEN ser mayor a los exámenes procesados de la misma edad. </v>
      </c>
      <c r="CM243" s="2077" t="str">
        <f t="shared" si="424"/>
        <v xml:space="preserve">* Los exámenes positivos de 15 a 19 años NO DEBEN ser mayor a los exámenes procesados de la misma edad. </v>
      </c>
      <c r="CN243" s="2077" t="str">
        <f t="shared" si="425"/>
        <v xml:space="preserve">* Los exámenes positivos de 20 a 24 años NO DEBEN ser mayor a los exámenes procesados de la misma edad. </v>
      </c>
      <c r="CO243" s="2077" t="str">
        <f t="shared" si="426"/>
        <v xml:space="preserve">* Los exámenes positivos de 25 a 29 años NO DEBEN ser mayor a los exámenes procesados de la misma edad. </v>
      </c>
      <c r="CP243" s="2077" t="str">
        <f t="shared" si="427"/>
        <v xml:space="preserve">* Los exámenes positivos de 30 a 34 años NO DEBEN ser mayor a los exámenes procesados de la misma edad. </v>
      </c>
      <c r="CQ243" s="2077" t="str">
        <f t="shared" si="428"/>
        <v xml:space="preserve">* Los exámenes positivos de 35 a 39 años NO DEBEN ser mayor a los exámenes procesados de la misma edad. </v>
      </c>
      <c r="CR243" s="2077" t="str">
        <f t="shared" si="429"/>
        <v xml:space="preserve">* Los exámenes positivos de 40 a 44 años NO DEBEN ser mayor a los exámenes procesados de la misma edad. </v>
      </c>
      <c r="CS243" s="2077" t="str">
        <f t="shared" si="430"/>
        <v xml:space="preserve">* Los exámenes positivos de 45 a 49 años NO DEBEN ser mayor a los exámenes procesados de la misma edad. </v>
      </c>
      <c r="CT243" s="2077" t="str">
        <f t="shared" si="431"/>
        <v xml:space="preserve">* Los exámenes positivos de 50 a 54 años NO DEBEN ser mayor a los exámenes procesados de la misma edad. </v>
      </c>
      <c r="CU243" s="2077" t="str">
        <f t="shared" si="432"/>
        <v xml:space="preserve">* Los exámenes positivos de 55 a 59 años NO DEBEN ser mayor a los exámenes procesados de la misma edad. </v>
      </c>
      <c r="CV243" s="2077" t="str">
        <f t="shared" si="433"/>
        <v xml:space="preserve">* Los exámenes positivos de 60 a 64 años NO DEBEN ser mayor a los exámenes procesados de la misma edad. </v>
      </c>
      <c r="CW243" s="2077" t="str">
        <f t="shared" si="434"/>
        <v xml:space="preserve">* Los exámenes positivos de  65 y más años NO DEBEN ser mayor a los exámenes procesados de la misma edad. </v>
      </c>
      <c r="CX243" s="2077" t="str">
        <f t="shared" si="435"/>
        <v/>
      </c>
      <c r="CY243" s="2077" t="str">
        <f t="shared" si="436"/>
        <v/>
      </c>
      <c r="CZ243" s="2077"/>
      <c r="DA243" s="2077"/>
      <c r="DB243" s="1363">
        <f t="shared" ref="DB243:DB264" si="457">IF(D243&lt;E243,1,0)</f>
        <v>1</v>
      </c>
      <c r="DC243" s="1363"/>
      <c r="DD243" s="1363" t="e">
        <f t="shared" si="437"/>
        <v>#VALUE!</v>
      </c>
      <c r="DE243" s="1363">
        <f t="shared" si="438"/>
        <v>1</v>
      </c>
      <c r="DF243" s="1363">
        <f t="shared" si="439"/>
        <v>1</v>
      </c>
      <c r="DG243" s="1363" t="e">
        <f t="shared" si="440"/>
        <v>#VALUE!</v>
      </c>
      <c r="DH243" s="1363">
        <f t="shared" si="441"/>
        <v>1</v>
      </c>
      <c r="DI243" s="1363">
        <f t="shared" si="442"/>
        <v>1</v>
      </c>
      <c r="DJ243" s="1363">
        <f t="shared" si="443"/>
        <v>1</v>
      </c>
      <c r="DK243" s="1363">
        <f t="shared" si="444"/>
        <v>1</v>
      </c>
      <c r="DL243" s="1363">
        <f t="shared" si="445"/>
        <v>1</v>
      </c>
      <c r="DM243" s="1363">
        <f t="shared" si="446"/>
        <v>1</v>
      </c>
      <c r="DN243" s="1363">
        <f t="shared" si="447"/>
        <v>1</v>
      </c>
      <c r="DO243" s="1363">
        <f t="shared" si="448"/>
        <v>1</v>
      </c>
      <c r="DP243" s="1363">
        <f t="shared" si="449"/>
        <v>1</v>
      </c>
      <c r="DQ243" s="1363">
        <f t="shared" si="450"/>
        <v>1</v>
      </c>
      <c r="DR243" s="1363">
        <f t="shared" ref="DR243:DR264" si="458">IF(Z243&lt;AA243,1,0)</f>
        <v>1</v>
      </c>
      <c r="DS243" s="1363">
        <f t="shared" si="451"/>
        <v>1</v>
      </c>
      <c r="DT243" s="1363">
        <f t="shared" si="452"/>
        <v>1</v>
      </c>
      <c r="DU243" s="1363">
        <f t="shared" si="453"/>
        <v>1</v>
      </c>
      <c r="DV243" s="1363">
        <f t="shared" si="454"/>
        <v>1</v>
      </c>
      <c r="DW243" s="1363">
        <f t="shared" si="455"/>
        <v>1</v>
      </c>
      <c r="DX243" s="1363">
        <f t="shared" si="456"/>
        <v>0</v>
      </c>
      <c r="DY243" s="1363">
        <f t="shared" si="456"/>
        <v>0</v>
      </c>
    </row>
    <row r="244" spans="1:129" ht="24" customHeight="1" x14ac:dyDescent="0.25">
      <c r="A244" s="2458">
        <v>11057102</v>
      </c>
      <c r="B244" s="5810"/>
      <c r="C244" s="3099" t="s">
        <v>2305</v>
      </c>
      <c r="D244" s="2095" t="s">
        <v>2777</v>
      </c>
      <c r="E244" s="2096" t="s">
        <v>2778</v>
      </c>
      <c r="F244" s="2097" t="s">
        <v>2779</v>
      </c>
      <c r="G244" s="2098" t="s">
        <v>2780</v>
      </c>
      <c r="H244" s="2099" t="s">
        <v>2781</v>
      </c>
      <c r="I244" s="2098" t="s">
        <v>2782</v>
      </c>
      <c r="J244" s="2099" t="s">
        <v>2783</v>
      </c>
      <c r="K244" s="2098" t="s">
        <v>2784</v>
      </c>
      <c r="L244" s="2099" t="s">
        <v>2785</v>
      </c>
      <c r="M244" s="2098" t="s">
        <v>2786</v>
      </c>
      <c r="N244" s="2100" t="s">
        <v>2787</v>
      </c>
      <c r="O244" s="2101" t="s">
        <v>2788</v>
      </c>
      <c r="P244" s="819" t="s">
        <v>2789</v>
      </c>
      <c r="Q244" s="821" t="s">
        <v>2790</v>
      </c>
      <c r="R244" s="818" t="s">
        <v>2791</v>
      </c>
      <c r="S244" s="821" t="s">
        <v>2792</v>
      </c>
      <c r="T244" s="818" t="s">
        <v>2793</v>
      </c>
      <c r="U244" s="821" t="s">
        <v>2794</v>
      </c>
      <c r="V244" s="818" t="s">
        <v>2795</v>
      </c>
      <c r="W244" s="821" t="s">
        <v>2796</v>
      </c>
      <c r="X244" s="820" t="s">
        <v>2797</v>
      </c>
      <c r="Y244" s="821" t="s">
        <v>2798</v>
      </c>
      <c r="Z244" s="820" t="s">
        <v>2799</v>
      </c>
      <c r="AA244" s="821" t="s">
        <v>2800</v>
      </c>
      <c r="AB244" s="820" t="s">
        <v>2801</v>
      </c>
      <c r="AC244" s="821" t="s">
        <v>2817</v>
      </c>
      <c r="AD244" s="818" t="s">
        <v>2818</v>
      </c>
      <c r="AE244" s="821" t="s">
        <v>2819</v>
      </c>
      <c r="AF244" s="2090" t="s">
        <v>2821</v>
      </c>
      <c r="AG244" s="2091" t="s">
        <v>2822</v>
      </c>
      <c r="AH244" s="2090" t="s">
        <v>2823</v>
      </c>
      <c r="AI244" s="2091" t="s">
        <v>2824</v>
      </c>
      <c r="AJ244" s="2090" t="s">
        <v>2825</v>
      </c>
      <c r="AK244" s="2092" t="s">
        <v>2826</v>
      </c>
      <c r="AL244" s="2093" t="s">
        <v>2827</v>
      </c>
      <c r="AM244" s="2091" t="s">
        <v>2831</v>
      </c>
      <c r="AN244" s="820" t="s">
        <v>2832</v>
      </c>
      <c r="AO244" s="832" t="s">
        <v>2833</v>
      </c>
      <c r="AP244" s="2094" t="s">
        <v>2834</v>
      </c>
      <c r="AQ244" s="821" t="s">
        <v>3011</v>
      </c>
      <c r="AR244" s="820" t="s">
        <v>3012</v>
      </c>
      <c r="AS244" s="832" t="s">
        <v>3013</v>
      </c>
      <c r="AT244" s="2094" t="s">
        <v>3014</v>
      </c>
      <c r="AU244" s="832" t="s">
        <v>3015</v>
      </c>
      <c r="AV244" s="2094" t="s">
        <v>3206</v>
      </c>
      <c r="AW244" s="821" t="s">
        <v>3207</v>
      </c>
      <c r="AX244" s="2094" t="s">
        <v>3272</v>
      </c>
      <c r="AY244" s="821" t="s">
        <v>3273</v>
      </c>
      <c r="AZ244" s="1079" t="e">
        <f t="shared" si="413"/>
        <v>#VALUE!</v>
      </c>
      <c r="CB244" s="2077" t="str">
        <f t="shared" si="414"/>
        <v xml:space="preserve">* El total de Confirmados Positivos por ISP NO DEBE ser mayor que el total de Procesados. </v>
      </c>
      <c r="CC244" s="2077"/>
      <c r="CD244" s="2077" t="e">
        <f t="shared" si="415"/>
        <v>#VALUE!</v>
      </c>
      <c r="CE244" s="2077" t="str">
        <f t="shared" si="416"/>
        <v xml:space="preserve">* El Total de Pueblos Originarios Procesados NO DEBE ser mayor al Total de Procesados. </v>
      </c>
      <c r="CF244" s="2077" t="str">
        <f t="shared" si="417"/>
        <v xml:space="preserve">* El Total de Migrantes Procesados NO DEBE ser mayor al Total de Procesados. </v>
      </c>
      <c r="CG244" s="2077" t="e">
        <f t="shared" si="418"/>
        <v>#VALUE!</v>
      </c>
      <c r="CH244" s="2077" t="str">
        <f t="shared" si="419"/>
        <v xml:space="preserve">* Los exámenes positivos de Menor de 12 meses NO DEBEN ser mayor a los exámenes procesados de la misma edad. </v>
      </c>
      <c r="CI244" s="2077" t="str">
        <f t="shared" si="420"/>
        <v xml:space="preserve">* Los exámenes positivos de 12-24 meses NO DEBEN ser mayor a los exámenes procesados de la misma edad. </v>
      </c>
      <c r="CJ244" s="2077" t="str">
        <f t="shared" si="421"/>
        <v xml:space="preserve">* Los exámenes positivos de 3 a 4 años NO DEBEN ser mayor a los exámenes procesados de la misma edad. </v>
      </c>
      <c r="CK244" s="2077" t="str">
        <f t="shared" si="422"/>
        <v xml:space="preserve">* Los exámenes positivos de 5 a 9 años NO DEBEN ser mayor a los exámenes procesados de la misma edad. </v>
      </c>
      <c r="CL244" s="2077" t="str">
        <f t="shared" si="423"/>
        <v xml:space="preserve">* Los exámenes positivos de 10 a 14 años NO DEBEN ser mayor a los exámenes procesados de la misma edad. </v>
      </c>
      <c r="CM244" s="2077" t="str">
        <f t="shared" si="424"/>
        <v xml:space="preserve">* Los exámenes positivos de 15 a 19 años NO DEBEN ser mayor a los exámenes procesados de la misma edad. </v>
      </c>
      <c r="CN244" s="2077" t="str">
        <f t="shared" si="425"/>
        <v xml:space="preserve">* Los exámenes positivos de 20 a 24 años NO DEBEN ser mayor a los exámenes procesados de la misma edad. </v>
      </c>
      <c r="CO244" s="2077" t="str">
        <f t="shared" si="426"/>
        <v xml:space="preserve">* Los exámenes positivos de 25 a 29 años NO DEBEN ser mayor a los exámenes procesados de la misma edad. </v>
      </c>
      <c r="CP244" s="2077" t="str">
        <f t="shared" si="427"/>
        <v xml:space="preserve">* Los exámenes positivos de 30 a 34 años NO DEBEN ser mayor a los exámenes procesados de la misma edad. </v>
      </c>
      <c r="CQ244" s="2077" t="str">
        <f t="shared" si="428"/>
        <v xml:space="preserve">* Los exámenes positivos de 35 a 39 años NO DEBEN ser mayor a los exámenes procesados de la misma edad. </v>
      </c>
      <c r="CR244" s="2077" t="str">
        <f t="shared" si="429"/>
        <v xml:space="preserve">* Los exámenes positivos de 40 a 44 años NO DEBEN ser mayor a los exámenes procesados de la misma edad. </v>
      </c>
      <c r="CS244" s="2077" t="str">
        <f t="shared" si="430"/>
        <v xml:space="preserve">* Los exámenes positivos de 45 a 49 años NO DEBEN ser mayor a los exámenes procesados de la misma edad. </v>
      </c>
      <c r="CT244" s="2077" t="str">
        <f t="shared" si="431"/>
        <v xml:space="preserve">* Los exámenes positivos de 50 a 54 años NO DEBEN ser mayor a los exámenes procesados de la misma edad. </v>
      </c>
      <c r="CU244" s="2077" t="str">
        <f t="shared" si="432"/>
        <v xml:space="preserve">* Los exámenes positivos de 55 a 59 años NO DEBEN ser mayor a los exámenes procesados de la misma edad. </v>
      </c>
      <c r="CV244" s="2077" t="str">
        <f t="shared" si="433"/>
        <v xml:space="preserve">* Los exámenes positivos de 60 a 64 años NO DEBEN ser mayor a los exámenes procesados de la misma edad. </v>
      </c>
      <c r="CW244" s="2077" t="str">
        <f t="shared" si="434"/>
        <v xml:space="preserve">* Los exámenes positivos de  65 y más años NO DEBEN ser mayor a los exámenes procesados de la misma edad. </v>
      </c>
      <c r="CX244" s="2077" t="str">
        <f t="shared" si="435"/>
        <v/>
      </c>
      <c r="CY244" s="2077" t="str">
        <f t="shared" si="436"/>
        <v/>
      </c>
      <c r="CZ244" s="2077"/>
      <c r="DA244" s="2077"/>
      <c r="DB244" s="1363">
        <f t="shared" si="457"/>
        <v>1</v>
      </c>
      <c r="DC244" s="1363"/>
      <c r="DD244" s="1363" t="e">
        <f t="shared" si="437"/>
        <v>#VALUE!</v>
      </c>
      <c r="DE244" s="1363">
        <f t="shared" si="438"/>
        <v>1</v>
      </c>
      <c r="DF244" s="1363">
        <f t="shared" si="439"/>
        <v>1</v>
      </c>
      <c r="DG244" s="1363" t="e">
        <f t="shared" si="440"/>
        <v>#VALUE!</v>
      </c>
      <c r="DH244" s="1363">
        <f t="shared" si="441"/>
        <v>1</v>
      </c>
      <c r="DI244" s="1363">
        <f t="shared" si="442"/>
        <v>1</v>
      </c>
      <c r="DJ244" s="1363">
        <f t="shared" si="443"/>
        <v>1</v>
      </c>
      <c r="DK244" s="1363">
        <f t="shared" si="444"/>
        <v>1</v>
      </c>
      <c r="DL244" s="1363">
        <f t="shared" si="445"/>
        <v>1</v>
      </c>
      <c r="DM244" s="1363">
        <f t="shared" si="446"/>
        <v>1</v>
      </c>
      <c r="DN244" s="1363">
        <f t="shared" si="447"/>
        <v>1</v>
      </c>
      <c r="DO244" s="1363">
        <f t="shared" si="448"/>
        <v>1</v>
      </c>
      <c r="DP244" s="1363">
        <f t="shared" si="449"/>
        <v>1</v>
      </c>
      <c r="DQ244" s="1363">
        <f t="shared" si="450"/>
        <v>1</v>
      </c>
      <c r="DR244" s="1363">
        <f t="shared" si="458"/>
        <v>1</v>
      </c>
      <c r="DS244" s="1363">
        <f t="shared" si="451"/>
        <v>1</v>
      </c>
      <c r="DT244" s="1363">
        <f t="shared" si="452"/>
        <v>1</v>
      </c>
      <c r="DU244" s="1363">
        <f t="shared" si="453"/>
        <v>1</v>
      </c>
      <c r="DV244" s="1363">
        <f t="shared" si="454"/>
        <v>1</v>
      </c>
      <c r="DW244" s="1363">
        <f t="shared" si="455"/>
        <v>1</v>
      </c>
      <c r="DX244" s="1363">
        <f t="shared" si="456"/>
        <v>0</v>
      </c>
      <c r="DY244" s="1363">
        <f t="shared" si="456"/>
        <v>0</v>
      </c>
    </row>
    <row r="245" spans="1:129" ht="26.25" customHeight="1" x14ac:dyDescent="0.25">
      <c r="A245" s="2458">
        <v>11057103</v>
      </c>
      <c r="B245" s="5810"/>
      <c r="C245" s="1192" t="s">
        <v>2269</v>
      </c>
      <c r="D245" s="2095" t="s">
        <v>2777</v>
      </c>
      <c r="E245" s="2096" t="s">
        <v>2778</v>
      </c>
      <c r="F245" s="2097" t="s">
        <v>2779</v>
      </c>
      <c r="G245" s="2098" t="s">
        <v>2780</v>
      </c>
      <c r="H245" s="2099" t="s">
        <v>2781</v>
      </c>
      <c r="I245" s="2098" t="s">
        <v>2782</v>
      </c>
      <c r="J245" s="2099" t="s">
        <v>2783</v>
      </c>
      <c r="K245" s="2098" t="s">
        <v>2784</v>
      </c>
      <c r="L245" s="2099" t="s">
        <v>2785</v>
      </c>
      <c r="M245" s="2098" t="s">
        <v>2786</v>
      </c>
      <c r="N245" s="2102" t="s">
        <v>2787</v>
      </c>
      <c r="O245" s="2103" t="s">
        <v>2788</v>
      </c>
      <c r="P245" s="820" t="s">
        <v>2789</v>
      </c>
      <c r="Q245" s="821" t="s">
        <v>2790</v>
      </c>
      <c r="R245" s="818" t="s">
        <v>2791</v>
      </c>
      <c r="S245" s="821" t="s">
        <v>2792</v>
      </c>
      <c r="T245" s="818" t="s">
        <v>2793</v>
      </c>
      <c r="U245" s="821" t="s">
        <v>2794</v>
      </c>
      <c r="V245" s="818" t="s">
        <v>2795</v>
      </c>
      <c r="W245" s="821" t="s">
        <v>2796</v>
      </c>
      <c r="X245" s="820" t="s">
        <v>2797</v>
      </c>
      <c r="Y245" s="821" t="s">
        <v>2798</v>
      </c>
      <c r="Z245" s="820" t="s">
        <v>2799</v>
      </c>
      <c r="AA245" s="821" t="s">
        <v>2800</v>
      </c>
      <c r="AB245" s="820" t="s">
        <v>2801</v>
      </c>
      <c r="AC245" s="821" t="s">
        <v>2817</v>
      </c>
      <c r="AD245" s="818" t="s">
        <v>2818</v>
      </c>
      <c r="AE245" s="821" t="s">
        <v>2819</v>
      </c>
      <c r="AF245" s="820" t="s">
        <v>2821</v>
      </c>
      <c r="AG245" s="821" t="s">
        <v>2822</v>
      </c>
      <c r="AH245" s="820" t="s">
        <v>2823</v>
      </c>
      <c r="AI245" s="821" t="s">
        <v>2824</v>
      </c>
      <c r="AJ245" s="820" t="s">
        <v>2825</v>
      </c>
      <c r="AK245" s="832" t="s">
        <v>2826</v>
      </c>
      <c r="AL245" s="2094" t="s">
        <v>2827</v>
      </c>
      <c r="AM245" s="821" t="s">
        <v>2831</v>
      </c>
      <c r="AN245" s="820" t="s">
        <v>2832</v>
      </c>
      <c r="AO245" s="832" t="s">
        <v>2833</v>
      </c>
      <c r="AP245" s="2094" t="s">
        <v>2834</v>
      </c>
      <c r="AQ245" s="821" t="s">
        <v>3011</v>
      </c>
      <c r="AR245" s="820" t="s">
        <v>3012</v>
      </c>
      <c r="AS245" s="832" t="s">
        <v>3013</v>
      </c>
      <c r="AT245" s="2094" t="s">
        <v>3014</v>
      </c>
      <c r="AU245" s="832" t="s">
        <v>3015</v>
      </c>
      <c r="AV245" s="2094" t="s">
        <v>3206</v>
      </c>
      <c r="AW245" s="821" t="s">
        <v>3207</v>
      </c>
      <c r="AX245" s="2094" t="s">
        <v>3272</v>
      </c>
      <c r="AY245" s="821" t="s">
        <v>3273</v>
      </c>
      <c r="AZ245" s="1079" t="e">
        <f t="shared" si="413"/>
        <v>#VALUE!</v>
      </c>
      <c r="CB245" s="2077" t="str">
        <f t="shared" si="414"/>
        <v xml:space="preserve">* El total de Confirmados Positivos por ISP NO DEBE ser mayor que el total de Procesados. </v>
      </c>
      <c r="CC245" s="2077"/>
      <c r="CD245" s="2077" t="e">
        <f t="shared" si="415"/>
        <v>#VALUE!</v>
      </c>
      <c r="CE245" s="2077" t="str">
        <f t="shared" si="416"/>
        <v xml:space="preserve">* El Total de Pueblos Originarios Procesados NO DEBE ser mayor al Total de Procesados. </v>
      </c>
      <c r="CF245" s="2077" t="str">
        <f t="shared" si="417"/>
        <v xml:space="preserve">* El Total de Migrantes Procesados NO DEBE ser mayor al Total de Procesados. </v>
      </c>
      <c r="CG245" s="2077" t="e">
        <f t="shared" si="418"/>
        <v>#VALUE!</v>
      </c>
      <c r="CH245" s="2077" t="str">
        <f t="shared" si="419"/>
        <v xml:space="preserve">* Los exámenes positivos de Menor de 12 meses NO DEBEN ser mayor a los exámenes procesados de la misma edad. </v>
      </c>
      <c r="CI245" s="2077" t="str">
        <f t="shared" si="420"/>
        <v xml:space="preserve">* Los exámenes positivos de 12-24 meses NO DEBEN ser mayor a los exámenes procesados de la misma edad. </v>
      </c>
      <c r="CJ245" s="2077" t="str">
        <f t="shared" si="421"/>
        <v xml:space="preserve">* Los exámenes positivos de 3 a 4 años NO DEBEN ser mayor a los exámenes procesados de la misma edad. </v>
      </c>
      <c r="CK245" s="2077" t="str">
        <f t="shared" si="422"/>
        <v xml:space="preserve">* Los exámenes positivos de 5 a 9 años NO DEBEN ser mayor a los exámenes procesados de la misma edad. </v>
      </c>
      <c r="CL245" s="2077" t="str">
        <f t="shared" si="423"/>
        <v xml:space="preserve">* Los exámenes positivos de 10 a 14 años NO DEBEN ser mayor a los exámenes procesados de la misma edad. </v>
      </c>
      <c r="CM245" s="2077" t="str">
        <f t="shared" si="424"/>
        <v xml:space="preserve">* Los exámenes positivos de 15 a 19 años NO DEBEN ser mayor a los exámenes procesados de la misma edad. </v>
      </c>
      <c r="CN245" s="2077" t="str">
        <f t="shared" si="425"/>
        <v xml:space="preserve">* Los exámenes positivos de 20 a 24 años NO DEBEN ser mayor a los exámenes procesados de la misma edad. </v>
      </c>
      <c r="CO245" s="2077" t="str">
        <f t="shared" si="426"/>
        <v xml:space="preserve">* Los exámenes positivos de 25 a 29 años NO DEBEN ser mayor a los exámenes procesados de la misma edad. </v>
      </c>
      <c r="CP245" s="2077" t="str">
        <f t="shared" si="427"/>
        <v xml:space="preserve">* Los exámenes positivos de 30 a 34 años NO DEBEN ser mayor a los exámenes procesados de la misma edad. </v>
      </c>
      <c r="CQ245" s="2077" t="str">
        <f t="shared" si="428"/>
        <v xml:space="preserve">* Los exámenes positivos de 35 a 39 años NO DEBEN ser mayor a los exámenes procesados de la misma edad. </v>
      </c>
      <c r="CR245" s="2077" t="str">
        <f t="shared" si="429"/>
        <v xml:space="preserve">* Los exámenes positivos de 40 a 44 años NO DEBEN ser mayor a los exámenes procesados de la misma edad. </v>
      </c>
      <c r="CS245" s="2077" t="str">
        <f t="shared" si="430"/>
        <v xml:space="preserve">* Los exámenes positivos de 45 a 49 años NO DEBEN ser mayor a los exámenes procesados de la misma edad. </v>
      </c>
      <c r="CT245" s="2077" t="str">
        <f t="shared" si="431"/>
        <v xml:space="preserve">* Los exámenes positivos de 50 a 54 años NO DEBEN ser mayor a los exámenes procesados de la misma edad. </v>
      </c>
      <c r="CU245" s="2077" t="str">
        <f t="shared" si="432"/>
        <v xml:space="preserve">* Los exámenes positivos de 55 a 59 años NO DEBEN ser mayor a los exámenes procesados de la misma edad. </v>
      </c>
      <c r="CV245" s="2077" t="str">
        <f t="shared" si="433"/>
        <v xml:space="preserve">* Los exámenes positivos de 60 a 64 años NO DEBEN ser mayor a los exámenes procesados de la misma edad. </v>
      </c>
      <c r="CW245" s="2077" t="str">
        <f t="shared" si="434"/>
        <v xml:space="preserve">* Los exámenes positivos de  65 y más años NO DEBEN ser mayor a los exámenes procesados de la misma edad. </v>
      </c>
      <c r="CX245" s="2077" t="str">
        <f t="shared" si="435"/>
        <v/>
      </c>
      <c r="CY245" s="2077" t="str">
        <f t="shared" si="436"/>
        <v/>
      </c>
      <c r="CZ245" s="2077"/>
      <c r="DA245" s="2077"/>
      <c r="DB245" s="1363">
        <f t="shared" si="457"/>
        <v>1</v>
      </c>
      <c r="DC245" s="1363"/>
      <c r="DD245" s="1363" t="e">
        <f t="shared" si="437"/>
        <v>#VALUE!</v>
      </c>
      <c r="DE245" s="1363">
        <f t="shared" si="438"/>
        <v>1</v>
      </c>
      <c r="DF245" s="1363">
        <f t="shared" si="439"/>
        <v>1</v>
      </c>
      <c r="DG245" s="1363" t="e">
        <f t="shared" si="440"/>
        <v>#VALUE!</v>
      </c>
      <c r="DH245" s="1363">
        <f t="shared" si="441"/>
        <v>1</v>
      </c>
      <c r="DI245" s="1363">
        <f t="shared" si="442"/>
        <v>1</v>
      </c>
      <c r="DJ245" s="1363">
        <f t="shared" si="443"/>
        <v>1</v>
      </c>
      <c r="DK245" s="1363">
        <f t="shared" si="444"/>
        <v>1</v>
      </c>
      <c r="DL245" s="1363">
        <f t="shared" si="445"/>
        <v>1</v>
      </c>
      <c r="DM245" s="1363">
        <f t="shared" si="446"/>
        <v>1</v>
      </c>
      <c r="DN245" s="1363">
        <f t="shared" si="447"/>
        <v>1</v>
      </c>
      <c r="DO245" s="1363">
        <f t="shared" si="448"/>
        <v>1</v>
      </c>
      <c r="DP245" s="1363">
        <f t="shared" si="449"/>
        <v>1</v>
      </c>
      <c r="DQ245" s="1363">
        <f t="shared" si="450"/>
        <v>1</v>
      </c>
      <c r="DR245" s="1363">
        <f t="shared" si="458"/>
        <v>1</v>
      </c>
      <c r="DS245" s="1363">
        <f t="shared" si="451"/>
        <v>1</v>
      </c>
      <c r="DT245" s="1363">
        <f t="shared" si="452"/>
        <v>1</v>
      </c>
      <c r="DU245" s="1363">
        <f t="shared" si="453"/>
        <v>1</v>
      </c>
      <c r="DV245" s="1363">
        <f t="shared" si="454"/>
        <v>1</v>
      </c>
      <c r="DW245" s="1363">
        <f t="shared" si="455"/>
        <v>1</v>
      </c>
      <c r="DX245" s="1363">
        <f t="shared" si="456"/>
        <v>0</v>
      </c>
      <c r="DY245" s="1363">
        <f t="shared" si="456"/>
        <v>0</v>
      </c>
    </row>
    <row r="246" spans="1:129" ht="15.95" customHeight="1" x14ac:dyDescent="0.25">
      <c r="A246" s="2458">
        <v>11057104</v>
      </c>
      <c r="B246" s="5810"/>
      <c r="C246" s="1004" t="s">
        <v>2306</v>
      </c>
      <c r="D246" s="2095" t="s">
        <v>2777</v>
      </c>
      <c r="E246" s="2104" t="s">
        <v>2778</v>
      </c>
      <c r="F246" s="825" t="s">
        <v>2779</v>
      </c>
      <c r="G246" s="826" t="s">
        <v>2780</v>
      </c>
      <c r="H246" s="825" t="s">
        <v>2781</v>
      </c>
      <c r="I246" s="826" t="s">
        <v>2782</v>
      </c>
      <c r="J246" s="825" t="s">
        <v>2783</v>
      </c>
      <c r="K246" s="826" t="s">
        <v>2784</v>
      </c>
      <c r="L246" s="825" t="s">
        <v>2785</v>
      </c>
      <c r="M246" s="826" t="s">
        <v>2786</v>
      </c>
      <c r="N246" s="825" t="s">
        <v>2787</v>
      </c>
      <c r="O246" s="826" t="s">
        <v>2788</v>
      </c>
      <c r="P246" s="819" t="s">
        <v>2789</v>
      </c>
      <c r="Q246" s="821" t="s">
        <v>2790</v>
      </c>
      <c r="R246" s="818" t="s">
        <v>2791</v>
      </c>
      <c r="S246" s="821" t="s">
        <v>2792</v>
      </c>
      <c r="T246" s="818" t="s">
        <v>2793</v>
      </c>
      <c r="U246" s="821" t="s">
        <v>2794</v>
      </c>
      <c r="V246" s="818" t="s">
        <v>2795</v>
      </c>
      <c r="W246" s="821" t="s">
        <v>2796</v>
      </c>
      <c r="X246" s="820" t="s">
        <v>2797</v>
      </c>
      <c r="Y246" s="821" t="s">
        <v>2798</v>
      </c>
      <c r="Z246" s="820" t="s">
        <v>2799</v>
      </c>
      <c r="AA246" s="821" t="s">
        <v>2800</v>
      </c>
      <c r="AB246" s="820" t="s">
        <v>2801</v>
      </c>
      <c r="AC246" s="821" t="s">
        <v>2817</v>
      </c>
      <c r="AD246" s="818" t="s">
        <v>2818</v>
      </c>
      <c r="AE246" s="821" t="s">
        <v>2819</v>
      </c>
      <c r="AF246" s="820" t="s">
        <v>2821</v>
      </c>
      <c r="AG246" s="821" t="s">
        <v>2822</v>
      </c>
      <c r="AH246" s="820" t="s">
        <v>2823</v>
      </c>
      <c r="AI246" s="821" t="s">
        <v>2824</v>
      </c>
      <c r="AJ246" s="820" t="s">
        <v>2825</v>
      </c>
      <c r="AK246" s="832" t="s">
        <v>2826</v>
      </c>
      <c r="AL246" s="2094" t="s">
        <v>2827</v>
      </c>
      <c r="AM246" s="821" t="s">
        <v>2831</v>
      </c>
      <c r="AN246" s="820" t="s">
        <v>2832</v>
      </c>
      <c r="AO246" s="832" t="s">
        <v>2833</v>
      </c>
      <c r="AP246" s="2094" t="s">
        <v>2834</v>
      </c>
      <c r="AQ246" s="821" t="s">
        <v>3011</v>
      </c>
      <c r="AR246" s="820" t="s">
        <v>3012</v>
      </c>
      <c r="AS246" s="832" t="s">
        <v>3013</v>
      </c>
      <c r="AT246" s="2094" t="s">
        <v>3014</v>
      </c>
      <c r="AU246" s="832" t="s">
        <v>3015</v>
      </c>
      <c r="AV246" s="2094" t="s">
        <v>3206</v>
      </c>
      <c r="AW246" s="821" t="s">
        <v>3207</v>
      </c>
      <c r="AX246" s="2094" t="s">
        <v>3272</v>
      </c>
      <c r="AY246" s="821" t="s">
        <v>3273</v>
      </c>
      <c r="AZ246" s="1079" t="e">
        <f t="shared" si="413"/>
        <v>#VALUE!</v>
      </c>
      <c r="CB246" s="2077" t="str">
        <f t="shared" si="414"/>
        <v xml:space="preserve">* El total de Confirmados Positivos por ISP NO DEBE ser mayor que el total de Procesados. </v>
      </c>
      <c r="CC246" s="2077"/>
      <c r="CD246" s="2077" t="e">
        <f t="shared" si="415"/>
        <v>#VALUE!</v>
      </c>
      <c r="CE246" s="2077" t="str">
        <f t="shared" si="416"/>
        <v xml:space="preserve">* El Total de Pueblos Originarios Procesados NO DEBE ser mayor al Total de Procesados. </v>
      </c>
      <c r="CF246" s="2077" t="str">
        <f t="shared" si="417"/>
        <v xml:space="preserve">* El Total de Migrantes Procesados NO DEBE ser mayor al Total de Procesados. </v>
      </c>
      <c r="CG246" s="2077" t="e">
        <f t="shared" si="418"/>
        <v>#VALUE!</v>
      </c>
      <c r="CH246" s="2077" t="str">
        <f t="shared" si="419"/>
        <v xml:space="preserve">* Los exámenes positivos de Menor de 12 meses NO DEBEN ser mayor a los exámenes procesados de la misma edad. </v>
      </c>
      <c r="CI246" s="2077" t="str">
        <f t="shared" si="420"/>
        <v xml:space="preserve">* Los exámenes positivos de 12-24 meses NO DEBEN ser mayor a los exámenes procesados de la misma edad. </v>
      </c>
      <c r="CJ246" s="2077" t="str">
        <f t="shared" si="421"/>
        <v xml:space="preserve">* Los exámenes positivos de 3 a 4 años NO DEBEN ser mayor a los exámenes procesados de la misma edad. </v>
      </c>
      <c r="CK246" s="2077" t="str">
        <f t="shared" si="422"/>
        <v xml:space="preserve">* Los exámenes positivos de 5 a 9 años NO DEBEN ser mayor a los exámenes procesados de la misma edad. </v>
      </c>
      <c r="CL246" s="2077" t="str">
        <f t="shared" si="423"/>
        <v xml:space="preserve">* Los exámenes positivos de 10 a 14 años NO DEBEN ser mayor a los exámenes procesados de la misma edad. </v>
      </c>
      <c r="CM246" s="2077" t="str">
        <f t="shared" si="424"/>
        <v xml:space="preserve">* Los exámenes positivos de 15 a 19 años NO DEBEN ser mayor a los exámenes procesados de la misma edad. </v>
      </c>
      <c r="CN246" s="2077" t="str">
        <f t="shared" si="425"/>
        <v xml:space="preserve">* Los exámenes positivos de 20 a 24 años NO DEBEN ser mayor a los exámenes procesados de la misma edad. </v>
      </c>
      <c r="CO246" s="2077" t="str">
        <f t="shared" si="426"/>
        <v xml:space="preserve">* Los exámenes positivos de 25 a 29 años NO DEBEN ser mayor a los exámenes procesados de la misma edad. </v>
      </c>
      <c r="CP246" s="2077" t="str">
        <f t="shared" si="427"/>
        <v xml:space="preserve">* Los exámenes positivos de 30 a 34 años NO DEBEN ser mayor a los exámenes procesados de la misma edad. </v>
      </c>
      <c r="CQ246" s="2077" t="str">
        <f t="shared" si="428"/>
        <v xml:space="preserve">* Los exámenes positivos de 35 a 39 años NO DEBEN ser mayor a los exámenes procesados de la misma edad. </v>
      </c>
      <c r="CR246" s="2077" t="str">
        <f t="shared" si="429"/>
        <v xml:space="preserve">* Los exámenes positivos de 40 a 44 años NO DEBEN ser mayor a los exámenes procesados de la misma edad. </v>
      </c>
      <c r="CS246" s="2077" t="str">
        <f t="shared" si="430"/>
        <v xml:space="preserve">* Los exámenes positivos de 45 a 49 años NO DEBEN ser mayor a los exámenes procesados de la misma edad. </v>
      </c>
      <c r="CT246" s="2077" t="str">
        <f t="shared" si="431"/>
        <v xml:space="preserve">* Los exámenes positivos de 50 a 54 años NO DEBEN ser mayor a los exámenes procesados de la misma edad. </v>
      </c>
      <c r="CU246" s="2077" t="str">
        <f t="shared" si="432"/>
        <v xml:space="preserve">* Los exámenes positivos de 55 a 59 años NO DEBEN ser mayor a los exámenes procesados de la misma edad. </v>
      </c>
      <c r="CV246" s="2077" t="str">
        <f t="shared" si="433"/>
        <v xml:space="preserve">* Los exámenes positivos de 60 a 64 años NO DEBEN ser mayor a los exámenes procesados de la misma edad. </v>
      </c>
      <c r="CW246" s="2077" t="str">
        <f t="shared" si="434"/>
        <v xml:space="preserve">* Los exámenes positivos de  65 y más años NO DEBEN ser mayor a los exámenes procesados de la misma edad. </v>
      </c>
      <c r="CX246" s="2077" t="str">
        <f t="shared" si="435"/>
        <v/>
      </c>
      <c r="CY246" s="2077" t="str">
        <f t="shared" si="436"/>
        <v/>
      </c>
      <c r="CZ246" s="2077"/>
      <c r="DA246" s="2077"/>
      <c r="DB246" s="1363">
        <f t="shared" si="457"/>
        <v>1</v>
      </c>
      <c r="DC246" s="1363"/>
      <c r="DD246" s="1363" t="e">
        <f t="shared" si="437"/>
        <v>#VALUE!</v>
      </c>
      <c r="DE246" s="1363">
        <f t="shared" si="438"/>
        <v>1</v>
      </c>
      <c r="DF246" s="1363">
        <f t="shared" si="439"/>
        <v>1</v>
      </c>
      <c r="DG246" s="1363" t="e">
        <f t="shared" si="440"/>
        <v>#VALUE!</v>
      </c>
      <c r="DH246" s="1363">
        <f t="shared" si="441"/>
        <v>1</v>
      </c>
      <c r="DI246" s="1363">
        <f t="shared" si="442"/>
        <v>1</v>
      </c>
      <c r="DJ246" s="1363">
        <f t="shared" si="443"/>
        <v>1</v>
      </c>
      <c r="DK246" s="1363">
        <f t="shared" si="444"/>
        <v>1</v>
      </c>
      <c r="DL246" s="1363">
        <f t="shared" si="445"/>
        <v>1</v>
      </c>
      <c r="DM246" s="1363">
        <f t="shared" si="446"/>
        <v>1</v>
      </c>
      <c r="DN246" s="1363">
        <f t="shared" si="447"/>
        <v>1</v>
      </c>
      <c r="DO246" s="1363">
        <f t="shared" si="448"/>
        <v>1</v>
      </c>
      <c r="DP246" s="1363">
        <f t="shared" si="449"/>
        <v>1</v>
      </c>
      <c r="DQ246" s="1363">
        <f t="shared" si="450"/>
        <v>1</v>
      </c>
      <c r="DR246" s="1363">
        <f t="shared" si="458"/>
        <v>1</v>
      </c>
      <c r="DS246" s="1363">
        <f t="shared" si="451"/>
        <v>1</v>
      </c>
      <c r="DT246" s="1363">
        <f t="shared" si="452"/>
        <v>1</v>
      </c>
      <c r="DU246" s="1363">
        <f t="shared" si="453"/>
        <v>1</v>
      </c>
      <c r="DV246" s="1363">
        <f t="shared" si="454"/>
        <v>1</v>
      </c>
      <c r="DW246" s="1363">
        <f t="shared" si="455"/>
        <v>1</v>
      </c>
      <c r="DX246" s="1363">
        <f t="shared" si="456"/>
        <v>0</v>
      </c>
      <c r="DY246" s="1363">
        <f t="shared" si="456"/>
        <v>0</v>
      </c>
    </row>
    <row r="247" spans="1:129" ht="33" customHeight="1" x14ac:dyDescent="0.25">
      <c r="A247" s="2458">
        <v>11057105</v>
      </c>
      <c r="B247" s="5810"/>
      <c r="C247" s="3099" t="s">
        <v>2307</v>
      </c>
      <c r="D247" s="2105" t="s">
        <v>2777</v>
      </c>
      <c r="E247" s="2096" t="s">
        <v>2778</v>
      </c>
      <c r="F247" s="2097" t="s">
        <v>2779</v>
      </c>
      <c r="G247" s="2098" t="s">
        <v>2780</v>
      </c>
      <c r="H247" s="2099" t="s">
        <v>2781</v>
      </c>
      <c r="I247" s="2098" t="s">
        <v>2782</v>
      </c>
      <c r="J247" s="2099" t="s">
        <v>2783</v>
      </c>
      <c r="K247" s="2098" t="s">
        <v>2784</v>
      </c>
      <c r="L247" s="2099" t="s">
        <v>2785</v>
      </c>
      <c r="M247" s="2098" t="s">
        <v>2786</v>
      </c>
      <c r="N247" s="818" t="s">
        <v>2787</v>
      </c>
      <c r="O247" s="821" t="s">
        <v>2788</v>
      </c>
      <c r="P247" s="820" t="s">
        <v>2789</v>
      </c>
      <c r="Q247" s="821" t="s">
        <v>2790</v>
      </c>
      <c r="R247" s="818" t="s">
        <v>2791</v>
      </c>
      <c r="S247" s="821" t="s">
        <v>2792</v>
      </c>
      <c r="T247" s="818" t="s">
        <v>2793</v>
      </c>
      <c r="U247" s="821" t="s">
        <v>2794</v>
      </c>
      <c r="V247" s="818" t="s">
        <v>2795</v>
      </c>
      <c r="W247" s="821" t="s">
        <v>2796</v>
      </c>
      <c r="X247" s="820" t="s">
        <v>2797</v>
      </c>
      <c r="Y247" s="821" t="s">
        <v>2798</v>
      </c>
      <c r="Z247" s="820" t="s">
        <v>2799</v>
      </c>
      <c r="AA247" s="821" t="s">
        <v>2800</v>
      </c>
      <c r="AB247" s="820" t="s">
        <v>2801</v>
      </c>
      <c r="AC247" s="821" t="s">
        <v>2817</v>
      </c>
      <c r="AD247" s="818" t="s">
        <v>2818</v>
      </c>
      <c r="AE247" s="821" t="s">
        <v>2819</v>
      </c>
      <c r="AF247" s="820" t="s">
        <v>2821</v>
      </c>
      <c r="AG247" s="821" t="s">
        <v>2822</v>
      </c>
      <c r="AH247" s="820" t="s">
        <v>2823</v>
      </c>
      <c r="AI247" s="821" t="s">
        <v>2824</v>
      </c>
      <c r="AJ247" s="820" t="s">
        <v>2825</v>
      </c>
      <c r="AK247" s="832" t="s">
        <v>2826</v>
      </c>
      <c r="AL247" s="2094" t="s">
        <v>2827</v>
      </c>
      <c r="AM247" s="821" t="s">
        <v>2831</v>
      </c>
      <c r="AN247" s="820" t="s">
        <v>2832</v>
      </c>
      <c r="AO247" s="832" t="s">
        <v>2833</v>
      </c>
      <c r="AP247" s="2094" t="s">
        <v>2834</v>
      </c>
      <c r="AQ247" s="821" t="s">
        <v>3011</v>
      </c>
      <c r="AR247" s="820" t="s">
        <v>3012</v>
      </c>
      <c r="AS247" s="832" t="s">
        <v>3013</v>
      </c>
      <c r="AT247" s="2094" t="s">
        <v>3014</v>
      </c>
      <c r="AU247" s="832" t="s">
        <v>3015</v>
      </c>
      <c r="AV247" s="2094" t="s">
        <v>3206</v>
      </c>
      <c r="AW247" s="821" t="s">
        <v>3207</v>
      </c>
      <c r="AX247" s="2094" t="s">
        <v>3272</v>
      </c>
      <c r="AY247" s="821" t="s">
        <v>3273</v>
      </c>
      <c r="AZ247" s="1079" t="e">
        <f t="shared" si="413"/>
        <v>#VALUE!</v>
      </c>
      <c r="CB247" s="2077" t="str">
        <f t="shared" si="414"/>
        <v xml:space="preserve">* El total de Confirmados Positivos por ISP NO DEBE ser mayor que el total de Procesados. </v>
      </c>
      <c r="CC247" s="2077"/>
      <c r="CD247" s="2077" t="e">
        <f t="shared" si="415"/>
        <v>#VALUE!</v>
      </c>
      <c r="CE247" s="2077" t="str">
        <f t="shared" si="416"/>
        <v xml:space="preserve">* El Total de Pueblos Originarios Procesados NO DEBE ser mayor al Total de Procesados. </v>
      </c>
      <c r="CF247" s="2077" t="str">
        <f t="shared" si="417"/>
        <v xml:space="preserve">* El Total de Migrantes Procesados NO DEBE ser mayor al Total de Procesados. </v>
      </c>
      <c r="CG247" s="2077" t="e">
        <f t="shared" si="418"/>
        <v>#VALUE!</v>
      </c>
      <c r="CH247" s="2077" t="str">
        <f t="shared" si="419"/>
        <v xml:space="preserve">* Los exámenes positivos de Menor de 12 meses NO DEBEN ser mayor a los exámenes procesados de la misma edad. </v>
      </c>
      <c r="CI247" s="2077" t="str">
        <f t="shared" si="420"/>
        <v xml:space="preserve">* Los exámenes positivos de 12-24 meses NO DEBEN ser mayor a los exámenes procesados de la misma edad. </v>
      </c>
      <c r="CJ247" s="2077" t="str">
        <f t="shared" si="421"/>
        <v xml:space="preserve">* Los exámenes positivos de 3 a 4 años NO DEBEN ser mayor a los exámenes procesados de la misma edad. </v>
      </c>
      <c r="CK247" s="2077" t="str">
        <f t="shared" si="422"/>
        <v xml:space="preserve">* Los exámenes positivos de 5 a 9 años NO DEBEN ser mayor a los exámenes procesados de la misma edad. </v>
      </c>
      <c r="CL247" s="2077" t="str">
        <f t="shared" si="423"/>
        <v xml:space="preserve">* Los exámenes positivos de 10 a 14 años NO DEBEN ser mayor a los exámenes procesados de la misma edad. </v>
      </c>
      <c r="CM247" s="2077" t="str">
        <f t="shared" si="424"/>
        <v xml:space="preserve">* Los exámenes positivos de 15 a 19 años NO DEBEN ser mayor a los exámenes procesados de la misma edad. </v>
      </c>
      <c r="CN247" s="2077" t="str">
        <f t="shared" si="425"/>
        <v xml:space="preserve">* Los exámenes positivos de 20 a 24 años NO DEBEN ser mayor a los exámenes procesados de la misma edad. </v>
      </c>
      <c r="CO247" s="2077" t="str">
        <f t="shared" si="426"/>
        <v xml:space="preserve">* Los exámenes positivos de 25 a 29 años NO DEBEN ser mayor a los exámenes procesados de la misma edad. </v>
      </c>
      <c r="CP247" s="2077" t="str">
        <f t="shared" si="427"/>
        <v xml:space="preserve">* Los exámenes positivos de 30 a 34 años NO DEBEN ser mayor a los exámenes procesados de la misma edad. </v>
      </c>
      <c r="CQ247" s="2077" t="str">
        <f t="shared" si="428"/>
        <v xml:space="preserve">* Los exámenes positivos de 35 a 39 años NO DEBEN ser mayor a los exámenes procesados de la misma edad. </v>
      </c>
      <c r="CR247" s="2077" t="str">
        <f t="shared" si="429"/>
        <v xml:space="preserve">* Los exámenes positivos de 40 a 44 años NO DEBEN ser mayor a los exámenes procesados de la misma edad. </v>
      </c>
      <c r="CS247" s="2077" t="str">
        <f t="shared" si="430"/>
        <v xml:space="preserve">* Los exámenes positivos de 45 a 49 años NO DEBEN ser mayor a los exámenes procesados de la misma edad. </v>
      </c>
      <c r="CT247" s="2077" t="str">
        <f t="shared" si="431"/>
        <v xml:space="preserve">* Los exámenes positivos de 50 a 54 años NO DEBEN ser mayor a los exámenes procesados de la misma edad. </v>
      </c>
      <c r="CU247" s="2077" t="str">
        <f t="shared" si="432"/>
        <v xml:space="preserve">* Los exámenes positivos de 55 a 59 años NO DEBEN ser mayor a los exámenes procesados de la misma edad. </v>
      </c>
      <c r="CV247" s="2077" t="str">
        <f t="shared" si="433"/>
        <v xml:space="preserve">* Los exámenes positivos de 60 a 64 años NO DEBEN ser mayor a los exámenes procesados de la misma edad. </v>
      </c>
      <c r="CW247" s="2077" t="str">
        <f t="shared" si="434"/>
        <v xml:space="preserve">* Los exámenes positivos de  65 y más años NO DEBEN ser mayor a los exámenes procesados de la misma edad. </v>
      </c>
      <c r="CX247" s="2077" t="str">
        <f t="shared" si="435"/>
        <v/>
      </c>
      <c r="CY247" s="2077" t="str">
        <f t="shared" si="436"/>
        <v/>
      </c>
      <c r="CZ247" s="2077"/>
      <c r="DA247" s="2077"/>
      <c r="DB247" s="1363">
        <f t="shared" si="457"/>
        <v>1</v>
      </c>
      <c r="DC247" s="1363"/>
      <c r="DD247" s="1363" t="e">
        <f t="shared" si="437"/>
        <v>#VALUE!</v>
      </c>
      <c r="DE247" s="1363">
        <f t="shared" si="438"/>
        <v>1</v>
      </c>
      <c r="DF247" s="1363">
        <f t="shared" si="439"/>
        <v>1</v>
      </c>
      <c r="DG247" s="1363" t="e">
        <f t="shared" si="440"/>
        <v>#VALUE!</v>
      </c>
      <c r="DH247" s="1363">
        <f t="shared" si="441"/>
        <v>1</v>
      </c>
      <c r="DI247" s="1363">
        <f t="shared" si="442"/>
        <v>1</v>
      </c>
      <c r="DJ247" s="1363">
        <f t="shared" si="443"/>
        <v>1</v>
      </c>
      <c r="DK247" s="1363">
        <f t="shared" si="444"/>
        <v>1</v>
      </c>
      <c r="DL247" s="1363">
        <f t="shared" si="445"/>
        <v>1</v>
      </c>
      <c r="DM247" s="1363">
        <f t="shared" si="446"/>
        <v>1</v>
      </c>
      <c r="DN247" s="1363">
        <f t="shared" si="447"/>
        <v>1</v>
      </c>
      <c r="DO247" s="1363">
        <f t="shared" si="448"/>
        <v>1</v>
      </c>
      <c r="DP247" s="1363">
        <f t="shared" si="449"/>
        <v>1</v>
      </c>
      <c r="DQ247" s="1363">
        <f t="shared" si="450"/>
        <v>1</v>
      </c>
      <c r="DR247" s="1363">
        <f t="shared" si="458"/>
        <v>1</v>
      </c>
      <c r="DS247" s="1363">
        <f t="shared" si="451"/>
        <v>1</v>
      </c>
      <c r="DT247" s="1363">
        <f t="shared" si="452"/>
        <v>1</v>
      </c>
      <c r="DU247" s="1363">
        <f t="shared" si="453"/>
        <v>1</v>
      </c>
      <c r="DV247" s="1363">
        <f t="shared" si="454"/>
        <v>1</v>
      </c>
      <c r="DW247" s="1363">
        <f t="shared" si="455"/>
        <v>1</v>
      </c>
      <c r="DX247" s="1363">
        <f t="shared" si="456"/>
        <v>0</v>
      </c>
      <c r="DY247" s="1363">
        <f t="shared" si="456"/>
        <v>0</v>
      </c>
    </row>
    <row r="248" spans="1:129" ht="15.95" customHeight="1" x14ac:dyDescent="0.25">
      <c r="A248" s="2458">
        <v>11057106</v>
      </c>
      <c r="B248" s="5810"/>
      <c r="C248" s="1004" t="s">
        <v>2272</v>
      </c>
      <c r="D248" s="2095" t="s">
        <v>2777</v>
      </c>
      <c r="E248" s="2096" t="s">
        <v>2778</v>
      </c>
      <c r="F248" s="2097" t="s">
        <v>2779</v>
      </c>
      <c r="G248" s="2098" t="s">
        <v>2780</v>
      </c>
      <c r="H248" s="2099" t="s">
        <v>2781</v>
      </c>
      <c r="I248" s="2098" t="s">
        <v>2782</v>
      </c>
      <c r="J248" s="2099" t="s">
        <v>2783</v>
      </c>
      <c r="K248" s="2098" t="s">
        <v>2784</v>
      </c>
      <c r="L248" s="2099" t="s">
        <v>2785</v>
      </c>
      <c r="M248" s="2098" t="s">
        <v>2786</v>
      </c>
      <c r="N248" s="2106" t="s">
        <v>2787</v>
      </c>
      <c r="O248" s="2107" t="s">
        <v>2788</v>
      </c>
      <c r="P248" s="820" t="s">
        <v>2789</v>
      </c>
      <c r="Q248" s="821" t="s">
        <v>2790</v>
      </c>
      <c r="R248" s="818" t="s">
        <v>2791</v>
      </c>
      <c r="S248" s="821" t="s">
        <v>2792</v>
      </c>
      <c r="T248" s="818" t="s">
        <v>2793</v>
      </c>
      <c r="U248" s="821" t="s">
        <v>2794</v>
      </c>
      <c r="V248" s="818" t="s">
        <v>2795</v>
      </c>
      <c r="W248" s="821" t="s">
        <v>2796</v>
      </c>
      <c r="X248" s="820" t="s">
        <v>2797</v>
      </c>
      <c r="Y248" s="821" t="s">
        <v>2798</v>
      </c>
      <c r="Z248" s="820" t="s">
        <v>2799</v>
      </c>
      <c r="AA248" s="821" t="s">
        <v>2800</v>
      </c>
      <c r="AB248" s="820" t="s">
        <v>2801</v>
      </c>
      <c r="AC248" s="821" t="s">
        <v>2817</v>
      </c>
      <c r="AD248" s="818" t="s">
        <v>2818</v>
      </c>
      <c r="AE248" s="821" t="s">
        <v>2819</v>
      </c>
      <c r="AF248" s="820" t="s">
        <v>2821</v>
      </c>
      <c r="AG248" s="821" t="s">
        <v>2822</v>
      </c>
      <c r="AH248" s="820" t="s">
        <v>2823</v>
      </c>
      <c r="AI248" s="821" t="s">
        <v>2824</v>
      </c>
      <c r="AJ248" s="820" t="s">
        <v>2825</v>
      </c>
      <c r="AK248" s="832" t="s">
        <v>2826</v>
      </c>
      <c r="AL248" s="2094" t="s">
        <v>2827</v>
      </c>
      <c r="AM248" s="821" t="s">
        <v>2831</v>
      </c>
      <c r="AN248" s="820" t="s">
        <v>2832</v>
      </c>
      <c r="AO248" s="832" t="s">
        <v>2833</v>
      </c>
      <c r="AP248" s="2094" t="s">
        <v>2834</v>
      </c>
      <c r="AQ248" s="821" t="s">
        <v>3011</v>
      </c>
      <c r="AR248" s="820" t="s">
        <v>3012</v>
      </c>
      <c r="AS248" s="832" t="s">
        <v>3013</v>
      </c>
      <c r="AT248" s="2094" t="s">
        <v>3014</v>
      </c>
      <c r="AU248" s="832" t="s">
        <v>3015</v>
      </c>
      <c r="AV248" s="2094" t="s">
        <v>3206</v>
      </c>
      <c r="AW248" s="821" t="s">
        <v>3207</v>
      </c>
      <c r="AX248" s="2094" t="s">
        <v>3272</v>
      </c>
      <c r="AY248" s="821" t="s">
        <v>3273</v>
      </c>
      <c r="AZ248" s="1079" t="e">
        <f t="shared" si="413"/>
        <v>#VALUE!</v>
      </c>
      <c r="CB248" s="2077" t="str">
        <f t="shared" si="414"/>
        <v xml:space="preserve">* El total de Confirmados Positivos por ISP NO DEBE ser mayor que el total de Procesados. </v>
      </c>
      <c r="CC248" s="2077"/>
      <c r="CD248" s="2077" t="e">
        <f t="shared" si="415"/>
        <v>#VALUE!</v>
      </c>
      <c r="CE248" s="2077" t="str">
        <f t="shared" si="416"/>
        <v xml:space="preserve">* El Total de Pueblos Originarios Procesados NO DEBE ser mayor al Total de Procesados. </v>
      </c>
      <c r="CF248" s="2077" t="str">
        <f t="shared" si="417"/>
        <v xml:space="preserve">* El Total de Migrantes Procesados NO DEBE ser mayor al Total de Procesados. </v>
      </c>
      <c r="CG248" s="2077" t="e">
        <f t="shared" si="418"/>
        <v>#VALUE!</v>
      </c>
      <c r="CH248" s="2077" t="str">
        <f t="shared" si="419"/>
        <v xml:space="preserve">* Los exámenes positivos de Menor de 12 meses NO DEBEN ser mayor a los exámenes procesados de la misma edad. </v>
      </c>
      <c r="CI248" s="2077" t="str">
        <f t="shared" si="420"/>
        <v xml:space="preserve">* Los exámenes positivos de 12-24 meses NO DEBEN ser mayor a los exámenes procesados de la misma edad. </v>
      </c>
      <c r="CJ248" s="2077" t="str">
        <f t="shared" si="421"/>
        <v xml:space="preserve">* Los exámenes positivos de 3 a 4 años NO DEBEN ser mayor a los exámenes procesados de la misma edad. </v>
      </c>
      <c r="CK248" s="2077" t="str">
        <f t="shared" si="422"/>
        <v xml:space="preserve">* Los exámenes positivos de 5 a 9 años NO DEBEN ser mayor a los exámenes procesados de la misma edad. </v>
      </c>
      <c r="CL248" s="2077" t="str">
        <f t="shared" si="423"/>
        <v xml:space="preserve">* Los exámenes positivos de 10 a 14 años NO DEBEN ser mayor a los exámenes procesados de la misma edad. </v>
      </c>
      <c r="CM248" s="2077" t="str">
        <f t="shared" si="424"/>
        <v xml:space="preserve">* Los exámenes positivos de 15 a 19 años NO DEBEN ser mayor a los exámenes procesados de la misma edad. </v>
      </c>
      <c r="CN248" s="2077" t="str">
        <f t="shared" si="425"/>
        <v xml:space="preserve">* Los exámenes positivos de 20 a 24 años NO DEBEN ser mayor a los exámenes procesados de la misma edad. </v>
      </c>
      <c r="CO248" s="2077" t="str">
        <f t="shared" si="426"/>
        <v xml:space="preserve">* Los exámenes positivos de 25 a 29 años NO DEBEN ser mayor a los exámenes procesados de la misma edad. </v>
      </c>
      <c r="CP248" s="2077" t="str">
        <f t="shared" si="427"/>
        <v xml:space="preserve">* Los exámenes positivos de 30 a 34 años NO DEBEN ser mayor a los exámenes procesados de la misma edad. </v>
      </c>
      <c r="CQ248" s="2077" t="str">
        <f t="shared" si="428"/>
        <v xml:space="preserve">* Los exámenes positivos de 35 a 39 años NO DEBEN ser mayor a los exámenes procesados de la misma edad. </v>
      </c>
      <c r="CR248" s="2077" t="str">
        <f t="shared" si="429"/>
        <v xml:space="preserve">* Los exámenes positivos de 40 a 44 años NO DEBEN ser mayor a los exámenes procesados de la misma edad. </v>
      </c>
      <c r="CS248" s="2077" t="str">
        <f t="shared" si="430"/>
        <v xml:space="preserve">* Los exámenes positivos de 45 a 49 años NO DEBEN ser mayor a los exámenes procesados de la misma edad. </v>
      </c>
      <c r="CT248" s="2077" t="str">
        <f t="shared" si="431"/>
        <v xml:space="preserve">* Los exámenes positivos de 50 a 54 años NO DEBEN ser mayor a los exámenes procesados de la misma edad. </v>
      </c>
      <c r="CU248" s="2077" t="str">
        <f t="shared" si="432"/>
        <v xml:space="preserve">* Los exámenes positivos de 55 a 59 años NO DEBEN ser mayor a los exámenes procesados de la misma edad. </v>
      </c>
      <c r="CV248" s="2077" t="str">
        <f t="shared" si="433"/>
        <v xml:space="preserve">* Los exámenes positivos de 60 a 64 años NO DEBEN ser mayor a los exámenes procesados de la misma edad. </v>
      </c>
      <c r="CW248" s="2077" t="str">
        <f t="shared" si="434"/>
        <v xml:space="preserve">* Los exámenes positivos de  65 y más años NO DEBEN ser mayor a los exámenes procesados de la misma edad. </v>
      </c>
      <c r="CX248" s="2077" t="str">
        <f t="shared" si="435"/>
        <v/>
      </c>
      <c r="CY248" s="2077" t="str">
        <f t="shared" si="436"/>
        <v/>
      </c>
      <c r="CZ248" s="2077"/>
      <c r="DA248" s="2077"/>
      <c r="DB248" s="1363">
        <f t="shared" si="457"/>
        <v>1</v>
      </c>
      <c r="DC248" s="1363"/>
      <c r="DD248" s="1363" t="e">
        <f t="shared" si="437"/>
        <v>#VALUE!</v>
      </c>
      <c r="DE248" s="1363">
        <f t="shared" si="438"/>
        <v>1</v>
      </c>
      <c r="DF248" s="1363">
        <f t="shared" si="439"/>
        <v>1</v>
      </c>
      <c r="DG248" s="1363" t="e">
        <f t="shared" si="440"/>
        <v>#VALUE!</v>
      </c>
      <c r="DH248" s="1363">
        <f t="shared" si="441"/>
        <v>1</v>
      </c>
      <c r="DI248" s="1363">
        <f t="shared" si="442"/>
        <v>1</v>
      </c>
      <c r="DJ248" s="1363">
        <f t="shared" si="443"/>
        <v>1</v>
      </c>
      <c r="DK248" s="1363">
        <f t="shared" si="444"/>
        <v>1</v>
      </c>
      <c r="DL248" s="1363">
        <f t="shared" si="445"/>
        <v>1</v>
      </c>
      <c r="DM248" s="1363">
        <f t="shared" si="446"/>
        <v>1</v>
      </c>
      <c r="DN248" s="1363">
        <f t="shared" si="447"/>
        <v>1</v>
      </c>
      <c r="DO248" s="1363">
        <f t="shared" si="448"/>
        <v>1</v>
      </c>
      <c r="DP248" s="1363">
        <f t="shared" si="449"/>
        <v>1</v>
      </c>
      <c r="DQ248" s="1363">
        <f t="shared" si="450"/>
        <v>1</v>
      </c>
      <c r="DR248" s="1363">
        <f t="shared" si="458"/>
        <v>1</v>
      </c>
      <c r="DS248" s="1363">
        <f t="shared" si="451"/>
        <v>1</v>
      </c>
      <c r="DT248" s="1363">
        <f t="shared" si="452"/>
        <v>1</v>
      </c>
      <c r="DU248" s="1363">
        <f t="shared" si="453"/>
        <v>1</v>
      </c>
      <c r="DV248" s="1363">
        <f t="shared" si="454"/>
        <v>1</v>
      </c>
      <c r="DW248" s="1363">
        <f t="shared" si="455"/>
        <v>1</v>
      </c>
      <c r="DX248" s="1363">
        <f t="shared" si="456"/>
        <v>0</v>
      </c>
      <c r="DY248" s="1363">
        <f t="shared" si="456"/>
        <v>0</v>
      </c>
    </row>
    <row r="249" spans="1:129" ht="27.75" customHeight="1" x14ac:dyDescent="0.25">
      <c r="A249" s="2458">
        <v>11057107</v>
      </c>
      <c r="B249" s="5810"/>
      <c r="C249" s="1192" t="s">
        <v>2308</v>
      </c>
      <c r="D249" s="2108" t="s">
        <v>2777</v>
      </c>
      <c r="E249" s="2104" t="s">
        <v>2778</v>
      </c>
      <c r="F249" s="825" t="s">
        <v>2779</v>
      </c>
      <c r="G249" s="826" t="s">
        <v>2780</v>
      </c>
      <c r="H249" s="825" t="s">
        <v>2781</v>
      </c>
      <c r="I249" s="826" t="s">
        <v>2782</v>
      </c>
      <c r="J249" s="825" t="s">
        <v>2783</v>
      </c>
      <c r="K249" s="826" t="s">
        <v>2784</v>
      </c>
      <c r="L249" s="825" t="s">
        <v>2785</v>
      </c>
      <c r="M249" s="826" t="s">
        <v>2786</v>
      </c>
      <c r="N249" s="818" t="s">
        <v>2787</v>
      </c>
      <c r="O249" s="821" t="s">
        <v>2788</v>
      </c>
      <c r="P249" s="820" t="s">
        <v>2789</v>
      </c>
      <c r="Q249" s="821" t="s">
        <v>2790</v>
      </c>
      <c r="R249" s="818" t="s">
        <v>2791</v>
      </c>
      <c r="S249" s="821" t="s">
        <v>2792</v>
      </c>
      <c r="T249" s="818" t="s">
        <v>2793</v>
      </c>
      <c r="U249" s="821" t="s">
        <v>2794</v>
      </c>
      <c r="V249" s="818" t="s">
        <v>2795</v>
      </c>
      <c r="W249" s="821" t="s">
        <v>2796</v>
      </c>
      <c r="X249" s="820" t="s">
        <v>2797</v>
      </c>
      <c r="Y249" s="821" t="s">
        <v>2798</v>
      </c>
      <c r="Z249" s="820" t="s">
        <v>2799</v>
      </c>
      <c r="AA249" s="821" t="s">
        <v>2800</v>
      </c>
      <c r="AB249" s="820" t="s">
        <v>2801</v>
      </c>
      <c r="AC249" s="821" t="s">
        <v>2817</v>
      </c>
      <c r="AD249" s="818" t="s">
        <v>2818</v>
      </c>
      <c r="AE249" s="821" t="s">
        <v>2819</v>
      </c>
      <c r="AF249" s="820" t="s">
        <v>2821</v>
      </c>
      <c r="AG249" s="821" t="s">
        <v>2822</v>
      </c>
      <c r="AH249" s="820" t="s">
        <v>2823</v>
      </c>
      <c r="AI249" s="821" t="s">
        <v>2824</v>
      </c>
      <c r="AJ249" s="820" t="s">
        <v>2825</v>
      </c>
      <c r="AK249" s="832" t="s">
        <v>2826</v>
      </c>
      <c r="AL249" s="2094" t="s">
        <v>2827</v>
      </c>
      <c r="AM249" s="821" t="s">
        <v>2831</v>
      </c>
      <c r="AN249" s="820" t="s">
        <v>2832</v>
      </c>
      <c r="AO249" s="832" t="s">
        <v>2833</v>
      </c>
      <c r="AP249" s="2094" t="s">
        <v>2834</v>
      </c>
      <c r="AQ249" s="821" t="s">
        <v>3011</v>
      </c>
      <c r="AR249" s="820" t="s">
        <v>3012</v>
      </c>
      <c r="AS249" s="832" t="s">
        <v>3013</v>
      </c>
      <c r="AT249" s="2094" t="s">
        <v>3014</v>
      </c>
      <c r="AU249" s="832" t="s">
        <v>3015</v>
      </c>
      <c r="AV249" s="2094" t="s">
        <v>3206</v>
      </c>
      <c r="AW249" s="821" t="s">
        <v>3207</v>
      </c>
      <c r="AX249" s="2094" t="s">
        <v>3272</v>
      </c>
      <c r="AY249" s="821" t="s">
        <v>3273</v>
      </c>
      <c r="AZ249" s="1079" t="e">
        <f t="shared" si="413"/>
        <v>#VALUE!</v>
      </c>
      <c r="CB249" s="2077" t="str">
        <f t="shared" si="414"/>
        <v xml:space="preserve">* El total de Confirmados Positivos por ISP NO DEBE ser mayor que el total de Procesados. </v>
      </c>
      <c r="CC249" s="2077"/>
      <c r="CD249" s="2077" t="e">
        <f t="shared" si="415"/>
        <v>#VALUE!</v>
      </c>
      <c r="CE249" s="2077" t="str">
        <f t="shared" si="416"/>
        <v xml:space="preserve">* El Total de Pueblos Originarios Procesados NO DEBE ser mayor al Total de Procesados. </v>
      </c>
      <c r="CF249" s="2077" t="str">
        <f t="shared" si="417"/>
        <v xml:space="preserve">* El Total de Migrantes Procesados NO DEBE ser mayor al Total de Procesados. </v>
      </c>
      <c r="CG249" s="2077" t="e">
        <f t="shared" si="418"/>
        <v>#VALUE!</v>
      </c>
      <c r="CH249" s="2077" t="str">
        <f t="shared" si="419"/>
        <v xml:space="preserve">* Los exámenes positivos de Menor de 12 meses NO DEBEN ser mayor a los exámenes procesados de la misma edad. </v>
      </c>
      <c r="CI249" s="2077" t="str">
        <f t="shared" si="420"/>
        <v xml:space="preserve">* Los exámenes positivos de 12-24 meses NO DEBEN ser mayor a los exámenes procesados de la misma edad. </v>
      </c>
      <c r="CJ249" s="2077" t="str">
        <f t="shared" si="421"/>
        <v xml:space="preserve">* Los exámenes positivos de 3 a 4 años NO DEBEN ser mayor a los exámenes procesados de la misma edad. </v>
      </c>
      <c r="CK249" s="2077" t="str">
        <f t="shared" si="422"/>
        <v xml:space="preserve">* Los exámenes positivos de 5 a 9 años NO DEBEN ser mayor a los exámenes procesados de la misma edad. </v>
      </c>
      <c r="CL249" s="2077" t="str">
        <f t="shared" si="423"/>
        <v xml:space="preserve">* Los exámenes positivos de 10 a 14 años NO DEBEN ser mayor a los exámenes procesados de la misma edad. </v>
      </c>
      <c r="CM249" s="2077" t="str">
        <f t="shared" si="424"/>
        <v xml:space="preserve">* Los exámenes positivos de 15 a 19 años NO DEBEN ser mayor a los exámenes procesados de la misma edad. </v>
      </c>
      <c r="CN249" s="2077" t="str">
        <f t="shared" si="425"/>
        <v xml:space="preserve">* Los exámenes positivos de 20 a 24 años NO DEBEN ser mayor a los exámenes procesados de la misma edad. </v>
      </c>
      <c r="CO249" s="2077" t="str">
        <f t="shared" si="426"/>
        <v xml:space="preserve">* Los exámenes positivos de 25 a 29 años NO DEBEN ser mayor a los exámenes procesados de la misma edad. </v>
      </c>
      <c r="CP249" s="2077" t="str">
        <f t="shared" si="427"/>
        <v xml:space="preserve">* Los exámenes positivos de 30 a 34 años NO DEBEN ser mayor a los exámenes procesados de la misma edad. </v>
      </c>
      <c r="CQ249" s="2077" t="str">
        <f t="shared" si="428"/>
        <v xml:space="preserve">* Los exámenes positivos de 35 a 39 años NO DEBEN ser mayor a los exámenes procesados de la misma edad. </v>
      </c>
      <c r="CR249" s="2077" t="str">
        <f t="shared" si="429"/>
        <v xml:space="preserve">* Los exámenes positivos de 40 a 44 años NO DEBEN ser mayor a los exámenes procesados de la misma edad. </v>
      </c>
      <c r="CS249" s="2077" t="str">
        <f t="shared" si="430"/>
        <v xml:space="preserve">* Los exámenes positivos de 45 a 49 años NO DEBEN ser mayor a los exámenes procesados de la misma edad. </v>
      </c>
      <c r="CT249" s="2077" t="str">
        <f t="shared" si="431"/>
        <v xml:space="preserve">* Los exámenes positivos de 50 a 54 años NO DEBEN ser mayor a los exámenes procesados de la misma edad. </v>
      </c>
      <c r="CU249" s="2077" t="str">
        <f t="shared" si="432"/>
        <v xml:space="preserve">* Los exámenes positivos de 55 a 59 años NO DEBEN ser mayor a los exámenes procesados de la misma edad. </v>
      </c>
      <c r="CV249" s="2077" t="str">
        <f t="shared" si="433"/>
        <v xml:space="preserve">* Los exámenes positivos de 60 a 64 años NO DEBEN ser mayor a los exámenes procesados de la misma edad. </v>
      </c>
      <c r="CW249" s="2077" t="str">
        <f t="shared" si="434"/>
        <v xml:space="preserve">* Los exámenes positivos de  65 y más años NO DEBEN ser mayor a los exámenes procesados de la misma edad. </v>
      </c>
      <c r="CX249" s="2077" t="str">
        <f t="shared" si="435"/>
        <v/>
      </c>
      <c r="CY249" s="2077" t="str">
        <f t="shared" si="436"/>
        <v/>
      </c>
      <c r="CZ249" s="2077"/>
      <c r="DA249" s="2077"/>
      <c r="DB249" s="1363">
        <f t="shared" si="457"/>
        <v>1</v>
      </c>
      <c r="DC249" s="1363"/>
      <c r="DD249" s="1363" t="e">
        <f t="shared" si="437"/>
        <v>#VALUE!</v>
      </c>
      <c r="DE249" s="1363">
        <f t="shared" si="438"/>
        <v>1</v>
      </c>
      <c r="DF249" s="1363">
        <f t="shared" si="439"/>
        <v>1</v>
      </c>
      <c r="DG249" s="1363" t="e">
        <f t="shared" si="440"/>
        <v>#VALUE!</v>
      </c>
      <c r="DH249" s="1363">
        <f t="shared" si="441"/>
        <v>1</v>
      </c>
      <c r="DI249" s="1363">
        <f t="shared" si="442"/>
        <v>1</v>
      </c>
      <c r="DJ249" s="1363">
        <f t="shared" si="443"/>
        <v>1</v>
      </c>
      <c r="DK249" s="1363">
        <f t="shared" si="444"/>
        <v>1</v>
      </c>
      <c r="DL249" s="1363">
        <f t="shared" si="445"/>
        <v>1</v>
      </c>
      <c r="DM249" s="1363">
        <f t="shared" si="446"/>
        <v>1</v>
      </c>
      <c r="DN249" s="1363">
        <f t="shared" si="447"/>
        <v>1</v>
      </c>
      <c r="DO249" s="1363">
        <f t="shared" si="448"/>
        <v>1</v>
      </c>
      <c r="DP249" s="1363">
        <f t="shared" si="449"/>
        <v>1</v>
      </c>
      <c r="DQ249" s="1363">
        <f t="shared" si="450"/>
        <v>1</v>
      </c>
      <c r="DR249" s="1363">
        <f t="shared" si="458"/>
        <v>1</v>
      </c>
      <c r="DS249" s="1363">
        <f t="shared" si="451"/>
        <v>1</v>
      </c>
      <c r="DT249" s="1363">
        <f t="shared" si="452"/>
        <v>1</v>
      </c>
      <c r="DU249" s="1363">
        <f t="shared" si="453"/>
        <v>1</v>
      </c>
      <c r="DV249" s="1363">
        <f t="shared" si="454"/>
        <v>1</v>
      </c>
      <c r="DW249" s="1363">
        <f t="shared" si="455"/>
        <v>1</v>
      </c>
      <c r="DX249" s="1363">
        <f t="shared" si="456"/>
        <v>0</v>
      </c>
      <c r="DY249" s="1363">
        <f t="shared" si="456"/>
        <v>0</v>
      </c>
    </row>
    <row r="250" spans="1:129" ht="18" customHeight="1" x14ac:dyDescent="0.25">
      <c r="A250" s="2458">
        <v>11057108</v>
      </c>
      <c r="B250" s="5810"/>
      <c r="C250" s="1004" t="s">
        <v>2274</v>
      </c>
      <c r="D250" s="2095" t="s">
        <v>2777</v>
      </c>
      <c r="E250" s="2104" t="s">
        <v>2778</v>
      </c>
      <c r="F250" s="2097" t="s">
        <v>2779</v>
      </c>
      <c r="G250" s="2098" t="s">
        <v>2780</v>
      </c>
      <c r="H250" s="2099" t="s">
        <v>2781</v>
      </c>
      <c r="I250" s="2098" t="s">
        <v>2782</v>
      </c>
      <c r="J250" s="2099" t="s">
        <v>2783</v>
      </c>
      <c r="K250" s="2098" t="s">
        <v>2784</v>
      </c>
      <c r="L250" s="2099" t="s">
        <v>2785</v>
      </c>
      <c r="M250" s="2098" t="s">
        <v>2786</v>
      </c>
      <c r="N250" s="820" t="s">
        <v>2787</v>
      </c>
      <c r="O250" s="821" t="s">
        <v>2788</v>
      </c>
      <c r="P250" s="819" t="s">
        <v>2789</v>
      </c>
      <c r="Q250" s="821" t="s">
        <v>2790</v>
      </c>
      <c r="R250" s="818" t="s">
        <v>2791</v>
      </c>
      <c r="S250" s="821" t="s">
        <v>2792</v>
      </c>
      <c r="T250" s="818" t="s">
        <v>2793</v>
      </c>
      <c r="U250" s="821" t="s">
        <v>2794</v>
      </c>
      <c r="V250" s="818" t="s">
        <v>2795</v>
      </c>
      <c r="W250" s="821" t="s">
        <v>2796</v>
      </c>
      <c r="X250" s="820" t="s">
        <v>2797</v>
      </c>
      <c r="Y250" s="821" t="s">
        <v>2798</v>
      </c>
      <c r="Z250" s="820" t="s">
        <v>2799</v>
      </c>
      <c r="AA250" s="821" t="s">
        <v>2800</v>
      </c>
      <c r="AB250" s="820" t="s">
        <v>2801</v>
      </c>
      <c r="AC250" s="821" t="s">
        <v>2817</v>
      </c>
      <c r="AD250" s="818" t="s">
        <v>2818</v>
      </c>
      <c r="AE250" s="821" t="s">
        <v>2819</v>
      </c>
      <c r="AF250" s="820" t="s">
        <v>2821</v>
      </c>
      <c r="AG250" s="821" t="s">
        <v>2822</v>
      </c>
      <c r="AH250" s="820" t="s">
        <v>2823</v>
      </c>
      <c r="AI250" s="821" t="s">
        <v>2824</v>
      </c>
      <c r="AJ250" s="820" t="s">
        <v>2825</v>
      </c>
      <c r="AK250" s="832" t="s">
        <v>2826</v>
      </c>
      <c r="AL250" s="2094" t="s">
        <v>2827</v>
      </c>
      <c r="AM250" s="821" t="s">
        <v>2831</v>
      </c>
      <c r="AN250" s="820" t="s">
        <v>2832</v>
      </c>
      <c r="AO250" s="832" t="s">
        <v>2833</v>
      </c>
      <c r="AP250" s="2094" t="s">
        <v>2834</v>
      </c>
      <c r="AQ250" s="821" t="s">
        <v>3011</v>
      </c>
      <c r="AR250" s="820" t="s">
        <v>3012</v>
      </c>
      <c r="AS250" s="832" t="s">
        <v>3013</v>
      </c>
      <c r="AT250" s="2094" t="s">
        <v>3014</v>
      </c>
      <c r="AU250" s="832" t="s">
        <v>3015</v>
      </c>
      <c r="AV250" s="2094" t="s">
        <v>3206</v>
      </c>
      <c r="AW250" s="821" t="s">
        <v>3207</v>
      </c>
      <c r="AX250" s="2094" t="s">
        <v>3272</v>
      </c>
      <c r="AY250" s="821" t="s">
        <v>3273</v>
      </c>
      <c r="AZ250" s="1079" t="e">
        <f t="shared" si="413"/>
        <v>#VALUE!</v>
      </c>
      <c r="CB250" s="2077" t="str">
        <f t="shared" si="414"/>
        <v xml:space="preserve">* El total de Confirmados Positivos por ISP NO DEBE ser mayor que el total de Procesados. </v>
      </c>
      <c r="CC250" s="2077"/>
      <c r="CD250" s="2077" t="e">
        <f t="shared" si="415"/>
        <v>#VALUE!</v>
      </c>
      <c r="CE250" s="2077" t="str">
        <f t="shared" si="416"/>
        <v xml:space="preserve">* El Total de Pueblos Originarios Procesados NO DEBE ser mayor al Total de Procesados. </v>
      </c>
      <c r="CF250" s="2077" t="str">
        <f t="shared" si="417"/>
        <v xml:space="preserve">* El Total de Migrantes Procesados NO DEBE ser mayor al Total de Procesados. </v>
      </c>
      <c r="CG250" s="2077" t="e">
        <f t="shared" si="418"/>
        <v>#VALUE!</v>
      </c>
      <c r="CH250" s="2077" t="str">
        <f t="shared" si="419"/>
        <v xml:space="preserve">* Los exámenes positivos de Menor de 12 meses NO DEBEN ser mayor a los exámenes procesados de la misma edad. </v>
      </c>
      <c r="CI250" s="2077" t="str">
        <f t="shared" si="420"/>
        <v xml:space="preserve">* Los exámenes positivos de 12-24 meses NO DEBEN ser mayor a los exámenes procesados de la misma edad. </v>
      </c>
      <c r="CJ250" s="2077" t="str">
        <f t="shared" si="421"/>
        <v xml:space="preserve">* Los exámenes positivos de 3 a 4 años NO DEBEN ser mayor a los exámenes procesados de la misma edad. </v>
      </c>
      <c r="CK250" s="2077" t="str">
        <f t="shared" si="422"/>
        <v xml:space="preserve">* Los exámenes positivos de 5 a 9 años NO DEBEN ser mayor a los exámenes procesados de la misma edad. </v>
      </c>
      <c r="CL250" s="2077" t="str">
        <f t="shared" si="423"/>
        <v xml:space="preserve">* Los exámenes positivos de 10 a 14 años NO DEBEN ser mayor a los exámenes procesados de la misma edad. </v>
      </c>
      <c r="CM250" s="2077" t="str">
        <f t="shared" si="424"/>
        <v xml:space="preserve">* Los exámenes positivos de 15 a 19 años NO DEBEN ser mayor a los exámenes procesados de la misma edad. </v>
      </c>
      <c r="CN250" s="2077" t="str">
        <f t="shared" si="425"/>
        <v xml:space="preserve">* Los exámenes positivos de 20 a 24 años NO DEBEN ser mayor a los exámenes procesados de la misma edad. </v>
      </c>
      <c r="CO250" s="2077" t="str">
        <f t="shared" si="426"/>
        <v xml:space="preserve">* Los exámenes positivos de 25 a 29 años NO DEBEN ser mayor a los exámenes procesados de la misma edad. </v>
      </c>
      <c r="CP250" s="2077" t="str">
        <f t="shared" si="427"/>
        <v xml:space="preserve">* Los exámenes positivos de 30 a 34 años NO DEBEN ser mayor a los exámenes procesados de la misma edad. </v>
      </c>
      <c r="CQ250" s="2077" t="str">
        <f t="shared" si="428"/>
        <v xml:space="preserve">* Los exámenes positivos de 35 a 39 años NO DEBEN ser mayor a los exámenes procesados de la misma edad. </v>
      </c>
      <c r="CR250" s="2077" t="str">
        <f t="shared" si="429"/>
        <v xml:space="preserve">* Los exámenes positivos de 40 a 44 años NO DEBEN ser mayor a los exámenes procesados de la misma edad. </v>
      </c>
      <c r="CS250" s="2077" t="str">
        <f t="shared" si="430"/>
        <v xml:space="preserve">* Los exámenes positivos de 45 a 49 años NO DEBEN ser mayor a los exámenes procesados de la misma edad. </v>
      </c>
      <c r="CT250" s="2077" t="str">
        <f t="shared" si="431"/>
        <v xml:space="preserve">* Los exámenes positivos de 50 a 54 años NO DEBEN ser mayor a los exámenes procesados de la misma edad. </v>
      </c>
      <c r="CU250" s="2077" t="str">
        <f t="shared" si="432"/>
        <v xml:space="preserve">* Los exámenes positivos de 55 a 59 años NO DEBEN ser mayor a los exámenes procesados de la misma edad. </v>
      </c>
      <c r="CV250" s="2077" t="str">
        <f t="shared" si="433"/>
        <v xml:space="preserve">* Los exámenes positivos de 60 a 64 años NO DEBEN ser mayor a los exámenes procesados de la misma edad. </v>
      </c>
      <c r="CW250" s="2077" t="str">
        <f t="shared" si="434"/>
        <v xml:space="preserve">* Los exámenes positivos de  65 y más años NO DEBEN ser mayor a los exámenes procesados de la misma edad. </v>
      </c>
      <c r="CX250" s="2077" t="str">
        <f t="shared" si="435"/>
        <v/>
      </c>
      <c r="CY250" s="2077" t="str">
        <f t="shared" si="436"/>
        <v/>
      </c>
      <c r="CZ250" s="2077"/>
      <c r="DA250" s="2077"/>
      <c r="DB250" s="1363">
        <f t="shared" si="457"/>
        <v>1</v>
      </c>
      <c r="DC250" s="1363"/>
      <c r="DD250" s="1363" t="e">
        <f t="shared" si="437"/>
        <v>#VALUE!</v>
      </c>
      <c r="DE250" s="1363">
        <f t="shared" si="438"/>
        <v>1</v>
      </c>
      <c r="DF250" s="1363">
        <f t="shared" si="439"/>
        <v>1</v>
      </c>
      <c r="DG250" s="1363" t="e">
        <f t="shared" si="440"/>
        <v>#VALUE!</v>
      </c>
      <c r="DH250" s="1363">
        <f t="shared" si="441"/>
        <v>1</v>
      </c>
      <c r="DI250" s="1363">
        <f t="shared" si="442"/>
        <v>1</v>
      </c>
      <c r="DJ250" s="1363">
        <f t="shared" si="443"/>
        <v>1</v>
      </c>
      <c r="DK250" s="1363">
        <f t="shared" si="444"/>
        <v>1</v>
      </c>
      <c r="DL250" s="1363">
        <f t="shared" si="445"/>
        <v>1</v>
      </c>
      <c r="DM250" s="1363">
        <f t="shared" si="446"/>
        <v>1</v>
      </c>
      <c r="DN250" s="1363">
        <f t="shared" si="447"/>
        <v>1</v>
      </c>
      <c r="DO250" s="1363">
        <f t="shared" si="448"/>
        <v>1</v>
      </c>
      <c r="DP250" s="1363">
        <f t="shared" si="449"/>
        <v>1</v>
      </c>
      <c r="DQ250" s="1363">
        <f t="shared" si="450"/>
        <v>1</v>
      </c>
      <c r="DR250" s="1363">
        <f t="shared" si="458"/>
        <v>1</v>
      </c>
      <c r="DS250" s="1363">
        <f t="shared" si="451"/>
        <v>1</v>
      </c>
      <c r="DT250" s="1363">
        <f t="shared" si="452"/>
        <v>1</v>
      </c>
      <c r="DU250" s="1363">
        <f t="shared" si="453"/>
        <v>1</v>
      </c>
      <c r="DV250" s="1363">
        <f t="shared" si="454"/>
        <v>1</v>
      </c>
      <c r="DW250" s="1363">
        <f t="shared" si="455"/>
        <v>1</v>
      </c>
      <c r="DX250" s="1363">
        <f t="shared" si="456"/>
        <v>0</v>
      </c>
      <c r="DY250" s="1363">
        <f t="shared" si="456"/>
        <v>0</v>
      </c>
    </row>
    <row r="251" spans="1:129" x14ac:dyDescent="0.25">
      <c r="A251" s="2458">
        <v>11057109</v>
      </c>
      <c r="B251" s="5810"/>
      <c r="C251" s="1004" t="s">
        <v>2309</v>
      </c>
      <c r="D251" s="2095" t="s">
        <v>2777</v>
      </c>
      <c r="E251" s="2104" t="s">
        <v>2778</v>
      </c>
      <c r="F251" s="2097" t="s">
        <v>2779</v>
      </c>
      <c r="G251" s="2098" t="s">
        <v>2780</v>
      </c>
      <c r="H251" s="2099" t="s">
        <v>2781</v>
      </c>
      <c r="I251" s="2098" t="s">
        <v>2782</v>
      </c>
      <c r="J251" s="2099" t="s">
        <v>2783</v>
      </c>
      <c r="K251" s="2098" t="s">
        <v>2784</v>
      </c>
      <c r="L251" s="2099" t="s">
        <v>2785</v>
      </c>
      <c r="M251" s="2098" t="s">
        <v>2786</v>
      </c>
      <c r="N251" s="820" t="s">
        <v>2787</v>
      </c>
      <c r="O251" s="821" t="s">
        <v>2788</v>
      </c>
      <c r="P251" s="820" t="s">
        <v>2789</v>
      </c>
      <c r="Q251" s="821" t="s">
        <v>2790</v>
      </c>
      <c r="R251" s="818" t="s">
        <v>2791</v>
      </c>
      <c r="S251" s="821" t="s">
        <v>2792</v>
      </c>
      <c r="T251" s="818" t="s">
        <v>2793</v>
      </c>
      <c r="U251" s="821" t="s">
        <v>2794</v>
      </c>
      <c r="V251" s="818" t="s">
        <v>2795</v>
      </c>
      <c r="W251" s="821" t="s">
        <v>2796</v>
      </c>
      <c r="X251" s="820" t="s">
        <v>2797</v>
      </c>
      <c r="Y251" s="821" t="s">
        <v>2798</v>
      </c>
      <c r="Z251" s="820" t="s">
        <v>2799</v>
      </c>
      <c r="AA251" s="821" t="s">
        <v>2800</v>
      </c>
      <c r="AB251" s="820" t="s">
        <v>2801</v>
      </c>
      <c r="AC251" s="821" t="s">
        <v>2817</v>
      </c>
      <c r="AD251" s="818" t="s">
        <v>2818</v>
      </c>
      <c r="AE251" s="821" t="s">
        <v>2819</v>
      </c>
      <c r="AF251" s="820" t="s">
        <v>2821</v>
      </c>
      <c r="AG251" s="821" t="s">
        <v>2822</v>
      </c>
      <c r="AH251" s="820" t="s">
        <v>2823</v>
      </c>
      <c r="AI251" s="821" t="s">
        <v>2824</v>
      </c>
      <c r="AJ251" s="820" t="s">
        <v>2825</v>
      </c>
      <c r="AK251" s="832" t="s">
        <v>2826</v>
      </c>
      <c r="AL251" s="2094" t="s">
        <v>2827</v>
      </c>
      <c r="AM251" s="821" t="s">
        <v>2831</v>
      </c>
      <c r="AN251" s="820" t="s">
        <v>2832</v>
      </c>
      <c r="AO251" s="832" t="s">
        <v>2833</v>
      </c>
      <c r="AP251" s="2094" t="s">
        <v>2834</v>
      </c>
      <c r="AQ251" s="821" t="s">
        <v>3011</v>
      </c>
      <c r="AR251" s="820" t="s">
        <v>3012</v>
      </c>
      <c r="AS251" s="832" t="s">
        <v>3013</v>
      </c>
      <c r="AT251" s="2094" t="s">
        <v>3014</v>
      </c>
      <c r="AU251" s="832" t="s">
        <v>3015</v>
      </c>
      <c r="AV251" s="2094" t="s">
        <v>3206</v>
      </c>
      <c r="AW251" s="821" t="s">
        <v>3207</v>
      </c>
      <c r="AX251" s="2094" t="s">
        <v>3272</v>
      </c>
      <c r="AY251" s="821" t="s">
        <v>3273</v>
      </c>
      <c r="AZ251" s="1079" t="e">
        <f t="shared" si="413"/>
        <v>#VALUE!</v>
      </c>
      <c r="CB251" s="2077" t="str">
        <f t="shared" si="414"/>
        <v xml:space="preserve">* El total de Confirmados Positivos por ISP NO DEBE ser mayor que el total de Procesados. </v>
      </c>
      <c r="CC251" s="2077"/>
      <c r="CD251" s="2077" t="e">
        <f t="shared" si="415"/>
        <v>#VALUE!</v>
      </c>
      <c r="CE251" s="2077" t="str">
        <f t="shared" si="416"/>
        <v xml:space="preserve">* El Total de Pueblos Originarios Procesados NO DEBE ser mayor al Total de Procesados. </v>
      </c>
      <c r="CF251" s="2077" t="str">
        <f t="shared" si="417"/>
        <v xml:space="preserve">* El Total de Migrantes Procesados NO DEBE ser mayor al Total de Procesados. </v>
      </c>
      <c r="CG251" s="2077" t="e">
        <f t="shared" si="418"/>
        <v>#VALUE!</v>
      </c>
      <c r="CH251" s="2077" t="str">
        <f t="shared" si="419"/>
        <v xml:space="preserve">* Los exámenes positivos de Menor de 12 meses NO DEBEN ser mayor a los exámenes procesados de la misma edad. </v>
      </c>
      <c r="CI251" s="2077" t="str">
        <f t="shared" si="420"/>
        <v xml:space="preserve">* Los exámenes positivos de 12-24 meses NO DEBEN ser mayor a los exámenes procesados de la misma edad. </v>
      </c>
      <c r="CJ251" s="2077" t="str">
        <f t="shared" si="421"/>
        <v xml:space="preserve">* Los exámenes positivos de 3 a 4 años NO DEBEN ser mayor a los exámenes procesados de la misma edad. </v>
      </c>
      <c r="CK251" s="2077" t="str">
        <f t="shared" si="422"/>
        <v xml:space="preserve">* Los exámenes positivos de 5 a 9 años NO DEBEN ser mayor a los exámenes procesados de la misma edad. </v>
      </c>
      <c r="CL251" s="2077" t="str">
        <f t="shared" si="423"/>
        <v xml:space="preserve">* Los exámenes positivos de 10 a 14 años NO DEBEN ser mayor a los exámenes procesados de la misma edad. </v>
      </c>
      <c r="CM251" s="2077" t="str">
        <f t="shared" si="424"/>
        <v xml:space="preserve">* Los exámenes positivos de 15 a 19 años NO DEBEN ser mayor a los exámenes procesados de la misma edad. </v>
      </c>
      <c r="CN251" s="2077" t="str">
        <f t="shared" si="425"/>
        <v xml:space="preserve">* Los exámenes positivos de 20 a 24 años NO DEBEN ser mayor a los exámenes procesados de la misma edad. </v>
      </c>
      <c r="CO251" s="2077" t="str">
        <f t="shared" si="426"/>
        <v xml:space="preserve">* Los exámenes positivos de 25 a 29 años NO DEBEN ser mayor a los exámenes procesados de la misma edad. </v>
      </c>
      <c r="CP251" s="2077" t="str">
        <f t="shared" si="427"/>
        <v xml:space="preserve">* Los exámenes positivos de 30 a 34 años NO DEBEN ser mayor a los exámenes procesados de la misma edad. </v>
      </c>
      <c r="CQ251" s="2077" t="str">
        <f t="shared" si="428"/>
        <v xml:space="preserve">* Los exámenes positivos de 35 a 39 años NO DEBEN ser mayor a los exámenes procesados de la misma edad. </v>
      </c>
      <c r="CR251" s="2077" t="str">
        <f t="shared" si="429"/>
        <v xml:space="preserve">* Los exámenes positivos de 40 a 44 años NO DEBEN ser mayor a los exámenes procesados de la misma edad. </v>
      </c>
      <c r="CS251" s="2077" t="str">
        <f t="shared" si="430"/>
        <v xml:space="preserve">* Los exámenes positivos de 45 a 49 años NO DEBEN ser mayor a los exámenes procesados de la misma edad. </v>
      </c>
      <c r="CT251" s="2077" t="str">
        <f t="shared" si="431"/>
        <v xml:space="preserve">* Los exámenes positivos de 50 a 54 años NO DEBEN ser mayor a los exámenes procesados de la misma edad. </v>
      </c>
      <c r="CU251" s="2077" t="str">
        <f t="shared" si="432"/>
        <v xml:space="preserve">* Los exámenes positivos de 55 a 59 años NO DEBEN ser mayor a los exámenes procesados de la misma edad. </v>
      </c>
      <c r="CV251" s="2077" t="str">
        <f t="shared" si="433"/>
        <v xml:space="preserve">* Los exámenes positivos de 60 a 64 años NO DEBEN ser mayor a los exámenes procesados de la misma edad. </v>
      </c>
      <c r="CW251" s="2077" t="str">
        <f t="shared" si="434"/>
        <v xml:space="preserve">* Los exámenes positivos de  65 y más años NO DEBEN ser mayor a los exámenes procesados de la misma edad. </v>
      </c>
      <c r="CX251" s="2077" t="str">
        <f t="shared" si="435"/>
        <v/>
      </c>
      <c r="CY251" s="2077" t="str">
        <f t="shared" si="436"/>
        <v/>
      </c>
      <c r="CZ251" s="2077"/>
      <c r="DA251" s="2077"/>
      <c r="DB251" s="1363">
        <f t="shared" si="457"/>
        <v>1</v>
      </c>
      <c r="DC251" s="1363"/>
      <c r="DD251" s="1363" t="e">
        <f t="shared" si="437"/>
        <v>#VALUE!</v>
      </c>
      <c r="DE251" s="1363">
        <f t="shared" si="438"/>
        <v>1</v>
      </c>
      <c r="DF251" s="1363">
        <f t="shared" si="439"/>
        <v>1</v>
      </c>
      <c r="DG251" s="1363" t="e">
        <f t="shared" si="440"/>
        <v>#VALUE!</v>
      </c>
      <c r="DH251" s="1363">
        <f t="shared" si="441"/>
        <v>1</v>
      </c>
      <c r="DI251" s="1363">
        <f t="shared" si="442"/>
        <v>1</v>
      </c>
      <c r="DJ251" s="1363">
        <f t="shared" si="443"/>
        <v>1</v>
      </c>
      <c r="DK251" s="1363">
        <f t="shared" si="444"/>
        <v>1</v>
      </c>
      <c r="DL251" s="1363">
        <f t="shared" si="445"/>
        <v>1</v>
      </c>
      <c r="DM251" s="1363">
        <f t="shared" si="446"/>
        <v>1</v>
      </c>
      <c r="DN251" s="1363">
        <f t="shared" si="447"/>
        <v>1</v>
      </c>
      <c r="DO251" s="1363">
        <f t="shared" si="448"/>
        <v>1</v>
      </c>
      <c r="DP251" s="1363">
        <f t="shared" si="449"/>
        <v>1</v>
      </c>
      <c r="DQ251" s="1363">
        <f t="shared" si="450"/>
        <v>1</v>
      </c>
      <c r="DR251" s="1363">
        <f t="shared" si="458"/>
        <v>1</v>
      </c>
      <c r="DS251" s="1363">
        <f t="shared" si="451"/>
        <v>1</v>
      </c>
      <c r="DT251" s="1363">
        <f t="shared" si="452"/>
        <v>1</v>
      </c>
      <c r="DU251" s="1363">
        <f t="shared" si="453"/>
        <v>1</v>
      </c>
      <c r="DV251" s="1363">
        <f t="shared" si="454"/>
        <v>1</v>
      </c>
      <c r="DW251" s="1363">
        <f t="shared" si="455"/>
        <v>1</v>
      </c>
      <c r="DX251" s="1363">
        <f t="shared" si="456"/>
        <v>0</v>
      </c>
      <c r="DY251" s="1363">
        <f t="shared" si="456"/>
        <v>0</v>
      </c>
    </row>
    <row r="252" spans="1:129" ht="15" customHeight="1" x14ac:dyDescent="0.25">
      <c r="A252" s="2458">
        <v>11057110</v>
      </c>
      <c r="B252" s="5810"/>
      <c r="C252" s="1004" t="s">
        <v>2276</v>
      </c>
      <c r="D252" s="2095" t="s">
        <v>2777</v>
      </c>
      <c r="E252" s="2104" t="s">
        <v>2778</v>
      </c>
      <c r="F252" s="825" t="s">
        <v>2779</v>
      </c>
      <c r="G252" s="826" t="s">
        <v>2780</v>
      </c>
      <c r="H252" s="825" t="s">
        <v>2781</v>
      </c>
      <c r="I252" s="826" t="s">
        <v>2782</v>
      </c>
      <c r="J252" s="825" t="s">
        <v>2783</v>
      </c>
      <c r="K252" s="826" t="s">
        <v>2784</v>
      </c>
      <c r="L252" s="825" t="s">
        <v>2785</v>
      </c>
      <c r="M252" s="826" t="s">
        <v>2786</v>
      </c>
      <c r="N252" s="820" t="s">
        <v>2787</v>
      </c>
      <c r="O252" s="821" t="s">
        <v>2788</v>
      </c>
      <c r="P252" s="820" t="s">
        <v>2789</v>
      </c>
      <c r="Q252" s="821" t="s">
        <v>2790</v>
      </c>
      <c r="R252" s="818" t="s">
        <v>2791</v>
      </c>
      <c r="S252" s="821" t="s">
        <v>2792</v>
      </c>
      <c r="T252" s="818" t="s">
        <v>2793</v>
      </c>
      <c r="U252" s="821" t="s">
        <v>2794</v>
      </c>
      <c r="V252" s="818" t="s">
        <v>2795</v>
      </c>
      <c r="W252" s="821" t="s">
        <v>2796</v>
      </c>
      <c r="X252" s="820" t="s">
        <v>2797</v>
      </c>
      <c r="Y252" s="821" t="s">
        <v>2798</v>
      </c>
      <c r="Z252" s="820" t="s">
        <v>2799</v>
      </c>
      <c r="AA252" s="821" t="s">
        <v>2800</v>
      </c>
      <c r="AB252" s="820" t="s">
        <v>2801</v>
      </c>
      <c r="AC252" s="821" t="s">
        <v>2817</v>
      </c>
      <c r="AD252" s="818" t="s">
        <v>2818</v>
      </c>
      <c r="AE252" s="821" t="s">
        <v>2819</v>
      </c>
      <c r="AF252" s="820" t="s">
        <v>2821</v>
      </c>
      <c r="AG252" s="821" t="s">
        <v>2822</v>
      </c>
      <c r="AH252" s="820" t="s">
        <v>2823</v>
      </c>
      <c r="AI252" s="821" t="s">
        <v>2824</v>
      </c>
      <c r="AJ252" s="820" t="s">
        <v>2825</v>
      </c>
      <c r="AK252" s="832" t="s">
        <v>2826</v>
      </c>
      <c r="AL252" s="2094" t="s">
        <v>2827</v>
      </c>
      <c r="AM252" s="821" t="s">
        <v>2831</v>
      </c>
      <c r="AN252" s="820" t="s">
        <v>2832</v>
      </c>
      <c r="AO252" s="832" t="s">
        <v>2833</v>
      </c>
      <c r="AP252" s="2094" t="s">
        <v>2834</v>
      </c>
      <c r="AQ252" s="821" t="s">
        <v>3011</v>
      </c>
      <c r="AR252" s="820" t="s">
        <v>3012</v>
      </c>
      <c r="AS252" s="832" t="s">
        <v>3013</v>
      </c>
      <c r="AT252" s="2094" t="s">
        <v>3014</v>
      </c>
      <c r="AU252" s="832" t="s">
        <v>3015</v>
      </c>
      <c r="AV252" s="2094" t="s">
        <v>3206</v>
      </c>
      <c r="AW252" s="821" t="s">
        <v>3207</v>
      </c>
      <c r="AX252" s="2094" t="s">
        <v>3272</v>
      </c>
      <c r="AY252" s="821" t="s">
        <v>3273</v>
      </c>
      <c r="AZ252" s="1079" t="e">
        <f t="shared" si="413"/>
        <v>#VALUE!</v>
      </c>
      <c r="CB252" s="2077" t="str">
        <f t="shared" si="414"/>
        <v xml:space="preserve">* El total de Confirmados Positivos por ISP NO DEBE ser mayor que el total de Procesados. </v>
      </c>
      <c r="CC252" s="2077"/>
      <c r="CD252" s="2077" t="e">
        <f t="shared" si="415"/>
        <v>#VALUE!</v>
      </c>
      <c r="CE252" s="2077" t="str">
        <f t="shared" si="416"/>
        <v xml:space="preserve">* El Total de Pueblos Originarios Procesados NO DEBE ser mayor al Total de Procesados. </v>
      </c>
      <c r="CF252" s="2077" t="str">
        <f t="shared" si="417"/>
        <v xml:space="preserve">* El Total de Migrantes Procesados NO DEBE ser mayor al Total de Procesados. </v>
      </c>
      <c r="CG252" s="2077" t="e">
        <f t="shared" si="418"/>
        <v>#VALUE!</v>
      </c>
      <c r="CH252" s="2077" t="str">
        <f t="shared" si="419"/>
        <v xml:space="preserve">* Los exámenes positivos de Menor de 12 meses NO DEBEN ser mayor a los exámenes procesados de la misma edad. </v>
      </c>
      <c r="CI252" s="2077" t="str">
        <f t="shared" si="420"/>
        <v xml:space="preserve">* Los exámenes positivos de 12-24 meses NO DEBEN ser mayor a los exámenes procesados de la misma edad. </v>
      </c>
      <c r="CJ252" s="2077" t="str">
        <f t="shared" si="421"/>
        <v xml:space="preserve">* Los exámenes positivos de 3 a 4 años NO DEBEN ser mayor a los exámenes procesados de la misma edad. </v>
      </c>
      <c r="CK252" s="2077" t="str">
        <f t="shared" si="422"/>
        <v xml:space="preserve">* Los exámenes positivos de 5 a 9 años NO DEBEN ser mayor a los exámenes procesados de la misma edad. </v>
      </c>
      <c r="CL252" s="2077" t="str">
        <f t="shared" si="423"/>
        <v xml:space="preserve">* Los exámenes positivos de 10 a 14 años NO DEBEN ser mayor a los exámenes procesados de la misma edad. </v>
      </c>
      <c r="CM252" s="2077" t="str">
        <f t="shared" si="424"/>
        <v xml:space="preserve">* Los exámenes positivos de 15 a 19 años NO DEBEN ser mayor a los exámenes procesados de la misma edad. </v>
      </c>
      <c r="CN252" s="2077" t="str">
        <f t="shared" si="425"/>
        <v xml:space="preserve">* Los exámenes positivos de 20 a 24 años NO DEBEN ser mayor a los exámenes procesados de la misma edad. </v>
      </c>
      <c r="CO252" s="2077" t="str">
        <f t="shared" si="426"/>
        <v xml:space="preserve">* Los exámenes positivos de 25 a 29 años NO DEBEN ser mayor a los exámenes procesados de la misma edad. </v>
      </c>
      <c r="CP252" s="2077" t="str">
        <f t="shared" si="427"/>
        <v xml:space="preserve">* Los exámenes positivos de 30 a 34 años NO DEBEN ser mayor a los exámenes procesados de la misma edad. </v>
      </c>
      <c r="CQ252" s="2077" t="str">
        <f t="shared" si="428"/>
        <v xml:space="preserve">* Los exámenes positivos de 35 a 39 años NO DEBEN ser mayor a los exámenes procesados de la misma edad. </v>
      </c>
      <c r="CR252" s="2077" t="str">
        <f t="shared" si="429"/>
        <v xml:space="preserve">* Los exámenes positivos de 40 a 44 años NO DEBEN ser mayor a los exámenes procesados de la misma edad. </v>
      </c>
      <c r="CS252" s="2077" t="str">
        <f t="shared" si="430"/>
        <v xml:space="preserve">* Los exámenes positivos de 45 a 49 años NO DEBEN ser mayor a los exámenes procesados de la misma edad. </v>
      </c>
      <c r="CT252" s="2077" t="str">
        <f t="shared" si="431"/>
        <v xml:space="preserve">* Los exámenes positivos de 50 a 54 años NO DEBEN ser mayor a los exámenes procesados de la misma edad. </v>
      </c>
      <c r="CU252" s="2077" t="str">
        <f t="shared" si="432"/>
        <v xml:space="preserve">* Los exámenes positivos de 55 a 59 años NO DEBEN ser mayor a los exámenes procesados de la misma edad. </v>
      </c>
      <c r="CV252" s="2077" t="str">
        <f t="shared" si="433"/>
        <v xml:space="preserve">* Los exámenes positivos de 60 a 64 años NO DEBEN ser mayor a los exámenes procesados de la misma edad. </v>
      </c>
      <c r="CW252" s="2077" t="str">
        <f t="shared" si="434"/>
        <v xml:space="preserve">* Los exámenes positivos de  65 y más años NO DEBEN ser mayor a los exámenes procesados de la misma edad. </v>
      </c>
      <c r="CX252" s="2077" t="str">
        <f t="shared" si="435"/>
        <v/>
      </c>
      <c r="CY252" s="2077" t="str">
        <f t="shared" si="436"/>
        <v/>
      </c>
      <c r="CZ252" s="2077"/>
      <c r="DA252" s="2077"/>
      <c r="DB252" s="1363">
        <f t="shared" si="457"/>
        <v>1</v>
      </c>
      <c r="DC252" s="1363"/>
      <c r="DD252" s="1363" t="e">
        <f t="shared" si="437"/>
        <v>#VALUE!</v>
      </c>
      <c r="DE252" s="1363">
        <f t="shared" si="438"/>
        <v>1</v>
      </c>
      <c r="DF252" s="1363">
        <f t="shared" si="439"/>
        <v>1</v>
      </c>
      <c r="DG252" s="1363" t="e">
        <f t="shared" si="440"/>
        <v>#VALUE!</v>
      </c>
      <c r="DH252" s="1363">
        <f t="shared" si="441"/>
        <v>1</v>
      </c>
      <c r="DI252" s="1363">
        <f t="shared" si="442"/>
        <v>1</v>
      </c>
      <c r="DJ252" s="1363">
        <f t="shared" si="443"/>
        <v>1</v>
      </c>
      <c r="DK252" s="1363">
        <f t="shared" si="444"/>
        <v>1</v>
      </c>
      <c r="DL252" s="1363">
        <f t="shared" si="445"/>
        <v>1</v>
      </c>
      <c r="DM252" s="1363">
        <f t="shared" si="446"/>
        <v>1</v>
      </c>
      <c r="DN252" s="1363">
        <f t="shared" si="447"/>
        <v>1</v>
      </c>
      <c r="DO252" s="1363">
        <f t="shared" si="448"/>
        <v>1</v>
      </c>
      <c r="DP252" s="1363">
        <f t="shared" si="449"/>
        <v>1</v>
      </c>
      <c r="DQ252" s="1363">
        <f t="shared" si="450"/>
        <v>1</v>
      </c>
      <c r="DR252" s="1363">
        <f t="shared" si="458"/>
        <v>1</v>
      </c>
      <c r="DS252" s="1363">
        <f t="shared" si="451"/>
        <v>1</v>
      </c>
      <c r="DT252" s="1363">
        <f t="shared" si="452"/>
        <v>1</v>
      </c>
      <c r="DU252" s="1363">
        <f t="shared" si="453"/>
        <v>1</v>
      </c>
      <c r="DV252" s="1363">
        <f t="shared" si="454"/>
        <v>1</v>
      </c>
      <c r="DW252" s="1363">
        <f t="shared" si="455"/>
        <v>1</v>
      </c>
      <c r="DX252" s="1363">
        <f t="shared" si="456"/>
        <v>0</v>
      </c>
      <c r="DY252" s="1363">
        <f t="shared" si="456"/>
        <v>0</v>
      </c>
    </row>
    <row r="253" spans="1:129" x14ac:dyDescent="0.25">
      <c r="A253" s="2458">
        <v>11057111</v>
      </c>
      <c r="B253" s="5810"/>
      <c r="C253" s="1004" t="s">
        <v>2310</v>
      </c>
      <c r="D253" s="2095" t="s">
        <v>2777</v>
      </c>
      <c r="E253" s="2096" t="s">
        <v>2778</v>
      </c>
      <c r="F253" s="2097" t="s">
        <v>2779</v>
      </c>
      <c r="G253" s="2098" t="s">
        <v>2780</v>
      </c>
      <c r="H253" s="2099" t="s">
        <v>2781</v>
      </c>
      <c r="I253" s="2098" t="s">
        <v>2782</v>
      </c>
      <c r="J253" s="2099" t="s">
        <v>2783</v>
      </c>
      <c r="K253" s="2098" t="s">
        <v>2784</v>
      </c>
      <c r="L253" s="2099" t="s">
        <v>2785</v>
      </c>
      <c r="M253" s="2098" t="s">
        <v>2786</v>
      </c>
      <c r="N253" s="2099" t="s">
        <v>2787</v>
      </c>
      <c r="O253" s="2098" t="s">
        <v>2788</v>
      </c>
      <c r="P253" s="820" t="s">
        <v>2789</v>
      </c>
      <c r="Q253" s="821" t="s">
        <v>2790</v>
      </c>
      <c r="R253" s="818" t="s">
        <v>2791</v>
      </c>
      <c r="S253" s="821" t="s">
        <v>2792</v>
      </c>
      <c r="T253" s="818" t="s">
        <v>2793</v>
      </c>
      <c r="U253" s="821" t="s">
        <v>2794</v>
      </c>
      <c r="V253" s="818" t="s">
        <v>2795</v>
      </c>
      <c r="W253" s="821" t="s">
        <v>2796</v>
      </c>
      <c r="X253" s="820" t="s">
        <v>2797</v>
      </c>
      <c r="Y253" s="821" t="s">
        <v>2798</v>
      </c>
      <c r="Z253" s="820" t="s">
        <v>2799</v>
      </c>
      <c r="AA253" s="821" t="s">
        <v>2800</v>
      </c>
      <c r="AB253" s="820" t="s">
        <v>2801</v>
      </c>
      <c r="AC253" s="821" t="s">
        <v>2817</v>
      </c>
      <c r="AD253" s="818" t="s">
        <v>2818</v>
      </c>
      <c r="AE253" s="821" t="s">
        <v>2819</v>
      </c>
      <c r="AF253" s="820" t="s">
        <v>2821</v>
      </c>
      <c r="AG253" s="821" t="s">
        <v>2822</v>
      </c>
      <c r="AH253" s="820" t="s">
        <v>2823</v>
      </c>
      <c r="AI253" s="821" t="s">
        <v>2824</v>
      </c>
      <c r="AJ253" s="820" t="s">
        <v>2825</v>
      </c>
      <c r="AK253" s="832" t="s">
        <v>2826</v>
      </c>
      <c r="AL253" s="2094" t="s">
        <v>2827</v>
      </c>
      <c r="AM253" s="821" t="s">
        <v>2831</v>
      </c>
      <c r="AN253" s="820" t="s">
        <v>2832</v>
      </c>
      <c r="AO253" s="832" t="s">
        <v>2833</v>
      </c>
      <c r="AP253" s="2094" t="s">
        <v>2834</v>
      </c>
      <c r="AQ253" s="821" t="s">
        <v>3011</v>
      </c>
      <c r="AR253" s="820" t="s">
        <v>3012</v>
      </c>
      <c r="AS253" s="832" t="s">
        <v>3013</v>
      </c>
      <c r="AT253" s="2094" t="s">
        <v>3014</v>
      </c>
      <c r="AU253" s="832" t="s">
        <v>3015</v>
      </c>
      <c r="AV253" s="2094" t="s">
        <v>3206</v>
      </c>
      <c r="AW253" s="821" t="s">
        <v>3207</v>
      </c>
      <c r="AX253" s="2094" t="s">
        <v>3272</v>
      </c>
      <c r="AY253" s="821" t="s">
        <v>3273</v>
      </c>
      <c r="AZ253" s="1079" t="e">
        <f t="shared" si="413"/>
        <v>#VALUE!</v>
      </c>
      <c r="CB253" s="2077" t="str">
        <f t="shared" si="414"/>
        <v xml:space="preserve">* El total de Confirmados Positivos por ISP NO DEBE ser mayor que el total de Procesados. </v>
      </c>
      <c r="CC253" s="2077"/>
      <c r="CD253" s="2077" t="e">
        <f t="shared" si="415"/>
        <v>#VALUE!</v>
      </c>
      <c r="CE253" s="2077" t="str">
        <f t="shared" si="416"/>
        <v xml:space="preserve">* El Total de Pueblos Originarios Procesados NO DEBE ser mayor al Total de Procesados. </v>
      </c>
      <c r="CF253" s="2077" t="str">
        <f t="shared" si="417"/>
        <v xml:space="preserve">* El Total de Migrantes Procesados NO DEBE ser mayor al Total de Procesados. </v>
      </c>
      <c r="CG253" s="2077" t="e">
        <f t="shared" si="418"/>
        <v>#VALUE!</v>
      </c>
      <c r="CH253" s="2077" t="str">
        <f t="shared" si="419"/>
        <v xml:space="preserve">* Los exámenes positivos de Menor de 12 meses NO DEBEN ser mayor a los exámenes procesados de la misma edad. </v>
      </c>
      <c r="CI253" s="2077" t="str">
        <f t="shared" si="420"/>
        <v xml:space="preserve">* Los exámenes positivos de 12-24 meses NO DEBEN ser mayor a los exámenes procesados de la misma edad. </v>
      </c>
      <c r="CJ253" s="2077" t="str">
        <f t="shared" si="421"/>
        <v xml:space="preserve">* Los exámenes positivos de 3 a 4 años NO DEBEN ser mayor a los exámenes procesados de la misma edad. </v>
      </c>
      <c r="CK253" s="2077" t="str">
        <f t="shared" si="422"/>
        <v xml:space="preserve">* Los exámenes positivos de 5 a 9 años NO DEBEN ser mayor a los exámenes procesados de la misma edad. </v>
      </c>
      <c r="CL253" s="2077" t="str">
        <f t="shared" si="423"/>
        <v xml:space="preserve">* Los exámenes positivos de 10 a 14 años NO DEBEN ser mayor a los exámenes procesados de la misma edad. </v>
      </c>
      <c r="CM253" s="2077" t="str">
        <f t="shared" si="424"/>
        <v xml:space="preserve">* Los exámenes positivos de 15 a 19 años NO DEBEN ser mayor a los exámenes procesados de la misma edad. </v>
      </c>
      <c r="CN253" s="2077" t="str">
        <f t="shared" si="425"/>
        <v xml:space="preserve">* Los exámenes positivos de 20 a 24 años NO DEBEN ser mayor a los exámenes procesados de la misma edad. </v>
      </c>
      <c r="CO253" s="2077" t="str">
        <f t="shared" si="426"/>
        <v xml:space="preserve">* Los exámenes positivos de 25 a 29 años NO DEBEN ser mayor a los exámenes procesados de la misma edad. </v>
      </c>
      <c r="CP253" s="2077" t="str">
        <f t="shared" si="427"/>
        <v xml:space="preserve">* Los exámenes positivos de 30 a 34 años NO DEBEN ser mayor a los exámenes procesados de la misma edad. </v>
      </c>
      <c r="CQ253" s="2077" t="str">
        <f t="shared" si="428"/>
        <v xml:space="preserve">* Los exámenes positivos de 35 a 39 años NO DEBEN ser mayor a los exámenes procesados de la misma edad. </v>
      </c>
      <c r="CR253" s="2077" t="str">
        <f t="shared" si="429"/>
        <v xml:space="preserve">* Los exámenes positivos de 40 a 44 años NO DEBEN ser mayor a los exámenes procesados de la misma edad. </v>
      </c>
      <c r="CS253" s="2077" t="str">
        <f t="shared" si="430"/>
        <v xml:space="preserve">* Los exámenes positivos de 45 a 49 años NO DEBEN ser mayor a los exámenes procesados de la misma edad. </v>
      </c>
      <c r="CT253" s="2077" t="str">
        <f t="shared" si="431"/>
        <v xml:space="preserve">* Los exámenes positivos de 50 a 54 años NO DEBEN ser mayor a los exámenes procesados de la misma edad. </v>
      </c>
      <c r="CU253" s="2077" t="str">
        <f t="shared" si="432"/>
        <v xml:space="preserve">* Los exámenes positivos de 55 a 59 años NO DEBEN ser mayor a los exámenes procesados de la misma edad. </v>
      </c>
      <c r="CV253" s="2077" t="str">
        <f t="shared" si="433"/>
        <v xml:space="preserve">* Los exámenes positivos de 60 a 64 años NO DEBEN ser mayor a los exámenes procesados de la misma edad. </v>
      </c>
      <c r="CW253" s="2077" t="str">
        <f t="shared" si="434"/>
        <v xml:space="preserve">* Los exámenes positivos de  65 y más años NO DEBEN ser mayor a los exámenes procesados de la misma edad. </v>
      </c>
      <c r="CX253" s="2077" t="str">
        <f t="shared" si="435"/>
        <v/>
      </c>
      <c r="CY253" s="2077" t="str">
        <f t="shared" si="436"/>
        <v/>
      </c>
      <c r="CZ253" s="2077"/>
      <c r="DA253" s="2077"/>
      <c r="DB253" s="1363">
        <f t="shared" si="457"/>
        <v>1</v>
      </c>
      <c r="DC253" s="1363"/>
      <c r="DD253" s="1363" t="e">
        <f t="shared" si="437"/>
        <v>#VALUE!</v>
      </c>
      <c r="DE253" s="1363">
        <f t="shared" si="438"/>
        <v>1</v>
      </c>
      <c r="DF253" s="1363">
        <f t="shared" si="439"/>
        <v>1</v>
      </c>
      <c r="DG253" s="1363" t="e">
        <f t="shared" si="440"/>
        <v>#VALUE!</v>
      </c>
      <c r="DH253" s="1363">
        <f t="shared" si="441"/>
        <v>1</v>
      </c>
      <c r="DI253" s="1363">
        <f t="shared" si="442"/>
        <v>1</v>
      </c>
      <c r="DJ253" s="1363">
        <f t="shared" si="443"/>
        <v>1</v>
      </c>
      <c r="DK253" s="1363">
        <f t="shared" si="444"/>
        <v>1</v>
      </c>
      <c r="DL253" s="1363">
        <f t="shared" si="445"/>
        <v>1</v>
      </c>
      <c r="DM253" s="1363">
        <f t="shared" si="446"/>
        <v>1</v>
      </c>
      <c r="DN253" s="1363">
        <f t="shared" si="447"/>
        <v>1</v>
      </c>
      <c r="DO253" s="1363">
        <f t="shared" si="448"/>
        <v>1</v>
      </c>
      <c r="DP253" s="1363">
        <f t="shared" si="449"/>
        <v>1</v>
      </c>
      <c r="DQ253" s="1363">
        <f t="shared" si="450"/>
        <v>1</v>
      </c>
      <c r="DR253" s="1363">
        <f t="shared" si="458"/>
        <v>1</v>
      </c>
      <c r="DS253" s="1363">
        <f t="shared" si="451"/>
        <v>1</v>
      </c>
      <c r="DT253" s="1363">
        <f t="shared" si="452"/>
        <v>1</v>
      </c>
      <c r="DU253" s="1363">
        <f t="shared" si="453"/>
        <v>1</v>
      </c>
      <c r="DV253" s="1363">
        <f t="shared" si="454"/>
        <v>1</v>
      </c>
      <c r="DW253" s="1363">
        <f t="shared" si="455"/>
        <v>1</v>
      </c>
      <c r="DX253" s="1363">
        <f t="shared" si="456"/>
        <v>0</v>
      </c>
      <c r="DY253" s="1363">
        <f t="shared" si="456"/>
        <v>0</v>
      </c>
    </row>
    <row r="254" spans="1:129" ht="15" customHeight="1" x14ac:dyDescent="0.25">
      <c r="A254" s="2458">
        <v>11057112</v>
      </c>
      <c r="B254" s="5810"/>
      <c r="C254" s="1004" t="s">
        <v>2311</v>
      </c>
      <c r="D254" s="2095" t="s">
        <v>2777</v>
      </c>
      <c r="E254" s="2104" t="s">
        <v>2778</v>
      </c>
      <c r="F254" s="2097" t="s">
        <v>2779</v>
      </c>
      <c r="G254" s="2109" t="s">
        <v>2780</v>
      </c>
      <c r="H254" s="2099" t="s">
        <v>2781</v>
      </c>
      <c r="I254" s="2098" t="s">
        <v>2782</v>
      </c>
      <c r="J254" s="2099" t="s">
        <v>2783</v>
      </c>
      <c r="K254" s="2098" t="s">
        <v>2784</v>
      </c>
      <c r="L254" s="2099" t="s">
        <v>2785</v>
      </c>
      <c r="M254" s="2098" t="s">
        <v>2786</v>
      </c>
      <c r="N254" s="818" t="s">
        <v>2787</v>
      </c>
      <c r="O254" s="821" t="s">
        <v>2788</v>
      </c>
      <c r="P254" s="820" t="s">
        <v>2789</v>
      </c>
      <c r="Q254" s="821" t="s">
        <v>2790</v>
      </c>
      <c r="R254" s="818" t="s">
        <v>2791</v>
      </c>
      <c r="S254" s="821" t="s">
        <v>2792</v>
      </c>
      <c r="T254" s="818" t="s">
        <v>2793</v>
      </c>
      <c r="U254" s="821" t="s">
        <v>2794</v>
      </c>
      <c r="V254" s="818" t="s">
        <v>2795</v>
      </c>
      <c r="W254" s="821" t="s">
        <v>2796</v>
      </c>
      <c r="X254" s="820" t="s">
        <v>2797</v>
      </c>
      <c r="Y254" s="821" t="s">
        <v>2798</v>
      </c>
      <c r="Z254" s="820" t="s">
        <v>2799</v>
      </c>
      <c r="AA254" s="821" t="s">
        <v>2800</v>
      </c>
      <c r="AB254" s="820" t="s">
        <v>2801</v>
      </c>
      <c r="AC254" s="821" t="s">
        <v>2817</v>
      </c>
      <c r="AD254" s="818" t="s">
        <v>2818</v>
      </c>
      <c r="AE254" s="821" t="s">
        <v>2819</v>
      </c>
      <c r="AF254" s="820" t="s">
        <v>2821</v>
      </c>
      <c r="AG254" s="821" t="s">
        <v>2822</v>
      </c>
      <c r="AH254" s="820" t="s">
        <v>2823</v>
      </c>
      <c r="AI254" s="821" t="s">
        <v>2824</v>
      </c>
      <c r="AJ254" s="820" t="s">
        <v>2825</v>
      </c>
      <c r="AK254" s="832" t="s">
        <v>2826</v>
      </c>
      <c r="AL254" s="2094" t="s">
        <v>2827</v>
      </c>
      <c r="AM254" s="821" t="s">
        <v>2831</v>
      </c>
      <c r="AN254" s="820" t="s">
        <v>2832</v>
      </c>
      <c r="AO254" s="832" t="s">
        <v>2833</v>
      </c>
      <c r="AP254" s="2094" t="s">
        <v>2834</v>
      </c>
      <c r="AQ254" s="821" t="s">
        <v>3011</v>
      </c>
      <c r="AR254" s="820" t="s">
        <v>3012</v>
      </c>
      <c r="AS254" s="832" t="s">
        <v>3013</v>
      </c>
      <c r="AT254" s="2094" t="s">
        <v>3014</v>
      </c>
      <c r="AU254" s="832" t="s">
        <v>3015</v>
      </c>
      <c r="AV254" s="2094" t="s">
        <v>3206</v>
      </c>
      <c r="AW254" s="821" t="s">
        <v>3207</v>
      </c>
      <c r="AX254" s="2094" t="s">
        <v>3272</v>
      </c>
      <c r="AY254" s="821" t="s">
        <v>3273</v>
      </c>
      <c r="AZ254" s="1079" t="e">
        <f t="shared" si="413"/>
        <v>#VALUE!</v>
      </c>
      <c r="CB254" s="2077" t="str">
        <f t="shared" si="414"/>
        <v xml:space="preserve">* El total de Confirmados Positivos por ISP NO DEBE ser mayor que el total de Procesados. </v>
      </c>
      <c r="CC254" s="2077"/>
      <c r="CD254" s="2077" t="e">
        <f t="shared" si="415"/>
        <v>#VALUE!</v>
      </c>
      <c r="CE254" s="2077" t="str">
        <f t="shared" si="416"/>
        <v xml:space="preserve">* El Total de Pueblos Originarios Procesados NO DEBE ser mayor al Total de Procesados. </v>
      </c>
      <c r="CF254" s="2077" t="str">
        <f t="shared" si="417"/>
        <v xml:space="preserve">* El Total de Migrantes Procesados NO DEBE ser mayor al Total de Procesados. </v>
      </c>
      <c r="CG254" s="2077" t="e">
        <f t="shared" si="418"/>
        <v>#VALUE!</v>
      </c>
      <c r="CH254" s="2077" t="str">
        <f t="shared" si="419"/>
        <v xml:space="preserve">* Los exámenes positivos de Menor de 12 meses NO DEBEN ser mayor a los exámenes procesados de la misma edad. </v>
      </c>
      <c r="CI254" s="2077" t="str">
        <f t="shared" si="420"/>
        <v xml:space="preserve">* Los exámenes positivos de 12-24 meses NO DEBEN ser mayor a los exámenes procesados de la misma edad. </v>
      </c>
      <c r="CJ254" s="2077" t="str">
        <f t="shared" si="421"/>
        <v xml:space="preserve">* Los exámenes positivos de 3 a 4 años NO DEBEN ser mayor a los exámenes procesados de la misma edad. </v>
      </c>
      <c r="CK254" s="2077" t="str">
        <f t="shared" si="422"/>
        <v xml:space="preserve">* Los exámenes positivos de 5 a 9 años NO DEBEN ser mayor a los exámenes procesados de la misma edad. </v>
      </c>
      <c r="CL254" s="2077" t="str">
        <f t="shared" si="423"/>
        <v xml:space="preserve">* Los exámenes positivos de 10 a 14 años NO DEBEN ser mayor a los exámenes procesados de la misma edad. </v>
      </c>
      <c r="CM254" s="2077" t="str">
        <f t="shared" si="424"/>
        <v xml:space="preserve">* Los exámenes positivos de 15 a 19 años NO DEBEN ser mayor a los exámenes procesados de la misma edad. </v>
      </c>
      <c r="CN254" s="2077" t="str">
        <f t="shared" si="425"/>
        <v xml:space="preserve">* Los exámenes positivos de 20 a 24 años NO DEBEN ser mayor a los exámenes procesados de la misma edad. </v>
      </c>
      <c r="CO254" s="2077" t="str">
        <f t="shared" si="426"/>
        <v xml:space="preserve">* Los exámenes positivos de 25 a 29 años NO DEBEN ser mayor a los exámenes procesados de la misma edad. </v>
      </c>
      <c r="CP254" s="2077" t="str">
        <f t="shared" si="427"/>
        <v xml:space="preserve">* Los exámenes positivos de 30 a 34 años NO DEBEN ser mayor a los exámenes procesados de la misma edad. </v>
      </c>
      <c r="CQ254" s="2077" t="str">
        <f t="shared" si="428"/>
        <v xml:space="preserve">* Los exámenes positivos de 35 a 39 años NO DEBEN ser mayor a los exámenes procesados de la misma edad. </v>
      </c>
      <c r="CR254" s="2077" t="str">
        <f t="shared" si="429"/>
        <v xml:space="preserve">* Los exámenes positivos de 40 a 44 años NO DEBEN ser mayor a los exámenes procesados de la misma edad. </v>
      </c>
      <c r="CS254" s="2077" t="str">
        <f t="shared" si="430"/>
        <v xml:space="preserve">* Los exámenes positivos de 45 a 49 años NO DEBEN ser mayor a los exámenes procesados de la misma edad. </v>
      </c>
      <c r="CT254" s="2077" t="str">
        <f t="shared" si="431"/>
        <v xml:space="preserve">* Los exámenes positivos de 50 a 54 años NO DEBEN ser mayor a los exámenes procesados de la misma edad. </v>
      </c>
      <c r="CU254" s="2077" t="str">
        <f t="shared" si="432"/>
        <v xml:space="preserve">* Los exámenes positivos de 55 a 59 años NO DEBEN ser mayor a los exámenes procesados de la misma edad. </v>
      </c>
      <c r="CV254" s="2077" t="str">
        <f t="shared" si="433"/>
        <v xml:space="preserve">* Los exámenes positivos de 60 a 64 años NO DEBEN ser mayor a los exámenes procesados de la misma edad. </v>
      </c>
      <c r="CW254" s="2077" t="str">
        <f t="shared" si="434"/>
        <v xml:space="preserve">* Los exámenes positivos de  65 y más años NO DEBEN ser mayor a los exámenes procesados de la misma edad. </v>
      </c>
      <c r="CX254" s="2077" t="str">
        <f t="shared" si="435"/>
        <v/>
      </c>
      <c r="CY254" s="2077" t="str">
        <f t="shared" si="436"/>
        <v/>
      </c>
      <c r="CZ254" s="2077"/>
      <c r="DA254" s="2077"/>
      <c r="DB254" s="1363">
        <f t="shared" si="457"/>
        <v>1</v>
      </c>
      <c r="DC254" s="1363"/>
      <c r="DD254" s="1363" t="e">
        <f t="shared" si="437"/>
        <v>#VALUE!</v>
      </c>
      <c r="DE254" s="1363">
        <f t="shared" si="438"/>
        <v>1</v>
      </c>
      <c r="DF254" s="1363">
        <f t="shared" si="439"/>
        <v>1</v>
      </c>
      <c r="DG254" s="1363" t="e">
        <f t="shared" si="440"/>
        <v>#VALUE!</v>
      </c>
      <c r="DH254" s="1363">
        <f t="shared" si="441"/>
        <v>1</v>
      </c>
      <c r="DI254" s="1363">
        <f t="shared" si="442"/>
        <v>1</v>
      </c>
      <c r="DJ254" s="1363">
        <f t="shared" si="443"/>
        <v>1</v>
      </c>
      <c r="DK254" s="1363">
        <f t="shared" si="444"/>
        <v>1</v>
      </c>
      <c r="DL254" s="1363">
        <f t="shared" si="445"/>
        <v>1</v>
      </c>
      <c r="DM254" s="1363">
        <f t="shared" si="446"/>
        <v>1</v>
      </c>
      <c r="DN254" s="1363">
        <f t="shared" si="447"/>
        <v>1</v>
      </c>
      <c r="DO254" s="1363">
        <f t="shared" si="448"/>
        <v>1</v>
      </c>
      <c r="DP254" s="1363">
        <f t="shared" si="449"/>
        <v>1</v>
      </c>
      <c r="DQ254" s="1363">
        <f t="shared" si="450"/>
        <v>1</v>
      </c>
      <c r="DR254" s="1363">
        <f t="shared" si="458"/>
        <v>1</v>
      </c>
      <c r="DS254" s="1363">
        <f t="shared" si="451"/>
        <v>1</v>
      </c>
      <c r="DT254" s="1363">
        <f t="shared" si="452"/>
        <v>1</v>
      </c>
      <c r="DU254" s="1363">
        <f t="shared" si="453"/>
        <v>1</v>
      </c>
      <c r="DV254" s="1363">
        <f t="shared" si="454"/>
        <v>1</v>
      </c>
      <c r="DW254" s="1363">
        <f t="shared" si="455"/>
        <v>1</v>
      </c>
      <c r="DX254" s="1363">
        <f t="shared" si="456"/>
        <v>0</v>
      </c>
      <c r="DY254" s="1363">
        <f t="shared" si="456"/>
        <v>0</v>
      </c>
    </row>
    <row r="255" spans="1:129" ht="21.75" customHeight="1" x14ac:dyDescent="0.25">
      <c r="A255" s="2458">
        <v>11057113</v>
      </c>
      <c r="B255" s="5810"/>
      <c r="C255" s="3099" t="s">
        <v>2312</v>
      </c>
      <c r="D255" s="4664" t="s">
        <v>2777</v>
      </c>
      <c r="E255" s="2096" t="s">
        <v>2778</v>
      </c>
      <c r="F255" s="2097" t="s">
        <v>2779</v>
      </c>
      <c r="G255" s="2098" t="s">
        <v>2780</v>
      </c>
      <c r="H255" s="2099" t="s">
        <v>2781</v>
      </c>
      <c r="I255" s="2109" t="s">
        <v>2782</v>
      </c>
      <c r="J255" s="2099" t="s">
        <v>2783</v>
      </c>
      <c r="K255" s="2098" t="s">
        <v>2784</v>
      </c>
      <c r="L255" s="2099" t="s">
        <v>2785</v>
      </c>
      <c r="M255" s="2098" t="s">
        <v>2786</v>
      </c>
      <c r="N255" s="2106" t="s">
        <v>2787</v>
      </c>
      <c r="O255" s="2107" t="s">
        <v>2788</v>
      </c>
      <c r="P255" s="820" t="s">
        <v>2789</v>
      </c>
      <c r="Q255" s="821" t="s">
        <v>2790</v>
      </c>
      <c r="R255" s="818" t="s">
        <v>2791</v>
      </c>
      <c r="S255" s="821" t="s">
        <v>2792</v>
      </c>
      <c r="T255" s="818" t="s">
        <v>2793</v>
      </c>
      <c r="U255" s="821" t="s">
        <v>2794</v>
      </c>
      <c r="V255" s="818" t="s">
        <v>2795</v>
      </c>
      <c r="W255" s="821" t="s">
        <v>2796</v>
      </c>
      <c r="X255" s="820" t="s">
        <v>2797</v>
      </c>
      <c r="Y255" s="821" t="s">
        <v>2798</v>
      </c>
      <c r="Z255" s="820" t="s">
        <v>2799</v>
      </c>
      <c r="AA255" s="821" t="s">
        <v>2800</v>
      </c>
      <c r="AB255" s="820" t="s">
        <v>2801</v>
      </c>
      <c r="AC255" s="821" t="s">
        <v>2817</v>
      </c>
      <c r="AD255" s="818" t="s">
        <v>2818</v>
      </c>
      <c r="AE255" s="821" t="s">
        <v>2819</v>
      </c>
      <c r="AF255" s="820" t="s">
        <v>2821</v>
      </c>
      <c r="AG255" s="821" t="s">
        <v>2822</v>
      </c>
      <c r="AH255" s="820" t="s">
        <v>2823</v>
      </c>
      <c r="AI255" s="821" t="s">
        <v>2824</v>
      </c>
      <c r="AJ255" s="820" t="s">
        <v>2825</v>
      </c>
      <c r="AK255" s="832" t="s">
        <v>2826</v>
      </c>
      <c r="AL255" s="2094" t="s">
        <v>2827</v>
      </c>
      <c r="AM255" s="821" t="s">
        <v>2831</v>
      </c>
      <c r="AN255" s="820" t="s">
        <v>2832</v>
      </c>
      <c r="AO255" s="832" t="s">
        <v>2833</v>
      </c>
      <c r="AP255" s="2094" t="s">
        <v>2834</v>
      </c>
      <c r="AQ255" s="821" t="s">
        <v>3011</v>
      </c>
      <c r="AR255" s="820" t="s">
        <v>3012</v>
      </c>
      <c r="AS255" s="832" t="s">
        <v>3013</v>
      </c>
      <c r="AT255" s="2094" t="s">
        <v>3014</v>
      </c>
      <c r="AU255" s="832" t="s">
        <v>3015</v>
      </c>
      <c r="AV255" s="2094" t="s">
        <v>3206</v>
      </c>
      <c r="AW255" s="821" t="s">
        <v>3207</v>
      </c>
      <c r="AX255" s="2094" t="s">
        <v>3272</v>
      </c>
      <c r="AY255" s="821" t="s">
        <v>3273</v>
      </c>
      <c r="AZ255" s="1079" t="e">
        <f t="shared" si="413"/>
        <v>#VALUE!</v>
      </c>
      <c r="CB255" s="2077" t="str">
        <f t="shared" si="414"/>
        <v xml:space="preserve">* El total de Confirmados Positivos por ISP NO DEBE ser mayor que el total de Procesados. </v>
      </c>
      <c r="CC255" s="2077"/>
      <c r="CD255" s="2077" t="e">
        <f t="shared" si="415"/>
        <v>#VALUE!</v>
      </c>
      <c r="CE255" s="2077" t="str">
        <f t="shared" si="416"/>
        <v xml:space="preserve">* El Total de Pueblos Originarios Procesados NO DEBE ser mayor al Total de Procesados. </v>
      </c>
      <c r="CF255" s="2077" t="str">
        <f t="shared" si="417"/>
        <v xml:space="preserve">* El Total de Migrantes Procesados NO DEBE ser mayor al Total de Procesados. </v>
      </c>
      <c r="CG255" s="2077" t="e">
        <f t="shared" si="418"/>
        <v>#VALUE!</v>
      </c>
      <c r="CH255" s="2077" t="str">
        <f t="shared" si="419"/>
        <v xml:space="preserve">* Los exámenes positivos de Menor de 12 meses NO DEBEN ser mayor a los exámenes procesados de la misma edad. </v>
      </c>
      <c r="CI255" s="2077" t="str">
        <f t="shared" si="420"/>
        <v xml:space="preserve">* Los exámenes positivos de 12-24 meses NO DEBEN ser mayor a los exámenes procesados de la misma edad. </v>
      </c>
      <c r="CJ255" s="2077" t="str">
        <f t="shared" si="421"/>
        <v xml:space="preserve">* Los exámenes positivos de 3 a 4 años NO DEBEN ser mayor a los exámenes procesados de la misma edad. </v>
      </c>
      <c r="CK255" s="2077" t="str">
        <f t="shared" si="422"/>
        <v xml:space="preserve">* Los exámenes positivos de 5 a 9 años NO DEBEN ser mayor a los exámenes procesados de la misma edad. </v>
      </c>
      <c r="CL255" s="2077" t="str">
        <f t="shared" si="423"/>
        <v xml:space="preserve">* Los exámenes positivos de 10 a 14 años NO DEBEN ser mayor a los exámenes procesados de la misma edad. </v>
      </c>
      <c r="CM255" s="2077" t="str">
        <f t="shared" si="424"/>
        <v xml:space="preserve">* Los exámenes positivos de 15 a 19 años NO DEBEN ser mayor a los exámenes procesados de la misma edad. </v>
      </c>
      <c r="CN255" s="2077" t="str">
        <f t="shared" si="425"/>
        <v xml:space="preserve">* Los exámenes positivos de 20 a 24 años NO DEBEN ser mayor a los exámenes procesados de la misma edad. </v>
      </c>
      <c r="CO255" s="2077" t="str">
        <f t="shared" si="426"/>
        <v xml:space="preserve">* Los exámenes positivos de 25 a 29 años NO DEBEN ser mayor a los exámenes procesados de la misma edad. </v>
      </c>
      <c r="CP255" s="2077" t="str">
        <f t="shared" si="427"/>
        <v xml:space="preserve">* Los exámenes positivos de 30 a 34 años NO DEBEN ser mayor a los exámenes procesados de la misma edad. </v>
      </c>
      <c r="CQ255" s="2077" t="str">
        <f t="shared" si="428"/>
        <v xml:space="preserve">* Los exámenes positivos de 35 a 39 años NO DEBEN ser mayor a los exámenes procesados de la misma edad. </v>
      </c>
      <c r="CR255" s="2077" t="str">
        <f t="shared" si="429"/>
        <v xml:space="preserve">* Los exámenes positivos de 40 a 44 años NO DEBEN ser mayor a los exámenes procesados de la misma edad. </v>
      </c>
      <c r="CS255" s="2077" t="str">
        <f t="shared" si="430"/>
        <v xml:space="preserve">* Los exámenes positivos de 45 a 49 años NO DEBEN ser mayor a los exámenes procesados de la misma edad. </v>
      </c>
      <c r="CT255" s="2077" t="str">
        <f t="shared" si="431"/>
        <v xml:space="preserve">* Los exámenes positivos de 50 a 54 años NO DEBEN ser mayor a los exámenes procesados de la misma edad. </v>
      </c>
      <c r="CU255" s="2077" t="str">
        <f t="shared" si="432"/>
        <v xml:space="preserve">* Los exámenes positivos de 55 a 59 años NO DEBEN ser mayor a los exámenes procesados de la misma edad. </v>
      </c>
      <c r="CV255" s="2077" t="str">
        <f t="shared" si="433"/>
        <v xml:space="preserve">* Los exámenes positivos de 60 a 64 años NO DEBEN ser mayor a los exámenes procesados de la misma edad. </v>
      </c>
      <c r="CW255" s="2077" t="str">
        <f t="shared" si="434"/>
        <v xml:space="preserve">* Los exámenes positivos de  65 y más años NO DEBEN ser mayor a los exámenes procesados de la misma edad. </v>
      </c>
      <c r="CX255" s="2077" t="str">
        <f t="shared" si="435"/>
        <v/>
      </c>
      <c r="CY255" s="2077" t="str">
        <f t="shared" si="436"/>
        <v/>
      </c>
      <c r="CZ255" s="2077"/>
      <c r="DA255" s="2077"/>
      <c r="DB255" s="1363">
        <f t="shared" si="457"/>
        <v>1</v>
      </c>
      <c r="DC255" s="1363"/>
      <c r="DD255" s="1363" t="e">
        <f t="shared" si="437"/>
        <v>#VALUE!</v>
      </c>
      <c r="DE255" s="1363">
        <f t="shared" si="438"/>
        <v>1</v>
      </c>
      <c r="DF255" s="1363">
        <f t="shared" si="439"/>
        <v>1</v>
      </c>
      <c r="DG255" s="1363" t="e">
        <f t="shared" si="440"/>
        <v>#VALUE!</v>
      </c>
      <c r="DH255" s="1363">
        <f t="shared" si="441"/>
        <v>1</v>
      </c>
      <c r="DI255" s="1363">
        <f t="shared" si="442"/>
        <v>1</v>
      </c>
      <c r="DJ255" s="1363">
        <f t="shared" si="443"/>
        <v>1</v>
      </c>
      <c r="DK255" s="1363">
        <f t="shared" si="444"/>
        <v>1</v>
      </c>
      <c r="DL255" s="1363">
        <f t="shared" si="445"/>
        <v>1</v>
      </c>
      <c r="DM255" s="1363">
        <f t="shared" si="446"/>
        <v>1</v>
      </c>
      <c r="DN255" s="1363">
        <f t="shared" si="447"/>
        <v>1</v>
      </c>
      <c r="DO255" s="1363">
        <f t="shared" si="448"/>
        <v>1</v>
      </c>
      <c r="DP255" s="1363">
        <f t="shared" si="449"/>
        <v>1</v>
      </c>
      <c r="DQ255" s="1363">
        <f t="shared" si="450"/>
        <v>1</v>
      </c>
      <c r="DR255" s="1363">
        <f t="shared" si="458"/>
        <v>1</v>
      </c>
      <c r="DS255" s="1363">
        <f t="shared" si="451"/>
        <v>1</v>
      </c>
      <c r="DT255" s="1363">
        <f t="shared" si="452"/>
        <v>1</v>
      </c>
      <c r="DU255" s="1363">
        <f t="shared" si="453"/>
        <v>1</v>
      </c>
      <c r="DV255" s="1363">
        <f t="shared" si="454"/>
        <v>1</v>
      </c>
      <c r="DW255" s="1363">
        <f t="shared" si="455"/>
        <v>1</v>
      </c>
      <c r="DX255" s="1363">
        <f t="shared" si="456"/>
        <v>0</v>
      </c>
      <c r="DY255" s="1363">
        <f t="shared" si="456"/>
        <v>0</v>
      </c>
    </row>
    <row r="256" spans="1:129" ht="22.5" customHeight="1" x14ac:dyDescent="0.25">
      <c r="A256" s="2458">
        <v>11057114</v>
      </c>
      <c r="B256" s="5810"/>
      <c r="C256" s="3099" t="s">
        <v>2313</v>
      </c>
      <c r="D256" s="2095" t="s">
        <v>2777</v>
      </c>
      <c r="E256" s="2104" t="s">
        <v>2778</v>
      </c>
      <c r="F256" s="2097" t="s">
        <v>2779</v>
      </c>
      <c r="G256" s="2098" t="s">
        <v>2780</v>
      </c>
      <c r="H256" s="2099" t="s">
        <v>2781</v>
      </c>
      <c r="I256" s="2098" t="s">
        <v>2782</v>
      </c>
      <c r="J256" s="2099" t="s">
        <v>2783</v>
      </c>
      <c r="K256" s="2109" t="s">
        <v>2784</v>
      </c>
      <c r="L256" s="2099" t="s">
        <v>2785</v>
      </c>
      <c r="M256" s="2098" t="s">
        <v>2786</v>
      </c>
      <c r="N256" s="825" t="s">
        <v>2787</v>
      </c>
      <c r="O256" s="849" t="s">
        <v>2788</v>
      </c>
      <c r="P256" s="820" t="s">
        <v>2789</v>
      </c>
      <c r="Q256" s="838" t="s">
        <v>2790</v>
      </c>
      <c r="R256" s="818" t="s">
        <v>2791</v>
      </c>
      <c r="S256" s="838" t="s">
        <v>2792</v>
      </c>
      <c r="T256" s="818" t="s">
        <v>2793</v>
      </c>
      <c r="U256" s="838" t="s">
        <v>2794</v>
      </c>
      <c r="V256" s="818" t="s">
        <v>2795</v>
      </c>
      <c r="W256" s="838" t="s">
        <v>2796</v>
      </c>
      <c r="X256" s="820" t="s">
        <v>2797</v>
      </c>
      <c r="Y256" s="838" t="s">
        <v>2798</v>
      </c>
      <c r="Z256" s="820" t="s">
        <v>2799</v>
      </c>
      <c r="AA256" s="838" t="s">
        <v>2800</v>
      </c>
      <c r="AB256" s="820" t="s">
        <v>2801</v>
      </c>
      <c r="AC256" s="838" t="s">
        <v>2817</v>
      </c>
      <c r="AD256" s="818" t="s">
        <v>2818</v>
      </c>
      <c r="AE256" s="838" t="s">
        <v>2819</v>
      </c>
      <c r="AF256" s="820" t="s">
        <v>2821</v>
      </c>
      <c r="AG256" s="838" t="s">
        <v>2822</v>
      </c>
      <c r="AH256" s="820" t="s">
        <v>2823</v>
      </c>
      <c r="AI256" s="838" t="s">
        <v>2824</v>
      </c>
      <c r="AJ256" s="820" t="s">
        <v>2825</v>
      </c>
      <c r="AK256" s="1146" t="s">
        <v>2826</v>
      </c>
      <c r="AL256" s="2094" t="s">
        <v>2827</v>
      </c>
      <c r="AM256" s="838" t="s">
        <v>2831</v>
      </c>
      <c r="AN256" s="820" t="s">
        <v>2832</v>
      </c>
      <c r="AO256" s="1146" t="s">
        <v>2833</v>
      </c>
      <c r="AP256" s="2094" t="s">
        <v>2834</v>
      </c>
      <c r="AQ256" s="838" t="s">
        <v>3011</v>
      </c>
      <c r="AR256" s="820" t="s">
        <v>3012</v>
      </c>
      <c r="AS256" s="1146" t="s">
        <v>3013</v>
      </c>
      <c r="AT256" s="2094" t="s">
        <v>3014</v>
      </c>
      <c r="AU256" s="1146" t="s">
        <v>3015</v>
      </c>
      <c r="AV256" s="2094" t="s">
        <v>3206</v>
      </c>
      <c r="AW256" s="838" t="s">
        <v>3207</v>
      </c>
      <c r="AX256" s="2094" t="s">
        <v>3272</v>
      </c>
      <c r="AY256" s="838" t="s">
        <v>3273</v>
      </c>
      <c r="AZ256" s="1079" t="e">
        <f t="shared" si="413"/>
        <v>#VALUE!</v>
      </c>
      <c r="CB256" s="2077" t="str">
        <f t="shared" si="414"/>
        <v xml:space="preserve">* El total de Confirmados Positivos por ISP NO DEBE ser mayor que el total de Procesados. </v>
      </c>
      <c r="CC256" s="2077"/>
      <c r="CD256" s="2077" t="e">
        <f t="shared" si="415"/>
        <v>#VALUE!</v>
      </c>
      <c r="CE256" s="2077" t="str">
        <f t="shared" si="416"/>
        <v xml:space="preserve">* El Total de Pueblos Originarios Procesados NO DEBE ser mayor al Total de Procesados. </v>
      </c>
      <c r="CF256" s="2077" t="str">
        <f t="shared" si="417"/>
        <v xml:space="preserve">* El Total de Migrantes Procesados NO DEBE ser mayor al Total de Procesados. </v>
      </c>
      <c r="CG256" s="2077" t="e">
        <f t="shared" si="418"/>
        <v>#VALUE!</v>
      </c>
      <c r="CH256" s="2077" t="str">
        <f t="shared" si="419"/>
        <v xml:space="preserve">* Los exámenes positivos de Menor de 12 meses NO DEBEN ser mayor a los exámenes procesados de la misma edad. </v>
      </c>
      <c r="CI256" s="2077" t="str">
        <f t="shared" si="420"/>
        <v xml:space="preserve">* Los exámenes positivos de 12-24 meses NO DEBEN ser mayor a los exámenes procesados de la misma edad. </v>
      </c>
      <c r="CJ256" s="2077" t="str">
        <f t="shared" si="421"/>
        <v xml:space="preserve">* Los exámenes positivos de 3 a 4 años NO DEBEN ser mayor a los exámenes procesados de la misma edad. </v>
      </c>
      <c r="CK256" s="2077" t="str">
        <f t="shared" si="422"/>
        <v xml:space="preserve">* Los exámenes positivos de 5 a 9 años NO DEBEN ser mayor a los exámenes procesados de la misma edad. </v>
      </c>
      <c r="CL256" s="2077" t="str">
        <f t="shared" si="423"/>
        <v xml:space="preserve">* Los exámenes positivos de 10 a 14 años NO DEBEN ser mayor a los exámenes procesados de la misma edad. </v>
      </c>
      <c r="CM256" s="2077" t="str">
        <f t="shared" si="424"/>
        <v xml:space="preserve">* Los exámenes positivos de 15 a 19 años NO DEBEN ser mayor a los exámenes procesados de la misma edad. </v>
      </c>
      <c r="CN256" s="2077" t="str">
        <f t="shared" si="425"/>
        <v xml:space="preserve">* Los exámenes positivos de 20 a 24 años NO DEBEN ser mayor a los exámenes procesados de la misma edad. </v>
      </c>
      <c r="CO256" s="2077" t="str">
        <f t="shared" si="426"/>
        <v xml:space="preserve">* Los exámenes positivos de 25 a 29 años NO DEBEN ser mayor a los exámenes procesados de la misma edad. </v>
      </c>
      <c r="CP256" s="2077" t="str">
        <f t="shared" si="427"/>
        <v xml:space="preserve">* Los exámenes positivos de 30 a 34 años NO DEBEN ser mayor a los exámenes procesados de la misma edad. </v>
      </c>
      <c r="CQ256" s="2077" t="str">
        <f t="shared" si="428"/>
        <v xml:space="preserve">* Los exámenes positivos de 35 a 39 años NO DEBEN ser mayor a los exámenes procesados de la misma edad. </v>
      </c>
      <c r="CR256" s="2077" t="str">
        <f t="shared" si="429"/>
        <v xml:space="preserve">* Los exámenes positivos de 40 a 44 años NO DEBEN ser mayor a los exámenes procesados de la misma edad. </v>
      </c>
      <c r="CS256" s="2077" t="str">
        <f t="shared" si="430"/>
        <v xml:space="preserve">* Los exámenes positivos de 45 a 49 años NO DEBEN ser mayor a los exámenes procesados de la misma edad. </v>
      </c>
      <c r="CT256" s="2077" t="str">
        <f t="shared" si="431"/>
        <v xml:space="preserve">* Los exámenes positivos de 50 a 54 años NO DEBEN ser mayor a los exámenes procesados de la misma edad. </v>
      </c>
      <c r="CU256" s="2077" t="str">
        <f t="shared" si="432"/>
        <v xml:space="preserve">* Los exámenes positivos de 55 a 59 años NO DEBEN ser mayor a los exámenes procesados de la misma edad. </v>
      </c>
      <c r="CV256" s="2077" t="str">
        <f t="shared" si="433"/>
        <v xml:space="preserve">* Los exámenes positivos de 60 a 64 años NO DEBEN ser mayor a los exámenes procesados de la misma edad. </v>
      </c>
      <c r="CW256" s="2077" t="str">
        <f t="shared" si="434"/>
        <v xml:space="preserve">* Los exámenes positivos de  65 y más años NO DEBEN ser mayor a los exámenes procesados de la misma edad. </v>
      </c>
      <c r="CX256" s="2077" t="str">
        <f t="shared" si="435"/>
        <v/>
      </c>
      <c r="CY256" s="2077" t="str">
        <f t="shared" si="436"/>
        <v/>
      </c>
      <c r="CZ256" s="2077"/>
      <c r="DA256" s="2077"/>
      <c r="DB256" s="1363">
        <f t="shared" si="457"/>
        <v>1</v>
      </c>
      <c r="DC256" s="1363"/>
      <c r="DD256" s="1363" t="e">
        <f t="shared" si="437"/>
        <v>#VALUE!</v>
      </c>
      <c r="DE256" s="1363">
        <f t="shared" si="438"/>
        <v>1</v>
      </c>
      <c r="DF256" s="1363">
        <f t="shared" si="439"/>
        <v>1</v>
      </c>
      <c r="DG256" s="1363" t="e">
        <f t="shared" si="440"/>
        <v>#VALUE!</v>
      </c>
      <c r="DH256" s="1363">
        <f t="shared" si="441"/>
        <v>1</v>
      </c>
      <c r="DI256" s="1363">
        <f t="shared" si="442"/>
        <v>1</v>
      </c>
      <c r="DJ256" s="1363">
        <f t="shared" si="443"/>
        <v>1</v>
      </c>
      <c r="DK256" s="1363">
        <f t="shared" si="444"/>
        <v>1</v>
      </c>
      <c r="DL256" s="1363">
        <f t="shared" si="445"/>
        <v>1</v>
      </c>
      <c r="DM256" s="1363">
        <f t="shared" si="446"/>
        <v>1</v>
      </c>
      <c r="DN256" s="1363">
        <f t="shared" si="447"/>
        <v>1</v>
      </c>
      <c r="DO256" s="1363">
        <f t="shared" si="448"/>
        <v>1</v>
      </c>
      <c r="DP256" s="1363">
        <f t="shared" si="449"/>
        <v>1</v>
      </c>
      <c r="DQ256" s="1363">
        <f t="shared" si="450"/>
        <v>1</v>
      </c>
      <c r="DR256" s="1363">
        <f t="shared" si="458"/>
        <v>1</v>
      </c>
      <c r="DS256" s="1363">
        <f t="shared" si="451"/>
        <v>1</v>
      </c>
      <c r="DT256" s="1363">
        <f t="shared" si="452"/>
        <v>1</v>
      </c>
      <c r="DU256" s="1363">
        <f t="shared" si="453"/>
        <v>1</v>
      </c>
      <c r="DV256" s="1363">
        <f t="shared" si="454"/>
        <v>1</v>
      </c>
      <c r="DW256" s="1363">
        <f t="shared" si="455"/>
        <v>1</v>
      </c>
      <c r="DX256" s="1363">
        <f t="shared" si="456"/>
        <v>0</v>
      </c>
      <c r="DY256" s="1363">
        <f t="shared" si="456"/>
        <v>0</v>
      </c>
    </row>
    <row r="257" spans="1:129" ht="21.75" customHeight="1" x14ac:dyDescent="0.25">
      <c r="A257" s="2458">
        <v>11057115</v>
      </c>
      <c r="B257" s="5810"/>
      <c r="C257" s="3099" t="s">
        <v>2314</v>
      </c>
      <c r="D257" s="2095" t="s">
        <v>2777</v>
      </c>
      <c r="E257" s="2104" t="s">
        <v>2778</v>
      </c>
      <c r="F257" s="2097" t="s">
        <v>2779</v>
      </c>
      <c r="G257" s="2098" t="s">
        <v>2780</v>
      </c>
      <c r="H257" s="2099" t="s">
        <v>2781</v>
      </c>
      <c r="I257" s="2098" t="s">
        <v>2782</v>
      </c>
      <c r="J257" s="2099" t="s">
        <v>2783</v>
      </c>
      <c r="K257" s="2098" t="s">
        <v>2784</v>
      </c>
      <c r="L257" s="2099" t="s">
        <v>2785</v>
      </c>
      <c r="M257" s="2098" t="s">
        <v>2786</v>
      </c>
      <c r="N257" s="820" t="s">
        <v>2787</v>
      </c>
      <c r="O257" s="838" t="s">
        <v>2788</v>
      </c>
      <c r="P257" s="820" t="s">
        <v>2789</v>
      </c>
      <c r="Q257" s="838" t="s">
        <v>2790</v>
      </c>
      <c r="R257" s="818" t="s">
        <v>2791</v>
      </c>
      <c r="S257" s="838" t="s">
        <v>2792</v>
      </c>
      <c r="T257" s="818" t="s">
        <v>2793</v>
      </c>
      <c r="U257" s="838" t="s">
        <v>2794</v>
      </c>
      <c r="V257" s="818" t="s">
        <v>2795</v>
      </c>
      <c r="W257" s="838" t="s">
        <v>2796</v>
      </c>
      <c r="X257" s="820" t="s">
        <v>2797</v>
      </c>
      <c r="Y257" s="838" t="s">
        <v>2798</v>
      </c>
      <c r="Z257" s="820" t="s">
        <v>2799</v>
      </c>
      <c r="AA257" s="838" t="s">
        <v>2800</v>
      </c>
      <c r="AB257" s="820" t="s">
        <v>2801</v>
      </c>
      <c r="AC257" s="838" t="s">
        <v>2817</v>
      </c>
      <c r="AD257" s="818" t="s">
        <v>2818</v>
      </c>
      <c r="AE257" s="838" t="s">
        <v>2819</v>
      </c>
      <c r="AF257" s="820" t="s">
        <v>2821</v>
      </c>
      <c r="AG257" s="838" t="s">
        <v>2822</v>
      </c>
      <c r="AH257" s="820" t="s">
        <v>2823</v>
      </c>
      <c r="AI257" s="838" t="s">
        <v>2824</v>
      </c>
      <c r="AJ257" s="820" t="s">
        <v>2825</v>
      </c>
      <c r="AK257" s="1146" t="s">
        <v>2826</v>
      </c>
      <c r="AL257" s="2094" t="s">
        <v>2827</v>
      </c>
      <c r="AM257" s="838" t="s">
        <v>2831</v>
      </c>
      <c r="AN257" s="820" t="s">
        <v>2832</v>
      </c>
      <c r="AO257" s="1146" t="s">
        <v>2833</v>
      </c>
      <c r="AP257" s="2094" t="s">
        <v>2834</v>
      </c>
      <c r="AQ257" s="838" t="s">
        <v>3011</v>
      </c>
      <c r="AR257" s="820" t="s">
        <v>3012</v>
      </c>
      <c r="AS257" s="1146" t="s">
        <v>3013</v>
      </c>
      <c r="AT257" s="2094" t="s">
        <v>3014</v>
      </c>
      <c r="AU257" s="1146" t="s">
        <v>3015</v>
      </c>
      <c r="AV257" s="2094" t="s">
        <v>3206</v>
      </c>
      <c r="AW257" s="838" t="s">
        <v>3207</v>
      </c>
      <c r="AX257" s="2094" t="s">
        <v>3272</v>
      </c>
      <c r="AY257" s="838" t="s">
        <v>3273</v>
      </c>
      <c r="AZ257" s="1079" t="e">
        <f t="shared" si="413"/>
        <v>#VALUE!</v>
      </c>
      <c r="CB257" s="2077" t="str">
        <f t="shared" si="414"/>
        <v xml:space="preserve">* El total de Confirmados Positivos por ISP NO DEBE ser mayor que el total de Procesados. </v>
      </c>
      <c r="CC257" s="2077"/>
      <c r="CD257" s="2077" t="e">
        <f t="shared" si="415"/>
        <v>#VALUE!</v>
      </c>
      <c r="CE257" s="2077" t="str">
        <f t="shared" si="416"/>
        <v xml:space="preserve">* El Total de Pueblos Originarios Procesados NO DEBE ser mayor al Total de Procesados. </v>
      </c>
      <c r="CF257" s="2077" t="str">
        <f t="shared" si="417"/>
        <v xml:space="preserve">* El Total de Migrantes Procesados NO DEBE ser mayor al Total de Procesados. </v>
      </c>
      <c r="CG257" s="2077" t="e">
        <f t="shared" si="418"/>
        <v>#VALUE!</v>
      </c>
      <c r="CH257" s="2077" t="str">
        <f t="shared" si="419"/>
        <v xml:space="preserve">* Los exámenes positivos de Menor de 12 meses NO DEBEN ser mayor a los exámenes procesados de la misma edad. </v>
      </c>
      <c r="CI257" s="2077" t="str">
        <f t="shared" si="420"/>
        <v xml:space="preserve">* Los exámenes positivos de 12-24 meses NO DEBEN ser mayor a los exámenes procesados de la misma edad. </v>
      </c>
      <c r="CJ257" s="2077" t="str">
        <f t="shared" si="421"/>
        <v xml:space="preserve">* Los exámenes positivos de 3 a 4 años NO DEBEN ser mayor a los exámenes procesados de la misma edad. </v>
      </c>
      <c r="CK257" s="2077" t="str">
        <f t="shared" si="422"/>
        <v xml:space="preserve">* Los exámenes positivos de 5 a 9 años NO DEBEN ser mayor a los exámenes procesados de la misma edad. </v>
      </c>
      <c r="CL257" s="2077" t="str">
        <f t="shared" si="423"/>
        <v xml:space="preserve">* Los exámenes positivos de 10 a 14 años NO DEBEN ser mayor a los exámenes procesados de la misma edad. </v>
      </c>
      <c r="CM257" s="2077" t="str">
        <f t="shared" si="424"/>
        <v xml:space="preserve">* Los exámenes positivos de 15 a 19 años NO DEBEN ser mayor a los exámenes procesados de la misma edad. </v>
      </c>
      <c r="CN257" s="2077" t="str">
        <f t="shared" si="425"/>
        <v xml:space="preserve">* Los exámenes positivos de 20 a 24 años NO DEBEN ser mayor a los exámenes procesados de la misma edad. </v>
      </c>
      <c r="CO257" s="2077" t="str">
        <f t="shared" si="426"/>
        <v xml:space="preserve">* Los exámenes positivos de 25 a 29 años NO DEBEN ser mayor a los exámenes procesados de la misma edad. </v>
      </c>
      <c r="CP257" s="2077" t="str">
        <f t="shared" si="427"/>
        <v xml:space="preserve">* Los exámenes positivos de 30 a 34 años NO DEBEN ser mayor a los exámenes procesados de la misma edad. </v>
      </c>
      <c r="CQ257" s="2077" t="str">
        <f t="shared" si="428"/>
        <v xml:space="preserve">* Los exámenes positivos de 35 a 39 años NO DEBEN ser mayor a los exámenes procesados de la misma edad. </v>
      </c>
      <c r="CR257" s="2077" t="str">
        <f t="shared" si="429"/>
        <v xml:space="preserve">* Los exámenes positivos de 40 a 44 años NO DEBEN ser mayor a los exámenes procesados de la misma edad. </v>
      </c>
      <c r="CS257" s="2077" t="str">
        <f t="shared" si="430"/>
        <v xml:space="preserve">* Los exámenes positivos de 45 a 49 años NO DEBEN ser mayor a los exámenes procesados de la misma edad. </v>
      </c>
      <c r="CT257" s="2077" t="str">
        <f t="shared" si="431"/>
        <v xml:space="preserve">* Los exámenes positivos de 50 a 54 años NO DEBEN ser mayor a los exámenes procesados de la misma edad. </v>
      </c>
      <c r="CU257" s="2077" t="str">
        <f t="shared" si="432"/>
        <v xml:space="preserve">* Los exámenes positivos de 55 a 59 años NO DEBEN ser mayor a los exámenes procesados de la misma edad. </v>
      </c>
      <c r="CV257" s="2077" t="str">
        <f t="shared" si="433"/>
        <v xml:space="preserve">* Los exámenes positivos de 60 a 64 años NO DEBEN ser mayor a los exámenes procesados de la misma edad. </v>
      </c>
      <c r="CW257" s="2077" t="str">
        <f t="shared" si="434"/>
        <v xml:space="preserve">* Los exámenes positivos de  65 y más años NO DEBEN ser mayor a los exámenes procesados de la misma edad. </v>
      </c>
      <c r="CX257" s="2077" t="str">
        <f t="shared" si="435"/>
        <v/>
      </c>
      <c r="CY257" s="2077" t="str">
        <f t="shared" si="436"/>
        <v/>
      </c>
      <c r="CZ257" s="2077"/>
      <c r="DA257" s="2077"/>
      <c r="DB257" s="1363">
        <f t="shared" si="457"/>
        <v>1</v>
      </c>
      <c r="DC257" s="1363"/>
      <c r="DD257" s="1363" t="e">
        <f t="shared" si="437"/>
        <v>#VALUE!</v>
      </c>
      <c r="DE257" s="1363">
        <f t="shared" si="438"/>
        <v>1</v>
      </c>
      <c r="DF257" s="1363">
        <f t="shared" si="439"/>
        <v>1</v>
      </c>
      <c r="DG257" s="1363" t="e">
        <f t="shared" si="440"/>
        <v>#VALUE!</v>
      </c>
      <c r="DH257" s="1363">
        <f t="shared" si="441"/>
        <v>1</v>
      </c>
      <c r="DI257" s="1363">
        <f t="shared" si="442"/>
        <v>1</v>
      </c>
      <c r="DJ257" s="1363">
        <f t="shared" si="443"/>
        <v>1</v>
      </c>
      <c r="DK257" s="1363">
        <f t="shared" si="444"/>
        <v>1</v>
      </c>
      <c r="DL257" s="1363">
        <f t="shared" si="445"/>
        <v>1</v>
      </c>
      <c r="DM257" s="1363">
        <f t="shared" si="446"/>
        <v>1</v>
      </c>
      <c r="DN257" s="1363">
        <f t="shared" si="447"/>
        <v>1</v>
      </c>
      <c r="DO257" s="1363">
        <f t="shared" si="448"/>
        <v>1</v>
      </c>
      <c r="DP257" s="1363">
        <f t="shared" si="449"/>
        <v>1</v>
      </c>
      <c r="DQ257" s="1363">
        <f t="shared" si="450"/>
        <v>1</v>
      </c>
      <c r="DR257" s="1363">
        <f t="shared" si="458"/>
        <v>1</v>
      </c>
      <c r="DS257" s="1363">
        <f t="shared" si="451"/>
        <v>1</v>
      </c>
      <c r="DT257" s="1363">
        <f t="shared" si="452"/>
        <v>1</v>
      </c>
      <c r="DU257" s="1363">
        <f t="shared" si="453"/>
        <v>1</v>
      </c>
      <c r="DV257" s="1363">
        <f t="shared" si="454"/>
        <v>1</v>
      </c>
      <c r="DW257" s="1363">
        <f t="shared" si="455"/>
        <v>1</v>
      </c>
      <c r="DX257" s="1363">
        <f t="shared" si="456"/>
        <v>0</v>
      </c>
      <c r="DY257" s="1363">
        <f t="shared" si="456"/>
        <v>0</v>
      </c>
    </row>
    <row r="258" spans="1:129" ht="23.25" customHeight="1" x14ac:dyDescent="0.25">
      <c r="A258" s="2458">
        <v>11057116</v>
      </c>
      <c r="B258" s="5810"/>
      <c r="C258" s="3099" t="s">
        <v>2315</v>
      </c>
      <c r="D258" s="2108" t="s">
        <v>2777</v>
      </c>
      <c r="E258" s="2104" t="s">
        <v>2778</v>
      </c>
      <c r="F258" s="2097" t="s">
        <v>2779</v>
      </c>
      <c r="G258" s="2098" t="s">
        <v>2780</v>
      </c>
      <c r="H258" s="2099" t="s">
        <v>2781</v>
      </c>
      <c r="I258" s="2098" t="s">
        <v>2782</v>
      </c>
      <c r="J258" s="2099" t="s">
        <v>2783</v>
      </c>
      <c r="K258" s="2098" t="s">
        <v>2784</v>
      </c>
      <c r="L258" s="2099" t="s">
        <v>2785</v>
      </c>
      <c r="M258" s="2098" t="s">
        <v>2786</v>
      </c>
      <c r="N258" s="820" t="s">
        <v>2787</v>
      </c>
      <c r="O258" s="838" t="s">
        <v>2788</v>
      </c>
      <c r="P258" s="820" t="s">
        <v>2789</v>
      </c>
      <c r="Q258" s="838" t="s">
        <v>2790</v>
      </c>
      <c r="R258" s="818" t="s">
        <v>2791</v>
      </c>
      <c r="S258" s="838" t="s">
        <v>2792</v>
      </c>
      <c r="T258" s="818" t="s">
        <v>2793</v>
      </c>
      <c r="U258" s="838" t="s">
        <v>2794</v>
      </c>
      <c r="V258" s="818" t="s">
        <v>2795</v>
      </c>
      <c r="W258" s="838" t="s">
        <v>2796</v>
      </c>
      <c r="X258" s="820" t="s">
        <v>2797</v>
      </c>
      <c r="Y258" s="838" t="s">
        <v>2798</v>
      </c>
      <c r="Z258" s="820" t="s">
        <v>2799</v>
      </c>
      <c r="AA258" s="838" t="s">
        <v>2800</v>
      </c>
      <c r="AB258" s="820" t="s">
        <v>2801</v>
      </c>
      <c r="AC258" s="838" t="s">
        <v>2817</v>
      </c>
      <c r="AD258" s="818" t="s">
        <v>2818</v>
      </c>
      <c r="AE258" s="838" t="s">
        <v>2819</v>
      </c>
      <c r="AF258" s="820" t="s">
        <v>2821</v>
      </c>
      <c r="AG258" s="838" t="s">
        <v>2822</v>
      </c>
      <c r="AH258" s="820" t="s">
        <v>2823</v>
      </c>
      <c r="AI258" s="838" t="s">
        <v>2824</v>
      </c>
      <c r="AJ258" s="820" t="s">
        <v>2825</v>
      </c>
      <c r="AK258" s="1146" t="s">
        <v>2826</v>
      </c>
      <c r="AL258" s="2094" t="s">
        <v>2827</v>
      </c>
      <c r="AM258" s="838" t="s">
        <v>2831</v>
      </c>
      <c r="AN258" s="820" t="s">
        <v>2832</v>
      </c>
      <c r="AO258" s="1146" t="s">
        <v>2833</v>
      </c>
      <c r="AP258" s="2094" t="s">
        <v>2834</v>
      </c>
      <c r="AQ258" s="838" t="s">
        <v>3011</v>
      </c>
      <c r="AR258" s="820" t="s">
        <v>3012</v>
      </c>
      <c r="AS258" s="1146" t="s">
        <v>3013</v>
      </c>
      <c r="AT258" s="2094" t="s">
        <v>3014</v>
      </c>
      <c r="AU258" s="1146" t="s">
        <v>3015</v>
      </c>
      <c r="AV258" s="2094" t="s">
        <v>3206</v>
      </c>
      <c r="AW258" s="838" t="s">
        <v>3207</v>
      </c>
      <c r="AX258" s="2094" t="s">
        <v>3272</v>
      </c>
      <c r="AY258" s="838" t="s">
        <v>3273</v>
      </c>
      <c r="AZ258" s="1079" t="e">
        <f t="shared" si="413"/>
        <v>#VALUE!</v>
      </c>
      <c r="CB258" s="2077" t="str">
        <f t="shared" si="414"/>
        <v xml:space="preserve">* El total de Confirmados Positivos por ISP NO DEBE ser mayor que el total de Procesados. </v>
      </c>
      <c r="CC258" s="2077"/>
      <c r="CD258" s="2077" t="e">
        <f t="shared" si="415"/>
        <v>#VALUE!</v>
      </c>
      <c r="CE258" s="2077" t="str">
        <f t="shared" si="416"/>
        <v xml:space="preserve">* El Total de Pueblos Originarios Procesados NO DEBE ser mayor al Total de Procesados. </v>
      </c>
      <c r="CF258" s="2077" t="str">
        <f t="shared" si="417"/>
        <v xml:space="preserve">* El Total de Migrantes Procesados NO DEBE ser mayor al Total de Procesados. </v>
      </c>
      <c r="CG258" s="2077" t="e">
        <f t="shared" si="418"/>
        <v>#VALUE!</v>
      </c>
      <c r="CH258" s="2077" t="str">
        <f t="shared" si="419"/>
        <v xml:space="preserve">* Los exámenes positivos de Menor de 12 meses NO DEBEN ser mayor a los exámenes procesados de la misma edad. </v>
      </c>
      <c r="CI258" s="2077" t="str">
        <f t="shared" si="420"/>
        <v xml:space="preserve">* Los exámenes positivos de 12-24 meses NO DEBEN ser mayor a los exámenes procesados de la misma edad. </v>
      </c>
      <c r="CJ258" s="2077" t="str">
        <f t="shared" si="421"/>
        <v xml:space="preserve">* Los exámenes positivos de 3 a 4 años NO DEBEN ser mayor a los exámenes procesados de la misma edad. </v>
      </c>
      <c r="CK258" s="2077" t="str">
        <f t="shared" si="422"/>
        <v xml:space="preserve">* Los exámenes positivos de 5 a 9 años NO DEBEN ser mayor a los exámenes procesados de la misma edad. </v>
      </c>
      <c r="CL258" s="2077" t="str">
        <f t="shared" si="423"/>
        <v xml:space="preserve">* Los exámenes positivos de 10 a 14 años NO DEBEN ser mayor a los exámenes procesados de la misma edad. </v>
      </c>
      <c r="CM258" s="2077" t="str">
        <f t="shared" si="424"/>
        <v xml:space="preserve">* Los exámenes positivos de 15 a 19 años NO DEBEN ser mayor a los exámenes procesados de la misma edad. </v>
      </c>
      <c r="CN258" s="2077" t="str">
        <f t="shared" si="425"/>
        <v xml:space="preserve">* Los exámenes positivos de 20 a 24 años NO DEBEN ser mayor a los exámenes procesados de la misma edad. </v>
      </c>
      <c r="CO258" s="2077" t="str">
        <f t="shared" si="426"/>
        <v xml:space="preserve">* Los exámenes positivos de 25 a 29 años NO DEBEN ser mayor a los exámenes procesados de la misma edad. </v>
      </c>
      <c r="CP258" s="2077" t="str">
        <f t="shared" si="427"/>
        <v xml:space="preserve">* Los exámenes positivos de 30 a 34 años NO DEBEN ser mayor a los exámenes procesados de la misma edad. </v>
      </c>
      <c r="CQ258" s="2077" t="str">
        <f t="shared" si="428"/>
        <v xml:space="preserve">* Los exámenes positivos de 35 a 39 años NO DEBEN ser mayor a los exámenes procesados de la misma edad. </v>
      </c>
      <c r="CR258" s="2077" t="str">
        <f t="shared" si="429"/>
        <v xml:space="preserve">* Los exámenes positivos de 40 a 44 años NO DEBEN ser mayor a los exámenes procesados de la misma edad. </v>
      </c>
      <c r="CS258" s="2077" t="str">
        <f t="shared" si="430"/>
        <v xml:space="preserve">* Los exámenes positivos de 45 a 49 años NO DEBEN ser mayor a los exámenes procesados de la misma edad. </v>
      </c>
      <c r="CT258" s="2077" t="str">
        <f t="shared" si="431"/>
        <v xml:space="preserve">* Los exámenes positivos de 50 a 54 años NO DEBEN ser mayor a los exámenes procesados de la misma edad. </v>
      </c>
      <c r="CU258" s="2077" t="str">
        <f t="shared" si="432"/>
        <v xml:space="preserve">* Los exámenes positivos de 55 a 59 años NO DEBEN ser mayor a los exámenes procesados de la misma edad. </v>
      </c>
      <c r="CV258" s="2077" t="str">
        <f t="shared" si="433"/>
        <v xml:space="preserve">* Los exámenes positivos de 60 a 64 años NO DEBEN ser mayor a los exámenes procesados de la misma edad. </v>
      </c>
      <c r="CW258" s="2077" t="str">
        <f t="shared" si="434"/>
        <v xml:space="preserve">* Los exámenes positivos de  65 y más años NO DEBEN ser mayor a los exámenes procesados de la misma edad. </v>
      </c>
      <c r="CX258" s="2077" t="str">
        <f t="shared" si="435"/>
        <v/>
      </c>
      <c r="CY258" s="2077" t="str">
        <f t="shared" si="436"/>
        <v/>
      </c>
      <c r="CZ258" s="2077"/>
      <c r="DA258" s="2077"/>
      <c r="DB258" s="1363">
        <f t="shared" si="457"/>
        <v>1</v>
      </c>
      <c r="DC258" s="1363"/>
      <c r="DD258" s="1363" t="e">
        <f t="shared" si="437"/>
        <v>#VALUE!</v>
      </c>
      <c r="DE258" s="1363">
        <f t="shared" si="438"/>
        <v>1</v>
      </c>
      <c r="DF258" s="1363">
        <f t="shared" si="439"/>
        <v>1</v>
      </c>
      <c r="DG258" s="1363" t="e">
        <f t="shared" si="440"/>
        <v>#VALUE!</v>
      </c>
      <c r="DH258" s="1363">
        <f t="shared" si="441"/>
        <v>1</v>
      </c>
      <c r="DI258" s="1363">
        <f t="shared" si="442"/>
        <v>1</v>
      </c>
      <c r="DJ258" s="1363">
        <f t="shared" si="443"/>
        <v>1</v>
      </c>
      <c r="DK258" s="1363">
        <f t="shared" si="444"/>
        <v>1</v>
      </c>
      <c r="DL258" s="1363">
        <f t="shared" si="445"/>
        <v>1</v>
      </c>
      <c r="DM258" s="1363">
        <f t="shared" si="446"/>
        <v>1</v>
      </c>
      <c r="DN258" s="1363">
        <f t="shared" si="447"/>
        <v>1</v>
      </c>
      <c r="DO258" s="1363">
        <f t="shared" si="448"/>
        <v>1</v>
      </c>
      <c r="DP258" s="1363">
        <f t="shared" si="449"/>
        <v>1</v>
      </c>
      <c r="DQ258" s="1363">
        <f t="shared" si="450"/>
        <v>1</v>
      </c>
      <c r="DR258" s="1363">
        <f t="shared" si="458"/>
        <v>1</v>
      </c>
      <c r="DS258" s="1363">
        <f t="shared" si="451"/>
        <v>1</v>
      </c>
      <c r="DT258" s="1363">
        <f t="shared" si="452"/>
        <v>1</v>
      </c>
      <c r="DU258" s="1363">
        <f t="shared" si="453"/>
        <v>1</v>
      </c>
      <c r="DV258" s="1363">
        <f t="shared" si="454"/>
        <v>1</v>
      </c>
      <c r="DW258" s="1363">
        <f t="shared" si="455"/>
        <v>1</v>
      </c>
      <c r="DX258" s="1363">
        <f t="shared" ref="DX258:DY264" si="459">IF(AND(D258&lt;&gt;0,OR(AP258="",AR258="",AT258="",AV258="")),1,0)</f>
        <v>0</v>
      </c>
      <c r="DY258" s="1363">
        <f t="shared" si="459"/>
        <v>0</v>
      </c>
    </row>
    <row r="259" spans="1:129" ht="15" customHeight="1" x14ac:dyDescent="0.25">
      <c r="A259" s="2458">
        <v>11057117</v>
      </c>
      <c r="B259" s="5810"/>
      <c r="C259" s="3100" t="s">
        <v>2316</v>
      </c>
      <c r="D259" s="2095" t="s">
        <v>2777</v>
      </c>
      <c r="E259" s="2104" t="s">
        <v>2778</v>
      </c>
      <c r="F259" s="2097" t="s">
        <v>2779</v>
      </c>
      <c r="G259" s="2098" t="s">
        <v>2780</v>
      </c>
      <c r="H259" s="2099" t="s">
        <v>2781</v>
      </c>
      <c r="I259" s="2098" t="s">
        <v>2782</v>
      </c>
      <c r="J259" s="2099" t="s">
        <v>2783</v>
      </c>
      <c r="K259" s="2098" t="s">
        <v>2784</v>
      </c>
      <c r="L259" s="2099" t="s">
        <v>2785</v>
      </c>
      <c r="M259" s="2109" t="s">
        <v>2786</v>
      </c>
      <c r="N259" s="820" t="s">
        <v>2787</v>
      </c>
      <c r="O259" s="838" t="s">
        <v>2788</v>
      </c>
      <c r="P259" s="820" t="s">
        <v>2789</v>
      </c>
      <c r="Q259" s="838" t="s">
        <v>2790</v>
      </c>
      <c r="R259" s="818" t="s">
        <v>2791</v>
      </c>
      <c r="S259" s="838" t="s">
        <v>2792</v>
      </c>
      <c r="T259" s="818" t="s">
        <v>2793</v>
      </c>
      <c r="U259" s="838" t="s">
        <v>2794</v>
      </c>
      <c r="V259" s="818" t="s">
        <v>2795</v>
      </c>
      <c r="W259" s="838" t="s">
        <v>2796</v>
      </c>
      <c r="X259" s="820" t="s">
        <v>2797</v>
      </c>
      <c r="Y259" s="838" t="s">
        <v>2798</v>
      </c>
      <c r="Z259" s="820" t="s">
        <v>2799</v>
      </c>
      <c r="AA259" s="838" t="s">
        <v>2800</v>
      </c>
      <c r="AB259" s="820" t="s">
        <v>2801</v>
      </c>
      <c r="AC259" s="838" t="s">
        <v>2817</v>
      </c>
      <c r="AD259" s="818" t="s">
        <v>2818</v>
      </c>
      <c r="AE259" s="838" t="s">
        <v>2819</v>
      </c>
      <c r="AF259" s="820" t="s">
        <v>2821</v>
      </c>
      <c r="AG259" s="838" t="s">
        <v>2822</v>
      </c>
      <c r="AH259" s="820" t="s">
        <v>2823</v>
      </c>
      <c r="AI259" s="838" t="s">
        <v>2824</v>
      </c>
      <c r="AJ259" s="820" t="s">
        <v>2825</v>
      </c>
      <c r="AK259" s="1146" t="s">
        <v>2826</v>
      </c>
      <c r="AL259" s="2094" t="s">
        <v>2827</v>
      </c>
      <c r="AM259" s="838" t="s">
        <v>2831</v>
      </c>
      <c r="AN259" s="820" t="s">
        <v>2832</v>
      </c>
      <c r="AO259" s="1146" t="s">
        <v>2833</v>
      </c>
      <c r="AP259" s="2094" t="s">
        <v>2834</v>
      </c>
      <c r="AQ259" s="838" t="s">
        <v>3011</v>
      </c>
      <c r="AR259" s="820" t="s">
        <v>3012</v>
      </c>
      <c r="AS259" s="1146" t="s">
        <v>3013</v>
      </c>
      <c r="AT259" s="2094" t="s">
        <v>3014</v>
      </c>
      <c r="AU259" s="1146" t="s">
        <v>3015</v>
      </c>
      <c r="AV259" s="2094" t="s">
        <v>3206</v>
      </c>
      <c r="AW259" s="838" t="s">
        <v>3207</v>
      </c>
      <c r="AX259" s="2094" t="s">
        <v>3272</v>
      </c>
      <c r="AY259" s="838" t="s">
        <v>3273</v>
      </c>
      <c r="AZ259" s="1079" t="e">
        <f t="shared" si="413"/>
        <v>#VALUE!</v>
      </c>
      <c r="CB259" s="2077" t="str">
        <f t="shared" si="414"/>
        <v xml:space="preserve">* El total de Confirmados Positivos por ISP NO DEBE ser mayor que el total de Procesados. </v>
      </c>
      <c r="CC259" s="2077"/>
      <c r="CD259" s="2077" t="e">
        <f t="shared" si="415"/>
        <v>#VALUE!</v>
      </c>
      <c r="CE259" s="2077" t="str">
        <f t="shared" si="416"/>
        <v xml:space="preserve">* El Total de Pueblos Originarios Procesados NO DEBE ser mayor al Total de Procesados. </v>
      </c>
      <c r="CF259" s="2077" t="str">
        <f t="shared" si="417"/>
        <v xml:space="preserve">* El Total de Migrantes Procesados NO DEBE ser mayor al Total de Procesados. </v>
      </c>
      <c r="CG259" s="2077" t="e">
        <f t="shared" si="418"/>
        <v>#VALUE!</v>
      </c>
      <c r="CH259" s="2077" t="str">
        <f t="shared" si="419"/>
        <v xml:space="preserve">* Los exámenes positivos de Menor de 12 meses NO DEBEN ser mayor a los exámenes procesados de la misma edad. </v>
      </c>
      <c r="CI259" s="2077" t="str">
        <f t="shared" si="420"/>
        <v xml:space="preserve">* Los exámenes positivos de 12-24 meses NO DEBEN ser mayor a los exámenes procesados de la misma edad. </v>
      </c>
      <c r="CJ259" s="2077" t="str">
        <f t="shared" si="421"/>
        <v xml:space="preserve">* Los exámenes positivos de 3 a 4 años NO DEBEN ser mayor a los exámenes procesados de la misma edad. </v>
      </c>
      <c r="CK259" s="2077" t="str">
        <f t="shared" si="422"/>
        <v xml:space="preserve">* Los exámenes positivos de 5 a 9 años NO DEBEN ser mayor a los exámenes procesados de la misma edad. </v>
      </c>
      <c r="CL259" s="2077" t="str">
        <f t="shared" si="423"/>
        <v xml:space="preserve">* Los exámenes positivos de 10 a 14 años NO DEBEN ser mayor a los exámenes procesados de la misma edad. </v>
      </c>
      <c r="CM259" s="2077" t="str">
        <f t="shared" si="424"/>
        <v xml:space="preserve">* Los exámenes positivos de 15 a 19 años NO DEBEN ser mayor a los exámenes procesados de la misma edad. </v>
      </c>
      <c r="CN259" s="2077" t="str">
        <f t="shared" si="425"/>
        <v xml:space="preserve">* Los exámenes positivos de 20 a 24 años NO DEBEN ser mayor a los exámenes procesados de la misma edad. </v>
      </c>
      <c r="CO259" s="2077" t="str">
        <f t="shared" si="426"/>
        <v xml:space="preserve">* Los exámenes positivos de 25 a 29 años NO DEBEN ser mayor a los exámenes procesados de la misma edad. </v>
      </c>
      <c r="CP259" s="2077" t="str">
        <f t="shared" si="427"/>
        <v xml:space="preserve">* Los exámenes positivos de 30 a 34 años NO DEBEN ser mayor a los exámenes procesados de la misma edad. </v>
      </c>
      <c r="CQ259" s="2077" t="str">
        <f t="shared" si="428"/>
        <v xml:space="preserve">* Los exámenes positivos de 35 a 39 años NO DEBEN ser mayor a los exámenes procesados de la misma edad. </v>
      </c>
      <c r="CR259" s="2077" t="str">
        <f t="shared" si="429"/>
        <v xml:space="preserve">* Los exámenes positivos de 40 a 44 años NO DEBEN ser mayor a los exámenes procesados de la misma edad. </v>
      </c>
      <c r="CS259" s="2077" t="str">
        <f t="shared" si="430"/>
        <v xml:space="preserve">* Los exámenes positivos de 45 a 49 años NO DEBEN ser mayor a los exámenes procesados de la misma edad. </v>
      </c>
      <c r="CT259" s="2077" t="str">
        <f t="shared" si="431"/>
        <v xml:space="preserve">* Los exámenes positivos de 50 a 54 años NO DEBEN ser mayor a los exámenes procesados de la misma edad. </v>
      </c>
      <c r="CU259" s="2077" t="str">
        <f t="shared" si="432"/>
        <v xml:space="preserve">* Los exámenes positivos de 55 a 59 años NO DEBEN ser mayor a los exámenes procesados de la misma edad. </v>
      </c>
      <c r="CV259" s="2077" t="str">
        <f t="shared" si="433"/>
        <v xml:space="preserve">* Los exámenes positivos de 60 a 64 años NO DEBEN ser mayor a los exámenes procesados de la misma edad. </v>
      </c>
      <c r="CW259" s="2077" t="str">
        <f t="shared" si="434"/>
        <v xml:space="preserve">* Los exámenes positivos de  65 y más años NO DEBEN ser mayor a los exámenes procesados de la misma edad. </v>
      </c>
      <c r="CX259" s="2077" t="str">
        <f t="shared" si="435"/>
        <v/>
      </c>
      <c r="CY259" s="2077" t="str">
        <f t="shared" si="436"/>
        <v/>
      </c>
      <c r="CZ259" s="2077"/>
      <c r="DA259" s="2077"/>
      <c r="DB259" s="1363">
        <f t="shared" si="457"/>
        <v>1</v>
      </c>
      <c r="DC259" s="1363"/>
      <c r="DD259" s="1363" t="e">
        <f t="shared" si="437"/>
        <v>#VALUE!</v>
      </c>
      <c r="DE259" s="1363">
        <f t="shared" si="438"/>
        <v>1</v>
      </c>
      <c r="DF259" s="1363">
        <f t="shared" si="439"/>
        <v>1</v>
      </c>
      <c r="DG259" s="1363" t="e">
        <f t="shared" si="440"/>
        <v>#VALUE!</v>
      </c>
      <c r="DH259" s="1363">
        <f t="shared" si="441"/>
        <v>1</v>
      </c>
      <c r="DI259" s="1363">
        <f t="shared" si="442"/>
        <v>1</v>
      </c>
      <c r="DJ259" s="1363">
        <f t="shared" si="443"/>
        <v>1</v>
      </c>
      <c r="DK259" s="1363">
        <f t="shared" si="444"/>
        <v>1</v>
      </c>
      <c r="DL259" s="1363">
        <f t="shared" si="445"/>
        <v>1</v>
      </c>
      <c r="DM259" s="1363">
        <f t="shared" si="446"/>
        <v>1</v>
      </c>
      <c r="DN259" s="1363">
        <f t="shared" si="447"/>
        <v>1</v>
      </c>
      <c r="DO259" s="1363">
        <f t="shared" si="448"/>
        <v>1</v>
      </c>
      <c r="DP259" s="1363">
        <f t="shared" si="449"/>
        <v>1</v>
      </c>
      <c r="DQ259" s="1363">
        <f t="shared" si="450"/>
        <v>1</v>
      </c>
      <c r="DR259" s="1363">
        <f t="shared" si="458"/>
        <v>1</v>
      </c>
      <c r="DS259" s="1363">
        <f t="shared" si="451"/>
        <v>1</v>
      </c>
      <c r="DT259" s="1363">
        <f t="shared" si="452"/>
        <v>1</v>
      </c>
      <c r="DU259" s="1363">
        <f t="shared" si="453"/>
        <v>1</v>
      </c>
      <c r="DV259" s="1363">
        <f t="shared" si="454"/>
        <v>1</v>
      </c>
      <c r="DW259" s="1363">
        <f t="shared" si="455"/>
        <v>1</v>
      </c>
      <c r="DX259" s="1363">
        <f t="shared" si="459"/>
        <v>0</v>
      </c>
      <c r="DY259" s="1363">
        <f t="shared" si="459"/>
        <v>0</v>
      </c>
    </row>
    <row r="260" spans="1:129" x14ac:dyDescent="0.25">
      <c r="A260" s="2458">
        <v>11057118</v>
      </c>
      <c r="B260" s="6300"/>
      <c r="C260" s="1005" t="s">
        <v>2317</v>
      </c>
      <c r="D260" s="2110" t="s">
        <v>2777</v>
      </c>
      <c r="E260" s="2111" t="s">
        <v>2778</v>
      </c>
      <c r="F260" s="2112" t="s">
        <v>2779</v>
      </c>
      <c r="G260" s="2113" t="s">
        <v>2780</v>
      </c>
      <c r="H260" s="2114" t="s">
        <v>2781</v>
      </c>
      <c r="I260" s="2113" t="s">
        <v>2782</v>
      </c>
      <c r="J260" s="2114" t="s">
        <v>2783</v>
      </c>
      <c r="K260" s="2113" t="s">
        <v>2784</v>
      </c>
      <c r="L260" s="2114" t="s">
        <v>2785</v>
      </c>
      <c r="M260" s="2113" t="s">
        <v>2786</v>
      </c>
      <c r="N260" s="812" t="s">
        <v>2787</v>
      </c>
      <c r="O260" s="813" t="s">
        <v>2788</v>
      </c>
      <c r="P260" s="812" t="s">
        <v>2789</v>
      </c>
      <c r="Q260" s="813" t="s">
        <v>2790</v>
      </c>
      <c r="R260" s="822" t="s">
        <v>2791</v>
      </c>
      <c r="S260" s="813" t="s">
        <v>2792</v>
      </c>
      <c r="T260" s="822" t="s">
        <v>2793</v>
      </c>
      <c r="U260" s="813" t="s">
        <v>2794</v>
      </c>
      <c r="V260" s="822" t="s">
        <v>2795</v>
      </c>
      <c r="W260" s="813" t="s">
        <v>2796</v>
      </c>
      <c r="X260" s="812" t="s">
        <v>2797</v>
      </c>
      <c r="Y260" s="813" t="s">
        <v>2798</v>
      </c>
      <c r="Z260" s="812" t="s">
        <v>2799</v>
      </c>
      <c r="AA260" s="813" t="s">
        <v>2800</v>
      </c>
      <c r="AB260" s="812" t="s">
        <v>2801</v>
      </c>
      <c r="AC260" s="813" t="s">
        <v>2817</v>
      </c>
      <c r="AD260" s="822" t="s">
        <v>2818</v>
      </c>
      <c r="AE260" s="813" t="s">
        <v>2819</v>
      </c>
      <c r="AF260" s="812" t="s">
        <v>2821</v>
      </c>
      <c r="AG260" s="813" t="s">
        <v>2822</v>
      </c>
      <c r="AH260" s="812" t="s">
        <v>2823</v>
      </c>
      <c r="AI260" s="813" t="s">
        <v>2824</v>
      </c>
      <c r="AJ260" s="812" t="s">
        <v>2825</v>
      </c>
      <c r="AK260" s="817" t="s">
        <v>2826</v>
      </c>
      <c r="AL260" s="864" t="s">
        <v>2827</v>
      </c>
      <c r="AM260" s="813" t="s">
        <v>2831</v>
      </c>
      <c r="AN260" s="812" t="s">
        <v>2832</v>
      </c>
      <c r="AO260" s="817" t="s">
        <v>2833</v>
      </c>
      <c r="AP260" s="864" t="s">
        <v>2834</v>
      </c>
      <c r="AQ260" s="813" t="s">
        <v>3011</v>
      </c>
      <c r="AR260" s="812" t="s">
        <v>3012</v>
      </c>
      <c r="AS260" s="817" t="s">
        <v>3013</v>
      </c>
      <c r="AT260" s="864" t="s">
        <v>3014</v>
      </c>
      <c r="AU260" s="817" t="s">
        <v>3015</v>
      </c>
      <c r="AV260" s="864" t="s">
        <v>3206</v>
      </c>
      <c r="AW260" s="813" t="s">
        <v>3207</v>
      </c>
      <c r="AX260" s="864" t="s">
        <v>3272</v>
      </c>
      <c r="AY260" s="813" t="s">
        <v>3273</v>
      </c>
      <c r="AZ260" s="1079" t="e">
        <f t="shared" si="413"/>
        <v>#VALUE!</v>
      </c>
      <c r="CB260" s="2077" t="str">
        <f t="shared" si="414"/>
        <v xml:space="preserve">* El total de Confirmados Positivos por ISP NO DEBE ser mayor que el total de Procesados. </v>
      </c>
      <c r="CC260" s="2077"/>
      <c r="CD260" s="2077" t="e">
        <f t="shared" si="415"/>
        <v>#VALUE!</v>
      </c>
      <c r="CE260" s="2077" t="str">
        <f t="shared" si="416"/>
        <v xml:space="preserve">* El Total de Pueblos Originarios Procesados NO DEBE ser mayor al Total de Procesados. </v>
      </c>
      <c r="CF260" s="2077" t="str">
        <f t="shared" si="417"/>
        <v xml:space="preserve">* El Total de Migrantes Procesados NO DEBE ser mayor al Total de Procesados. </v>
      </c>
      <c r="CG260" s="2077" t="e">
        <f t="shared" si="418"/>
        <v>#VALUE!</v>
      </c>
      <c r="CH260" s="2077" t="str">
        <f t="shared" si="419"/>
        <v xml:space="preserve">* Los exámenes positivos de Menor de 12 meses NO DEBEN ser mayor a los exámenes procesados de la misma edad. </v>
      </c>
      <c r="CI260" s="2077" t="str">
        <f t="shared" si="420"/>
        <v xml:space="preserve">* Los exámenes positivos de 12-24 meses NO DEBEN ser mayor a los exámenes procesados de la misma edad. </v>
      </c>
      <c r="CJ260" s="2077" t="str">
        <f t="shared" si="421"/>
        <v xml:space="preserve">* Los exámenes positivos de 3 a 4 años NO DEBEN ser mayor a los exámenes procesados de la misma edad. </v>
      </c>
      <c r="CK260" s="2077" t="str">
        <f t="shared" si="422"/>
        <v xml:space="preserve">* Los exámenes positivos de 5 a 9 años NO DEBEN ser mayor a los exámenes procesados de la misma edad. </v>
      </c>
      <c r="CL260" s="2077" t="str">
        <f t="shared" si="423"/>
        <v xml:space="preserve">* Los exámenes positivos de 10 a 14 años NO DEBEN ser mayor a los exámenes procesados de la misma edad. </v>
      </c>
      <c r="CM260" s="2077" t="str">
        <f t="shared" si="424"/>
        <v xml:space="preserve">* Los exámenes positivos de 15 a 19 años NO DEBEN ser mayor a los exámenes procesados de la misma edad. </v>
      </c>
      <c r="CN260" s="2077" t="str">
        <f t="shared" si="425"/>
        <v xml:space="preserve">* Los exámenes positivos de 20 a 24 años NO DEBEN ser mayor a los exámenes procesados de la misma edad. </v>
      </c>
      <c r="CO260" s="2077" t="str">
        <f t="shared" si="426"/>
        <v xml:space="preserve">* Los exámenes positivos de 25 a 29 años NO DEBEN ser mayor a los exámenes procesados de la misma edad. </v>
      </c>
      <c r="CP260" s="2077" t="str">
        <f t="shared" si="427"/>
        <v xml:space="preserve">* Los exámenes positivos de 30 a 34 años NO DEBEN ser mayor a los exámenes procesados de la misma edad. </v>
      </c>
      <c r="CQ260" s="2077" t="str">
        <f t="shared" si="428"/>
        <v xml:space="preserve">* Los exámenes positivos de 35 a 39 años NO DEBEN ser mayor a los exámenes procesados de la misma edad. </v>
      </c>
      <c r="CR260" s="2077" t="str">
        <f t="shared" si="429"/>
        <v xml:space="preserve">* Los exámenes positivos de 40 a 44 años NO DEBEN ser mayor a los exámenes procesados de la misma edad. </v>
      </c>
      <c r="CS260" s="2077" t="str">
        <f t="shared" si="430"/>
        <v xml:space="preserve">* Los exámenes positivos de 45 a 49 años NO DEBEN ser mayor a los exámenes procesados de la misma edad. </v>
      </c>
      <c r="CT260" s="2077" t="str">
        <f t="shared" si="431"/>
        <v xml:space="preserve">* Los exámenes positivos de 50 a 54 años NO DEBEN ser mayor a los exámenes procesados de la misma edad. </v>
      </c>
      <c r="CU260" s="2077" t="str">
        <f t="shared" si="432"/>
        <v xml:space="preserve">* Los exámenes positivos de 55 a 59 años NO DEBEN ser mayor a los exámenes procesados de la misma edad. </v>
      </c>
      <c r="CV260" s="2077" t="str">
        <f t="shared" si="433"/>
        <v xml:space="preserve">* Los exámenes positivos de 60 a 64 años NO DEBEN ser mayor a los exámenes procesados de la misma edad. </v>
      </c>
      <c r="CW260" s="2077" t="str">
        <f t="shared" si="434"/>
        <v xml:space="preserve">* Los exámenes positivos de  65 y más años NO DEBEN ser mayor a los exámenes procesados de la misma edad. </v>
      </c>
      <c r="CX260" s="2077" t="str">
        <f t="shared" si="435"/>
        <v/>
      </c>
      <c r="CY260" s="2077" t="str">
        <f t="shared" si="436"/>
        <v/>
      </c>
      <c r="CZ260" s="2077"/>
      <c r="DA260" s="2077"/>
      <c r="DB260" s="1363">
        <f t="shared" si="457"/>
        <v>1</v>
      </c>
      <c r="DC260" s="1363"/>
      <c r="DD260" s="1363" t="e">
        <f t="shared" si="437"/>
        <v>#VALUE!</v>
      </c>
      <c r="DE260" s="1363">
        <f t="shared" si="438"/>
        <v>1</v>
      </c>
      <c r="DF260" s="1363">
        <f t="shared" si="439"/>
        <v>1</v>
      </c>
      <c r="DG260" s="1363" t="e">
        <f t="shared" si="440"/>
        <v>#VALUE!</v>
      </c>
      <c r="DH260" s="1363">
        <f t="shared" si="441"/>
        <v>1</v>
      </c>
      <c r="DI260" s="1363">
        <f t="shared" si="442"/>
        <v>1</v>
      </c>
      <c r="DJ260" s="1363">
        <f t="shared" si="443"/>
        <v>1</v>
      </c>
      <c r="DK260" s="1363">
        <f t="shared" si="444"/>
        <v>1</v>
      </c>
      <c r="DL260" s="1363">
        <f t="shared" si="445"/>
        <v>1</v>
      </c>
      <c r="DM260" s="1363">
        <f t="shared" si="446"/>
        <v>1</v>
      </c>
      <c r="DN260" s="1363">
        <f t="shared" si="447"/>
        <v>1</v>
      </c>
      <c r="DO260" s="1363">
        <f t="shared" si="448"/>
        <v>1</v>
      </c>
      <c r="DP260" s="1363">
        <f t="shared" si="449"/>
        <v>1</v>
      </c>
      <c r="DQ260" s="1363">
        <f t="shared" si="450"/>
        <v>1</v>
      </c>
      <c r="DR260" s="1363">
        <f t="shared" si="458"/>
        <v>1</v>
      </c>
      <c r="DS260" s="1363">
        <f t="shared" si="451"/>
        <v>1</v>
      </c>
      <c r="DT260" s="1363">
        <f t="shared" si="452"/>
        <v>1</v>
      </c>
      <c r="DU260" s="1363">
        <f t="shared" si="453"/>
        <v>1</v>
      </c>
      <c r="DV260" s="1363">
        <f t="shared" si="454"/>
        <v>1</v>
      </c>
      <c r="DW260" s="1363">
        <f t="shared" si="455"/>
        <v>1</v>
      </c>
      <c r="DX260" s="1363">
        <f t="shared" si="459"/>
        <v>0</v>
      </c>
      <c r="DY260" s="1363">
        <f t="shared" si="459"/>
        <v>0</v>
      </c>
    </row>
    <row r="261" spans="1:129" ht="15" customHeight="1" x14ac:dyDescent="0.25">
      <c r="A261" s="2458">
        <v>11057119</v>
      </c>
      <c r="B261" s="6299" t="s">
        <v>2339</v>
      </c>
      <c r="C261" s="1008" t="s">
        <v>2340</v>
      </c>
      <c r="D261" s="2115" t="s">
        <v>2777</v>
      </c>
      <c r="E261" s="2116" t="s">
        <v>2778</v>
      </c>
      <c r="F261" s="825" t="s">
        <v>2779</v>
      </c>
      <c r="G261" s="849" t="s">
        <v>2780</v>
      </c>
      <c r="H261" s="825" t="s">
        <v>2781</v>
      </c>
      <c r="I261" s="849" t="s">
        <v>2782</v>
      </c>
      <c r="J261" s="825" t="s">
        <v>2783</v>
      </c>
      <c r="K261" s="849" t="s">
        <v>2784</v>
      </c>
      <c r="L261" s="825" t="s">
        <v>2785</v>
      </c>
      <c r="M261" s="849" t="s">
        <v>2786</v>
      </c>
      <c r="N261" s="825" t="s">
        <v>2787</v>
      </c>
      <c r="O261" s="849" t="s">
        <v>2788</v>
      </c>
      <c r="P261" s="825" t="s">
        <v>2789</v>
      </c>
      <c r="Q261" s="849" t="s">
        <v>2790</v>
      </c>
      <c r="R261" s="824" t="s">
        <v>2791</v>
      </c>
      <c r="S261" s="849" t="s">
        <v>2792</v>
      </c>
      <c r="T261" s="824" t="s">
        <v>2793</v>
      </c>
      <c r="U261" s="849" t="s">
        <v>2794</v>
      </c>
      <c r="V261" s="824" t="s">
        <v>2795</v>
      </c>
      <c r="W261" s="849" t="s">
        <v>2796</v>
      </c>
      <c r="X261" s="825" t="s">
        <v>2797</v>
      </c>
      <c r="Y261" s="849" t="s">
        <v>2798</v>
      </c>
      <c r="Z261" s="825" t="s">
        <v>2799</v>
      </c>
      <c r="AA261" s="849" t="s">
        <v>2800</v>
      </c>
      <c r="AB261" s="825" t="s">
        <v>2801</v>
      </c>
      <c r="AC261" s="849" t="s">
        <v>2817</v>
      </c>
      <c r="AD261" s="824" t="s">
        <v>2818</v>
      </c>
      <c r="AE261" s="849" t="s">
        <v>2819</v>
      </c>
      <c r="AF261" s="825" t="s">
        <v>2821</v>
      </c>
      <c r="AG261" s="849" t="s">
        <v>2822</v>
      </c>
      <c r="AH261" s="825" t="s">
        <v>2823</v>
      </c>
      <c r="AI261" s="849" t="s">
        <v>2824</v>
      </c>
      <c r="AJ261" s="825" t="s">
        <v>2825</v>
      </c>
      <c r="AK261" s="1150" t="s">
        <v>2826</v>
      </c>
      <c r="AL261" s="2117" t="s">
        <v>2827</v>
      </c>
      <c r="AM261" s="849" t="s">
        <v>2831</v>
      </c>
      <c r="AN261" s="825" t="s">
        <v>2832</v>
      </c>
      <c r="AO261" s="1150" t="s">
        <v>2833</v>
      </c>
      <c r="AP261" s="2117" t="s">
        <v>2834</v>
      </c>
      <c r="AQ261" s="849" t="s">
        <v>3011</v>
      </c>
      <c r="AR261" s="825" t="s">
        <v>3012</v>
      </c>
      <c r="AS261" s="1150" t="s">
        <v>3013</v>
      </c>
      <c r="AT261" s="2117" t="s">
        <v>3014</v>
      </c>
      <c r="AU261" s="1150" t="s">
        <v>3015</v>
      </c>
      <c r="AV261" s="2117" t="s">
        <v>3206</v>
      </c>
      <c r="AW261" s="849" t="s">
        <v>3207</v>
      </c>
      <c r="AX261" s="2117" t="s">
        <v>3272</v>
      </c>
      <c r="AY261" s="849" t="s">
        <v>3273</v>
      </c>
      <c r="AZ261" s="1079" t="e">
        <f t="shared" si="413"/>
        <v>#VALUE!</v>
      </c>
      <c r="CB261" s="2077" t="str">
        <f t="shared" si="414"/>
        <v xml:space="preserve">* El total de Confirmados Positivos por ISP NO DEBE ser mayor que el total de Procesados. </v>
      </c>
      <c r="CC261" s="2077"/>
      <c r="CD261" s="2077" t="e">
        <f t="shared" si="415"/>
        <v>#VALUE!</v>
      </c>
      <c r="CE261" s="2077" t="str">
        <f t="shared" si="416"/>
        <v xml:space="preserve">* El Total de Pueblos Originarios Procesados NO DEBE ser mayor al Total de Procesados. </v>
      </c>
      <c r="CF261" s="2077" t="str">
        <f t="shared" si="417"/>
        <v xml:space="preserve">* El Total de Migrantes Procesados NO DEBE ser mayor al Total de Procesados. </v>
      </c>
      <c r="CG261" s="2077" t="e">
        <f t="shared" si="418"/>
        <v>#VALUE!</v>
      </c>
      <c r="CH261" s="2077" t="str">
        <f t="shared" si="419"/>
        <v xml:space="preserve">* Los exámenes positivos de Menor de 12 meses NO DEBEN ser mayor a los exámenes procesados de la misma edad. </v>
      </c>
      <c r="CI261" s="2077" t="str">
        <f t="shared" si="420"/>
        <v xml:space="preserve">* Los exámenes positivos de 12-24 meses NO DEBEN ser mayor a los exámenes procesados de la misma edad. </v>
      </c>
      <c r="CJ261" s="2077" t="str">
        <f t="shared" si="421"/>
        <v xml:space="preserve">* Los exámenes positivos de 3 a 4 años NO DEBEN ser mayor a los exámenes procesados de la misma edad. </v>
      </c>
      <c r="CK261" s="2077" t="str">
        <f t="shared" si="422"/>
        <v xml:space="preserve">* Los exámenes positivos de 5 a 9 años NO DEBEN ser mayor a los exámenes procesados de la misma edad. </v>
      </c>
      <c r="CL261" s="2077" t="str">
        <f t="shared" si="423"/>
        <v xml:space="preserve">* Los exámenes positivos de 10 a 14 años NO DEBEN ser mayor a los exámenes procesados de la misma edad. </v>
      </c>
      <c r="CM261" s="2077" t="str">
        <f t="shared" si="424"/>
        <v xml:space="preserve">* Los exámenes positivos de 15 a 19 años NO DEBEN ser mayor a los exámenes procesados de la misma edad. </v>
      </c>
      <c r="CN261" s="2077" t="str">
        <f t="shared" si="425"/>
        <v xml:space="preserve">* Los exámenes positivos de 20 a 24 años NO DEBEN ser mayor a los exámenes procesados de la misma edad. </v>
      </c>
      <c r="CO261" s="2077" t="str">
        <f t="shared" si="426"/>
        <v xml:space="preserve">* Los exámenes positivos de 25 a 29 años NO DEBEN ser mayor a los exámenes procesados de la misma edad. </v>
      </c>
      <c r="CP261" s="2077" t="str">
        <f t="shared" si="427"/>
        <v xml:space="preserve">* Los exámenes positivos de 30 a 34 años NO DEBEN ser mayor a los exámenes procesados de la misma edad. </v>
      </c>
      <c r="CQ261" s="2077" t="str">
        <f t="shared" si="428"/>
        <v xml:space="preserve">* Los exámenes positivos de 35 a 39 años NO DEBEN ser mayor a los exámenes procesados de la misma edad. </v>
      </c>
      <c r="CR261" s="2077" t="str">
        <f t="shared" si="429"/>
        <v xml:space="preserve">* Los exámenes positivos de 40 a 44 años NO DEBEN ser mayor a los exámenes procesados de la misma edad. </v>
      </c>
      <c r="CS261" s="2077" t="str">
        <f t="shared" si="430"/>
        <v xml:space="preserve">* Los exámenes positivos de 45 a 49 años NO DEBEN ser mayor a los exámenes procesados de la misma edad. </v>
      </c>
      <c r="CT261" s="2077" t="str">
        <f t="shared" si="431"/>
        <v xml:space="preserve">* Los exámenes positivos de 50 a 54 años NO DEBEN ser mayor a los exámenes procesados de la misma edad. </v>
      </c>
      <c r="CU261" s="2077" t="str">
        <f t="shared" si="432"/>
        <v xml:space="preserve">* Los exámenes positivos de 55 a 59 años NO DEBEN ser mayor a los exámenes procesados de la misma edad. </v>
      </c>
      <c r="CV261" s="2077" t="str">
        <f t="shared" si="433"/>
        <v xml:space="preserve">* Los exámenes positivos de 60 a 64 años NO DEBEN ser mayor a los exámenes procesados de la misma edad. </v>
      </c>
      <c r="CW261" s="2077" t="str">
        <f t="shared" si="434"/>
        <v xml:space="preserve">* Los exámenes positivos de  65 y más años NO DEBEN ser mayor a los exámenes procesados de la misma edad. </v>
      </c>
      <c r="CX261" s="2077" t="str">
        <f t="shared" si="435"/>
        <v/>
      </c>
      <c r="CY261" s="2077" t="str">
        <f t="shared" si="436"/>
        <v/>
      </c>
      <c r="CZ261" s="2077"/>
      <c r="DA261" s="2077"/>
      <c r="DB261" s="1363">
        <f t="shared" si="457"/>
        <v>1</v>
      </c>
      <c r="DC261" s="1363"/>
      <c r="DD261" s="1363" t="e">
        <f t="shared" si="437"/>
        <v>#VALUE!</v>
      </c>
      <c r="DE261" s="1363">
        <f t="shared" si="438"/>
        <v>1</v>
      </c>
      <c r="DF261" s="1363">
        <f t="shared" si="439"/>
        <v>1</v>
      </c>
      <c r="DG261" s="1363" t="e">
        <f t="shared" si="440"/>
        <v>#VALUE!</v>
      </c>
      <c r="DH261" s="1363">
        <f t="shared" si="441"/>
        <v>1</v>
      </c>
      <c r="DI261" s="1363">
        <f t="shared" si="442"/>
        <v>1</v>
      </c>
      <c r="DJ261" s="1363">
        <f t="shared" si="443"/>
        <v>1</v>
      </c>
      <c r="DK261" s="1363">
        <f t="shared" si="444"/>
        <v>1</v>
      </c>
      <c r="DL261" s="1363">
        <f t="shared" si="445"/>
        <v>1</v>
      </c>
      <c r="DM261" s="1363">
        <f t="shared" si="446"/>
        <v>1</v>
      </c>
      <c r="DN261" s="1363">
        <f t="shared" si="447"/>
        <v>1</v>
      </c>
      <c r="DO261" s="1363">
        <f t="shared" si="448"/>
        <v>1</v>
      </c>
      <c r="DP261" s="1363">
        <f t="shared" si="449"/>
        <v>1</v>
      </c>
      <c r="DQ261" s="1363">
        <f t="shared" si="450"/>
        <v>1</v>
      </c>
      <c r="DR261" s="1363">
        <f t="shared" si="458"/>
        <v>1</v>
      </c>
      <c r="DS261" s="1363">
        <f t="shared" si="451"/>
        <v>1</v>
      </c>
      <c r="DT261" s="1363">
        <f t="shared" si="452"/>
        <v>1</v>
      </c>
      <c r="DU261" s="1363">
        <f t="shared" si="453"/>
        <v>1</v>
      </c>
      <c r="DV261" s="1363">
        <f t="shared" si="454"/>
        <v>1</v>
      </c>
      <c r="DW261" s="1363">
        <f t="shared" si="455"/>
        <v>1</v>
      </c>
      <c r="DX261" s="1363">
        <f t="shared" si="459"/>
        <v>0</v>
      </c>
      <c r="DY261" s="1363">
        <f t="shared" si="459"/>
        <v>0</v>
      </c>
    </row>
    <row r="262" spans="1:129" x14ac:dyDescent="0.25">
      <c r="A262" s="2458">
        <v>11057120</v>
      </c>
      <c r="B262" s="5810"/>
      <c r="C262" s="1004" t="s">
        <v>2341</v>
      </c>
      <c r="D262" s="2118" t="s">
        <v>2777</v>
      </c>
      <c r="E262" s="2104" t="s">
        <v>2778</v>
      </c>
      <c r="F262" s="820" t="s">
        <v>2779</v>
      </c>
      <c r="G262" s="838" t="s">
        <v>2780</v>
      </c>
      <c r="H262" s="820" t="s">
        <v>2781</v>
      </c>
      <c r="I262" s="838" t="s">
        <v>2782</v>
      </c>
      <c r="J262" s="820" t="s">
        <v>2783</v>
      </c>
      <c r="K262" s="838" t="s">
        <v>2784</v>
      </c>
      <c r="L262" s="820" t="s">
        <v>2785</v>
      </c>
      <c r="M262" s="838" t="s">
        <v>2786</v>
      </c>
      <c r="N262" s="820" t="s">
        <v>2787</v>
      </c>
      <c r="O262" s="838" t="s">
        <v>2788</v>
      </c>
      <c r="P262" s="820" t="s">
        <v>2789</v>
      </c>
      <c r="Q262" s="838" t="s">
        <v>2790</v>
      </c>
      <c r="R262" s="818" t="s">
        <v>2791</v>
      </c>
      <c r="S262" s="838" t="s">
        <v>2792</v>
      </c>
      <c r="T262" s="818" t="s">
        <v>2793</v>
      </c>
      <c r="U262" s="838" t="s">
        <v>2794</v>
      </c>
      <c r="V262" s="818" t="s">
        <v>2795</v>
      </c>
      <c r="W262" s="838" t="s">
        <v>2796</v>
      </c>
      <c r="X262" s="820" t="s">
        <v>2797</v>
      </c>
      <c r="Y262" s="838" t="s">
        <v>2798</v>
      </c>
      <c r="Z262" s="820" t="s">
        <v>2799</v>
      </c>
      <c r="AA262" s="838" t="s">
        <v>2800</v>
      </c>
      <c r="AB262" s="820" t="s">
        <v>2801</v>
      </c>
      <c r="AC262" s="838" t="s">
        <v>2817</v>
      </c>
      <c r="AD262" s="818" t="s">
        <v>2818</v>
      </c>
      <c r="AE262" s="838" t="s">
        <v>2819</v>
      </c>
      <c r="AF262" s="820" t="s">
        <v>2821</v>
      </c>
      <c r="AG262" s="838" t="s">
        <v>2822</v>
      </c>
      <c r="AH262" s="820" t="s">
        <v>2823</v>
      </c>
      <c r="AI262" s="838" t="s">
        <v>2824</v>
      </c>
      <c r="AJ262" s="820" t="s">
        <v>2825</v>
      </c>
      <c r="AK262" s="1146" t="s">
        <v>2826</v>
      </c>
      <c r="AL262" s="2094" t="s">
        <v>2827</v>
      </c>
      <c r="AM262" s="838" t="s">
        <v>2831</v>
      </c>
      <c r="AN262" s="820" t="s">
        <v>2832</v>
      </c>
      <c r="AO262" s="1146" t="s">
        <v>2833</v>
      </c>
      <c r="AP262" s="2094" t="s">
        <v>2834</v>
      </c>
      <c r="AQ262" s="838" t="s">
        <v>3011</v>
      </c>
      <c r="AR262" s="820" t="s">
        <v>3012</v>
      </c>
      <c r="AS262" s="1146" t="s">
        <v>3013</v>
      </c>
      <c r="AT262" s="2094" t="s">
        <v>3014</v>
      </c>
      <c r="AU262" s="1146" t="s">
        <v>3015</v>
      </c>
      <c r="AV262" s="2094" t="s">
        <v>3206</v>
      </c>
      <c r="AW262" s="838" t="s">
        <v>3207</v>
      </c>
      <c r="AX262" s="2094" t="s">
        <v>3272</v>
      </c>
      <c r="AY262" s="838" t="s">
        <v>3273</v>
      </c>
      <c r="AZ262" s="1079" t="e">
        <f t="shared" si="413"/>
        <v>#VALUE!</v>
      </c>
      <c r="CB262" s="2077" t="str">
        <f t="shared" si="414"/>
        <v xml:space="preserve">* El total de Confirmados Positivos por ISP NO DEBE ser mayor que el total de Procesados. </v>
      </c>
      <c r="CC262" s="2077"/>
      <c r="CD262" s="2077" t="e">
        <f t="shared" si="415"/>
        <v>#VALUE!</v>
      </c>
      <c r="CE262" s="2077" t="str">
        <f t="shared" si="416"/>
        <v xml:space="preserve">* El Total de Pueblos Originarios Procesados NO DEBE ser mayor al Total de Procesados. </v>
      </c>
      <c r="CF262" s="2077" t="str">
        <f t="shared" si="417"/>
        <v xml:space="preserve">* El Total de Migrantes Procesados NO DEBE ser mayor al Total de Procesados. </v>
      </c>
      <c r="CG262" s="2077" t="e">
        <f t="shared" si="418"/>
        <v>#VALUE!</v>
      </c>
      <c r="CH262" s="2077" t="str">
        <f t="shared" si="419"/>
        <v xml:space="preserve">* Los exámenes positivos de Menor de 12 meses NO DEBEN ser mayor a los exámenes procesados de la misma edad. </v>
      </c>
      <c r="CI262" s="2077" t="str">
        <f t="shared" si="420"/>
        <v xml:space="preserve">* Los exámenes positivos de 12-24 meses NO DEBEN ser mayor a los exámenes procesados de la misma edad. </v>
      </c>
      <c r="CJ262" s="2077" t="str">
        <f t="shared" si="421"/>
        <v xml:space="preserve">* Los exámenes positivos de 3 a 4 años NO DEBEN ser mayor a los exámenes procesados de la misma edad. </v>
      </c>
      <c r="CK262" s="2077" t="str">
        <f t="shared" si="422"/>
        <v xml:space="preserve">* Los exámenes positivos de 5 a 9 años NO DEBEN ser mayor a los exámenes procesados de la misma edad. </v>
      </c>
      <c r="CL262" s="2077" t="str">
        <f t="shared" si="423"/>
        <v xml:space="preserve">* Los exámenes positivos de 10 a 14 años NO DEBEN ser mayor a los exámenes procesados de la misma edad. </v>
      </c>
      <c r="CM262" s="2077" t="str">
        <f t="shared" si="424"/>
        <v xml:space="preserve">* Los exámenes positivos de 15 a 19 años NO DEBEN ser mayor a los exámenes procesados de la misma edad. </v>
      </c>
      <c r="CN262" s="2077" t="str">
        <f t="shared" si="425"/>
        <v xml:space="preserve">* Los exámenes positivos de 20 a 24 años NO DEBEN ser mayor a los exámenes procesados de la misma edad. </v>
      </c>
      <c r="CO262" s="2077" t="str">
        <f t="shared" si="426"/>
        <v xml:space="preserve">* Los exámenes positivos de 25 a 29 años NO DEBEN ser mayor a los exámenes procesados de la misma edad. </v>
      </c>
      <c r="CP262" s="2077" t="str">
        <f t="shared" si="427"/>
        <v xml:space="preserve">* Los exámenes positivos de 30 a 34 años NO DEBEN ser mayor a los exámenes procesados de la misma edad. </v>
      </c>
      <c r="CQ262" s="2077" t="str">
        <f t="shared" si="428"/>
        <v xml:space="preserve">* Los exámenes positivos de 35 a 39 años NO DEBEN ser mayor a los exámenes procesados de la misma edad. </v>
      </c>
      <c r="CR262" s="2077" t="str">
        <f t="shared" si="429"/>
        <v xml:space="preserve">* Los exámenes positivos de 40 a 44 años NO DEBEN ser mayor a los exámenes procesados de la misma edad. </v>
      </c>
      <c r="CS262" s="2077" t="str">
        <f t="shared" si="430"/>
        <v xml:space="preserve">* Los exámenes positivos de 45 a 49 años NO DEBEN ser mayor a los exámenes procesados de la misma edad. </v>
      </c>
      <c r="CT262" s="2077" t="str">
        <f t="shared" si="431"/>
        <v xml:space="preserve">* Los exámenes positivos de 50 a 54 años NO DEBEN ser mayor a los exámenes procesados de la misma edad. </v>
      </c>
      <c r="CU262" s="2077" t="str">
        <f t="shared" si="432"/>
        <v xml:space="preserve">* Los exámenes positivos de 55 a 59 años NO DEBEN ser mayor a los exámenes procesados de la misma edad. </v>
      </c>
      <c r="CV262" s="2077" t="str">
        <f t="shared" si="433"/>
        <v xml:space="preserve">* Los exámenes positivos de 60 a 64 años NO DEBEN ser mayor a los exámenes procesados de la misma edad. </v>
      </c>
      <c r="CW262" s="2077" t="str">
        <f t="shared" si="434"/>
        <v xml:space="preserve">* Los exámenes positivos de  65 y más años NO DEBEN ser mayor a los exámenes procesados de la misma edad. </v>
      </c>
      <c r="CX262" s="2077" t="str">
        <f t="shared" si="435"/>
        <v/>
      </c>
      <c r="CY262" s="2077" t="str">
        <f t="shared" si="436"/>
        <v/>
      </c>
      <c r="CZ262" s="2077"/>
      <c r="DA262" s="2077"/>
      <c r="DB262" s="1363">
        <f t="shared" si="457"/>
        <v>1</v>
      </c>
      <c r="DC262" s="1363"/>
      <c r="DD262" s="1363" t="e">
        <f t="shared" si="437"/>
        <v>#VALUE!</v>
      </c>
      <c r="DE262" s="1363">
        <f t="shared" si="438"/>
        <v>1</v>
      </c>
      <c r="DF262" s="1363">
        <f t="shared" si="439"/>
        <v>1</v>
      </c>
      <c r="DG262" s="1363" t="e">
        <f t="shared" si="440"/>
        <v>#VALUE!</v>
      </c>
      <c r="DH262" s="1363">
        <f t="shared" si="441"/>
        <v>1</v>
      </c>
      <c r="DI262" s="1363">
        <f t="shared" si="442"/>
        <v>1</v>
      </c>
      <c r="DJ262" s="1363">
        <f t="shared" si="443"/>
        <v>1</v>
      </c>
      <c r="DK262" s="1363">
        <f t="shared" si="444"/>
        <v>1</v>
      </c>
      <c r="DL262" s="1363">
        <f t="shared" si="445"/>
        <v>1</v>
      </c>
      <c r="DM262" s="1363">
        <f t="shared" si="446"/>
        <v>1</v>
      </c>
      <c r="DN262" s="1363">
        <f t="shared" si="447"/>
        <v>1</v>
      </c>
      <c r="DO262" s="1363">
        <f t="shared" si="448"/>
        <v>1</v>
      </c>
      <c r="DP262" s="1363">
        <f t="shared" si="449"/>
        <v>1</v>
      </c>
      <c r="DQ262" s="1363">
        <f t="shared" si="450"/>
        <v>1</v>
      </c>
      <c r="DR262" s="1363">
        <f t="shared" si="458"/>
        <v>1</v>
      </c>
      <c r="DS262" s="1363">
        <f t="shared" si="451"/>
        <v>1</v>
      </c>
      <c r="DT262" s="1363">
        <f t="shared" si="452"/>
        <v>1</v>
      </c>
      <c r="DU262" s="1363">
        <f t="shared" si="453"/>
        <v>1</v>
      </c>
      <c r="DV262" s="1363">
        <f t="shared" si="454"/>
        <v>1</v>
      </c>
      <c r="DW262" s="1363">
        <f t="shared" si="455"/>
        <v>1</v>
      </c>
      <c r="DX262" s="1363">
        <f t="shared" si="459"/>
        <v>0</v>
      </c>
      <c r="DY262" s="1363">
        <f t="shared" si="459"/>
        <v>0</v>
      </c>
    </row>
    <row r="263" spans="1:129" x14ac:dyDescent="0.25">
      <c r="A263" s="2458">
        <v>11057121</v>
      </c>
      <c r="B263" s="5810"/>
      <c r="C263" s="1004" t="s">
        <v>2342</v>
      </c>
      <c r="D263" s="2118" t="s">
        <v>2777</v>
      </c>
      <c r="E263" s="2104" t="s">
        <v>2778</v>
      </c>
      <c r="F263" s="820" t="s">
        <v>2779</v>
      </c>
      <c r="G263" s="838" t="s">
        <v>2780</v>
      </c>
      <c r="H263" s="820" t="s">
        <v>2781</v>
      </c>
      <c r="I263" s="838" t="s">
        <v>2782</v>
      </c>
      <c r="J263" s="820" t="s">
        <v>2783</v>
      </c>
      <c r="K263" s="838" t="s">
        <v>2784</v>
      </c>
      <c r="L263" s="820" t="s">
        <v>2785</v>
      </c>
      <c r="M263" s="838" t="s">
        <v>2786</v>
      </c>
      <c r="N263" s="820" t="s">
        <v>2787</v>
      </c>
      <c r="O263" s="838" t="s">
        <v>2788</v>
      </c>
      <c r="P263" s="820" t="s">
        <v>2789</v>
      </c>
      <c r="Q263" s="838" t="s">
        <v>2790</v>
      </c>
      <c r="R263" s="818" t="s">
        <v>2791</v>
      </c>
      <c r="S263" s="838" t="s">
        <v>2792</v>
      </c>
      <c r="T263" s="818" t="s">
        <v>2793</v>
      </c>
      <c r="U263" s="838" t="s">
        <v>2794</v>
      </c>
      <c r="V263" s="818" t="s">
        <v>2795</v>
      </c>
      <c r="W263" s="838" t="s">
        <v>2796</v>
      </c>
      <c r="X263" s="820" t="s">
        <v>2797</v>
      </c>
      <c r="Y263" s="838" t="s">
        <v>2798</v>
      </c>
      <c r="Z263" s="820" t="s">
        <v>2799</v>
      </c>
      <c r="AA263" s="838" t="s">
        <v>2800</v>
      </c>
      <c r="AB263" s="820" t="s">
        <v>2801</v>
      </c>
      <c r="AC263" s="838" t="s">
        <v>2817</v>
      </c>
      <c r="AD263" s="818" t="s">
        <v>2818</v>
      </c>
      <c r="AE263" s="838" t="s">
        <v>2819</v>
      </c>
      <c r="AF263" s="820" t="s">
        <v>2821</v>
      </c>
      <c r="AG263" s="838" t="s">
        <v>2822</v>
      </c>
      <c r="AH263" s="820" t="s">
        <v>2823</v>
      </c>
      <c r="AI263" s="838" t="s">
        <v>2824</v>
      </c>
      <c r="AJ263" s="820" t="s">
        <v>2825</v>
      </c>
      <c r="AK263" s="1146" t="s">
        <v>2826</v>
      </c>
      <c r="AL263" s="2094" t="s">
        <v>2827</v>
      </c>
      <c r="AM263" s="838" t="s">
        <v>2831</v>
      </c>
      <c r="AN263" s="820" t="s">
        <v>2832</v>
      </c>
      <c r="AO263" s="1146" t="s">
        <v>2833</v>
      </c>
      <c r="AP263" s="2094" t="s">
        <v>2834</v>
      </c>
      <c r="AQ263" s="838" t="s">
        <v>3011</v>
      </c>
      <c r="AR263" s="820" t="s">
        <v>3012</v>
      </c>
      <c r="AS263" s="1146" t="s">
        <v>3013</v>
      </c>
      <c r="AT263" s="2094" t="s">
        <v>3014</v>
      </c>
      <c r="AU263" s="1146" t="s">
        <v>3015</v>
      </c>
      <c r="AV263" s="2094" t="s">
        <v>3206</v>
      </c>
      <c r="AW263" s="838" t="s">
        <v>3207</v>
      </c>
      <c r="AX263" s="2094" t="s">
        <v>3272</v>
      </c>
      <c r="AY263" s="838" t="s">
        <v>3273</v>
      </c>
      <c r="AZ263" s="1079" t="e">
        <f t="shared" si="413"/>
        <v>#VALUE!</v>
      </c>
      <c r="CB263" s="2077" t="str">
        <f t="shared" si="414"/>
        <v xml:space="preserve">* El total de Confirmados Positivos por ISP NO DEBE ser mayor que el total de Procesados. </v>
      </c>
      <c r="CC263" s="2077"/>
      <c r="CD263" s="2077" t="e">
        <f t="shared" si="415"/>
        <v>#VALUE!</v>
      </c>
      <c r="CE263" s="2077" t="str">
        <f t="shared" si="416"/>
        <v xml:space="preserve">* El Total de Pueblos Originarios Procesados NO DEBE ser mayor al Total de Procesados. </v>
      </c>
      <c r="CF263" s="2077" t="str">
        <f t="shared" si="417"/>
        <v xml:space="preserve">* El Total de Migrantes Procesados NO DEBE ser mayor al Total de Procesados. </v>
      </c>
      <c r="CG263" s="2077" t="e">
        <f t="shared" si="418"/>
        <v>#VALUE!</v>
      </c>
      <c r="CH263" s="2077" t="str">
        <f t="shared" si="419"/>
        <v xml:space="preserve">* Los exámenes positivos de Menor de 12 meses NO DEBEN ser mayor a los exámenes procesados de la misma edad. </v>
      </c>
      <c r="CI263" s="2077" t="str">
        <f t="shared" si="420"/>
        <v xml:space="preserve">* Los exámenes positivos de 12-24 meses NO DEBEN ser mayor a los exámenes procesados de la misma edad. </v>
      </c>
      <c r="CJ263" s="2077" t="str">
        <f t="shared" si="421"/>
        <v xml:space="preserve">* Los exámenes positivos de 3 a 4 años NO DEBEN ser mayor a los exámenes procesados de la misma edad. </v>
      </c>
      <c r="CK263" s="2077" t="str">
        <f t="shared" si="422"/>
        <v xml:space="preserve">* Los exámenes positivos de 5 a 9 años NO DEBEN ser mayor a los exámenes procesados de la misma edad. </v>
      </c>
      <c r="CL263" s="2077" t="str">
        <f t="shared" si="423"/>
        <v xml:space="preserve">* Los exámenes positivos de 10 a 14 años NO DEBEN ser mayor a los exámenes procesados de la misma edad. </v>
      </c>
      <c r="CM263" s="2077" t="str">
        <f t="shared" si="424"/>
        <v xml:space="preserve">* Los exámenes positivos de 15 a 19 años NO DEBEN ser mayor a los exámenes procesados de la misma edad. </v>
      </c>
      <c r="CN263" s="2077" t="str">
        <f t="shared" si="425"/>
        <v xml:space="preserve">* Los exámenes positivos de 20 a 24 años NO DEBEN ser mayor a los exámenes procesados de la misma edad. </v>
      </c>
      <c r="CO263" s="2077" t="str">
        <f t="shared" si="426"/>
        <v xml:space="preserve">* Los exámenes positivos de 25 a 29 años NO DEBEN ser mayor a los exámenes procesados de la misma edad. </v>
      </c>
      <c r="CP263" s="2077" t="str">
        <f t="shared" si="427"/>
        <v xml:space="preserve">* Los exámenes positivos de 30 a 34 años NO DEBEN ser mayor a los exámenes procesados de la misma edad. </v>
      </c>
      <c r="CQ263" s="2077" t="str">
        <f t="shared" si="428"/>
        <v xml:space="preserve">* Los exámenes positivos de 35 a 39 años NO DEBEN ser mayor a los exámenes procesados de la misma edad. </v>
      </c>
      <c r="CR263" s="2077" t="str">
        <f t="shared" si="429"/>
        <v xml:space="preserve">* Los exámenes positivos de 40 a 44 años NO DEBEN ser mayor a los exámenes procesados de la misma edad. </v>
      </c>
      <c r="CS263" s="2077" t="str">
        <f t="shared" si="430"/>
        <v xml:space="preserve">* Los exámenes positivos de 45 a 49 años NO DEBEN ser mayor a los exámenes procesados de la misma edad. </v>
      </c>
      <c r="CT263" s="2077" t="str">
        <f t="shared" si="431"/>
        <v xml:space="preserve">* Los exámenes positivos de 50 a 54 años NO DEBEN ser mayor a los exámenes procesados de la misma edad. </v>
      </c>
      <c r="CU263" s="2077" t="str">
        <f t="shared" si="432"/>
        <v xml:space="preserve">* Los exámenes positivos de 55 a 59 años NO DEBEN ser mayor a los exámenes procesados de la misma edad. </v>
      </c>
      <c r="CV263" s="2077" t="str">
        <f t="shared" si="433"/>
        <v xml:space="preserve">* Los exámenes positivos de 60 a 64 años NO DEBEN ser mayor a los exámenes procesados de la misma edad. </v>
      </c>
      <c r="CW263" s="2077" t="str">
        <f t="shared" si="434"/>
        <v xml:space="preserve">* Los exámenes positivos de  65 y más años NO DEBEN ser mayor a los exámenes procesados de la misma edad. </v>
      </c>
      <c r="CX263" s="2077" t="str">
        <f t="shared" si="435"/>
        <v/>
      </c>
      <c r="CY263" s="2077" t="str">
        <f t="shared" si="436"/>
        <v/>
      </c>
      <c r="CZ263" s="2077"/>
      <c r="DA263" s="2077"/>
      <c r="DB263" s="1363">
        <f t="shared" si="457"/>
        <v>1</v>
      </c>
      <c r="DC263" s="1363"/>
      <c r="DD263" s="1363" t="e">
        <f t="shared" si="437"/>
        <v>#VALUE!</v>
      </c>
      <c r="DE263" s="1363">
        <f t="shared" si="438"/>
        <v>1</v>
      </c>
      <c r="DF263" s="1363">
        <f t="shared" si="439"/>
        <v>1</v>
      </c>
      <c r="DG263" s="1363" t="e">
        <f t="shared" si="440"/>
        <v>#VALUE!</v>
      </c>
      <c r="DH263" s="1363">
        <f t="shared" si="441"/>
        <v>1</v>
      </c>
      <c r="DI263" s="1363">
        <f t="shared" si="442"/>
        <v>1</v>
      </c>
      <c r="DJ263" s="1363">
        <f t="shared" si="443"/>
        <v>1</v>
      </c>
      <c r="DK263" s="1363">
        <f t="shared" si="444"/>
        <v>1</v>
      </c>
      <c r="DL263" s="1363">
        <f t="shared" si="445"/>
        <v>1</v>
      </c>
      <c r="DM263" s="1363">
        <f t="shared" si="446"/>
        <v>1</v>
      </c>
      <c r="DN263" s="1363">
        <f t="shared" si="447"/>
        <v>1</v>
      </c>
      <c r="DO263" s="1363">
        <f t="shared" si="448"/>
        <v>1</v>
      </c>
      <c r="DP263" s="1363">
        <f t="shared" si="449"/>
        <v>1</v>
      </c>
      <c r="DQ263" s="1363">
        <f t="shared" si="450"/>
        <v>1</v>
      </c>
      <c r="DR263" s="1363">
        <f t="shared" si="458"/>
        <v>1</v>
      </c>
      <c r="DS263" s="1363">
        <f t="shared" si="451"/>
        <v>1</v>
      </c>
      <c r="DT263" s="1363">
        <f t="shared" si="452"/>
        <v>1</v>
      </c>
      <c r="DU263" s="1363">
        <f t="shared" si="453"/>
        <v>1</v>
      </c>
      <c r="DV263" s="1363">
        <f t="shared" si="454"/>
        <v>1</v>
      </c>
      <c r="DW263" s="1363">
        <f t="shared" si="455"/>
        <v>1</v>
      </c>
      <c r="DX263" s="1363">
        <f t="shared" si="459"/>
        <v>0</v>
      </c>
      <c r="DY263" s="1363">
        <f t="shared" si="459"/>
        <v>0</v>
      </c>
    </row>
    <row r="264" spans="1:129" x14ac:dyDescent="0.25">
      <c r="A264" s="2458">
        <v>11057122</v>
      </c>
      <c r="B264" s="6300"/>
      <c r="C264" s="2119" t="s">
        <v>2343</v>
      </c>
      <c r="D264" s="2120" t="s">
        <v>2777</v>
      </c>
      <c r="E264" s="2121" t="s">
        <v>2778</v>
      </c>
      <c r="F264" s="812" t="s">
        <v>2779</v>
      </c>
      <c r="G264" s="813" t="s">
        <v>2780</v>
      </c>
      <c r="H264" s="812" t="s">
        <v>2781</v>
      </c>
      <c r="I264" s="813" t="s">
        <v>2782</v>
      </c>
      <c r="J264" s="812" t="s">
        <v>2783</v>
      </c>
      <c r="K264" s="813" t="s">
        <v>2784</v>
      </c>
      <c r="L264" s="812" t="s">
        <v>2785</v>
      </c>
      <c r="M264" s="813" t="s">
        <v>2786</v>
      </c>
      <c r="N264" s="812" t="s">
        <v>2787</v>
      </c>
      <c r="O264" s="813" t="s">
        <v>2788</v>
      </c>
      <c r="P264" s="812" t="s">
        <v>2789</v>
      </c>
      <c r="Q264" s="813" t="s">
        <v>2790</v>
      </c>
      <c r="R264" s="822" t="s">
        <v>2791</v>
      </c>
      <c r="S264" s="813" t="s">
        <v>2792</v>
      </c>
      <c r="T264" s="822" t="s">
        <v>2793</v>
      </c>
      <c r="U264" s="813" t="s">
        <v>2794</v>
      </c>
      <c r="V264" s="822" t="s">
        <v>2795</v>
      </c>
      <c r="W264" s="813" t="s">
        <v>2796</v>
      </c>
      <c r="X264" s="812" t="s">
        <v>2797</v>
      </c>
      <c r="Y264" s="813" t="s">
        <v>2798</v>
      </c>
      <c r="Z264" s="812" t="s">
        <v>2799</v>
      </c>
      <c r="AA264" s="813" t="s">
        <v>2800</v>
      </c>
      <c r="AB264" s="812" t="s">
        <v>2801</v>
      </c>
      <c r="AC264" s="813" t="s">
        <v>2817</v>
      </c>
      <c r="AD264" s="822" t="s">
        <v>2818</v>
      </c>
      <c r="AE264" s="813" t="s">
        <v>2819</v>
      </c>
      <c r="AF264" s="812" t="s">
        <v>2821</v>
      </c>
      <c r="AG264" s="813" t="s">
        <v>2822</v>
      </c>
      <c r="AH264" s="812" t="s">
        <v>2823</v>
      </c>
      <c r="AI264" s="813" t="s">
        <v>2824</v>
      </c>
      <c r="AJ264" s="812" t="s">
        <v>2825</v>
      </c>
      <c r="AK264" s="817" t="s">
        <v>2826</v>
      </c>
      <c r="AL264" s="864" t="s">
        <v>2827</v>
      </c>
      <c r="AM264" s="813" t="s">
        <v>2831</v>
      </c>
      <c r="AN264" s="812" t="s">
        <v>2832</v>
      </c>
      <c r="AO264" s="817" t="s">
        <v>2833</v>
      </c>
      <c r="AP264" s="864" t="s">
        <v>2834</v>
      </c>
      <c r="AQ264" s="813" t="s">
        <v>3011</v>
      </c>
      <c r="AR264" s="812" t="s">
        <v>3012</v>
      </c>
      <c r="AS264" s="817" t="s">
        <v>3013</v>
      </c>
      <c r="AT264" s="864" t="s">
        <v>3014</v>
      </c>
      <c r="AU264" s="817" t="s">
        <v>3015</v>
      </c>
      <c r="AV264" s="864" t="s">
        <v>3206</v>
      </c>
      <c r="AW264" s="813" t="s">
        <v>3207</v>
      </c>
      <c r="AX264" s="864" t="s">
        <v>3272</v>
      </c>
      <c r="AY264" s="813" t="s">
        <v>3273</v>
      </c>
      <c r="AZ264" s="1079" t="e">
        <f t="shared" si="413"/>
        <v>#VALUE!</v>
      </c>
      <c r="CB264" s="2077" t="str">
        <f t="shared" si="414"/>
        <v xml:space="preserve">* El total de Confirmados Positivos por ISP NO DEBE ser mayor que el total de Procesados. </v>
      </c>
      <c r="CC264" s="2077"/>
      <c r="CD264" s="2077" t="e">
        <f t="shared" si="415"/>
        <v>#VALUE!</v>
      </c>
      <c r="CE264" s="2077" t="str">
        <f t="shared" si="416"/>
        <v xml:space="preserve">* El Total de Pueblos Originarios Procesados NO DEBE ser mayor al Total de Procesados. </v>
      </c>
      <c r="CF264" s="2077" t="str">
        <f t="shared" si="417"/>
        <v xml:space="preserve">* El Total de Migrantes Procesados NO DEBE ser mayor al Total de Procesados. </v>
      </c>
      <c r="CG264" s="2077" t="e">
        <f t="shared" si="418"/>
        <v>#VALUE!</v>
      </c>
      <c r="CH264" s="2077" t="str">
        <f t="shared" si="419"/>
        <v xml:space="preserve">* Los exámenes positivos de Menor de 12 meses NO DEBEN ser mayor a los exámenes procesados de la misma edad. </v>
      </c>
      <c r="CI264" s="2077" t="str">
        <f t="shared" si="420"/>
        <v xml:space="preserve">* Los exámenes positivos de 12-24 meses NO DEBEN ser mayor a los exámenes procesados de la misma edad. </v>
      </c>
      <c r="CJ264" s="2077" t="str">
        <f t="shared" si="421"/>
        <v xml:space="preserve">* Los exámenes positivos de 3 a 4 años NO DEBEN ser mayor a los exámenes procesados de la misma edad. </v>
      </c>
      <c r="CK264" s="2077" t="str">
        <f t="shared" si="422"/>
        <v xml:space="preserve">* Los exámenes positivos de 5 a 9 años NO DEBEN ser mayor a los exámenes procesados de la misma edad. </v>
      </c>
      <c r="CL264" s="2077" t="str">
        <f t="shared" si="423"/>
        <v xml:space="preserve">* Los exámenes positivos de 10 a 14 años NO DEBEN ser mayor a los exámenes procesados de la misma edad. </v>
      </c>
      <c r="CM264" s="2077" t="str">
        <f t="shared" si="424"/>
        <v xml:space="preserve">* Los exámenes positivos de 15 a 19 años NO DEBEN ser mayor a los exámenes procesados de la misma edad. </v>
      </c>
      <c r="CN264" s="2077" t="str">
        <f t="shared" si="425"/>
        <v xml:space="preserve">* Los exámenes positivos de 20 a 24 años NO DEBEN ser mayor a los exámenes procesados de la misma edad. </v>
      </c>
      <c r="CO264" s="2077" t="str">
        <f t="shared" si="426"/>
        <v xml:space="preserve">* Los exámenes positivos de 25 a 29 años NO DEBEN ser mayor a los exámenes procesados de la misma edad. </v>
      </c>
      <c r="CP264" s="2077" t="str">
        <f t="shared" si="427"/>
        <v xml:space="preserve">* Los exámenes positivos de 30 a 34 años NO DEBEN ser mayor a los exámenes procesados de la misma edad. </v>
      </c>
      <c r="CQ264" s="2077" t="str">
        <f t="shared" si="428"/>
        <v xml:space="preserve">* Los exámenes positivos de 35 a 39 años NO DEBEN ser mayor a los exámenes procesados de la misma edad. </v>
      </c>
      <c r="CR264" s="2077" t="str">
        <f t="shared" si="429"/>
        <v xml:space="preserve">* Los exámenes positivos de 40 a 44 años NO DEBEN ser mayor a los exámenes procesados de la misma edad. </v>
      </c>
      <c r="CS264" s="2077" t="str">
        <f t="shared" si="430"/>
        <v xml:space="preserve">* Los exámenes positivos de 45 a 49 años NO DEBEN ser mayor a los exámenes procesados de la misma edad. </v>
      </c>
      <c r="CT264" s="2077" t="str">
        <f t="shared" si="431"/>
        <v xml:space="preserve">* Los exámenes positivos de 50 a 54 años NO DEBEN ser mayor a los exámenes procesados de la misma edad. </v>
      </c>
      <c r="CU264" s="2077" t="str">
        <f t="shared" si="432"/>
        <v xml:space="preserve">* Los exámenes positivos de 55 a 59 años NO DEBEN ser mayor a los exámenes procesados de la misma edad. </v>
      </c>
      <c r="CV264" s="2077" t="str">
        <f t="shared" si="433"/>
        <v xml:space="preserve">* Los exámenes positivos de 60 a 64 años NO DEBEN ser mayor a los exámenes procesados de la misma edad. </v>
      </c>
      <c r="CW264" s="2077" t="str">
        <f t="shared" si="434"/>
        <v xml:space="preserve">* Los exámenes positivos de  65 y más años NO DEBEN ser mayor a los exámenes procesados de la misma edad. </v>
      </c>
      <c r="CX264" s="2077" t="str">
        <f t="shared" si="435"/>
        <v/>
      </c>
      <c r="CY264" s="2077" t="str">
        <f t="shared" si="436"/>
        <v/>
      </c>
      <c r="CZ264" s="2077"/>
      <c r="DA264" s="2077"/>
      <c r="DB264" s="1363">
        <f t="shared" si="457"/>
        <v>1</v>
      </c>
      <c r="DC264" s="1363"/>
      <c r="DD264" s="1363" t="e">
        <f t="shared" si="437"/>
        <v>#VALUE!</v>
      </c>
      <c r="DE264" s="1363">
        <f t="shared" si="438"/>
        <v>1</v>
      </c>
      <c r="DF264" s="1363">
        <f t="shared" si="439"/>
        <v>1</v>
      </c>
      <c r="DG264" s="1363" t="e">
        <f t="shared" si="440"/>
        <v>#VALUE!</v>
      </c>
      <c r="DH264" s="1363">
        <f t="shared" si="441"/>
        <v>1</v>
      </c>
      <c r="DI264" s="1363">
        <f t="shared" si="442"/>
        <v>1</v>
      </c>
      <c r="DJ264" s="1363">
        <f t="shared" si="443"/>
        <v>1</v>
      </c>
      <c r="DK264" s="1363">
        <f t="shared" si="444"/>
        <v>1</v>
      </c>
      <c r="DL264" s="1363">
        <f t="shared" si="445"/>
        <v>1</v>
      </c>
      <c r="DM264" s="1363">
        <f t="shared" si="446"/>
        <v>1</v>
      </c>
      <c r="DN264" s="1363">
        <f t="shared" si="447"/>
        <v>1</v>
      </c>
      <c r="DO264" s="1363">
        <f t="shared" si="448"/>
        <v>1</v>
      </c>
      <c r="DP264" s="1363">
        <f t="shared" si="449"/>
        <v>1</v>
      </c>
      <c r="DQ264" s="1363">
        <f t="shared" si="450"/>
        <v>1</v>
      </c>
      <c r="DR264" s="1363">
        <f t="shared" si="458"/>
        <v>1</v>
      </c>
      <c r="DS264" s="1363">
        <f t="shared" si="451"/>
        <v>1</v>
      </c>
      <c r="DT264" s="1363">
        <f t="shared" si="452"/>
        <v>1</v>
      </c>
      <c r="DU264" s="1363">
        <f t="shared" si="453"/>
        <v>1</v>
      </c>
      <c r="DV264" s="1363">
        <f t="shared" si="454"/>
        <v>1</v>
      </c>
      <c r="DW264" s="1363">
        <f t="shared" si="455"/>
        <v>1</v>
      </c>
      <c r="DX264" s="1363">
        <f t="shared" si="459"/>
        <v>0</v>
      </c>
      <c r="DY264" s="1363">
        <f t="shared" si="459"/>
        <v>0</v>
      </c>
    </row>
    <row r="282" spans="2:131" ht="12.75" hidden="1" customHeight="1" x14ac:dyDescent="0.25"/>
    <row r="283" spans="2:131" s="1739" customFormat="1" hidden="1" x14ac:dyDescent="0.25">
      <c r="B283" s="1739">
        <f>SUM(C12:C29, C34:C51, C56:C73, C78:C95, C100:C117, C122:C139,D143:Q147,D151:Q155,D160:E182,D187:E209,C212:C215, C220:C226, C231:C237,D242:D264)</f>
        <v>0</v>
      </c>
      <c r="C283" s="1739" t="e">
        <f>SUM(DB12:EA264)</f>
        <v>#VALUE!</v>
      </c>
      <c r="AU283" s="2065"/>
      <c r="AV283" s="2065"/>
      <c r="CA283" s="885"/>
      <c r="CB283" s="2024"/>
      <c r="CC283" s="2024"/>
      <c r="CD283" s="2024"/>
      <c r="CE283" s="2024"/>
      <c r="CF283" s="2024"/>
      <c r="CG283" s="2024"/>
      <c r="CH283" s="2024"/>
      <c r="CI283" s="2024"/>
      <c r="CJ283" s="2024"/>
      <c r="CK283" s="2024"/>
      <c r="CL283" s="2024"/>
      <c r="CM283" s="2024"/>
      <c r="CN283" s="2024"/>
      <c r="CO283" s="2024"/>
      <c r="CP283" s="2024"/>
      <c r="CQ283" s="2024"/>
      <c r="CR283" s="2024"/>
      <c r="CS283" s="2024"/>
      <c r="CT283" s="2024"/>
      <c r="CU283" s="2024"/>
      <c r="CV283" s="2024"/>
      <c r="CW283" s="2024"/>
      <c r="CX283" s="2024"/>
      <c r="CY283" s="2024"/>
      <c r="CZ283" s="2024"/>
      <c r="DA283" s="2024"/>
      <c r="DB283" s="1346"/>
      <c r="DC283" s="1346"/>
      <c r="DD283" s="1346"/>
      <c r="DE283" s="1346"/>
      <c r="DF283" s="1346"/>
      <c r="DG283" s="1346"/>
      <c r="DH283" s="1346"/>
      <c r="DI283" s="1346"/>
      <c r="DJ283" s="1346"/>
      <c r="DK283" s="1346"/>
      <c r="DL283" s="1346"/>
      <c r="DM283" s="1346"/>
      <c r="DN283" s="1346"/>
      <c r="DO283" s="1346"/>
      <c r="DP283" s="1346"/>
      <c r="DQ283" s="1346"/>
      <c r="DR283" s="1346"/>
      <c r="DS283" s="1346"/>
      <c r="DT283" s="1346"/>
      <c r="DU283" s="1346"/>
      <c r="DV283" s="1346"/>
      <c r="DW283" s="1346"/>
      <c r="DX283" s="1346"/>
      <c r="DY283" s="1346"/>
      <c r="DZ283" s="1346"/>
      <c r="EA283" s="1346"/>
    </row>
    <row r="284" spans="2:131" hidden="1" x14ac:dyDescent="0.25"/>
  </sheetData>
  <mergeCells count="381">
    <mergeCell ref="A9:A10"/>
    <mergeCell ref="B7:C7"/>
    <mergeCell ref="B242:B260"/>
    <mergeCell ref="B261:B264"/>
    <mergeCell ref="B156:R156"/>
    <mergeCell ref="B183:R183"/>
    <mergeCell ref="AD240:AE240"/>
    <mergeCell ref="AF240:AG240"/>
    <mergeCell ref="AH240:AI240"/>
    <mergeCell ref="AA218:AB218"/>
    <mergeCell ref="AC218:AD218"/>
    <mergeCell ref="AE218:AF218"/>
    <mergeCell ref="AG218:AH218"/>
    <mergeCell ref="E217:AL217"/>
    <mergeCell ref="B205:C205"/>
    <mergeCell ref="B206:C206"/>
    <mergeCell ref="B207:C207"/>
    <mergeCell ref="B208:C208"/>
    <mergeCell ref="B209:C209"/>
    <mergeCell ref="B217:B219"/>
    <mergeCell ref="C217:D218"/>
    <mergeCell ref="B196:B198"/>
    <mergeCell ref="B199:C199"/>
    <mergeCell ref="B200:C200"/>
    <mergeCell ref="B239:C241"/>
    <mergeCell ref="D239:E240"/>
    <mergeCell ref="AI229:AJ229"/>
    <mergeCell ref="AK229:AL229"/>
    <mergeCell ref="AM229:AM230"/>
    <mergeCell ref="W229:X229"/>
    <mergeCell ref="Y229:Z229"/>
    <mergeCell ref="AA229:AB229"/>
    <mergeCell ref="AC229:AD229"/>
    <mergeCell ref="B228:B230"/>
    <mergeCell ref="C228:D229"/>
    <mergeCell ref="AE229:AF229"/>
    <mergeCell ref="AG229:AH229"/>
    <mergeCell ref="AV239:AW240"/>
    <mergeCell ref="AX239:AY240"/>
    <mergeCell ref="F240:G240"/>
    <mergeCell ref="H240:I240"/>
    <mergeCell ref="J240:K240"/>
    <mergeCell ref="L240:M240"/>
    <mergeCell ref="N240:O240"/>
    <mergeCell ref="P240:Q240"/>
    <mergeCell ref="R240:S240"/>
    <mergeCell ref="T240:U240"/>
    <mergeCell ref="F239:AK239"/>
    <mergeCell ref="AL239:AO239"/>
    <mergeCell ref="AP239:AS239"/>
    <mergeCell ref="AT239:AU240"/>
    <mergeCell ref="V240:W240"/>
    <mergeCell ref="X240:Y240"/>
    <mergeCell ref="Z240:AA240"/>
    <mergeCell ref="AB240:AC240"/>
    <mergeCell ref="AP240:AQ240"/>
    <mergeCell ref="AR240:AS240"/>
    <mergeCell ref="AN240:AO240"/>
    <mergeCell ref="AJ240:AK240"/>
    <mergeCell ref="AL240:AM240"/>
    <mergeCell ref="AQ228:AQ230"/>
    <mergeCell ref="AR228:AR230"/>
    <mergeCell ref="E229:F229"/>
    <mergeCell ref="G229:H229"/>
    <mergeCell ref="I229:J229"/>
    <mergeCell ref="K229:L229"/>
    <mergeCell ref="M229:N229"/>
    <mergeCell ref="O229:P229"/>
    <mergeCell ref="Q229:R229"/>
    <mergeCell ref="S229:T229"/>
    <mergeCell ref="AN229:AN230"/>
    <mergeCell ref="AO229:AO230"/>
    <mergeCell ref="AP229:AP230"/>
    <mergeCell ref="E228:AL228"/>
    <mergeCell ref="AM228:AN228"/>
    <mergeCell ref="AO228:AP228"/>
    <mergeCell ref="U229:V229"/>
    <mergeCell ref="AM217:AN217"/>
    <mergeCell ref="AO217:AP217"/>
    <mergeCell ref="AQ217:AQ219"/>
    <mergeCell ref="AR217:AR219"/>
    <mergeCell ref="E218:F218"/>
    <mergeCell ref="G218:H218"/>
    <mergeCell ref="I218:J218"/>
    <mergeCell ref="K218:L218"/>
    <mergeCell ref="M218:N218"/>
    <mergeCell ref="AM218:AM219"/>
    <mergeCell ref="AN218:AN219"/>
    <mergeCell ref="AO218:AO219"/>
    <mergeCell ref="AP218:AP219"/>
    <mergeCell ref="AI218:AJ218"/>
    <mergeCell ref="AK218:AL218"/>
    <mergeCell ref="O218:P218"/>
    <mergeCell ref="Q218:R218"/>
    <mergeCell ref="S218:T218"/>
    <mergeCell ref="U218:V218"/>
    <mergeCell ref="W218:X218"/>
    <mergeCell ref="Y218:Z218"/>
    <mergeCell ref="B201:C201"/>
    <mergeCell ref="B202:C202"/>
    <mergeCell ref="B203:C203"/>
    <mergeCell ref="B190:C190"/>
    <mergeCell ref="B191:C191"/>
    <mergeCell ref="B192:C192"/>
    <mergeCell ref="B193:C193"/>
    <mergeCell ref="B194:C194"/>
    <mergeCell ref="B195:C195"/>
    <mergeCell ref="B187:C187"/>
    <mergeCell ref="B188:C188"/>
    <mergeCell ref="B189:C189"/>
    <mergeCell ref="AB185:AC185"/>
    <mergeCell ref="AD185:AE185"/>
    <mergeCell ref="AF185:AG185"/>
    <mergeCell ref="AH185:AI185"/>
    <mergeCell ref="AJ185:AK185"/>
    <mergeCell ref="AL185:AM185"/>
    <mergeCell ref="AT184:AU185"/>
    <mergeCell ref="AV184:AW185"/>
    <mergeCell ref="AX184:AY185"/>
    <mergeCell ref="F185:G185"/>
    <mergeCell ref="H185:I185"/>
    <mergeCell ref="J185:K185"/>
    <mergeCell ref="L185:M185"/>
    <mergeCell ref="N185:O185"/>
    <mergeCell ref="P185:Q185"/>
    <mergeCell ref="R185:S185"/>
    <mergeCell ref="AN185:AO185"/>
    <mergeCell ref="AP185:AQ185"/>
    <mergeCell ref="AR185:AS185"/>
    <mergeCell ref="B182:C182"/>
    <mergeCell ref="B184:C186"/>
    <mergeCell ref="D184:E185"/>
    <mergeCell ref="F184:AK184"/>
    <mergeCell ref="AL184:AO184"/>
    <mergeCell ref="AP184:AS184"/>
    <mergeCell ref="T185:U185"/>
    <mergeCell ref="V185:W185"/>
    <mergeCell ref="X185:Y185"/>
    <mergeCell ref="Z185:AA185"/>
    <mergeCell ref="B178:C178"/>
    <mergeCell ref="B179:C179"/>
    <mergeCell ref="B180:C180"/>
    <mergeCell ref="B181:C181"/>
    <mergeCell ref="B167:C167"/>
    <mergeCell ref="B168:C168"/>
    <mergeCell ref="B169:B171"/>
    <mergeCell ref="B172:C172"/>
    <mergeCell ref="B173:C173"/>
    <mergeCell ref="B174:C174"/>
    <mergeCell ref="B163:C163"/>
    <mergeCell ref="B164:C164"/>
    <mergeCell ref="B165:C165"/>
    <mergeCell ref="B166:C166"/>
    <mergeCell ref="AJ158:AK158"/>
    <mergeCell ref="AL158:AM158"/>
    <mergeCell ref="AN158:AO158"/>
    <mergeCell ref="B175:C175"/>
    <mergeCell ref="B176:C176"/>
    <mergeCell ref="B160:C160"/>
    <mergeCell ref="X158:Y158"/>
    <mergeCell ref="Z158:AA158"/>
    <mergeCell ref="AB158:AC158"/>
    <mergeCell ref="AD158:AE158"/>
    <mergeCell ref="AF158:AG158"/>
    <mergeCell ref="AH158:AI158"/>
    <mergeCell ref="B161:C161"/>
    <mergeCell ref="B162:C162"/>
    <mergeCell ref="AL157:AO157"/>
    <mergeCell ref="AP157:AS157"/>
    <mergeCell ref="AT157:AU158"/>
    <mergeCell ref="AV157:AW158"/>
    <mergeCell ref="AX157:AY158"/>
    <mergeCell ref="F158:G158"/>
    <mergeCell ref="H158:I158"/>
    <mergeCell ref="J158:K158"/>
    <mergeCell ref="L158:M158"/>
    <mergeCell ref="N158:O158"/>
    <mergeCell ref="AP158:AQ158"/>
    <mergeCell ref="AR158:AS158"/>
    <mergeCell ref="B151:C151"/>
    <mergeCell ref="B152:B154"/>
    <mergeCell ref="B155:C155"/>
    <mergeCell ref="B157:C159"/>
    <mergeCell ref="D157:E158"/>
    <mergeCell ref="F157:AK157"/>
    <mergeCell ref="P158:Q158"/>
    <mergeCell ref="R158:S158"/>
    <mergeCell ref="T158:U158"/>
    <mergeCell ref="V158:W158"/>
    <mergeCell ref="B143:C143"/>
    <mergeCell ref="B144:B146"/>
    <mergeCell ref="B147:C147"/>
    <mergeCell ref="B148:S148"/>
    <mergeCell ref="B149:C150"/>
    <mergeCell ref="D149:F149"/>
    <mergeCell ref="G149:I149"/>
    <mergeCell ref="J149:L149"/>
    <mergeCell ref="M149:O149"/>
    <mergeCell ref="P149:Q149"/>
    <mergeCell ref="B140:R140"/>
    <mergeCell ref="B141:C142"/>
    <mergeCell ref="D141:F141"/>
    <mergeCell ref="G141:I141"/>
    <mergeCell ref="J141:L141"/>
    <mergeCell ref="M141:O141"/>
    <mergeCell ref="P141:Q141"/>
    <mergeCell ref="AI120:AJ120"/>
    <mergeCell ref="AK120:AL120"/>
    <mergeCell ref="W120:X120"/>
    <mergeCell ref="Y120:Z120"/>
    <mergeCell ref="AA120:AB120"/>
    <mergeCell ref="AC120:AD120"/>
    <mergeCell ref="AE120:AF120"/>
    <mergeCell ref="AG120:AH120"/>
    <mergeCell ref="B119:B121"/>
    <mergeCell ref="C119:D120"/>
    <mergeCell ref="AU119:AV120"/>
    <mergeCell ref="AW119:AW121"/>
    <mergeCell ref="AX119:AX121"/>
    <mergeCell ref="E120:F120"/>
    <mergeCell ref="G120:H120"/>
    <mergeCell ref="I120:J120"/>
    <mergeCell ref="K120:L120"/>
    <mergeCell ref="M120:N120"/>
    <mergeCell ref="O120:P120"/>
    <mergeCell ref="Q120:R120"/>
    <mergeCell ref="AT120:AT121"/>
    <mergeCell ref="AM120:AN120"/>
    <mergeCell ref="AO120:AP120"/>
    <mergeCell ref="AQ120:AR120"/>
    <mergeCell ref="AS120:AS121"/>
    <mergeCell ref="E119:AR119"/>
    <mergeCell ref="AS119:AT119"/>
    <mergeCell ref="S120:T120"/>
    <mergeCell ref="U120:V120"/>
    <mergeCell ref="AW97:AW99"/>
    <mergeCell ref="AX97:AX99"/>
    <mergeCell ref="E98:F98"/>
    <mergeCell ref="G98:H98"/>
    <mergeCell ref="I98:J98"/>
    <mergeCell ref="K98:L98"/>
    <mergeCell ref="M98:N98"/>
    <mergeCell ref="O98:P98"/>
    <mergeCell ref="Q98:R98"/>
    <mergeCell ref="S98:T98"/>
    <mergeCell ref="AO98:AP98"/>
    <mergeCell ref="AQ98:AR98"/>
    <mergeCell ref="AS98:AS99"/>
    <mergeCell ref="AT98:AT99"/>
    <mergeCell ref="B97:B99"/>
    <mergeCell ref="C97:D98"/>
    <mergeCell ref="E97:AR97"/>
    <mergeCell ref="AS97:AT97"/>
    <mergeCell ref="AU97:AV98"/>
    <mergeCell ref="U98:V98"/>
    <mergeCell ref="W98:X98"/>
    <mergeCell ref="Y98:Z98"/>
    <mergeCell ref="AA98:AB98"/>
    <mergeCell ref="AC98:AD98"/>
    <mergeCell ref="AE98:AF98"/>
    <mergeCell ref="AG98:AH98"/>
    <mergeCell ref="AI98:AJ98"/>
    <mergeCell ref="AK98:AL98"/>
    <mergeCell ref="AM98:AN98"/>
    <mergeCell ref="AW75:AW77"/>
    <mergeCell ref="AX75:AX77"/>
    <mergeCell ref="E76:F76"/>
    <mergeCell ref="G76:H76"/>
    <mergeCell ref="I76:J76"/>
    <mergeCell ref="K76:L76"/>
    <mergeCell ref="M76:N76"/>
    <mergeCell ref="O76:P76"/>
    <mergeCell ref="Q76:R76"/>
    <mergeCell ref="AT76:AT77"/>
    <mergeCell ref="AI76:AJ76"/>
    <mergeCell ref="AK76:AL76"/>
    <mergeCell ref="AM76:AN76"/>
    <mergeCell ref="AO76:AP76"/>
    <mergeCell ref="AQ76:AR76"/>
    <mergeCell ref="AS76:AS77"/>
    <mergeCell ref="W76:X76"/>
    <mergeCell ref="Y76:Z76"/>
    <mergeCell ref="AA76:AB76"/>
    <mergeCell ref="AC76:AD76"/>
    <mergeCell ref="AE76:AF76"/>
    <mergeCell ref="AG76:AH76"/>
    <mergeCell ref="AU75:AV76"/>
    <mergeCell ref="B75:B77"/>
    <mergeCell ref="C75:D76"/>
    <mergeCell ref="E75:AR75"/>
    <mergeCell ref="AS75:AT75"/>
    <mergeCell ref="S76:T76"/>
    <mergeCell ref="U76:V76"/>
    <mergeCell ref="AC54:AD54"/>
    <mergeCell ref="AE54:AF54"/>
    <mergeCell ref="AG54:AH54"/>
    <mergeCell ref="AI54:AJ54"/>
    <mergeCell ref="AK54:AL54"/>
    <mergeCell ref="AM54:AN54"/>
    <mergeCell ref="B53:B55"/>
    <mergeCell ref="C53:D54"/>
    <mergeCell ref="AW53:AW55"/>
    <mergeCell ref="AX53:AX55"/>
    <mergeCell ref="E54:F54"/>
    <mergeCell ref="G54:H54"/>
    <mergeCell ref="I54:J54"/>
    <mergeCell ref="K54:L54"/>
    <mergeCell ref="M54:N54"/>
    <mergeCell ref="O54:P54"/>
    <mergeCell ref="Q54:R54"/>
    <mergeCell ref="S54:T54"/>
    <mergeCell ref="AO54:AP54"/>
    <mergeCell ref="AQ54:AR54"/>
    <mergeCell ref="AS54:AS55"/>
    <mergeCell ref="AT54:AT55"/>
    <mergeCell ref="E53:AR53"/>
    <mergeCell ref="AS53:AT53"/>
    <mergeCell ref="AU53:AV54"/>
    <mergeCell ref="U54:V54"/>
    <mergeCell ref="W54:X54"/>
    <mergeCell ref="Y54:Z54"/>
    <mergeCell ref="AA54:AB54"/>
    <mergeCell ref="AW31:AW33"/>
    <mergeCell ref="AX31:AX33"/>
    <mergeCell ref="E32:F32"/>
    <mergeCell ref="G32:H32"/>
    <mergeCell ref="I32:J32"/>
    <mergeCell ref="K32:L32"/>
    <mergeCell ref="M32:N32"/>
    <mergeCell ref="O32:P32"/>
    <mergeCell ref="Q32:R32"/>
    <mergeCell ref="AT32:AT33"/>
    <mergeCell ref="AI32:AJ32"/>
    <mergeCell ref="AK32:AL32"/>
    <mergeCell ref="AM32:AN32"/>
    <mergeCell ref="AO32:AP32"/>
    <mergeCell ref="AQ32:AR32"/>
    <mergeCell ref="AS32:AS33"/>
    <mergeCell ref="W32:X32"/>
    <mergeCell ref="Y32:Z32"/>
    <mergeCell ref="AA32:AB32"/>
    <mergeCell ref="AC32:AD32"/>
    <mergeCell ref="AE32:AF32"/>
    <mergeCell ref="AG32:AH32"/>
    <mergeCell ref="AU31:AV32"/>
    <mergeCell ref="B31:B33"/>
    <mergeCell ref="C31:D32"/>
    <mergeCell ref="E31:AR31"/>
    <mergeCell ref="AS31:AT31"/>
    <mergeCell ref="S32:T32"/>
    <mergeCell ref="U32:V32"/>
    <mergeCell ref="AC10:AD10"/>
    <mergeCell ref="AE10:AF10"/>
    <mergeCell ref="AG10:AH10"/>
    <mergeCell ref="AI10:AJ10"/>
    <mergeCell ref="AK10:AL10"/>
    <mergeCell ref="AM10:AN10"/>
    <mergeCell ref="AW9:AW11"/>
    <mergeCell ref="AX9:AX11"/>
    <mergeCell ref="E10:F10"/>
    <mergeCell ref="G10:H10"/>
    <mergeCell ref="I10:J10"/>
    <mergeCell ref="K10:L10"/>
    <mergeCell ref="M10:N10"/>
    <mergeCell ref="O10:P10"/>
    <mergeCell ref="Q10:R10"/>
    <mergeCell ref="S10:T10"/>
    <mergeCell ref="AO10:AP10"/>
    <mergeCell ref="AQ10:AR10"/>
    <mergeCell ref="AS10:AS11"/>
    <mergeCell ref="AT10:AT11"/>
    <mergeCell ref="B6:Q6"/>
    <mergeCell ref="B9:B11"/>
    <mergeCell ref="C9:D10"/>
    <mergeCell ref="E9:AR9"/>
    <mergeCell ref="AS9:AT9"/>
    <mergeCell ref="AU9:AV10"/>
    <mergeCell ref="U10:V10"/>
    <mergeCell ref="W10:X10"/>
    <mergeCell ref="Y10:Z10"/>
    <mergeCell ref="AA10:AB10"/>
  </mergeCells>
  <dataValidations count="2">
    <dataValidation type="whole" operator="greaterThanOrEqual" allowBlank="1" showInputMessage="1" showErrorMessage="1" error="Valor no Permitido" sqref="B9:AY264" xr:uid="{00000000-0002-0000-0A00-000000000000}">
      <formula1>0</formula1>
    </dataValidation>
    <dataValidation operator="greaterThanOrEqual" allowBlank="1" showInputMessage="1" showErrorMessage="1" error="Valor no Permitido" sqref="B1:B5" xr:uid="{00000000-0002-0000-0A00-000001000000}"/>
  </dataValidation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Hoja12">
    <tabColor theme="0"/>
  </sheetPr>
  <dimension ref="A1:DA194"/>
  <sheetViews>
    <sheetView zoomScaleNormal="100" workbookViewId="0"/>
  </sheetViews>
  <sheetFormatPr baseColWidth="10" defaultColWidth="11.42578125" defaultRowHeight="15" x14ac:dyDescent="0.25"/>
  <cols>
    <col min="1" max="1" width="13" style="210" customWidth="1"/>
    <col min="2" max="2" width="43.140625" style="210" customWidth="1"/>
    <col min="3" max="3" width="31.7109375" style="210" customWidth="1"/>
    <col min="4" max="4" width="17.28515625" style="210" customWidth="1"/>
    <col min="5" max="5" width="16.140625" style="210" customWidth="1"/>
    <col min="6" max="6" width="14.140625" style="210" customWidth="1"/>
    <col min="7" max="7" width="14.85546875" style="210" customWidth="1"/>
    <col min="8" max="8" width="16" style="210" customWidth="1"/>
    <col min="9" max="9" width="16.42578125" style="210" customWidth="1"/>
    <col min="10" max="10" width="13.28515625" style="210" customWidth="1"/>
    <col min="11" max="11" width="15.42578125" style="210" customWidth="1"/>
    <col min="12" max="12" width="17" style="210" customWidth="1"/>
    <col min="13" max="13" width="13.28515625" style="210" customWidth="1"/>
    <col min="14" max="40" width="11.42578125" style="210"/>
    <col min="41" max="41" width="12" style="210" customWidth="1"/>
    <col min="42" max="42" width="13" style="210" customWidth="1"/>
    <col min="43" max="43" width="13.140625" style="210" customWidth="1"/>
    <col min="44" max="44" width="11.42578125" style="210"/>
    <col min="45" max="45" width="12.42578125" style="210" customWidth="1"/>
    <col min="46" max="75" width="11.42578125" style="210"/>
    <col min="76" max="76" width="11.7109375" style="210" customWidth="1"/>
    <col min="77" max="78" width="11.7109375" style="211" customWidth="1"/>
    <col min="79" max="79" width="12.140625" style="211" customWidth="1"/>
    <col min="80" max="105" width="12.140625" style="887" customWidth="1"/>
    <col min="106" max="106" width="12.140625" style="210" customWidth="1"/>
    <col min="107" max="16384" width="11.42578125" style="210"/>
  </cols>
  <sheetData>
    <row r="1" spans="1:94" ht="16.350000000000001" customHeight="1" x14ac:dyDescent="0.25">
      <c r="B1" s="78" t="s">
        <v>910</v>
      </c>
    </row>
    <row r="2" spans="1:94" ht="16.350000000000001" customHeight="1" x14ac:dyDescent="0.25">
      <c r="B2" s="78" t="str">
        <f>CONCATENATE("COMUNA: ",NOMBRE!B2," - ","( ",NOMBRE!C2,NOMBRE!D2,NOMBRE!E2,NOMBRE!F2,NOMBRE!G2," )")</f>
        <v>COMUNA:  - (  )</v>
      </c>
    </row>
    <row r="3" spans="1:94" ht="16.350000000000001" customHeight="1" x14ac:dyDescent="0.25">
      <c r="B3" s="78" t="str">
        <f>CONCATENATE("ESTABLECIMIENTO/ESTRATEGIA: ",NOMBRE!B3," - ","( ",NOMBRE!C3,NOMBRE!D3,NOMBRE!E3,NOMBRE!F3,NOMBRE!G3,NOMBRE!H3," )")</f>
        <v>ESTABLECIMIENTO/ESTRATEGIA:  - (  )</v>
      </c>
    </row>
    <row r="4" spans="1:94" ht="16.350000000000001" customHeight="1" x14ac:dyDescent="0.25">
      <c r="B4" s="78" t="str">
        <f>CONCATENATE("MES: ",NOMBRE!B6," - ","( ",NOMBRE!C6,NOMBRE!D6," )")</f>
        <v>MES:  - (  )</v>
      </c>
    </row>
    <row r="5" spans="1:94" ht="16.350000000000001" customHeight="1" x14ac:dyDescent="0.25">
      <c r="B5" s="78" t="str">
        <f>CONCATENATE("AÑO: ",NOMBRE!B7)</f>
        <v>AÑO: 2020</v>
      </c>
    </row>
    <row r="6" spans="1:94" x14ac:dyDescent="0.25">
      <c r="B6" s="5148" t="s">
        <v>2025</v>
      </c>
      <c r="C6" s="5148"/>
      <c r="D6" s="5148"/>
      <c r="E6" s="5148"/>
      <c r="F6" s="5148"/>
      <c r="G6" s="5148"/>
      <c r="H6" s="5148"/>
      <c r="I6" s="5148"/>
      <c r="J6" s="5148"/>
      <c r="K6" s="5148"/>
      <c r="L6" s="5148"/>
      <c r="M6" s="5148"/>
      <c r="N6" s="5148"/>
      <c r="O6" s="5148"/>
      <c r="P6" s="5148"/>
      <c r="Q6" s="5148"/>
      <c r="R6" s="5148"/>
      <c r="S6" s="5148"/>
      <c r="T6" s="5148"/>
      <c r="U6" s="5148"/>
    </row>
    <row r="7" spans="1:94" x14ac:dyDescent="0.25">
      <c r="B7" s="1617"/>
      <c r="C7" s="1617"/>
      <c r="D7" s="1617"/>
      <c r="E7" s="1617"/>
      <c r="F7" s="1617"/>
      <c r="G7" s="1617"/>
      <c r="H7" s="1617"/>
      <c r="I7" s="1617"/>
      <c r="J7" s="1617"/>
      <c r="K7" s="1617"/>
      <c r="L7" s="1617"/>
      <c r="M7" s="1617"/>
      <c r="N7" s="1617"/>
      <c r="O7" s="1617"/>
      <c r="P7" s="1617"/>
      <c r="Q7" s="1617"/>
      <c r="R7" s="1617"/>
      <c r="S7" s="1617"/>
      <c r="T7" s="1617"/>
      <c r="U7" s="1617"/>
    </row>
    <row r="8" spans="1:94" ht="32.1" customHeight="1" x14ac:dyDescent="0.25">
      <c r="B8" s="6302" t="s">
        <v>2026</v>
      </c>
      <c r="C8" s="6302"/>
      <c r="D8" s="255"/>
      <c r="E8" s="255"/>
      <c r="F8" s="255"/>
      <c r="G8" s="255"/>
      <c r="H8" s="255"/>
      <c r="I8" s="255"/>
      <c r="J8" s="255"/>
      <c r="K8" s="255"/>
      <c r="L8" s="255"/>
      <c r="M8" s="255"/>
    </row>
    <row r="9" spans="1:94" ht="32.1" customHeight="1" x14ac:dyDescent="0.25">
      <c r="B9" s="1664" t="s">
        <v>2027</v>
      </c>
      <c r="C9" s="1665"/>
      <c r="D9" s="1665"/>
      <c r="E9" s="1665"/>
      <c r="F9" s="1665"/>
      <c r="G9" s="470"/>
      <c r="H9" s="470"/>
      <c r="I9" s="470"/>
      <c r="J9" s="470"/>
      <c r="K9" s="470"/>
      <c r="L9" s="470"/>
      <c r="M9" s="470"/>
    </row>
    <row r="10" spans="1:94" ht="16.350000000000001" customHeight="1" x14ac:dyDescent="0.25">
      <c r="A10" s="5370" t="s">
        <v>2775</v>
      </c>
      <c r="B10" s="6303" t="s">
        <v>2664</v>
      </c>
      <c r="C10" s="6306" t="s">
        <v>3</v>
      </c>
      <c r="D10" s="6308" t="s">
        <v>231</v>
      </c>
      <c r="E10" s="6309"/>
      <c r="F10" s="6219"/>
      <c r="G10" s="6310" t="s">
        <v>406</v>
      </c>
      <c r="H10" s="6311"/>
      <c r="I10" s="6311"/>
      <c r="J10" s="6311"/>
      <c r="K10" s="6311"/>
      <c r="L10" s="6311"/>
      <c r="M10" s="6311"/>
      <c r="N10" s="6311"/>
      <c r="O10" s="6311"/>
      <c r="P10" s="6311"/>
      <c r="Q10" s="6311"/>
      <c r="R10" s="6311"/>
      <c r="S10" s="6311"/>
      <c r="T10" s="6311"/>
      <c r="U10" s="6311"/>
      <c r="V10" s="6311"/>
      <c r="W10" s="6311"/>
      <c r="X10" s="6311"/>
      <c r="Y10" s="6311"/>
      <c r="Z10" s="6311"/>
      <c r="AA10" s="6311"/>
      <c r="AB10" s="6311"/>
      <c r="AC10" s="6311"/>
      <c r="AD10" s="6311"/>
      <c r="AE10" s="6311"/>
      <c r="AF10" s="6311"/>
      <c r="AG10" s="6311"/>
      <c r="AH10" s="6311"/>
      <c r="AI10" s="6311"/>
      <c r="AJ10" s="6311"/>
      <c r="AK10" s="6311"/>
      <c r="AL10" s="6311"/>
      <c r="AM10" s="6311"/>
      <c r="AN10" s="6312"/>
      <c r="AO10" s="6316" t="s">
        <v>2028</v>
      </c>
      <c r="AP10" s="6318" t="s">
        <v>411</v>
      </c>
      <c r="AQ10" s="6219"/>
      <c r="AR10" s="5787" t="s">
        <v>1359</v>
      </c>
      <c r="AS10" s="5787" t="s">
        <v>1358</v>
      </c>
      <c r="AT10" s="5787" t="s">
        <v>2029</v>
      </c>
      <c r="AU10" s="6301" t="s">
        <v>1483</v>
      </c>
      <c r="BY10" s="210"/>
    </row>
    <row r="11" spans="1:94" ht="16.350000000000001" customHeight="1" x14ac:dyDescent="0.25">
      <c r="A11" s="5370"/>
      <c r="B11" s="6304"/>
      <c r="C11" s="5135"/>
      <c r="D11" s="5121"/>
      <c r="E11" s="5122"/>
      <c r="F11" s="5123"/>
      <c r="G11" s="6313"/>
      <c r="H11" s="6314"/>
      <c r="I11" s="6314"/>
      <c r="J11" s="6314"/>
      <c r="K11" s="6314"/>
      <c r="L11" s="6314"/>
      <c r="M11" s="6314"/>
      <c r="N11" s="6314"/>
      <c r="O11" s="6314"/>
      <c r="P11" s="6314"/>
      <c r="Q11" s="6314"/>
      <c r="R11" s="6314"/>
      <c r="S11" s="6314"/>
      <c r="T11" s="6314"/>
      <c r="U11" s="6314"/>
      <c r="V11" s="6314"/>
      <c r="W11" s="6314"/>
      <c r="X11" s="6314"/>
      <c r="Y11" s="6314"/>
      <c r="Z11" s="6314"/>
      <c r="AA11" s="6314"/>
      <c r="AB11" s="6314"/>
      <c r="AC11" s="6314"/>
      <c r="AD11" s="6314"/>
      <c r="AE11" s="6314"/>
      <c r="AF11" s="6314"/>
      <c r="AG11" s="6314"/>
      <c r="AH11" s="6314"/>
      <c r="AI11" s="6314"/>
      <c r="AJ11" s="6314"/>
      <c r="AK11" s="6314"/>
      <c r="AL11" s="6314"/>
      <c r="AM11" s="6314"/>
      <c r="AN11" s="6315"/>
      <c r="AO11" s="5804"/>
      <c r="AP11" s="6319"/>
      <c r="AQ11" s="5123"/>
      <c r="AR11" s="5113"/>
      <c r="AS11" s="5113"/>
      <c r="AT11" s="5113"/>
      <c r="AU11" s="5810"/>
      <c r="BY11" s="210"/>
      <c r="CH11" s="1346"/>
      <c r="CI11" s="1346"/>
      <c r="CJ11" s="1346"/>
      <c r="CK11" s="1346"/>
      <c r="CL11" s="1346"/>
      <c r="CM11" s="1346"/>
      <c r="CN11" s="1346"/>
      <c r="CO11" s="1346"/>
      <c r="CP11" s="1346"/>
    </row>
    <row r="12" spans="1:94" ht="16.350000000000001" customHeight="1" x14ac:dyDescent="0.25">
      <c r="A12" s="5370"/>
      <c r="B12" s="6304"/>
      <c r="C12" s="5135"/>
      <c r="D12" s="5799"/>
      <c r="E12" s="5772"/>
      <c r="F12" s="5773"/>
      <c r="G12" s="5818" t="s">
        <v>350</v>
      </c>
      <c r="H12" s="5818"/>
      <c r="I12" s="5165" t="s">
        <v>351</v>
      </c>
      <c r="J12" s="5167"/>
      <c r="K12" s="5165" t="s">
        <v>352</v>
      </c>
      <c r="L12" s="5167"/>
      <c r="M12" s="5165" t="s">
        <v>2030</v>
      </c>
      <c r="N12" s="5167"/>
      <c r="O12" s="5165" t="s">
        <v>2031</v>
      </c>
      <c r="P12" s="5167"/>
      <c r="Q12" s="5165" t="s">
        <v>2032</v>
      </c>
      <c r="R12" s="5167"/>
      <c r="S12" s="5165" t="s">
        <v>2033</v>
      </c>
      <c r="T12" s="5167"/>
      <c r="U12" s="5165" t="s">
        <v>2034</v>
      </c>
      <c r="V12" s="5167"/>
      <c r="W12" s="5165" t="s">
        <v>2035</v>
      </c>
      <c r="X12" s="5167"/>
      <c r="Y12" s="5165" t="s">
        <v>2036</v>
      </c>
      <c r="Z12" s="5167"/>
      <c r="AA12" s="5165" t="s">
        <v>2037</v>
      </c>
      <c r="AB12" s="5167"/>
      <c r="AC12" s="5165" t="s">
        <v>2038</v>
      </c>
      <c r="AD12" s="5167"/>
      <c r="AE12" s="5165" t="s">
        <v>2039</v>
      </c>
      <c r="AF12" s="5167"/>
      <c r="AG12" s="5165" t="s">
        <v>2040</v>
      </c>
      <c r="AH12" s="5167"/>
      <c r="AI12" s="5165" t="s">
        <v>2041</v>
      </c>
      <c r="AJ12" s="5167"/>
      <c r="AK12" s="5165" t="s">
        <v>2042</v>
      </c>
      <c r="AL12" s="5167"/>
      <c r="AM12" s="5160" t="s">
        <v>22</v>
      </c>
      <c r="AN12" s="6212"/>
      <c r="AO12" s="5804"/>
      <c r="AP12" s="6320"/>
      <c r="AQ12" s="5773"/>
      <c r="AR12" s="5113"/>
      <c r="AS12" s="5113"/>
      <c r="AT12" s="5113"/>
      <c r="AU12" s="5810"/>
      <c r="BY12" s="210"/>
      <c r="CH12" s="1346"/>
      <c r="CI12" s="1346"/>
      <c r="CJ12" s="1346"/>
      <c r="CK12" s="1346"/>
      <c r="CL12" s="1346"/>
      <c r="CM12" s="1346"/>
      <c r="CN12" s="1346"/>
      <c r="CO12" s="1346"/>
      <c r="CP12" s="1346"/>
    </row>
    <row r="13" spans="1:94" ht="16.350000000000001" customHeight="1" x14ac:dyDescent="0.25">
      <c r="A13" s="5370"/>
      <c r="B13" s="6305"/>
      <c r="C13" s="6307"/>
      <c r="D13" s="1595" t="s">
        <v>2043</v>
      </c>
      <c r="E13" s="1661" t="s">
        <v>65</v>
      </c>
      <c r="F13" s="1620" t="s">
        <v>66</v>
      </c>
      <c r="G13" s="1595" t="s">
        <v>65</v>
      </c>
      <c r="H13" s="1666" t="s">
        <v>66</v>
      </c>
      <c r="I13" s="1595" t="s">
        <v>65</v>
      </c>
      <c r="J13" s="1666" t="s">
        <v>66</v>
      </c>
      <c r="K13" s="1595" t="s">
        <v>65</v>
      </c>
      <c r="L13" s="1666" t="s">
        <v>66</v>
      </c>
      <c r="M13" s="1595" t="s">
        <v>65</v>
      </c>
      <c r="N13" s="1666" t="s">
        <v>66</v>
      </c>
      <c r="O13" s="1595" t="s">
        <v>65</v>
      </c>
      <c r="P13" s="1666" t="s">
        <v>66</v>
      </c>
      <c r="Q13" s="1595" t="s">
        <v>65</v>
      </c>
      <c r="R13" s="1666" t="s">
        <v>66</v>
      </c>
      <c r="S13" s="1595" t="s">
        <v>65</v>
      </c>
      <c r="T13" s="1666" t="s">
        <v>66</v>
      </c>
      <c r="U13" s="1595" t="s">
        <v>65</v>
      </c>
      <c r="V13" s="1666" t="s">
        <v>66</v>
      </c>
      <c r="W13" s="1595" t="s">
        <v>65</v>
      </c>
      <c r="X13" s="1666" t="s">
        <v>66</v>
      </c>
      <c r="Y13" s="1595" t="s">
        <v>65</v>
      </c>
      <c r="Z13" s="1666" t="s">
        <v>66</v>
      </c>
      <c r="AA13" s="1595" t="s">
        <v>65</v>
      </c>
      <c r="AB13" s="1666" t="s">
        <v>66</v>
      </c>
      <c r="AC13" s="1595" t="s">
        <v>65</v>
      </c>
      <c r="AD13" s="1666" t="s">
        <v>66</v>
      </c>
      <c r="AE13" s="1595" t="s">
        <v>65</v>
      </c>
      <c r="AF13" s="1666" t="s">
        <v>66</v>
      </c>
      <c r="AG13" s="1595" t="s">
        <v>65</v>
      </c>
      <c r="AH13" s="1666" t="s">
        <v>66</v>
      </c>
      <c r="AI13" s="1595" t="s">
        <v>65</v>
      </c>
      <c r="AJ13" s="1666" t="s">
        <v>66</v>
      </c>
      <c r="AK13" s="1595" t="s">
        <v>65</v>
      </c>
      <c r="AL13" s="1666" t="s">
        <v>66</v>
      </c>
      <c r="AM13" s="1595" t="s">
        <v>65</v>
      </c>
      <c r="AN13" s="1667" t="s">
        <v>66</v>
      </c>
      <c r="AO13" s="6317"/>
      <c r="AP13" s="1595" t="s">
        <v>1350</v>
      </c>
      <c r="AQ13" s="1666" t="s">
        <v>1351</v>
      </c>
      <c r="AR13" s="5159"/>
      <c r="AS13" s="5159"/>
      <c r="AT13" s="5159"/>
      <c r="AU13" s="6300"/>
      <c r="AV13" s="884"/>
      <c r="AW13" s="884"/>
      <c r="AX13" s="884"/>
      <c r="AY13" s="884"/>
      <c r="AZ13" s="884"/>
      <c r="BA13" s="884"/>
      <c r="BB13" s="884"/>
      <c r="BC13" s="884"/>
      <c r="BD13" s="884"/>
      <c r="BE13" s="884"/>
      <c r="BF13" s="884"/>
      <c r="BG13" s="884"/>
      <c r="BH13" s="884"/>
      <c r="BY13" s="210"/>
      <c r="CH13" s="1346"/>
      <c r="CI13" s="1346"/>
      <c r="CJ13" s="1346"/>
      <c r="CK13" s="1346"/>
      <c r="CL13" s="1346"/>
      <c r="CM13" s="1346"/>
      <c r="CN13" s="1346"/>
      <c r="CO13" s="1346"/>
      <c r="CP13" s="1346"/>
    </row>
    <row r="14" spans="1:94" ht="16.350000000000001" customHeight="1" x14ac:dyDescent="0.25">
      <c r="A14" s="2458">
        <v>19120201</v>
      </c>
      <c r="B14" s="5787" t="s">
        <v>2044</v>
      </c>
      <c r="C14" s="1668" t="s">
        <v>29</v>
      </c>
      <c r="D14" s="1633" t="s">
        <v>2777</v>
      </c>
      <c r="E14" s="1634" t="s">
        <v>2778</v>
      </c>
      <c r="F14" s="1669" t="s">
        <v>2779</v>
      </c>
      <c r="G14" s="1670" t="s">
        <v>2780</v>
      </c>
      <c r="H14" s="1671" t="s">
        <v>2781</v>
      </c>
      <c r="I14" s="1670" t="s">
        <v>2782</v>
      </c>
      <c r="J14" s="1671" t="s">
        <v>2783</v>
      </c>
      <c r="K14" s="1670" t="s">
        <v>2784</v>
      </c>
      <c r="L14" s="1672" t="s">
        <v>2785</v>
      </c>
      <c r="M14" s="1670" t="s">
        <v>2786</v>
      </c>
      <c r="N14" s="1672" t="s">
        <v>2787</v>
      </c>
      <c r="O14" s="1670" t="s">
        <v>2788</v>
      </c>
      <c r="P14" s="1672" t="s">
        <v>2789</v>
      </c>
      <c r="Q14" s="1670" t="s">
        <v>2790</v>
      </c>
      <c r="R14" s="1672" t="s">
        <v>2791</v>
      </c>
      <c r="S14" s="1670" t="s">
        <v>2792</v>
      </c>
      <c r="T14" s="1672" t="s">
        <v>2793</v>
      </c>
      <c r="U14" s="1670" t="s">
        <v>2794</v>
      </c>
      <c r="V14" s="1672" t="s">
        <v>2795</v>
      </c>
      <c r="W14" s="1670" t="s">
        <v>2796</v>
      </c>
      <c r="X14" s="1672" t="s">
        <v>2797</v>
      </c>
      <c r="Y14" s="1670" t="s">
        <v>2798</v>
      </c>
      <c r="Z14" s="1672" t="s">
        <v>2799</v>
      </c>
      <c r="AA14" s="1670" t="s">
        <v>2800</v>
      </c>
      <c r="AB14" s="1672" t="s">
        <v>2801</v>
      </c>
      <c r="AC14" s="1670" t="s">
        <v>2817</v>
      </c>
      <c r="AD14" s="1672" t="s">
        <v>2818</v>
      </c>
      <c r="AE14" s="1670" t="s">
        <v>2819</v>
      </c>
      <c r="AF14" s="1672" t="s">
        <v>2821</v>
      </c>
      <c r="AG14" s="1670" t="s">
        <v>2822</v>
      </c>
      <c r="AH14" s="1672" t="s">
        <v>2823</v>
      </c>
      <c r="AI14" s="1670" t="s">
        <v>2824</v>
      </c>
      <c r="AJ14" s="1672" t="s">
        <v>2825</v>
      </c>
      <c r="AK14" s="1670" t="s">
        <v>2826</v>
      </c>
      <c r="AL14" s="1672" t="s">
        <v>2827</v>
      </c>
      <c r="AM14" s="1673" t="s">
        <v>2831</v>
      </c>
      <c r="AN14" s="1674" t="s">
        <v>2832</v>
      </c>
      <c r="AO14" s="1602" t="s">
        <v>2833</v>
      </c>
      <c r="AP14" s="1671" t="s">
        <v>2834</v>
      </c>
      <c r="AQ14" s="1604" t="s">
        <v>3011</v>
      </c>
      <c r="AR14" s="1604" t="s">
        <v>3012</v>
      </c>
      <c r="AS14" s="1604" t="s">
        <v>3013</v>
      </c>
      <c r="AT14" s="1675" t="s">
        <v>3014</v>
      </c>
      <c r="AU14" s="164" t="s">
        <v>3015</v>
      </c>
      <c r="AV14" s="1162" t="e">
        <f>$CB14&amp;$CC14&amp;$CD14&amp;$CE14</f>
        <v>#VALUE!</v>
      </c>
      <c r="AW14" s="1058"/>
      <c r="AX14" s="1058"/>
      <c r="AY14" s="1058"/>
      <c r="AZ14" s="1058"/>
      <c r="BA14" s="1058"/>
      <c r="BB14" s="1058"/>
      <c r="BC14" s="1058"/>
      <c r="BD14" s="1058"/>
      <c r="BE14" s="1058"/>
      <c r="BF14" s="1058"/>
      <c r="BG14" s="884"/>
      <c r="BH14" s="884"/>
      <c r="BY14" s="210"/>
      <c r="CB14" s="1362" t="str">
        <f>IF(CH14=1,"* No olvide digitar la columna Trans y/o Pueblos Originarios y/o Migrantes y/o Población SENAME (Digite Cero si no tiene). ","")</f>
        <v/>
      </c>
      <c r="CC14" s="1362" t="e">
        <f>IF(CI14=1,"* El número de Trans y/o Pueblos Originarios y/o Migrantes y/o Población SENAME NO DEBE ser mayor que el Total. ","")</f>
        <v>#VALUE!</v>
      </c>
      <c r="CD14" s="1362" t="str">
        <f>IF(CJ14=1,"* Las consejerías realizadas en Espacios amigables NO DEBEN ser mayor al Total. ","")</f>
        <v xml:space="preserve">* Las consejerías realizadas en Espacios amigables NO DEBEN ser mayor al Total. </v>
      </c>
      <c r="CE14" s="1362" t="e">
        <f>IF(CK14=1,"* La columna 14-18 AÑOS no puede ser mayor al total por grupo edad de 10 a 19 años. ","")</f>
        <v>#VALUE!</v>
      </c>
      <c r="CF14" s="1362"/>
      <c r="CG14" s="1362"/>
      <c r="CH14" s="1363">
        <f>IF(AND(D14&lt;&gt;0,OR(AP14="",AQ14="",AR14="",AS14="",AU14="")),1,0)</f>
        <v>0</v>
      </c>
      <c r="CI14" s="1363" t="e">
        <f>IF(OR(D14&lt;(AP14+AQ14),D14&lt;AR14,D14&lt;AS14,D14&lt;AU14),1,0)</f>
        <v>#VALUE!</v>
      </c>
      <c r="CJ14" s="1363">
        <f>IF(D14&lt;AO14,1,0)</f>
        <v>1</v>
      </c>
      <c r="CK14" s="1363" t="e">
        <f>IF((K14+L14+M14+N14)&lt;AT14,1,0)</f>
        <v>#VALUE!</v>
      </c>
      <c r="CL14" s="1346"/>
      <c r="CM14" s="1346"/>
      <c r="CN14" s="1346"/>
      <c r="CO14" s="1346"/>
      <c r="CP14" s="1346"/>
    </row>
    <row r="15" spans="1:94" ht="16.350000000000001" customHeight="1" x14ac:dyDescent="0.25">
      <c r="A15" s="2458">
        <v>19120202</v>
      </c>
      <c r="B15" s="5113"/>
      <c r="C15" s="179" t="s">
        <v>41</v>
      </c>
      <c r="D15" s="1635" t="s">
        <v>2777</v>
      </c>
      <c r="E15" s="1636" t="s">
        <v>2778</v>
      </c>
      <c r="F15" s="1676" t="s">
        <v>2779</v>
      </c>
      <c r="G15" s="141" t="s">
        <v>2780</v>
      </c>
      <c r="H15" s="198" t="s">
        <v>2781</v>
      </c>
      <c r="I15" s="141" t="s">
        <v>2782</v>
      </c>
      <c r="J15" s="198" t="s">
        <v>2783</v>
      </c>
      <c r="K15" s="141" t="s">
        <v>2784</v>
      </c>
      <c r="L15" s="163" t="s">
        <v>2785</v>
      </c>
      <c r="M15" s="141" t="s">
        <v>2786</v>
      </c>
      <c r="N15" s="163" t="s">
        <v>2787</v>
      </c>
      <c r="O15" s="141" t="s">
        <v>2788</v>
      </c>
      <c r="P15" s="163" t="s">
        <v>2789</v>
      </c>
      <c r="Q15" s="141" t="s">
        <v>2790</v>
      </c>
      <c r="R15" s="163" t="s">
        <v>2791</v>
      </c>
      <c r="S15" s="141" t="s">
        <v>2792</v>
      </c>
      <c r="T15" s="163" t="s">
        <v>2793</v>
      </c>
      <c r="U15" s="141" t="s">
        <v>2794</v>
      </c>
      <c r="V15" s="163" t="s">
        <v>2795</v>
      </c>
      <c r="W15" s="141" t="s">
        <v>2796</v>
      </c>
      <c r="X15" s="163" t="s">
        <v>2797</v>
      </c>
      <c r="Y15" s="141" t="s">
        <v>2798</v>
      </c>
      <c r="Z15" s="163" t="s">
        <v>2799</v>
      </c>
      <c r="AA15" s="141" t="s">
        <v>2800</v>
      </c>
      <c r="AB15" s="163" t="s">
        <v>2801</v>
      </c>
      <c r="AC15" s="141" t="s">
        <v>2817</v>
      </c>
      <c r="AD15" s="163" t="s">
        <v>2818</v>
      </c>
      <c r="AE15" s="141" t="s">
        <v>2819</v>
      </c>
      <c r="AF15" s="163" t="s">
        <v>2821</v>
      </c>
      <c r="AG15" s="141" t="s">
        <v>2822</v>
      </c>
      <c r="AH15" s="163" t="s">
        <v>2823</v>
      </c>
      <c r="AI15" s="141" t="s">
        <v>2824</v>
      </c>
      <c r="AJ15" s="163" t="s">
        <v>2825</v>
      </c>
      <c r="AK15" s="141" t="s">
        <v>2826</v>
      </c>
      <c r="AL15" s="163" t="s">
        <v>2827</v>
      </c>
      <c r="AM15" s="224" t="s">
        <v>2831</v>
      </c>
      <c r="AN15" s="318" t="s">
        <v>2832</v>
      </c>
      <c r="AO15" s="498" t="s">
        <v>2833</v>
      </c>
      <c r="AP15" s="198" t="s">
        <v>2834</v>
      </c>
      <c r="AQ15" s="164" t="s">
        <v>3011</v>
      </c>
      <c r="AR15" s="164" t="s">
        <v>3012</v>
      </c>
      <c r="AS15" s="164" t="s">
        <v>3013</v>
      </c>
      <c r="AT15" s="939" t="s">
        <v>3014</v>
      </c>
      <c r="AU15" s="164" t="s">
        <v>3015</v>
      </c>
      <c r="AV15" s="1162" t="e">
        <f t="shared" ref="AV15:AV78" si="0">$CB15&amp;$CC15&amp;$CD15&amp;$CE15</f>
        <v>#VALUE!</v>
      </c>
      <c r="AW15" s="1058"/>
      <c r="AX15" s="1058"/>
      <c r="AY15" s="1058"/>
      <c r="AZ15" s="1058"/>
      <c r="BA15" s="1058"/>
      <c r="BB15" s="1058"/>
      <c r="BC15" s="1058"/>
      <c r="BD15" s="1058"/>
      <c r="BE15" s="1058"/>
      <c r="BF15" s="1058"/>
      <c r="BG15" s="884"/>
      <c r="BH15" s="884"/>
      <c r="BY15" s="210"/>
      <c r="CB15" s="1362" t="str">
        <f t="shared" ref="CB15:CB78" si="1">IF(CH15=1,"* No olvide digitar la columna Trans y/o Pueblos Originarios y/o Migrantes y/o Población SENAME (Digite Cero si no tiene). ","")</f>
        <v/>
      </c>
      <c r="CC15" s="1362" t="e">
        <f t="shared" ref="CC15:CC78" si="2">IF(CI15=1,"* El número de Trans y/o Pueblos Originarios y/o Migrantes y/o Población SENAME NO DEBE ser mayor que el Total. ","")</f>
        <v>#VALUE!</v>
      </c>
      <c r="CD15" s="1362" t="str">
        <f t="shared" ref="CD15:CD78" si="3">IF(CJ15=1,"* Las consejerías realizadas en Espacios amigables NO DEBEN ser mayor al Total. ","")</f>
        <v xml:space="preserve">* Las consejerías realizadas en Espacios amigables NO DEBEN ser mayor al Total. </v>
      </c>
      <c r="CE15" s="1362" t="e">
        <f t="shared" ref="CE15:CE78" si="4">IF(CK15=1,"* La columna 14-18 AÑOS no puede ser mayor al total por grupo edad de 10 a 19 años. ","")</f>
        <v>#VALUE!</v>
      </c>
      <c r="CF15" s="1362"/>
      <c r="CG15" s="1362"/>
      <c r="CH15" s="1363">
        <f t="shared" ref="CH15:CH78" si="5">IF(AND(D15&lt;&gt;0,OR(AP15="",AQ15="",AR15="",AS15="",AU15="")),1,0)</f>
        <v>0</v>
      </c>
      <c r="CI15" s="1363" t="e">
        <f t="shared" ref="CI15:CI78" si="6">IF(OR(D15&lt;(AP15+AQ15),D15&lt;AR15,D15&lt;AS15,D15&lt;AU15),1,0)</f>
        <v>#VALUE!</v>
      </c>
      <c r="CJ15" s="1363">
        <f t="shared" ref="CJ15:CJ78" si="7">IF(D15&lt;AO15,1,0)</f>
        <v>1</v>
      </c>
      <c r="CK15" s="1363" t="e">
        <f t="shared" ref="CK15:CK78" si="8">IF((K15+L15+M15+N15)&lt;AT15,1,0)</f>
        <v>#VALUE!</v>
      </c>
      <c r="CL15" s="1346"/>
      <c r="CM15" s="1346"/>
      <c r="CN15" s="1346"/>
      <c r="CO15" s="1346"/>
      <c r="CP15" s="1346"/>
    </row>
    <row r="16" spans="1:94" ht="16.350000000000001" customHeight="1" x14ac:dyDescent="0.25">
      <c r="A16" s="2458">
        <v>19120203</v>
      </c>
      <c r="B16" s="5113"/>
      <c r="C16" s="179" t="s">
        <v>30</v>
      </c>
      <c r="D16" s="1635" t="s">
        <v>2777</v>
      </c>
      <c r="E16" s="1636" t="s">
        <v>2778</v>
      </c>
      <c r="F16" s="1676" t="s">
        <v>2779</v>
      </c>
      <c r="G16" s="141" t="s">
        <v>2780</v>
      </c>
      <c r="H16" s="198" t="s">
        <v>2781</v>
      </c>
      <c r="I16" s="141" t="s">
        <v>2782</v>
      </c>
      <c r="J16" s="198" t="s">
        <v>2783</v>
      </c>
      <c r="K16" s="141" t="s">
        <v>2784</v>
      </c>
      <c r="L16" s="163" t="s">
        <v>2785</v>
      </c>
      <c r="M16" s="141" t="s">
        <v>2786</v>
      </c>
      <c r="N16" s="163" t="s">
        <v>2787</v>
      </c>
      <c r="O16" s="141" t="s">
        <v>2788</v>
      </c>
      <c r="P16" s="163" t="s">
        <v>2789</v>
      </c>
      <c r="Q16" s="141" t="s">
        <v>2790</v>
      </c>
      <c r="R16" s="163" t="s">
        <v>2791</v>
      </c>
      <c r="S16" s="141" t="s">
        <v>2792</v>
      </c>
      <c r="T16" s="163" t="s">
        <v>2793</v>
      </c>
      <c r="U16" s="141" t="s">
        <v>2794</v>
      </c>
      <c r="V16" s="163" t="s">
        <v>2795</v>
      </c>
      <c r="W16" s="141" t="s">
        <v>2796</v>
      </c>
      <c r="X16" s="163" t="s">
        <v>2797</v>
      </c>
      <c r="Y16" s="141" t="s">
        <v>2798</v>
      </c>
      <c r="Z16" s="163" t="s">
        <v>2799</v>
      </c>
      <c r="AA16" s="141" t="s">
        <v>2800</v>
      </c>
      <c r="AB16" s="163" t="s">
        <v>2801</v>
      </c>
      <c r="AC16" s="141" t="s">
        <v>2817</v>
      </c>
      <c r="AD16" s="163" t="s">
        <v>2818</v>
      </c>
      <c r="AE16" s="141" t="s">
        <v>2819</v>
      </c>
      <c r="AF16" s="163" t="s">
        <v>2821</v>
      </c>
      <c r="AG16" s="141" t="s">
        <v>2822</v>
      </c>
      <c r="AH16" s="163" t="s">
        <v>2823</v>
      </c>
      <c r="AI16" s="141" t="s">
        <v>2824</v>
      </c>
      <c r="AJ16" s="163" t="s">
        <v>2825</v>
      </c>
      <c r="AK16" s="141" t="s">
        <v>2826</v>
      </c>
      <c r="AL16" s="163" t="s">
        <v>2827</v>
      </c>
      <c r="AM16" s="224" t="s">
        <v>2831</v>
      </c>
      <c r="AN16" s="318" t="s">
        <v>2832</v>
      </c>
      <c r="AO16" s="498" t="s">
        <v>2833</v>
      </c>
      <c r="AP16" s="198" t="s">
        <v>2834</v>
      </c>
      <c r="AQ16" s="164" t="s">
        <v>3011</v>
      </c>
      <c r="AR16" s="164" t="s">
        <v>3012</v>
      </c>
      <c r="AS16" s="164" t="s">
        <v>3013</v>
      </c>
      <c r="AT16" s="939" t="s">
        <v>3014</v>
      </c>
      <c r="AU16" s="164" t="s">
        <v>3015</v>
      </c>
      <c r="AV16" s="1162" t="e">
        <f t="shared" si="0"/>
        <v>#VALUE!</v>
      </c>
      <c r="AW16" s="1058"/>
      <c r="AX16" s="1058"/>
      <c r="AY16" s="1058"/>
      <c r="AZ16" s="1058"/>
      <c r="BA16" s="1058"/>
      <c r="BB16" s="1058"/>
      <c r="BC16" s="1058"/>
      <c r="BD16" s="1058"/>
      <c r="BE16" s="1058"/>
      <c r="BF16" s="1058"/>
      <c r="BG16" s="884"/>
      <c r="BH16" s="884"/>
      <c r="BY16" s="210"/>
      <c r="CB16" s="1362" t="str">
        <f t="shared" si="1"/>
        <v/>
      </c>
      <c r="CC16" s="1362" t="e">
        <f t="shared" si="2"/>
        <v>#VALUE!</v>
      </c>
      <c r="CD16" s="1362" t="str">
        <f t="shared" si="3"/>
        <v xml:space="preserve">* Las consejerías realizadas en Espacios amigables NO DEBEN ser mayor al Total. </v>
      </c>
      <c r="CE16" s="1362" t="e">
        <f t="shared" si="4"/>
        <v>#VALUE!</v>
      </c>
      <c r="CF16" s="1362"/>
      <c r="CG16" s="1362"/>
      <c r="CH16" s="1363">
        <f t="shared" si="5"/>
        <v>0</v>
      </c>
      <c r="CI16" s="1363" t="e">
        <f t="shared" si="6"/>
        <v>#VALUE!</v>
      </c>
      <c r="CJ16" s="1363">
        <f t="shared" si="7"/>
        <v>1</v>
      </c>
      <c r="CK16" s="1363" t="e">
        <f t="shared" si="8"/>
        <v>#VALUE!</v>
      </c>
      <c r="CL16" s="1346"/>
      <c r="CM16" s="1346"/>
      <c r="CN16" s="1346"/>
      <c r="CO16" s="1346"/>
      <c r="CP16" s="1346"/>
    </row>
    <row r="17" spans="1:94" ht="16.350000000000001" customHeight="1" x14ac:dyDescent="0.25">
      <c r="A17" s="2458">
        <v>19120204</v>
      </c>
      <c r="B17" s="5113"/>
      <c r="C17" s="179" t="s">
        <v>68</v>
      </c>
      <c r="D17" s="1635" t="s">
        <v>2777</v>
      </c>
      <c r="E17" s="1636" t="s">
        <v>2778</v>
      </c>
      <c r="F17" s="1676" t="s">
        <v>2779</v>
      </c>
      <c r="G17" s="141" t="s">
        <v>2780</v>
      </c>
      <c r="H17" s="198" t="s">
        <v>2781</v>
      </c>
      <c r="I17" s="141" t="s">
        <v>2782</v>
      </c>
      <c r="J17" s="198" t="s">
        <v>2783</v>
      </c>
      <c r="K17" s="141" t="s">
        <v>2784</v>
      </c>
      <c r="L17" s="163" t="s">
        <v>2785</v>
      </c>
      <c r="M17" s="141" t="s">
        <v>2786</v>
      </c>
      <c r="N17" s="163" t="s">
        <v>2787</v>
      </c>
      <c r="O17" s="141" t="s">
        <v>2788</v>
      </c>
      <c r="P17" s="163" t="s">
        <v>2789</v>
      </c>
      <c r="Q17" s="141" t="s">
        <v>2790</v>
      </c>
      <c r="R17" s="163" t="s">
        <v>2791</v>
      </c>
      <c r="S17" s="141" t="s">
        <v>2792</v>
      </c>
      <c r="T17" s="163" t="s">
        <v>2793</v>
      </c>
      <c r="U17" s="141" t="s">
        <v>2794</v>
      </c>
      <c r="V17" s="163" t="s">
        <v>2795</v>
      </c>
      <c r="W17" s="141" t="s">
        <v>2796</v>
      </c>
      <c r="X17" s="163" t="s">
        <v>2797</v>
      </c>
      <c r="Y17" s="141" t="s">
        <v>2798</v>
      </c>
      <c r="Z17" s="163" t="s">
        <v>2799</v>
      </c>
      <c r="AA17" s="141" t="s">
        <v>2800</v>
      </c>
      <c r="AB17" s="163" t="s">
        <v>2801</v>
      </c>
      <c r="AC17" s="141" t="s">
        <v>2817</v>
      </c>
      <c r="AD17" s="163" t="s">
        <v>2818</v>
      </c>
      <c r="AE17" s="141" t="s">
        <v>2819</v>
      </c>
      <c r="AF17" s="163" t="s">
        <v>2821</v>
      </c>
      <c r="AG17" s="141" t="s">
        <v>2822</v>
      </c>
      <c r="AH17" s="163" t="s">
        <v>2823</v>
      </c>
      <c r="AI17" s="141" t="s">
        <v>2824</v>
      </c>
      <c r="AJ17" s="163" t="s">
        <v>2825</v>
      </c>
      <c r="AK17" s="141" t="s">
        <v>2826</v>
      </c>
      <c r="AL17" s="163" t="s">
        <v>2827</v>
      </c>
      <c r="AM17" s="224" t="s">
        <v>2831</v>
      </c>
      <c r="AN17" s="318" t="s">
        <v>2832</v>
      </c>
      <c r="AO17" s="498" t="s">
        <v>2833</v>
      </c>
      <c r="AP17" s="198" t="s">
        <v>2834</v>
      </c>
      <c r="AQ17" s="164" t="s">
        <v>3011</v>
      </c>
      <c r="AR17" s="164" t="s">
        <v>3012</v>
      </c>
      <c r="AS17" s="164" t="s">
        <v>3013</v>
      </c>
      <c r="AT17" s="939" t="s">
        <v>3014</v>
      </c>
      <c r="AU17" s="164" t="s">
        <v>3015</v>
      </c>
      <c r="AV17" s="1162" t="e">
        <f t="shared" si="0"/>
        <v>#VALUE!</v>
      </c>
      <c r="AW17" s="1058"/>
      <c r="AX17" s="1058"/>
      <c r="AY17" s="1058"/>
      <c r="AZ17" s="1058"/>
      <c r="BA17" s="1058"/>
      <c r="BB17" s="1058"/>
      <c r="BC17" s="1058"/>
      <c r="BD17" s="1058"/>
      <c r="BE17" s="1058"/>
      <c r="BF17" s="1058"/>
      <c r="BG17" s="884"/>
      <c r="BH17" s="884"/>
      <c r="BY17" s="210"/>
      <c r="CB17" s="1362" t="str">
        <f t="shared" si="1"/>
        <v/>
      </c>
      <c r="CC17" s="1362" t="e">
        <f t="shared" si="2"/>
        <v>#VALUE!</v>
      </c>
      <c r="CD17" s="1362" t="str">
        <f t="shared" si="3"/>
        <v xml:space="preserve">* Las consejerías realizadas en Espacios amigables NO DEBEN ser mayor al Total. </v>
      </c>
      <c r="CE17" s="1362" t="e">
        <f t="shared" si="4"/>
        <v>#VALUE!</v>
      </c>
      <c r="CF17" s="1362"/>
      <c r="CG17" s="1362"/>
      <c r="CH17" s="1363">
        <f t="shared" si="5"/>
        <v>0</v>
      </c>
      <c r="CI17" s="1363" t="e">
        <f t="shared" si="6"/>
        <v>#VALUE!</v>
      </c>
      <c r="CJ17" s="1363">
        <f t="shared" si="7"/>
        <v>1</v>
      </c>
      <c r="CK17" s="1363" t="e">
        <f t="shared" si="8"/>
        <v>#VALUE!</v>
      </c>
      <c r="CL17" s="1346"/>
      <c r="CM17" s="1346"/>
      <c r="CN17" s="1346"/>
      <c r="CO17" s="1346"/>
      <c r="CP17" s="1346"/>
    </row>
    <row r="18" spans="1:94" ht="16.350000000000001" customHeight="1" x14ac:dyDescent="0.25">
      <c r="A18" s="2458">
        <v>19120206</v>
      </c>
      <c r="B18" s="5113"/>
      <c r="C18" s="179" t="s">
        <v>283</v>
      </c>
      <c r="D18" s="1635" t="s">
        <v>2777</v>
      </c>
      <c r="E18" s="1636" t="s">
        <v>2778</v>
      </c>
      <c r="F18" s="1676" t="s">
        <v>2779</v>
      </c>
      <c r="G18" s="141" t="s">
        <v>2780</v>
      </c>
      <c r="H18" s="198" t="s">
        <v>2781</v>
      </c>
      <c r="I18" s="141" t="s">
        <v>2782</v>
      </c>
      <c r="J18" s="198" t="s">
        <v>2783</v>
      </c>
      <c r="K18" s="141" t="s">
        <v>2784</v>
      </c>
      <c r="L18" s="163" t="s">
        <v>2785</v>
      </c>
      <c r="M18" s="141" t="s">
        <v>2786</v>
      </c>
      <c r="N18" s="163" t="s">
        <v>2787</v>
      </c>
      <c r="O18" s="141" t="s">
        <v>2788</v>
      </c>
      <c r="P18" s="163" t="s">
        <v>2789</v>
      </c>
      <c r="Q18" s="141" t="s">
        <v>2790</v>
      </c>
      <c r="R18" s="163" t="s">
        <v>2791</v>
      </c>
      <c r="S18" s="141" t="s">
        <v>2792</v>
      </c>
      <c r="T18" s="163" t="s">
        <v>2793</v>
      </c>
      <c r="U18" s="141" t="s">
        <v>2794</v>
      </c>
      <c r="V18" s="163" t="s">
        <v>2795</v>
      </c>
      <c r="W18" s="141" t="s">
        <v>2796</v>
      </c>
      <c r="X18" s="163" t="s">
        <v>2797</v>
      </c>
      <c r="Y18" s="141" t="s">
        <v>2798</v>
      </c>
      <c r="Z18" s="163" t="s">
        <v>2799</v>
      </c>
      <c r="AA18" s="141" t="s">
        <v>2800</v>
      </c>
      <c r="AB18" s="163" t="s">
        <v>2801</v>
      </c>
      <c r="AC18" s="141" t="s">
        <v>2817</v>
      </c>
      <c r="AD18" s="163" t="s">
        <v>2818</v>
      </c>
      <c r="AE18" s="141" t="s">
        <v>2819</v>
      </c>
      <c r="AF18" s="163" t="s">
        <v>2821</v>
      </c>
      <c r="AG18" s="141" t="s">
        <v>2822</v>
      </c>
      <c r="AH18" s="163" t="s">
        <v>2823</v>
      </c>
      <c r="AI18" s="141" t="s">
        <v>2824</v>
      </c>
      <c r="AJ18" s="163" t="s">
        <v>2825</v>
      </c>
      <c r="AK18" s="141" t="s">
        <v>2826</v>
      </c>
      <c r="AL18" s="163" t="s">
        <v>2827</v>
      </c>
      <c r="AM18" s="224" t="s">
        <v>2831</v>
      </c>
      <c r="AN18" s="318" t="s">
        <v>2832</v>
      </c>
      <c r="AO18" s="498" t="s">
        <v>2833</v>
      </c>
      <c r="AP18" s="198" t="s">
        <v>2834</v>
      </c>
      <c r="AQ18" s="164" t="s">
        <v>3011</v>
      </c>
      <c r="AR18" s="164" t="s">
        <v>3012</v>
      </c>
      <c r="AS18" s="164" t="s">
        <v>3013</v>
      </c>
      <c r="AT18" s="939" t="s">
        <v>3014</v>
      </c>
      <c r="AU18" s="164" t="s">
        <v>3015</v>
      </c>
      <c r="AV18" s="1162" t="e">
        <f t="shared" si="0"/>
        <v>#VALUE!</v>
      </c>
      <c r="AW18" s="1058"/>
      <c r="AX18" s="1058"/>
      <c r="AY18" s="1058"/>
      <c r="AZ18" s="1058"/>
      <c r="BA18" s="1058"/>
      <c r="BB18" s="1058"/>
      <c r="BC18" s="1058"/>
      <c r="BD18" s="1058"/>
      <c r="BE18" s="1058"/>
      <c r="BF18" s="1058"/>
      <c r="BG18" s="884"/>
      <c r="BH18" s="884"/>
      <c r="BY18" s="210"/>
      <c r="CB18" s="1362" t="str">
        <f t="shared" si="1"/>
        <v/>
      </c>
      <c r="CC18" s="1362" t="e">
        <f t="shared" si="2"/>
        <v>#VALUE!</v>
      </c>
      <c r="CD18" s="1362" t="str">
        <f t="shared" si="3"/>
        <v xml:space="preserve">* Las consejerías realizadas en Espacios amigables NO DEBEN ser mayor al Total. </v>
      </c>
      <c r="CE18" s="1362" t="e">
        <f t="shared" si="4"/>
        <v>#VALUE!</v>
      </c>
      <c r="CF18" s="1362"/>
      <c r="CG18" s="1362"/>
      <c r="CH18" s="1363">
        <f t="shared" si="5"/>
        <v>0</v>
      </c>
      <c r="CI18" s="1363" t="e">
        <f t="shared" si="6"/>
        <v>#VALUE!</v>
      </c>
      <c r="CJ18" s="1363">
        <f t="shared" si="7"/>
        <v>1</v>
      </c>
      <c r="CK18" s="1363" t="e">
        <f t="shared" si="8"/>
        <v>#VALUE!</v>
      </c>
      <c r="CL18" s="1346"/>
      <c r="CM18" s="1346"/>
      <c r="CN18" s="1346"/>
      <c r="CO18" s="1346"/>
      <c r="CP18" s="1346"/>
    </row>
    <row r="19" spans="1:94" ht="16.350000000000001" customHeight="1" x14ac:dyDescent="0.25">
      <c r="A19" s="2458">
        <v>19120208</v>
      </c>
      <c r="B19" s="5113"/>
      <c r="C19" s="179" t="s">
        <v>2045</v>
      </c>
      <c r="D19" s="1635" t="s">
        <v>2777</v>
      </c>
      <c r="E19" s="1636" t="s">
        <v>2778</v>
      </c>
      <c r="F19" s="1676" t="s">
        <v>2779</v>
      </c>
      <c r="G19" s="141" t="s">
        <v>2780</v>
      </c>
      <c r="H19" s="198" t="s">
        <v>2781</v>
      </c>
      <c r="I19" s="141" t="s">
        <v>2782</v>
      </c>
      <c r="J19" s="198" t="s">
        <v>2783</v>
      </c>
      <c r="K19" s="141" t="s">
        <v>2784</v>
      </c>
      <c r="L19" s="163" t="s">
        <v>2785</v>
      </c>
      <c r="M19" s="141" t="s">
        <v>2786</v>
      </c>
      <c r="N19" s="163" t="s">
        <v>2787</v>
      </c>
      <c r="O19" s="141" t="s">
        <v>2788</v>
      </c>
      <c r="P19" s="163" t="s">
        <v>2789</v>
      </c>
      <c r="Q19" s="141" t="s">
        <v>2790</v>
      </c>
      <c r="R19" s="163" t="s">
        <v>2791</v>
      </c>
      <c r="S19" s="141" t="s">
        <v>2792</v>
      </c>
      <c r="T19" s="163" t="s">
        <v>2793</v>
      </c>
      <c r="U19" s="141" t="s">
        <v>2794</v>
      </c>
      <c r="V19" s="163" t="s">
        <v>2795</v>
      </c>
      <c r="W19" s="141" t="s">
        <v>2796</v>
      </c>
      <c r="X19" s="163" t="s">
        <v>2797</v>
      </c>
      <c r="Y19" s="141" t="s">
        <v>2798</v>
      </c>
      <c r="Z19" s="163" t="s">
        <v>2799</v>
      </c>
      <c r="AA19" s="141" t="s">
        <v>2800</v>
      </c>
      <c r="AB19" s="163" t="s">
        <v>2801</v>
      </c>
      <c r="AC19" s="141" t="s">
        <v>2817</v>
      </c>
      <c r="AD19" s="163" t="s">
        <v>2818</v>
      </c>
      <c r="AE19" s="141" t="s">
        <v>2819</v>
      </c>
      <c r="AF19" s="163" t="s">
        <v>2821</v>
      </c>
      <c r="AG19" s="141" t="s">
        <v>2822</v>
      </c>
      <c r="AH19" s="163" t="s">
        <v>2823</v>
      </c>
      <c r="AI19" s="141" t="s">
        <v>2824</v>
      </c>
      <c r="AJ19" s="163" t="s">
        <v>2825</v>
      </c>
      <c r="AK19" s="141" t="s">
        <v>2826</v>
      </c>
      <c r="AL19" s="163" t="s">
        <v>2827</v>
      </c>
      <c r="AM19" s="224" t="s">
        <v>2831</v>
      </c>
      <c r="AN19" s="318" t="s">
        <v>2832</v>
      </c>
      <c r="AO19" s="498" t="s">
        <v>2833</v>
      </c>
      <c r="AP19" s="198" t="s">
        <v>2834</v>
      </c>
      <c r="AQ19" s="164" t="s">
        <v>3011</v>
      </c>
      <c r="AR19" s="164" t="s">
        <v>3012</v>
      </c>
      <c r="AS19" s="164" t="s">
        <v>3013</v>
      </c>
      <c r="AT19" s="939" t="s">
        <v>3014</v>
      </c>
      <c r="AU19" s="164" t="s">
        <v>3015</v>
      </c>
      <c r="AV19" s="1162" t="e">
        <f t="shared" si="0"/>
        <v>#VALUE!</v>
      </c>
      <c r="AW19" s="1058"/>
      <c r="AX19" s="1058"/>
      <c r="AY19" s="1058"/>
      <c r="AZ19" s="1058"/>
      <c r="BA19" s="1058"/>
      <c r="BB19" s="1058"/>
      <c r="BC19" s="1058"/>
      <c r="BD19" s="1058"/>
      <c r="BE19" s="1058"/>
      <c r="BF19" s="1058"/>
      <c r="BG19" s="884"/>
      <c r="BH19" s="884"/>
      <c r="BY19" s="210"/>
      <c r="CB19" s="1362" t="str">
        <f t="shared" si="1"/>
        <v/>
      </c>
      <c r="CC19" s="1362" t="e">
        <f t="shared" si="2"/>
        <v>#VALUE!</v>
      </c>
      <c r="CD19" s="1362" t="str">
        <f t="shared" si="3"/>
        <v xml:space="preserve">* Las consejerías realizadas en Espacios amigables NO DEBEN ser mayor al Total. </v>
      </c>
      <c r="CE19" s="1362" t="e">
        <f t="shared" si="4"/>
        <v>#VALUE!</v>
      </c>
      <c r="CF19" s="1362"/>
      <c r="CG19" s="1362"/>
      <c r="CH19" s="1363">
        <f t="shared" si="5"/>
        <v>0</v>
      </c>
      <c r="CI19" s="1363" t="e">
        <f t="shared" si="6"/>
        <v>#VALUE!</v>
      </c>
      <c r="CJ19" s="1363">
        <f t="shared" si="7"/>
        <v>1</v>
      </c>
      <c r="CK19" s="1363" t="e">
        <f t="shared" si="8"/>
        <v>#VALUE!</v>
      </c>
      <c r="CL19" s="1346"/>
      <c r="CM19" s="1346"/>
      <c r="CN19" s="1346"/>
      <c r="CO19" s="1346"/>
      <c r="CP19" s="1346"/>
    </row>
    <row r="20" spans="1:94" ht="16.350000000000001" customHeight="1" x14ac:dyDescent="0.25">
      <c r="A20" s="2458">
        <v>19120210</v>
      </c>
      <c r="B20" s="5113"/>
      <c r="C20" s="179" t="s">
        <v>499</v>
      </c>
      <c r="D20" s="1635" t="s">
        <v>2777</v>
      </c>
      <c r="E20" s="1636" t="s">
        <v>2778</v>
      </c>
      <c r="F20" s="1676" t="s">
        <v>2779</v>
      </c>
      <c r="G20" s="141" t="s">
        <v>2780</v>
      </c>
      <c r="H20" s="198" t="s">
        <v>2781</v>
      </c>
      <c r="I20" s="141" t="s">
        <v>2782</v>
      </c>
      <c r="J20" s="198" t="s">
        <v>2783</v>
      </c>
      <c r="K20" s="141" t="s">
        <v>2784</v>
      </c>
      <c r="L20" s="163" t="s">
        <v>2785</v>
      </c>
      <c r="M20" s="141" t="s">
        <v>2786</v>
      </c>
      <c r="N20" s="163" t="s">
        <v>2787</v>
      </c>
      <c r="O20" s="141" t="s">
        <v>2788</v>
      </c>
      <c r="P20" s="163" t="s">
        <v>2789</v>
      </c>
      <c r="Q20" s="141" t="s">
        <v>2790</v>
      </c>
      <c r="R20" s="163" t="s">
        <v>2791</v>
      </c>
      <c r="S20" s="141" t="s">
        <v>2792</v>
      </c>
      <c r="T20" s="163" t="s">
        <v>2793</v>
      </c>
      <c r="U20" s="141" t="s">
        <v>2794</v>
      </c>
      <c r="V20" s="163" t="s">
        <v>2795</v>
      </c>
      <c r="W20" s="141" t="s">
        <v>2796</v>
      </c>
      <c r="X20" s="163" t="s">
        <v>2797</v>
      </c>
      <c r="Y20" s="141" t="s">
        <v>2798</v>
      </c>
      <c r="Z20" s="163" t="s">
        <v>2799</v>
      </c>
      <c r="AA20" s="141" t="s">
        <v>2800</v>
      </c>
      <c r="AB20" s="163" t="s">
        <v>2801</v>
      </c>
      <c r="AC20" s="141" t="s">
        <v>2817</v>
      </c>
      <c r="AD20" s="163" t="s">
        <v>2818</v>
      </c>
      <c r="AE20" s="141" t="s">
        <v>2819</v>
      </c>
      <c r="AF20" s="163" t="s">
        <v>2821</v>
      </c>
      <c r="AG20" s="141" t="s">
        <v>2822</v>
      </c>
      <c r="AH20" s="163" t="s">
        <v>2823</v>
      </c>
      <c r="AI20" s="141" t="s">
        <v>2824</v>
      </c>
      <c r="AJ20" s="163" t="s">
        <v>2825</v>
      </c>
      <c r="AK20" s="141" t="s">
        <v>2826</v>
      </c>
      <c r="AL20" s="163" t="s">
        <v>2827</v>
      </c>
      <c r="AM20" s="224" t="s">
        <v>2831</v>
      </c>
      <c r="AN20" s="318" t="s">
        <v>2832</v>
      </c>
      <c r="AO20" s="498" t="s">
        <v>2833</v>
      </c>
      <c r="AP20" s="198" t="s">
        <v>2834</v>
      </c>
      <c r="AQ20" s="164" t="s">
        <v>3011</v>
      </c>
      <c r="AR20" s="164" t="s">
        <v>3012</v>
      </c>
      <c r="AS20" s="164" t="s">
        <v>3013</v>
      </c>
      <c r="AT20" s="939" t="s">
        <v>3014</v>
      </c>
      <c r="AU20" s="164" t="s">
        <v>3015</v>
      </c>
      <c r="AV20" s="1162" t="e">
        <f t="shared" si="0"/>
        <v>#VALUE!</v>
      </c>
      <c r="AW20" s="1058"/>
      <c r="AX20" s="1058"/>
      <c r="AY20" s="1058"/>
      <c r="AZ20" s="1058"/>
      <c r="BA20" s="1058"/>
      <c r="BB20" s="1058"/>
      <c r="BC20" s="1058"/>
      <c r="BD20" s="1058"/>
      <c r="BE20" s="1058"/>
      <c r="BF20" s="1058"/>
      <c r="BG20" s="884"/>
      <c r="BH20" s="884"/>
      <c r="BY20" s="210"/>
      <c r="CB20" s="1362" t="str">
        <f t="shared" si="1"/>
        <v/>
      </c>
      <c r="CC20" s="1362" t="e">
        <f t="shared" si="2"/>
        <v>#VALUE!</v>
      </c>
      <c r="CD20" s="1362" t="str">
        <f t="shared" si="3"/>
        <v xml:space="preserve">* Las consejerías realizadas en Espacios amigables NO DEBEN ser mayor al Total. </v>
      </c>
      <c r="CE20" s="1362" t="e">
        <f t="shared" si="4"/>
        <v>#VALUE!</v>
      </c>
      <c r="CF20" s="1362"/>
      <c r="CG20" s="1362"/>
      <c r="CH20" s="1363">
        <f t="shared" si="5"/>
        <v>0</v>
      </c>
      <c r="CI20" s="1363" t="e">
        <f t="shared" si="6"/>
        <v>#VALUE!</v>
      </c>
      <c r="CJ20" s="1363">
        <f t="shared" si="7"/>
        <v>1</v>
      </c>
      <c r="CK20" s="1363" t="e">
        <f t="shared" si="8"/>
        <v>#VALUE!</v>
      </c>
      <c r="CL20" s="1346"/>
      <c r="CM20" s="1346"/>
      <c r="CN20" s="1346"/>
      <c r="CO20" s="1346"/>
      <c r="CP20" s="1346"/>
    </row>
    <row r="21" spans="1:94" ht="16.350000000000001" customHeight="1" x14ac:dyDescent="0.25">
      <c r="A21" s="2458">
        <v>19170100</v>
      </c>
      <c r="B21" s="5113"/>
      <c r="C21" s="1626" t="s">
        <v>282</v>
      </c>
      <c r="D21" s="714" t="s">
        <v>2777</v>
      </c>
      <c r="E21" s="715" t="s">
        <v>2778</v>
      </c>
      <c r="F21" s="1677" t="s">
        <v>2779</v>
      </c>
      <c r="G21" s="182" t="s">
        <v>2780</v>
      </c>
      <c r="H21" s="240" t="s">
        <v>2781</v>
      </c>
      <c r="I21" s="182" t="s">
        <v>2782</v>
      </c>
      <c r="J21" s="240" t="s">
        <v>2783</v>
      </c>
      <c r="K21" s="182" t="s">
        <v>2784</v>
      </c>
      <c r="L21" s="183" t="s">
        <v>2785</v>
      </c>
      <c r="M21" s="182" t="s">
        <v>2786</v>
      </c>
      <c r="N21" s="183" t="s">
        <v>2787</v>
      </c>
      <c r="O21" s="182" t="s">
        <v>2788</v>
      </c>
      <c r="P21" s="183" t="s">
        <v>2789</v>
      </c>
      <c r="Q21" s="182" t="s">
        <v>2790</v>
      </c>
      <c r="R21" s="183" t="s">
        <v>2791</v>
      </c>
      <c r="S21" s="182" t="s">
        <v>2792</v>
      </c>
      <c r="T21" s="183" t="s">
        <v>2793</v>
      </c>
      <c r="U21" s="182" t="s">
        <v>2794</v>
      </c>
      <c r="V21" s="183" t="s">
        <v>2795</v>
      </c>
      <c r="W21" s="182" t="s">
        <v>2796</v>
      </c>
      <c r="X21" s="183" t="s">
        <v>2797</v>
      </c>
      <c r="Y21" s="182" t="s">
        <v>2798</v>
      </c>
      <c r="Z21" s="183" t="s">
        <v>2799</v>
      </c>
      <c r="AA21" s="182" t="s">
        <v>2800</v>
      </c>
      <c r="AB21" s="183" t="s">
        <v>2801</v>
      </c>
      <c r="AC21" s="182" t="s">
        <v>2817</v>
      </c>
      <c r="AD21" s="183" t="s">
        <v>2818</v>
      </c>
      <c r="AE21" s="182" t="s">
        <v>2819</v>
      </c>
      <c r="AF21" s="183" t="s">
        <v>2821</v>
      </c>
      <c r="AG21" s="182" t="s">
        <v>2822</v>
      </c>
      <c r="AH21" s="183" t="s">
        <v>2823</v>
      </c>
      <c r="AI21" s="182" t="s">
        <v>2824</v>
      </c>
      <c r="AJ21" s="183" t="s">
        <v>2825</v>
      </c>
      <c r="AK21" s="182" t="s">
        <v>2826</v>
      </c>
      <c r="AL21" s="183" t="s">
        <v>2827</v>
      </c>
      <c r="AM21" s="229" t="s">
        <v>2831</v>
      </c>
      <c r="AN21" s="593" t="s">
        <v>2832</v>
      </c>
      <c r="AO21" s="498" t="s">
        <v>2833</v>
      </c>
      <c r="AP21" s="240" t="s">
        <v>2834</v>
      </c>
      <c r="AQ21" s="164" t="s">
        <v>3011</v>
      </c>
      <c r="AR21" s="164" t="s">
        <v>3012</v>
      </c>
      <c r="AS21" s="164" t="s">
        <v>3013</v>
      </c>
      <c r="AT21" s="939" t="s">
        <v>3014</v>
      </c>
      <c r="AU21" s="164" t="s">
        <v>3015</v>
      </c>
      <c r="AV21" s="1162" t="e">
        <f t="shared" si="0"/>
        <v>#VALUE!</v>
      </c>
      <c r="AW21" s="1058"/>
      <c r="AX21" s="1058"/>
      <c r="AY21" s="1058"/>
      <c r="AZ21" s="1058"/>
      <c r="BA21" s="1058"/>
      <c r="BB21" s="1058"/>
      <c r="BC21" s="1058"/>
      <c r="BD21" s="1058"/>
      <c r="BE21" s="1058"/>
      <c r="BF21" s="1058"/>
      <c r="BG21" s="884"/>
      <c r="BH21" s="884"/>
      <c r="BY21" s="210"/>
      <c r="CB21" s="1362" t="str">
        <f t="shared" si="1"/>
        <v/>
      </c>
      <c r="CC21" s="1362" t="e">
        <f t="shared" si="2"/>
        <v>#VALUE!</v>
      </c>
      <c r="CD21" s="1362" t="str">
        <f t="shared" si="3"/>
        <v xml:space="preserve">* Las consejerías realizadas en Espacios amigables NO DEBEN ser mayor al Total. </v>
      </c>
      <c r="CE21" s="1362" t="e">
        <f t="shared" si="4"/>
        <v>#VALUE!</v>
      </c>
      <c r="CF21" s="1362"/>
      <c r="CG21" s="1362"/>
      <c r="CH21" s="1363">
        <f t="shared" si="5"/>
        <v>0</v>
      </c>
      <c r="CI21" s="1363" t="e">
        <f t="shared" si="6"/>
        <v>#VALUE!</v>
      </c>
      <c r="CJ21" s="1363">
        <f t="shared" si="7"/>
        <v>1</v>
      </c>
      <c r="CK21" s="1363" t="e">
        <f t="shared" si="8"/>
        <v>#VALUE!</v>
      </c>
      <c r="CL21" s="1346"/>
      <c r="CM21" s="1346"/>
      <c r="CN21" s="1346"/>
      <c r="CO21" s="1346"/>
      <c r="CP21" s="1346"/>
    </row>
    <row r="22" spans="1:94" ht="16.350000000000001" customHeight="1" x14ac:dyDescent="0.25">
      <c r="A22" s="2458">
        <v>19120211</v>
      </c>
      <c r="B22" s="5113"/>
      <c r="C22" s="179" t="s">
        <v>2046</v>
      </c>
      <c r="D22" s="1635" t="s">
        <v>2777</v>
      </c>
      <c r="E22" s="1636" t="s">
        <v>2778</v>
      </c>
      <c r="F22" s="1676" t="s">
        <v>2779</v>
      </c>
      <c r="G22" s="141" t="s">
        <v>2780</v>
      </c>
      <c r="H22" s="198" t="s">
        <v>2781</v>
      </c>
      <c r="I22" s="141" t="s">
        <v>2782</v>
      </c>
      <c r="J22" s="198" t="s">
        <v>2783</v>
      </c>
      <c r="K22" s="141" t="s">
        <v>2784</v>
      </c>
      <c r="L22" s="163" t="s">
        <v>2785</v>
      </c>
      <c r="M22" s="141" t="s">
        <v>2786</v>
      </c>
      <c r="N22" s="163" t="s">
        <v>2787</v>
      </c>
      <c r="O22" s="141" t="s">
        <v>2788</v>
      </c>
      <c r="P22" s="163" t="s">
        <v>2789</v>
      </c>
      <c r="Q22" s="141" t="s">
        <v>2790</v>
      </c>
      <c r="R22" s="163" t="s">
        <v>2791</v>
      </c>
      <c r="S22" s="141" t="s">
        <v>2792</v>
      </c>
      <c r="T22" s="163" t="s">
        <v>2793</v>
      </c>
      <c r="U22" s="141" t="s">
        <v>2794</v>
      </c>
      <c r="V22" s="163" t="s">
        <v>2795</v>
      </c>
      <c r="W22" s="141" t="s">
        <v>2796</v>
      </c>
      <c r="X22" s="163" t="s">
        <v>2797</v>
      </c>
      <c r="Y22" s="141" t="s">
        <v>2798</v>
      </c>
      <c r="Z22" s="163" t="s">
        <v>2799</v>
      </c>
      <c r="AA22" s="141" t="s">
        <v>2800</v>
      </c>
      <c r="AB22" s="163" t="s">
        <v>2801</v>
      </c>
      <c r="AC22" s="141" t="s">
        <v>2817</v>
      </c>
      <c r="AD22" s="163" t="s">
        <v>2818</v>
      </c>
      <c r="AE22" s="141" t="s">
        <v>2819</v>
      </c>
      <c r="AF22" s="163" t="s">
        <v>2821</v>
      </c>
      <c r="AG22" s="141" t="s">
        <v>2822</v>
      </c>
      <c r="AH22" s="163" t="s">
        <v>2823</v>
      </c>
      <c r="AI22" s="141" t="s">
        <v>2824</v>
      </c>
      <c r="AJ22" s="163" t="s">
        <v>2825</v>
      </c>
      <c r="AK22" s="141" t="s">
        <v>2826</v>
      </c>
      <c r="AL22" s="163" t="s">
        <v>2827</v>
      </c>
      <c r="AM22" s="224" t="s">
        <v>2831</v>
      </c>
      <c r="AN22" s="318" t="s">
        <v>2832</v>
      </c>
      <c r="AO22" s="498" t="s">
        <v>2833</v>
      </c>
      <c r="AP22" s="198" t="s">
        <v>2834</v>
      </c>
      <c r="AQ22" s="164" t="s">
        <v>3011</v>
      </c>
      <c r="AR22" s="164" t="s">
        <v>3012</v>
      </c>
      <c r="AS22" s="164" t="s">
        <v>3013</v>
      </c>
      <c r="AT22" s="939" t="s">
        <v>3014</v>
      </c>
      <c r="AU22" s="164" t="s">
        <v>3015</v>
      </c>
      <c r="AV22" s="1162" t="e">
        <f t="shared" si="0"/>
        <v>#VALUE!</v>
      </c>
      <c r="AW22" s="1058"/>
      <c r="AX22" s="1058"/>
      <c r="AY22" s="1058"/>
      <c r="AZ22" s="1058"/>
      <c r="BA22" s="1058"/>
      <c r="BB22" s="1058"/>
      <c r="BC22" s="1058"/>
      <c r="BD22" s="1058"/>
      <c r="BE22" s="1058"/>
      <c r="BF22" s="1058"/>
      <c r="BG22" s="884"/>
      <c r="BH22" s="884"/>
      <c r="BY22" s="210"/>
      <c r="CB22" s="1362" t="str">
        <f t="shared" si="1"/>
        <v/>
      </c>
      <c r="CC22" s="1362" t="e">
        <f t="shared" si="2"/>
        <v>#VALUE!</v>
      </c>
      <c r="CD22" s="1362" t="str">
        <f t="shared" si="3"/>
        <v xml:space="preserve">* Las consejerías realizadas en Espacios amigables NO DEBEN ser mayor al Total. </v>
      </c>
      <c r="CE22" s="1362" t="e">
        <f t="shared" si="4"/>
        <v>#VALUE!</v>
      </c>
      <c r="CF22" s="1362"/>
      <c r="CG22" s="1362"/>
      <c r="CH22" s="1363">
        <f t="shared" si="5"/>
        <v>0</v>
      </c>
      <c r="CI22" s="1363" t="e">
        <f t="shared" si="6"/>
        <v>#VALUE!</v>
      </c>
      <c r="CJ22" s="1363">
        <f t="shared" si="7"/>
        <v>1</v>
      </c>
      <c r="CK22" s="1363" t="e">
        <f t="shared" si="8"/>
        <v>#VALUE!</v>
      </c>
      <c r="CL22" s="1346"/>
      <c r="CM22" s="1346"/>
      <c r="CN22" s="1346"/>
      <c r="CO22" s="1346"/>
      <c r="CP22" s="1346"/>
    </row>
    <row r="23" spans="1:94" ht="16.350000000000001" customHeight="1" x14ac:dyDescent="0.25">
      <c r="A23" s="2458">
        <v>19120212</v>
      </c>
      <c r="B23" s="5113"/>
      <c r="C23" s="1632" t="s">
        <v>2047</v>
      </c>
      <c r="D23" s="1580" t="s">
        <v>2777</v>
      </c>
      <c r="E23" s="995" t="s">
        <v>2778</v>
      </c>
      <c r="F23" s="1678" t="s">
        <v>2779</v>
      </c>
      <c r="G23" s="141" t="s">
        <v>2780</v>
      </c>
      <c r="H23" s="198" t="s">
        <v>2781</v>
      </c>
      <c r="I23" s="141" t="s">
        <v>2782</v>
      </c>
      <c r="J23" s="198" t="s">
        <v>2783</v>
      </c>
      <c r="K23" s="141" t="s">
        <v>2784</v>
      </c>
      <c r="L23" s="163" t="s">
        <v>2785</v>
      </c>
      <c r="M23" s="141" t="s">
        <v>2786</v>
      </c>
      <c r="N23" s="163" t="s">
        <v>2787</v>
      </c>
      <c r="O23" s="141" t="s">
        <v>2788</v>
      </c>
      <c r="P23" s="163" t="s">
        <v>2789</v>
      </c>
      <c r="Q23" s="141" t="s">
        <v>2790</v>
      </c>
      <c r="R23" s="163" t="s">
        <v>2791</v>
      </c>
      <c r="S23" s="141" t="s">
        <v>2792</v>
      </c>
      <c r="T23" s="163" t="s">
        <v>2793</v>
      </c>
      <c r="U23" s="141" t="s">
        <v>2794</v>
      </c>
      <c r="V23" s="163" t="s">
        <v>2795</v>
      </c>
      <c r="W23" s="141" t="s">
        <v>2796</v>
      </c>
      <c r="X23" s="163" t="s">
        <v>2797</v>
      </c>
      <c r="Y23" s="141" t="s">
        <v>2798</v>
      </c>
      <c r="Z23" s="163" t="s">
        <v>2799</v>
      </c>
      <c r="AA23" s="141" t="s">
        <v>2800</v>
      </c>
      <c r="AB23" s="163" t="s">
        <v>2801</v>
      </c>
      <c r="AC23" s="141" t="s">
        <v>2817</v>
      </c>
      <c r="AD23" s="163" t="s">
        <v>2818</v>
      </c>
      <c r="AE23" s="141" t="s">
        <v>2819</v>
      </c>
      <c r="AF23" s="163" t="s">
        <v>2821</v>
      </c>
      <c r="AG23" s="141" t="s">
        <v>2822</v>
      </c>
      <c r="AH23" s="163" t="s">
        <v>2823</v>
      </c>
      <c r="AI23" s="141" t="s">
        <v>2824</v>
      </c>
      <c r="AJ23" s="163" t="s">
        <v>2825</v>
      </c>
      <c r="AK23" s="141" t="s">
        <v>2826</v>
      </c>
      <c r="AL23" s="163" t="s">
        <v>2827</v>
      </c>
      <c r="AM23" s="342" t="s">
        <v>2831</v>
      </c>
      <c r="AN23" s="318" t="s">
        <v>2832</v>
      </c>
      <c r="AO23" s="498" t="s">
        <v>2833</v>
      </c>
      <c r="AP23" s="198" t="s">
        <v>2834</v>
      </c>
      <c r="AQ23" s="164" t="s">
        <v>3011</v>
      </c>
      <c r="AR23" s="164" t="s">
        <v>3012</v>
      </c>
      <c r="AS23" s="164" t="s">
        <v>3013</v>
      </c>
      <c r="AT23" s="939" t="s">
        <v>3014</v>
      </c>
      <c r="AU23" s="164" t="s">
        <v>3015</v>
      </c>
      <c r="AV23" s="1162" t="e">
        <f t="shared" si="0"/>
        <v>#VALUE!</v>
      </c>
      <c r="AW23" s="1058"/>
      <c r="AX23" s="1058"/>
      <c r="AY23" s="1058"/>
      <c r="AZ23" s="1058"/>
      <c r="BA23" s="1058"/>
      <c r="BB23" s="1058"/>
      <c r="BC23" s="1058"/>
      <c r="BD23" s="1058"/>
      <c r="BE23" s="1058"/>
      <c r="BF23" s="1058"/>
      <c r="BG23" s="884"/>
      <c r="BH23" s="884"/>
      <c r="BY23" s="210"/>
      <c r="CB23" s="1362" t="str">
        <f t="shared" si="1"/>
        <v/>
      </c>
      <c r="CC23" s="1362" t="e">
        <f t="shared" si="2"/>
        <v>#VALUE!</v>
      </c>
      <c r="CD23" s="1362" t="str">
        <f t="shared" si="3"/>
        <v xml:space="preserve">* Las consejerías realizadas en Espacios amigables NO DEBEN ser mayor al Total. </v>
      </c>
      <c r="CE23" s="1362" t="e">
        <f t="shared" si="4"/>
        <v>#VALUE!</v>
      </c>
      <c r="CF23" s="1362"/>
      <c r="CG23" s="1362"/>
      <c r="CH23" s="1363">
        <f t="shared" si="5"/>
        <v>0</v>
      </c>
      <c r="CI23" s="1363" t="e">
        <f t="shared" si="6"/>
        <v>#VALUE!</v>
      </c>
      <c r="CJ23" s="1363">
        <f t="shared" si="7"/>
        <v>1</v>
      </c>
      <c r="CK23" s="1363" t="e">
        <f t="shared" si="8"/>
        <v>#VALUE!</v>
      </c>
      <c r="CL23" s="1346"/>
      <c r="CM23" s="1346"/>
      <c r="CN23" s="1346"/>
      <c r="CO23" s="1346"/>
      <c r="CP23" s="1346"/>
    </row>
    <row r="24" spans="1:94" ht="16.350000000000001" customHeight="1" x14ac:dyDescent="0.25">
      <c r="A24" s="2458">
        <v>19120205</v>
      </c>
      <c r="B24" s="5159"/>
      <c r="C24" s="283" t="s">
        <v>69</v>
      </c>
      <c r="D24" s="1637" t="s">
        <v>2777</v>
      </c>
      <c r="E24" s="1638" t="s">
        <v>2778</v>
      </c>
      <c r="F24" s="269" t="s">
        <v>2779</v>
      </c>
      <c r="G24" s="203" t="s">
        <v>2780</v>
      </c>
      <c r="H24" s="1123" t="s">
        <v>2781</v>
      </c>
      <c r="I24" s="203" t="s">
        <v>2782</v>
      </c>
      <c r="J24" s="1123" t="s">
        <v>2783</v>
      </c>
      <c r="K24" s="203" t="s">
        <v>2784</v>
      </c>
      <c r="L24" s="204" t="s">
        <v>2785</v>
      </c>
      <c r="M24" s="203" t="s">
        <v>2786</v>
      </c>
      <c r="N24" s="204" t="s">
        <v>2787</v>
      </c>
      <c r="O24" s="203" t="s">
        <v>2788</v>
      </c>
      <c r="P24" s="204" t="s">
        <v>2789</v>
      </c>
      <c r="Q24" s="203" t="s">
        <v>2790</v>
      </c>
      <c r="R24" s="204" t="s">
        <v>2791</v>
      </c>
      <c r="S24" s="203" t="s">
        <v>2792</v>
      </c>
      <c r="T24" s="204" t="s">
        <v>2793</v>
      </c>
      <c r="U24" s="203" t="s">
        <v>2794</v>
      </c>
      <c r="V24" s="204" t="s">
        <v>2795</v>
      </c>
      <c r="W24" s="203" t="s">
        <v>2796</v>
      </c>
      <c r="X24" s="204" t="s">
        <v>2797</v>
      </c>
      <c r="Y24" s="203" t="s">
        <v>2798</v>
      </c>
      <c r="Z24" s="204" t="s">
        <v>2799</v>
      </c>
      <c r="AA24" s="203" t="s">
        <v>2800</v>
      </c>
      <c r="AB24" s="204" t="s">
        <v>2801</v>
      </c>
      <c r="AC24" s="203" t="s">
        <v>2817</v>
      </c>
      <c r="AD24" s="204" t="s">
        <v>2818</v>
      </c>
      <c r="AE24" s="203" t="s">
        <v>2819</v>
      </c>
      <c r="AF24" s="204" t="s">
        <v>2821</v>
      </c>
      <c r="AG24" s="203" t="s">
        <v>2822</v>
      </c>
      <c r="AH24" s="204" t="s">
        <v>2823</v>
      </c>
      <c r="AI24" s="203" t="s">
        <v>2824</v>
      </c>
      <c r="AJ24" s="204" t="s">
        <v>2825</v>
      </c>
      <c r="AK24" s="203" t="s">
        <v>2826</v>
      </c>
      <c r="AL24" s="204" t="s">
        <v>2827</v>
      </c>
      <c r="AM24" s="166" t="s">
        <v>2831</v>
      </c>
      <c r="AN24" s="519" t="s">
        <v>2832</v>
      </c>
      <c r="AO24" s="1679" t="s">
        <v>2833</v>
      </c>
      <c r="AP24" s="1123" t="s">
        <v>2834</v>
      </c>
      <c r="AQ24" s="105" t="s">
        <v>3011</v>
      </c>
      <c r="AR24" s="105" t="s">
        <v>3012</v>
      </c>
      <c r="AS24" s="105" t="s">
        <v>3013</v>
      </c>
      <c r="AT24" s="613" t="s">
        <v>3014</v>
      </c>
      <c r="AU24" s="105" t="s">
        <v>3015</v>
      </c>
      <c r="AV24" s="1162" t="e">
        <f t="shared" si="0"/>
        <v>#VALUE!</v>
      </c>
      <c r="AW24" s="1058"/>
      <c r="AX24" s="1058"/>
      <c r="AY24" s="1058"/>
      <c r="AZ24" s="1058"/>
      <c r="BA24" s="1058"/>
      <c r="BB24" s="1058"/>
      <c r="BC24" s="1058"/>
      <c r="BD24" s="1058"/>
      <c r="BE24" s="1058"/>
      <c r="BF24" s="1058"/>
      <c r="BG24" s="884"/>
      <c r="BH24" s="884"/>
      <c r="BY24" s="210"/>
      <c r="CB24" s="1362" t="str">
        <f t="shared" si="1"/>
        <v/>
      </c>
      <c r="CC24" s="1362" t="e">
        <f t="shared" si="2"/>
        <v>#VALUE!</v>
      </c>
      <c r="CD24" s="1362" t="str">
        <f t="shared" si="3"/>
        <v xml:space="preserve">* Las consejerías realizadas en Espacios amigables NO DEBEN ser mayor al Total. </v>
      </c>
      <c r="CE24" s="1362" t="e">
        <f t="shared" si="4"/>
        <v>#VALUE!</v>
      </c>
      <c r="CF24" s="1362"/>
      <c r="CG24" s="1362"/>
      <c r="CH24" s="1363">
        <f t="shared" si="5"/>
        <v>0</v>
      </c>
      <c r="CI24" s="1363" t="e">
        <f t="shared" si="6"/>
        <v>#VALUE!</v>
      </c>
      <c r="CJ24" s="1363">
        <f t="shared" si="7"/>
        <v>1</v>
      </c>
      <c r="CK24" s="1363" t="e">
        <f t="shared" si="8"/>
        <v>#VALUE!</v>
      </c>
      <c r="CL24" s="1346"/>
      <c r="CM24" s="1346"/>
      <c r="CN24" s="1346"/>
      <c r="CO24" s="1346"/>
      <c r="CP24" s="1346"/>
    </row>
    <row r="25" spans="1:94" ht="16.350000000000001" customHeight="1" x14ac:dyDescent="0.25">
      <c r="A25" s="2458">
        <v>19184000</v>
      </c>
      <c r="B25" s="5787" t="s">
        <v>2048</v>
      </c>
      <c r="C25" s="1668" t="s">
        <v>29</v>
      </c>
      <c r="D25" s="1633" t="s">
        <v>2777</v>
      </c>
      <c r="E25" s="1634" t="s">
        <v>2778</v>
      </c>
      <c r="F25" s="1669" t="s">
        <v>2779</v>
      </c>
      <c r="G25" s="137" t="s">
        <v>2780</v>
      </c>
      <c r="H25" s="1603" t="s">
        <v>2781</v>
      </c>
      <c r="I25" s="137" t="s">
        <v>2782</v>
      </c>
      <c r="J25" s="1603" t="s">
        <v>2783</v>
      </c>
      <c r="K25" s="137" t="s">
        <v>2784</v>
      </c>
      <c r="L25" s="123" t="s">
        <v>2785</v>
      </c>
      <c r="M25" s="137" t="s">
        <v>2786</v>
      </c>
      <c r="N25" s="123" t="s">
        <v>2787</v>
      </c>
      <c r="O25" s="137" t="s">
        <v>2788</v>
      </c>
      <c r="P25" s="123" t="s">
        <v>2789</v>
      </c>
      <c r="Q25" s="137" t="s">
        <v>2790</v>
      </c>
      <c r="R25" s="123" t="s">
        <v>2791</v>
      </c>
      <c r="S25" s="137" t="s">
        <v>2792</v>
      </c>
      <c r="T25" s="123" t="s">
        <v>2793</v>
      </c>
      <c r="U25" s="137" t="s">
        <v>2794</v>
      </c>
      <c r="V25" s="123" t="s">
        <v>2795</v>
      </c>
      <c r="W25" s="137" t="s">
        <v>2796</v>
      </c>
      <c r="X25" s="123" t="s">
        <v>2797</v>
      </c>
      <c r="Y25" s="137" t="s">
        <v>2798</v>
      </c>
      <c r="Z25" s="123" t="s">
        <v>2799</v>
      </c>
      <c r="AA25" s="137" t="s">
        <v>2800</v>
      </c>
      <c r="AB25" s="123" t="s">
        <v>2801</v>
      </c>
      <c r="AC25" s="137" t="s">
        <v>2817</v>
      </c>
      <c r="AD25" s="123" t="s">
        <v>2818</v>
      </c>
      <c r="AE25" s="137" t="s">
        <v>2819</v>
      </c>
      <c r="AF25" s="123" t="s">
        <v>2821</v>
      </c>
      <c r="AG25" s="137" t="s">
        <v>2822</v>
      </c>
      <c r="AH25" s="123" t="s">
        <v>2823</v>
      </c>
      <c r="AI25" s="137" t="s">
        <v>2824</v>
      </c>
      <c r="AJ25" s="123" t="s">
        <v>2825</v>
      </c>
      <c r="AK25" s="137" t="s">
        <v>2826</v>
      </c>
      <c r="AL25" s="123" t="s">
        <v>2827</v>
      </c>
      <c r="AM25" s="1680" t="s">
        <v>2831</v>
      </c>
      <c r="AN25" s="517" t="s">
        <v>2832</v>
      </c>
      <c r="AO25" s="500" t="s">
        <v>2833</v>
      </c>
      <c r="AP25" s="1603" t="s">
        <v>2834</v>
      </c>
      <c r="AQ25" s="1604" t="s">
        <v>3011</v>
      </c>
      <c r="AR25" s="1604" t="s">
        <v>3012</v>
      </c>
      <c r="AS25" s="1604" t="s">
        <v>3013</v>
      </c>
      <c r="AT25" s="1675" t="s">
        <v>3014</v>
      </c>
      <c r="AU25" s="112" t="s">
        <v>3015</v>
      </c>
      <c r="AV25" s="1162" t="e">
        <f t="shared" si="0"/>
        <v>#VALUE!</v>
      </c>
      <c r="AW25" s="1058"/>
      <c r="AX25" s="1058"/>
      <c r="AY25" s="1058"/>
      <c r="AZ25" s="1058"/>
      <c r="BA25" s="1058"/>
      <c r="BB25" s="1058"/>
      <c r="BC25" s="1058"/>
      <c r="BD25" s="1058"/>
      <c r="BE25" s="1058"/>
      <c r="BF25" s="1058"/>
      <c r="BG25" s="884"/>
      <c r="BH25" s="884"/>
      <c r="BY25" s="210"/>
      <c r="CB25" s="1362" t="str">
        <f t="shared" si="1"/>
        <v/>
      </c>
      <c r="CC25" s="1362" t="e">
        <f t="shared" si="2"/>
        <v>#VALUE!</v>
      </c>
      <c r="CD25" s="1362" t="str">
        <f t="shared" si="3"/>
        <v xml:space="preserve">* Las consejerías realizadas en Espacios amigables NO DEBEN ser mayor al Total. </v>
      </c>
      <c r="CE25" s="1362" t="e">
        <f t="shared" si="4"/>
        <v>#VALUE!</v>
      </c>
      <c r="CF25" s="1362"/>
      <c r="CG25" s="1362"/>
      <c r="CH25" s="1363">
        <f t="shared" si="5"/>
        <v>0</v>
      </c>
      <c r="CI25" s="1363" t="e">
        <f t="shared" si="6"/>
        <v>#VALUE!</v>
      </c>
      <c r="CJ25" s="1363">
        <f t="shared" si="7"/>
        <v>1</v>
      </c>
      <c r="CK25" s="1363" t="e">
        <f t="shared" si="8"/>
        <v>#VALUE!</v>
      </c>
      <c r="CL25" s="1346"/>
      <c r="CM25" s="1346"/>
      <c r="CN25" s="1346"/>
      <c r="CO25" s="1346"/>
      <c r="CP25" s="1346"/>
    </row>
    <row r="26" spans="1:94" ht="16.350000000000001" customHeight="1" x14ac:dyDescent="0.25">
      <c r="A26" s="2458">
        <v>19184100</v>
      </c>
      <c r="B26" s="5113"/>
      <c r="C26" s="179" t="s">
        <v>41</v>
      </c>
      <c r="D26" s="1635" t="s">
        <v>2777</v>
      </c>
      <c r="E26" s="1636" t="s">
        <v>2778</v>
      </c>
      <c r="F26" s="1676" t="s">
        <v>2779</v>
      </c>
      <c r="G26" s="141" t="s">
        <v>2780</v>
      </c>
      <c r="H26" s="198" t="s">
        <v>2781</v>
      </c>
      <c r="I26" s="141" t="s">
        <v>2782</v>
      </c>
      <c r="J26" s="198" t="s">
        <v>2783</v>
      </c>
      <c r="K26" s="141" t="s">
        <v>2784</v>
      </c>
      <c r="L26" s="163" t="s">
        <v>2785</v>
      </c>
      <c r="M26" s="141" t="s">
        <v>2786</v>
      </c>
      <c r="N26" s="163" t="s">
        <v>2787</v>
      </c>
      <c r="O26" s="141" t="s">
        <v>2788</v>
      </c>
      <c r="P26" s="163" t="s">
        <v>2789</v>
      </c>
      <c r="Q26" s="141" t="s">
        <v>2790</v>
      </c>
      <c r="R26" s="163" t="s">
        <v>2791</v>
      </c>
      <c r="S26" s="141" t="s">
        <v>2792</v>
      </c>
      <c r="T26" s="163" t="s">
        <v>2793</v>
      </c>
      <c r="U26" s="141" t="s">
        <v>2794</v>
      </c>
      <c r="V26" s="163" t="s">
        <v>2795</v>
      </c>
      <c r="W26" s="141" t="s">
        <v>2796</v>
      </c>
      <c r="X26" s="163" t="s">
        <v>2797</v>
      </c>
      <c r="Y26" s="141" t="s">
        <v>2798</v>
      </c>
      <c r="Z26" s="163" t="s">
        <v>2799</v>
      </c>
      <c r="AA26" s="141" t="s">
        <v>2800</v>
      </c>
      <c r="AB26" s="163" t="s">
        <v>2801</v>
      </c>
      <c r="AC26" s="141" t="s">
        <v>2817</v>
      </c>
      <c r="AD26" s="163" t="s">
        <v>2818</v>
      </c>
      <c r="AE26" s="141" t="s">
        <v>2819</v>
      </c>
      <c r="AF26" s="163" t="s">
        <v>2821</v>
      </c>
      <c r="AG26" s="141" t="s">
        <v>2822</v>
      </c>
      <c r="AH26" s="163" t="s">
        <v>2823</v>
      </c>
      <c r="AI26" s="141" t="s">
        <v>2824</v>
      </c>
      <c r="AJ26" s="163" t="s">
        <v>2825</v>
      </c>
      <c r="AK26" s="141" t="s">
        <v>2826</v>
      </c>
      <c r="AL26" s="163" t="s">
        <v>2827</v>
      </c>
      <c r="AM26" s="224" t="s">
        <v>2831</v>
      </c>
      <c r="AN26" s="318" t="s">
        <v>2832</v>
      </c>
      <c r="AO26" s="498" t="s">
        <v>2833</v>
      </c>
      <c r="AP26" s="198" t="s">
        <v>2834</v>
      </c>
      <c r="AQ26" s="164" t="s">
        <v>3011</v>
      </c>
      <c r="AR26" s="164" t="s">
        <v>3012</v>
      </c>
      <c r="AS26" s="164" t="s">
        <v>3013</v>
      </c>
      <c r="AT26" s="939" t="s">
        <v>3014</v>
      </c>
      <c r="AU26" s="164" t="s">
        <v>3015</v>
      </c>
      <c r="AV26" s="1162" t="e">
        <f t="shared" si="0"/>
        <v>#VALUE!</v>
      </c>
      <c r="AW26" s="1058"/>
      <c r="AX26" s="1058"/>
      <c r="AY26" s="1058"/>
      <c r="AZ26" s="1058"/>
      <c r="BA26" s="1058"/>
      <c r="BB26" s="1058"/>
      <c r="BC26" s="1058"/>
      <c r="BD26" s="1058"/>
      <c r="BE26" s="1058"/>
      <c r="BF26" s="1058"/>
      <c r="BG26" s="884"/>
      <c r="BH26" s="884"/>
      <c r="BY26" s="210"/>
      <c r="CB26" s="1362" t="str">
        <f t="shared" si="1"/>
        <v/>
      </c>
      <c r="CC26" s="1362" t="e">
        <f t="shared" si="2"/>
        <v>#VALUE!</v>
      </c>
      <c r="CD26" s="1362" t="str">
        <f t="shared" si="3"/>
        <v xml:space="preserve">* Las consejerías realizadas en Espacios amigables NO DEBEN ser mayor al Total. </v>
      </c>
      <c r="CE26" s="1362" t="e">
        <f t="shared" si="4"/>
        <v>#VALUE!</v>
      </c>
      <c r="CF26" s="1362"/>
      <c r="CG26" s="1362"/>
      <c r="CH26" s="1363">
        <f t="shared" si="5"/>
        <v>0</v>
      </c>
      <c r="CI26" s="1363" t="e">
        <f t="shared" si="6"/>
        <v>#VALUE!</v>
      </c>
      <c r="CJ26" s="1363">
        <f t="shared" si="7"/>
        <v>1</v>
      </c>
      <c r="CK26" s="1363" t="e">
        <f t="shared" si="8"/>
        <v>#VALUE!</v>
      </c>
      <c r="CL26" s="1346"/>
      <c r="CM26" s="1346"/>
      <c r="CN26" s="1346"/>
      <c r="CO26" s="1346"/>
      <c r="CP26" s="1346"/>
    </row>
    <row r="27" spans="1:94" ht="16.350000000000001" customHeight="1" x14ac:dyDescent="0.25">
      <c r="A27" s="2458">
        <v>19184200</v>
      </c>
      <c r="B27" s="5113"/>
      <c r="C27" s="179" t="s">
        <v>30</v>
      </c>
      <c r="D27" s="1635" t="s">
        <v>2777</v>
      </c>
      <c r="E27" s="1636" t="s">
        <v>2778</v>
      </c>
      <c r="F27" s="1676" t="s">
        <v>2779</v>
      </c>
      <c r="G27" s="141" t="s">
        <v>2780</v>
      </c>
      <c r="H27" s="198" t="s">
        <v>2781</v>
      </c>
      <c r="I27" s="141" t="s">
        <v>2782</v>
      </c>
      <c r="J27" s="198" t="s">
        <v>2783</v>
      </c>
      <c r="K27" s="141" t="s">
        <v>2784</v>
      </c>
      <c r="L27" s="163" t="s">
        <v>2785</v>
      </c>
      <c r="M27" s="141" t="s">
        <v>2786</v>
      </c>
      <c r="N27" s="163" t="s">
        <v>2787</v>
      </c>
      <c r="O27" s="141" t="s">
        <v>2788</v>
      </c>
      <c r="P27" s="163" t="s">
        <v>2789</v>
      </c>
      <c r="Q27" s="141" t="s">
        <v>2790</v>
      </c>
      <c r="R27" s="163" t="s">
        <v>2791</v>
      </c>
      <c r="S27" s="141" t="s">
        <v>2792</v>
      </c>
      <c r="T27" s="163" t="s">
        <v>2793</v>
      </c>
      <c r="U27" s="141" t="s">
        <v>2794</v>
      </c>
      <c r="V27" s="163" t="s">
        <v>2795</v>
      </c>
      <c r="W27" s="141" t="s">
        <v>2796</v>
      </c>
      <c r="X27" s="163" t="s">
        <v>2797</v>
      </c>
      <c r="Y27" s="141" t="s">
        <v>2798</v>
      </c>
      <c r="Z27" s="163" t="s">
        <v>2799</v>
      </c>
      <c r="AA27" s="141" t="s">
        <v>2800</v>
      </c>
      <c r="AB27" s="163" t="s">
        <v>2801</v>
      </c>
      <c r="AC27" s="141" t="s">
        <v>2817</v>
      </c>
      <c r="AD27" s="163" t="s">
        <v>2818</v>
      </c>
      <c r="AE27" s="141" t="s">
        <v>2819</v>
      </c>
      <c r="AF27" s="163" t="s">
        <v>2821</v>
      </c>
      <c r="AG27" s="141" t="s">
        <v>2822</v>
      </c>
      <c r="AH27" s="163" t="s">
        <v>2823</v>
      </c>
      <c r="AI27" s="141" t="s">
        <v>2824</v>
      </c>
      <c r="AJ27" s="163" t="s">
        <v>2825</v>
      </c>
      <c r="AK27" s="141" t="s">
        <v>2826</v>
      </c>
      <c r="AL27" s="163" t="s">
        <v>2827</v>
      </c>
      <c r="AM27" s="224" t="s">
        <v>2831</v>
      </c>
      <c r="AN27" s="318" t="s">
        <v>2832</v>
      </c>
      <c r="AO27" s="498" t="s">
        <v>2833</v>
      </c>
      <c r="AP27" s="198" t="s">
        <v>2834</v>
      </c>
      <c r="AQ27" s="164" t="s">
        <v>3011</v>
      </c>
      <c r="AR27" s="164" t="s">
        <v>3012</v>
      </c>
      <c r="AS27" s="164" t="s">
        <v>3013</v>
      </c>
      <c r="AT27" s="939" t="s">
        <v>3014</v>
      </c>
      <c r="AU27" s="164" t="s">
        <v>3015</v>
      </c>
      <c r="AV27" s="1162" t="e">
        <f t="shared" si="0"/>
        <v>#VALUE!</v>
      </c>
      <c r="AW27" s="1058"/>
      <c r="AX27" s="1058"/>
      <c r="AY27" s="1058"/>
      <c r="AZ27" s="1058"/>
      <c r="BA27" s="1058"/>
      <c r="BB27" s="1058"/>
      <c r="BC27" s="1058"/>
      <c r="BD27" s="1058"/>
      <c r="BE27" s="1058"/>
      <c r="BF27" s="1058"/>
      <c r="BG27" s="884"/>
      <c r="BH27" s="884"/>
      <c r="BY27" s="210"/>
      <c r="CB27" s="1362" t="str">
        <f t="shared" si="1"/>
        <v/>
      </c>
      <c r="CC27" s="1362" t="e">
        <f t="shared" si="2"/>
        <v>#VALUE!</v>
      </c>
      <c r="CD27" s="1362" t="str">
        <f t="shared" si="3"/>
        <v xml:space="preserve">* Las consejerías realizadas en Espacios amigables NO DEBEN ser mayor al Total. </v>
      </c>
      <c r="CE27" s="1362" t="e">
        <f t="shared" si="4"/>
        <v>#VALUE!</v>
      </c>
      <c r="CF27" s="1362"/>
      <c r="CG27" s="1362"/>
      <c r="CH27" s="1363">
        <f t="shared" si="5"/>
        <v>0</v>
      </c>
      <c r="CI27" s="1363" t="e">
        <f t="shared" si="6"/>
        <v>#VALUE!</v>
      </c>
      <c r="CJ27" s="1363">
        <f t="shared" si="7"/>
        <v>1</v>
      </c>
      <c r="CK27" s="1363" t="e">
        <f t="shared" si="8"/>
        <v>#VALUE!</v>
      </c>
      <c r="CL27" s="1346"/>
      <c r="CM27" s="1346"/>
      <c r="CN27" s="1346"/>
      <c r="CO27" s="1346"/>
      <c r="CP27" s="1346"/>
    </row>
    <row r="28" spans="1:94" ht="16.350000000000001" customHeight="1" x14ac:dyDescent="0.25">
      <c r="A28" s="2458">
        <v>19184300</v>
      </c>
      <c r="B28" s="5113"/>
      <c r="C28" s="179" t="s">
        <v>68</v>
      </c>
      <c r="D28" s="1635" t="s">
        <v>2777</v>
      </c>
      <c r="E28" s="1636" t="s">
        <v>2778</v>
      </c>
      <c r="F28" s="1676" t="s">
        <v>2779</v>
      </c>
      <c r="G28" s="141" t="s">
        <v>2780</v>
      </c>
      <c r="H28" s="198" t="s">
        <v>2781</v>
      </c>
      <c r="I28" s="141" t="s">
        <v>2782</v>
      </c>
      <c r="J28" s="198" t="s">
        <v>2783</v>
      </c>
      <c r="K28" s="141" t="s">
        <v>2784</v>
      </c>
      <c r="L28" s="163" t="s">
        <v>2785</v>
      </c>
      <c r="M28" s="141" t="s">
        <v>2786</v>
      </c>
      <c r="N28" s="163" t="s">
        <v>2787</v>
      </c>
      <c r="O28" s="141" t="s">
        <v>2788</v>
      </c>
      <c r="P28" s="163" t="s">
        <v>2789</v>
      </c>
      <c r="Q28" s="141" t="s">
        <v>2790</v>
      </c>
      <c r="R28" s="163" t="s">
        <v>2791</v>
      </c>
      <c r="S28" s="141" t="s">
        <v>2792</v>
      </c>
      <c r="T28" s="163" t="s">
        <v>2793</v>
      </c>
      <c r="U28" s="141" t="s">
        <v>2794</v>
      </c>
      <c r="V28" s="163" t="s">
        <v>2795</v>
      </c>
      <c r="W28" s="141" t="s">
        <v>2796</v>
      </c>
      <c r="X28" s="163" t="s">
        <v>2797</v>
      </c>
      <c r="Y28" s="141" t="s">
        <v>2798</v>
      </c>
      <c r="Z28" s="163" t="s">
        <v>2799</v>
      </c>
      <c r="AA28" s="141" t="s">
        <v>2800</v>
      </c>
      <c r="AB28" s="163" t="s">
        <v>2801</v>
      </c>
      <c r="AC28" s="141" t="s">
        <v>2817</v>
      </c>
      <c r="AD28" s="163" t="s">
        <v>2818</v>
      </c>
      <c r="AE28" s="141" t="s">
        <v>2819</v>
      </c>
      <c r="AF28" s="163" t="s">
        <v>2821</v>
      </c>
      <c r="AG28" s="141" t="s">
        <v>2822</v>
      </c>
      <c r="AH28" s="163" t="s">
        <v>2823</v>
      </c>
      <c r="AI28" s="141" t="s">
        <v>2824</v>
      </c>
      <c r="AJ28" s="163" t="s">
        <v>2825</v>
      </c>
      <c r="AK28" s="141" t="s">
        <v>2826</v>
      </c>
      <c r="AL28" s="163" t="s">
        <v>2827</v>
      </c>
      <c r="AM28" s="224" t="s">
        <v>2831</v>
      </c>
      <c r="AN28" s="318" t="s">
        <v>2832</v>
      </c>
      <c r="AO28" s="498" t="s">
        <v>2833</v>
      </c>
      <c r="AP28" s="198" t="s">
        <v>2834</v>
      </c>
      <c r="AQ28" s="164" t="s">
        <v>3011</v>
      </c>
      <c r="AR28" s="164" t="s">
        <v>3012</v>
      </c>
      <c r="AS28" s="164" t="s">
        <v>3013</v>
      </c>
      <c r="AT28" s="939" t="s">
        <v>3014</v>
      </c>
      <c r="AU28" s="164" t="s">
        <v>3015</v>
      </c>
      <c r="AV28" s="1162" t="e">
        <f t="shared" si="0"/>
        <v>#VALUE!</v>
      </c>
      <c r="AW28" s="1058"/>
      <c r="AX28" s="1058"/>
      <c r="AY28" s="1058"/>
      <c r="AZ28" s="1058"/>
      <c r="BA28" s="1058"/>
      <c r="BB28" s="1058"/>
      <c r="BC28" s="1058"/>
      <c r="BD28" s="1058"/>
      <c r="BE28" s="1058"/>
      <c r="BF28" s="1058"/>
      <c r="BG28" s="884"/>
      <c r="BH28" s="884"/>
      <c r="BY28" s="210"/>
      <c r="CB28" s="1362" t="str">
        <f t="shared" si="1"/>
        <v/>
      </c>
      <c r="CC28" s="1362" t="e">
        <f t="shared" si="2"/>
        <v>#VALUE!</v>
      </c>
      <c r="CD28" s="1362" t="str">
        <f t="shared" si="3"/>
        <v xml:space="preserve">* Las consejerías realizadas en Espacios amigables NO DEBEN ser mayor al Total. </v>
      </c>
      <c r="CE28" s="1362" t="e">
        <f t="shared" si="4"/>
        <v>#VALUE!</v>
      </c>
      <c r="CF28" s="1362"/>
      <c r="CG28" s="1362"/>
      <c r="CH28" s="1363">
        <f t="shared" si="5"/>
        <v>0</v>
      </c>
      <c r="CI28" s="1363" t="e">
        <f t="shared" si="6"/>
        <v>#VALUE!</v>
      </c>
      <c r="CJ28" s="1363">
        <f t="shared" si="7"/>
        <v>1</v>
      </c>
      <c r="CK28" s="1363" t="e">
        <f t="shared" si="8"/>
        <v>#VALUE!</v>
      </c>
      <c r="CL28" s="1346"/>
      <c r="CM28" s="1346"/>
      <c r="CN28" s="1346"/>
      <c r="CO28" s="1346"/>
      <c r="CP28" s="1346"/>
    </row>
    <row r="29" spans="1:94" ht="16.350000000000001" customHeight="1" x14ac:dyDescent="0.25">
      <c r="A29" s="2458">
        <v>19184400</v>
      </c>
      <c r="B29" s="5113"/>
      <c r="C29" s="179" t="s">
        <v>283</v>
      </c>
      <c r="D29" s="1635" t="s">
        <v>2777</v>
      </c>
      <c r="E29" s="1636" t="s">
        <v>2778</v>
      </c>
      <c r="F29" s="1676" t="s">
        <v>2779</v>
      </c>
      <c r="G29" s="141" t="s">
        <v>2780</v>
      </c>
      <c r="H29" s="198" t="s">
        <v>2781</v>
      </c>
      <c r="I29" s="141" t="s">
        <v>2782</v>
      </c>
      <c r="J29" s="198" t="s">
        <v>2783</v>
      </c>
      <c r="K29" s="141" t="s">
        <v>2784</v>
      </c>
      <c r="L29" s="163" t="s">
        <v>2785</v>
      </c>
      <c r="M29" s="141" t="s">
        <v>2786</v>
      </c>
      <c r="N29" s="163" t="s">
        <v>2787</v>
      </c>
      <c r="O29" s="141" t="s">
        <v>2788</v>
      </c>
      <c r="P29" s="163" t="s">
        <v>2789</v>
      </c>
      <c r="Q29" s="141" t="s">
        <v>2790</v>
      </c>
      <c r="R29" s="163" t="s">
        <v>2791</v>
      </c>
      <c r="S29" s="141" t="s">
        <v>2792</v>
      </c>
      <c r="T29" s="163" t="s">
        <v>2793</v>
      </c>
      <c r="U29" s="141" t="s">
        <v>2794</v>
      </c>
      <c r="V29" s="163" t="s">
        <v>2795</v>
      </c>
      <c r="W29" s="141" t="s">
        <v>2796</v>
      </c>
      <c r="X29" s="163" t="s">
        <v>2797</v>
      </c>
      <c r="Y29" s="141" t="s">
        <v>2798</v>
      </c>
      <c r="Z29" s="163" t="s">
        <v>2799</v>
      </c>
      <c r="AA29" s="141" t="s">
        <v>2800</v>
      </c>
      <c r="AB29" s="163" t="s">
        <v>2801</v>
      </c>
      <c r="AC29" s="141" t="s">
        <v>2817</v>
      </c>
      <c r="AD29" s="163" t="s">
        <v>2818</v>
      </c>
      <c r="AE29" s="141" t="s">
        <v>2819</v>
      </c>
      <c r="AF29" s="163" t="s">
        <v>2821</v>
      </c>
      <c r="AG29" s="141" t="s">
        <v>2822</v>
      </c>
      <c r="AH29" s="163" t="s">
        <v>2823</v>
      </c>
      <c r="AI29" s="141" t="s">
        <v>2824</v>
      </c>
      <c r="AJ29" s="163" t="s">
        <v>2825</v>
      </c>
      <c r="AK29" s="141" t="s">
        <v>2826</v>
      </c>
      <c r="AL29" s="163" t="s">
        <v>2827</v>
      </c>
      <c r="AM29" s="224" t="s">
        <v>2831</v>
      </c>
      <c r="AN29" s="318" t="s">
        <v>2832</v>
      </c>
      <c r="AO29" s="498" t="s">
        <v>2833</v>
      </c>
      <c r="AP29" s="198" t="s">
        <v>2834</v>
      </c>
      <c r="AQ29" s="164" t="s">
        <v>3011</v>
      </c>
      <c r="AR29" s="164" t="s">
        <v>3012</v>
      </c>
      <c r="AS29" s="164" t="s">
        <v>3013</v>
      </c>
      <c r="AT29" s="939" t="s">
        <v>3014</v>
      </c>
      <c r="AU29" s="164" t="s">
        <v>3015</v>
      </c>
      <c r="AV29" s="1162" t="e">
        <f t="shared" si="0"/>
        <v>#VALUE!</v>
      </c>
      <c r="AW29" s="1058"/>
      <c r="AX29" s="1058"/>
      <c r="AY29" s="1058"/>
      <c r="AZ29" s="1058"/>
      <c r="BA29" s="1058"/>
      <c r="BB29" s="1058"/>
      <c r="BC29" s="1058"/>
      <c r="BD29" s="1058"/>
      <c r="BE29" s="1058"/>
      <c r="BF29" s="1058"/>
      <c r="BG29" s="884"/>
      <c r="BH29" s="884"/>
      <c r="BY29" s="210"/>
      <c r="CB29" s="1362" t="str">
        <f t="shared" si="1"/>
        <v/>
      </c>
      <c r="CC29" s="1362" t="e">
        <f t="shared" si="2"/>
        <v>#VALUE!</v>
      </c>
      <c r="CD29" s="1362" t="str">
        <f t="shared" si="3"/>
        <v xml:space="preserve">* Las consejerías realizadas en Espacios amigables NO DEBEN ser mayor al Total. </v>
      </c>
      <c r="CE29" s="1362" t="e">
        <f t="shared" si="4"/>
        <v>#VALUE!</v>
      </c>
      <c r="CF29" s="1362"/>
      <c r="CG29" s="1362"/>
      <c r="CH29" s="1363">
        <f t="shared" si="5"/>
        <v>0</v>
      </c>
      <c r="CI29" s="1363" t="e">
        <f t="shared" si="6"/>
        <v>#VALUE!</v>
      </c>
      <c r="CJ29" s="1363">
        <f t="shared" si="7"/>
        <v>1</v>
      </c>
      <c r="CK29" s="1363" t="e">
        <f t="shared" si="8"/>
        <v>#VALUE!</v>
      </c>
      <c r="CL29" s="1346"/>
      <c r="CM29" s="1346"/>
      <c r="CN29" s="1346"/>
      <c r="CO29" s="1346"/>
      <c r="CP29" s="1346"/>
    </row>
    <row r="30" spans="1:94" ht="16.350000000000001" customHeight="1" x14ac:dyDescent="0.25">
      <c r="A30" s="2458">
        <v>19184500</v>
      </c>
      <c r="B30" s="5113"/>
      <c r="C30" s="179" t="s">
        <v>2045</v>
      </c>
      <c r="D30" s="1635" t="s">
        <v>2777</v>
      </c>
      <c r="E30" s="1636" t="s">
        <v>2778</v>
      </c>
      <c r="F30" s="1676" t="s">
        <v>2779</v>
      </c>
      <c r="G30" s="182" t="s">
        <v>2780</v>
      </c>
      <c r="H30" s="240" t="s">
        <v>2781</v>
      </c>
      <c r="I30" s="182" t="s">
        <v>2782</v>
      </c>
      <c r="J30" s="240" t="s">
        <v>2783</v>
      </c>
      <c r="K30" s="182" t="s">
        <v>2784</v>
      </c>
      <c r="L30" s="183" t="s">
        <v>2785</v>
      </c>
      <c r="M30" s="182" t="s">
        <v>2786</v>
      </c>
      <c r="N30" s="183" t="s">
        <v>2787</v>
      </c>
      <c r="O30" s="182" t="s">
        <v>2788</v>
      </c>
      <c r="P30" s="183" t="s">
        <v>2789</v>
      </c>
      <c r="Q30" s="182" t="s">
        <v>2790</v>
      </c>
      <c r="R30" s="183" t="s">
        <v>2791</v>
      </c>
      <c r="S30" s="182" t="s">
        <v>2792</v>
      </c>
      <c r="T30" s="183" t="s">
        <v>2793</v>
      </c>
      <c r="U30" s="182" t="s">
        <v>2794</v>
      </c>
      <c r="V30" s="183" t="s">
        <v>2795</v>
      </c>
      <c r="W30" s="182" t="s">
        <v>2796</v>
      </c>
      <c r="X30" s="183" t="s">
        <v>2797</v>
      </c>
      <c r="Y30" s="182" t="s">
        <v>2798</v>
      </c>
      <c r="Z30" s="183" t="s">
        <v>2799</v>
      </c>
      <c r="AA30" s="182" t="s">
        <v>2800</v>
      </c>
      <c r="AB30" s="183" t="s">
        <v>2801</v>
      </c>
      <c r="AC30" s="182" t="s">
        <v>2817</v>
      </c>
      <c r="AD30" s="183" t="s">
        <v>2818</v>
      </c>
      <c r="AE30" s="182" t="s">
        <v>2819</v>
      </c>
      <c r="AF30" s="183" t="s">
        <v>2821</v>
      </c>
      <c r="AG30" s="182" t="s">
        <v>2822</v>
      </c>
      <c r="AH30" s="183" t="s">
        <v>2823</v>
      </c>
      <c r="AI30" s="182" t="s">
        <v>2824</v>
      </c>
      <c r="AJ30" s="183" t="s">
        <v>2825</v>
      </c>
      <c r="AK30" s="182" t="s">
        <v>2826</v>
      </c>
      <c r="AL30" s="183" t="s">
        <v>2827</v>
      </c>
      <c r="AM30" s="229" t="s">
        <v>2831</v>
      </c>
      <c r="AN30" s="593" t="s">
        <v>2832</v>
      </c>
      <c r="AO30" s="498" t="s">
        <v>2833</v>
      </c>
      <c r="AP30" s="240" t="s">
        <v>2834</v>
      </c>
      <c r="AQ30" s="164" t="s">
        <v>3011</v>
      </c>
      <c r="AR30" s="164" t="s">
        <v>3012</v>
      </c>
      <c r="AS30" s="164" t="s">
        <v>3013</v>
      </c>
      <c r="AT30" s="939" t="s">
        <v>3014</v>
      </c>
      <c r="AU30" s="164" t="s">
        <v>3015</v>
      </c>
      <c r="AV30" s="1162" t="e">
        <f t="shared" si="0"/>
        <v>#VALUE!</v>
      </c>
      <c r="AW30" s="1058"/>
      <c r="AX30" s="1058"/>
      <c r="AY30" s="1058"/>
      <c r="AZ30" s="1058"/>
      <c r="BA30" s="1058"/>
      <c r="BB30" s="1058"/>
      <c r="BC30" s="1058"/>
      <c r="BD30" s="1058"/>
      <c r="BE30" s="1058"/>
      <c r="BF30" s="1058"/>
      <c r="BG30" s="884"/>
      <c r="BH30" s="884"/>
      <c r="BY30" s="210"/>
      <c r="CB30" s="1362" t="str">
        <f t="shared" si="1"/>
        <v/>
      </c>
      <c r="CC30" s="1362" t="e">
        <f t="shared" si="2"/>
        <v>#VALUE!</v>
      </c>
      <c r="CD30" s="1362" t="str">
        <f t="shared" si="3"/>
        <v xml:space="preserve">* Las consejerías realizadas en Espacios amigables NO DEBEN ser mayor al Total. </v>
      </c>
      <c r="CE30" s="1362" t="e">
        <f t="shared" si="4"/>
        <v>#VALUE!</v>
      </c>
      <c r="CF30" s="1362"/>
      <c r="CG30" s="1362"/>
      <c r="CH30" s="1363">
        <f t="shared" si="5"/>
        <v>0</v>
      </c>
      <c r="CI30" s="1363" t="e">
        <f t="shared" si="6"/>
        <v>#VALUE!</v>
      </c>
      <c r="CJ30" s="1363">
        <f t="shared" si="7"/>
        <v>1</v>
      </c>
      <c r="CK30" s="1363" t="e">
        <f t="shared" si="8"/>
        <v>#VALUE!</v>
      </c>
      <c r="CL30" s="1346"/>
      <c r="CM30" s="1346"/>
      <c r="CN30" s="1346"/>
      <c r="CO30" s="1346"/>
      <c r="CP30" s="1346"/>
    </row>
    <row r="31" spans="1:94" ht="16.350000000000001" customHeight="1" x14ac:dyDescent="0.25">
      <c r="A31" s="2458">
        <v>19184600</v>
      </c>
      <c r="B31" s="5113"/>
      <c r="C31" s="179" t="s">
        <v>499</v>
      </c>
      <c r="D31" s="1635" t="s">
        <v>2777</v>
      </c>
      <c r="E31" s="1636" t="s">
        <v>2778</v>
      </c>
      <c r="F31" s="1676" t="s">
        <v>2779</v>
      </c>
      <c r="G31" s="182" t="s">
        <v>2780</v>
      </c>
      <c r="H31" s="240" t="s">
        <v>2781</v>
      </c>
      <c r="I31" s="182" t="s">
        <v>2782</v>
      </c>
      <c r="J31" s="240" t="s">
        <v>2783</v>
      </c>
      <c r="K31" s="182" t="s">
        <v>2784</v>
      </c>
      <c r="L31" s="183" t="s">
        <v>2785</v>
      </c>
      <c r="M31" s="182" t="s">
        <v>2786</v>
      </c>
      <c r="N31" s="183" t="s">
        <v>2787</v>
      </c>
      <c r="O31" s="182" t="s">
        <v>2788</v>
      </c>
      <c r="P31" s="183" t="s">
        <v>2789</v>
      </c>
      <c r="Q31" s="182" t="s">
        <v>2790</v>
      </c>
      <c r="R31" s="183" t="s">
        <v>2791</v>
      </c>
      <c r="S31" s="182" t="s">
        <v>2792</v>
      </c>
      <c r="T31" s="183" t="s">
        <v>2793</v>
      </c>
      <c r="U31" s="182" t="s">
        <v>2794</v>
      </c>
      <c r="V31" s="183" t="s">
        <v>2795</v>
      </c>
      <c r="W31" s="182" t="s">
        <v>2796</v>
      </c>
      <c r="X31" s="183" t="s">
        <v>2797</v>
      </c>
      <c r="Y31" s="182" t="s">
        <v>2798</v>
      </c>
      <c r="Z31" s="183" t="s">
        <v>2799</v>
      </c>
      <c r="AA31" s="182" t="s">
        <v>2800</v>
      </c>
      <c r="AB31" s="183" t="s">
        <v>2801</v>
      </c>
      <c r="AC31" s="182" t="s">
        <v>2817</v>
      </c>
      <c r="AD31" s="183" t="s">
        <v>2818</v>
      </c>
      <c r="AE31" s="182" t="s">
        <v>2819</v>
      </c>
      <c r="AF31" s="183" t="s">
        <v>2821</v>
      </c>
      <c r="AG31" s="182" t="s">
        <v>2822</v>
      </c>
      <c r="AH31" s="183" t="s">
        <v>2823</v>
      </c>
      <c r="AI31" s="182" t="s">
        <v>2824</v>
      </c>
      <c r="AJ31" s="183" t="s">
        <v>2825</v>
      </c>
      <c r="AK31" s="182" t="s">
        <v>2826</v>
      </c>
      <c r="AL31" s="183" t="s">
        <v>2827</v>
      </c>
      <c r="AM31" s="229" t="s">
        <v>2831</v>
      </c>
      <c r="AN31" s="593" t="s">
        <v>2832</v>
      </c>
      <c r="AO31" s="498" t="s">
        <v>2833</v>
      </c>
      <c r="AP31" s="240" t="s">
        <v>2834</v>
      </c>
      <c r="AQ31" s="164" t="s">
        <v>3011</v>
      </c>
      <c r="AR31" s="164" t="s">
        <v>3012</v>
      </c>
      <c r="AS31" s="164" t="s">
        <v>3013</v>
      </c>
      <c r="AT31" s="939" t="s">
        <v>3014</v>
      </c>
      <c r="AU31" s="164" t="s">
        <v>3015</v>
      </c>
      <c r="AV31" s="1162" t="e">
        <f t="shared" si="0"/>
        <v>#VALUE!</v>
      </c>
      <c r="AW31" s="1058"/>
      <c r="AX31" s="1058"/>
      <c r="AY31" s="1058"/>
      <c r="AZ31" s="1058"/>
      <c r="BA31" s="1058"/>
      <c r="BB31" s="1058"/>
      <c r="BC31" s="1058"/>
      <c r="BD31" s="1058"/>
      <c r="BE31" s="1058"/>
      <c r="BF31" s="1058"/>
      <c r="BG31" s="884"/>
      <c r="BH31" s="884"/>
      <c r="BY31" s="210"/>
      <c r="CB31" s="1362" t="str">
        <f t="shared" si="1"/>
        <v/>
      </c>
      <c r="CC31" s="1362" t="e">
        <f t="shared" si="2"/>
        <v>#VALUE!</v>
      </c>
      <c r="CD31" s="1362" t="str">
        <f t="shared" si="3"/>
        <v xml:space="preserve">* Las consejerías realizadas en Espacios amigables NO DEBEN ser mayor al Total. </v>
      </c>
      <c r="CE31" s="1362" t="e">
        <f t="shared" si="4"/>
        <v>#VALUE!</v>
      </c>
      <c r="CF31" s="1362"/>
      <c r="CG31" s="1362"/>
      <c r="CH31" s="1363">
        <f t="shared" si="5"/>
        <v>0</v>
      </c>
      <c r="CI31" s="1363" t="e">
        <f t="shared" si="6"/>
        <v>#VALUE!</v>
      </c>
      <c r="CJ31" s="1363">
        <f t="shared" si="7"/>
        <v>1</v>
      </c>
      <c r="CK31" s="1363" t="e">
        <f t="shared" si="8"/>
        <v>#VALUE!</v>
      </c>
      <c r="CL31" s="1346"/>
      <c r="CM31" s="1346"/>
      <c r="CN31" s="1346"/>
      <c r="CO31" s="1346"/>
      <c r="CP31" s="1346"/>
    </row>
    <row r="32" spans="1:94" ht="16.350000000000001" customHeight="1" x14ac:dyDescent="0.25">
      <c r="A32" s="2458">
        <v>19184700</v>
      </c>
      <c r="B32" s="5113"/>
      <c r="C32" s="1626" t="s">
        <v>282</v>
      </c>
      <c r="D32" s="714" t="s">
        <v>2777</v>
      </c>
      <c r="E32" s="715" t="s">
        <v>2778</v>
      </c>
      <c r="F32" s="1677" t="s">
        <v>2779</v>
      </c>
      <c r="G32" s="182" t="s">
        <v>2780</v>
      </c>
      <c r="H32" s="240" t="s">
        <v>2781</v>
      </c>
      <c r="I32" s="182" t="s">
        <v>2782</v>
      </c>
      <c r="J32" s="240" t="s">
        <v>2783</v>
      </c>
      <c r="K32" s="182" t="s">
        <v>2784</v>
      </c>
      <c r="L32" s="183" t="s">
        <v>2785</v>
      </c>
      <c r="M32" s="182" t="s">
        <v>2786</v>
      </c>
      <c r="N32" s="183" t="s">
        <v>2787</v>
      </c>
      <c r="O32" s="182" t="s">
        <v>2788</v>
      </c>
      <c r="P32" s="183" t="s">
        <v>2789</v>
      </c>
      <c r="Q32" s="182" t="s">
        <v>2790</v>
      </c>
      <c r="R32" s="183" t="s">
        <v>2791</v>
      </c>
      <c r="S32" s="182" t="s">
        <v>2792</v>
      </c>
      <c r="T32" s="183" t="s">
        <v>2793</v>
      </c>
      <c r="U32" s="182" t="s">
        <v>2794</v>
      </c>
      <c r="V32" s="183" t="s">
        <v>2795</v>
      </c>
      <c r="W32" s="182" t="s">
        <v>2796</v>
      </c>
      <c r="X32" s="183" t="s">
        <v>2797</v>
      </c>
      <c r="Y32" s="182" t="s">
        <v>2798</v>
      </c>
      <c r="Z32" s="183" t="s">
        <v>2799</v>
      </c>
      <c r="AA32" s="182" t="s">
        <v>2800</v>
      </c>
      <c r="AB32" s="183" t="s">
        <v>2801</v>
      </c>
      <c r="AC32" s="182" t="s">
        <v>2817</v>
      </c>
      <c r="AD32" s="183" t="s">
        <v>2818</v>
      </c>
      <c r="AE32" s="182" t="s">
        <v>2819</v>
      </c>
      <c r="AF32" s="183" t="s">
        <v>2821</v>
      </c>
      <c r="AG32" s="182" t="s">
        <v>2822</v>
      </c>
      <c r="AH32" s="183" t="s">
        <v>2823</v>
      </c>
      <c r="AI32" s="182" t="s">
        <v>2824</v>
      </c>
      <c r="AJ32" s="183" t="s">
        <v>2825</v>
      </c>
      <c r="AK32" s="182" t="s">
        <v>2826</v>
      </c>
      <c r="AL32" s="183" t="s">
        <v>2827</v>
      </c>
      <c r="AM32" s="229" t="s">
        <v>2831</v>
      </c>
      <c r="AN32" s="593" t="s">
        <v>2832</v>
      </c>
      <c r="AO32" s="498" t="s">
        <v>2833</v>
      </c>
      <c r="AP32" s="240" t="s">
        <v>2834</v>
      </c>
      <c r="AQ32" s="164" t="s">
        <v>3011</v>
      </c>
      <c r="AR32" s="164" t="s">
        <v>3012</v>
      </c>
      <c r="AS32" s="164" t="s">
        <v>3013</v>
      </c>
      <c r="AT32" s="939" t="s">
        <v>3014</v>
      </c>
      <c r="AU32" s="164" t="s">
        <v>3015</v>
      </c>
      <c r="AV32" s="1162" t="e">
        <f t="shared" si="0"/>
        <v>#VALUE!</v>
      </c>
      <c r="AW32" s="1058"/>
      <c r="AX32" s="1058"/>
      <c r="AY32" s="1058"/>
      <c r="AZ32" s="1058"/>
      <c r="BA32" s="1058"/>
      <c r="BB32" s="1058"/>
      <c r="BC32" s="1058"/>
      <c r="BD32" s="1058"/>
      <c r="BE32" s="1058"/>
      <c r="BF32" s="1058"/>
      <c r="BG32" s="884"/>
      <c r="BH32" s="884"/>
      <c r="BY32" s="210"/>
      <c r="CB32" s="1362" t="str">
        <f t="shared" si="1"/>
        <v/>
      </c>
      <c r="CC32" s="1362" t="e">
        <f t="shared" si="2"/>
        <v>#VALUE!</v>
      </c>
      <c r="CD32" s="1362" t="str">
        <f t="shared" si="3"/>
        <v xml:space="preserve">* Las consejerías realizadas en Espacios amigables NO DEBEN ser mayor al Total. </v>
      </c>
      <c r="CE32" s="1362" t="e">
        <f t="shared" si="4"/>
        <v>#VALUE!</v>
      </c>
      <c r="CF32" s="1362"/>
      <c r="CG32" s="1362"/>
      <c r="CH32" s="1363">
        <f t="shared" si="5"/>
        <v>0</v>
      </c>
      <c r="CI32" s="1363" t="e">
        <f t="shared" si="6"/>
        <v>#VALUE!</v>
      </c>
      <c r="CJ32" s="1363">
        <f t="shared" si="7"/>
        <v>1</v>
      </c>
      <c r="CK32" s="1363" t="e">
        <f t="shared" si="8"/>
        <v>#VALUE!</v>
      </c>
      <c r="CL32" s="1346"/>
      <c r="CM32" s="1346"/>
      <c r="CN32" s="1346"/>
      <c r="CO32" s="1346"/>
      <c r="CP32" s="1346"/>
    </row>
    <row r="33" spans="1:94" ht="16.350000000000001" customHeight="1" x14ac:dyDescent="0.25">
      <c r="A33" s="2458">
        <v>19184800</v>
      </c>
      <c r="B33" s="5113"/>
      <c r="C33" s="179" t="s">
        <v>2046</v>
      </c>
      <c r="D33" s="1635" t="s">
        <v>2777</v>
      </c>
      <c r="E33" s="1636" t="s">
        <v>2778</v>
      </c>
      <c r="F33" s="1676" t="s">
        <v>2779</v>
      </c>
      <c r="G33" s="182" t="s">
        <v>2780</v>
      </c>
      <c r="H33" s="240" t="s">
        <v>2781</v>
      </c>
      <c r="I33" s="182" t="s">
        <v>2782</v>
      </c>
      <c r="J33" s="240" t="s">
        <v>2783</v>
      </c>
      <c r="K33" s="182" t="s">
        <v>2784</v>
      </c>
      <c r="L33" s="183" t="s">
        <v>2785</v>
      </c>
      <c r="M33" s="182" t="s">
        <v>2786</v>
      </c>
      <c r="N33" s="183" t="s">
        <v>2787</v>
      </c>
      <c r="O33" s="182" t="s">
        <v>2788</v>
      </c>
      <c r="P33" s="183" t="s">
        <v>2789</v>
      </c>
      <c r="Q33" s="182" t="s">
        <v>2790</v>
      </c>
      <c r="R33" s="183" t="s">
        <v>2791</v>
      </c>
      <c r="S33" s="182" t="s">
        <v>2792</v>
      </c>
      <c r="T33" s="183" t="s">
        <v>2793</v>
      </c>
      <c r="U33" s="182" t="s">
        <v>2794</v>
      </c>
      <c r="V33" s="183" t="s">
        <v>2795</v>
      </c>
      <c r="W33" s="182" t="s">
        <v>2796</v>
      </c>
      <c r="X33" s="183" t="s">
        <v>2797</v>
      </c>
      <c r="Y33" s="182" t="s">
        <v>2798</v>
      </c>
      <c r="Z33" s="183" t="s">
        <v>2799</v>
      </c>
      <c r="AA33" s="182" t="s">
        <v>2800</v>
      </c>
      <c r="AB33" s="183" t="s">
        <v>2801</v>
      </c>
      <c r="AC33" s="182" t="s">
        <v>2817</v>
      </c>
      <c r="AD33" s="183" t="s">
        <v>2818</v>
      </c>
      <c r="AE33" s="182" t="s">
        <v>2819</v>
      </c>
      <c r="AF33" s="183" t="s">
        <v>2821</v>
      </c>
      <c r="AG33" s="182" t="s">
        <v>2822</v>
      </c>
      <c r="AH33" s="183" t="s">
        <v>2823</v>
      </c>
      <c r="AI33" s="182" t="s">
        <v>2824</v>
      </c>
      <c r="AJ33" s="183" t="s">
        <v>2825</v>
      </c>
      <c r="AK33" s="182" t="s">
        <v>2826</v>
      </c>
      <c r="AL33" s="183" t="s">
        <v>2827</v>
      </c>
      <c r="AM33" s="229" t="s">
        <v>2831</v>
      </c>
      <c r="AN33" s="593" t="s">
        <v>2832</v>
      </c>
      <c r="AO33" s="498" t="s">
        <v>2833</v>
      </c>
      <c r="AP33" s="240" t="s">
        <v>2834</v>
      </c>
      <c r="AQ33" s="164" t="s">
        <v>3011</v>
      </c>
      <c r="AR33" s="164" t="s">
        <v>3012</v>
      </c>
      <c r="AS33" s="164" t="s">
        <v>3013</v>
      </c>
      <c r="AT33" s="939" t="s">
        <v>3014</v>
      </c>
      <c r="AU33" s="164" t="s">
        <v>3015</v>
      </c>
      <c r="AV33" s="1162" t="e">
        <f t="shared" si="0"/>
        <v>#VALUE!</v>
      </c>
      <c r="AW33" s="1058"/>
      <c r="AX33" s="1058"/>
      <c r="AY33" s="1058"/>
      <c r="AZ33" s="1058"/>
      <c r="BA33" s="1058"/>
      <c r="BB33" s="1058"/>
      <c r="BC33" s="1058"/>
      <c r="BD33" s="1058"/>
      <c r="BE33" s="1058"/>
      <c r="BF33" s="1058"/>
      <c r="BG33" s="884"/>
      <c r="BH33" s="884"/>
      <c r="BY33" s="210"/>
      <c r="CB33" s="1362" t="str">
        <f t="shared" si="1"/>
        <v/>
      </c>
      <c r="CC33" s="1362" t="e">
        <f t="shared" si="2"/>
        <v>#VALUE!</v>
      </c>
      <c r="CD33" s="1362" t="str">
        <f t="shared" si="3"/>
        <v xml:space="preserve">* Las consejerías realizadas en Espacios amigables NO DEBEN ser mayor al Total. </v>
      </c>
      <c r="CE33" s="1362" t="e">
        <f t="shared" si="4"/>
        <v>#VALUE!</v>
      </c>
      <c r="CF33" s="1362"/>
      <c r="CG33" s="1362"/>
      <c r="CH33" s="1363">
        <f t="shared" si="5"/>
        <v>0</v>
      </c>
      <c r="CI33" s="1363" t="e">
        <f t="shared" si="6"/>
        <v>#VALUE!</v>
      </c>
      <c r="CJ33" s="1363">
        <f t="shared" si="7"/>
        <v>1</v>
      </c>
      <c r="CK33" s="1363" t="e">
        <f t="shared" si="8"/>
        <v>#VALUE!</v>
      </c>
      <c r="CL33" s="1346"/>
      <c r="CM33" s="1346"/>
      <c r="CN33" s="1346"/>
      <c r="CO33" s="1346"/>
      <c r="CP33" s="1346"/>
    </row>
    <row r="34" spans="1:94" ht="16.350000000000001" customHeight="1" x14ac:dyDescent="0.25">
      <c r="A34" s="2458">
        <v>19184801</v>
      </c>
      <c r="B34" s="5113"/>
      <c r="C34" s="1632" t="s">
        <v>2047</v>
      </c>
      <c r="D34" s="1580" t="s">
        <v>2777</v>
      </c>
      <c r="E34" s="995" t="s">
        <v>2778</v>
      </c>
      <c r="F34" s="1678" t="s">
        <v>2779</v>
      </c>
      <c r="G34" s="182" t="s">
        <v>2780</v>
      </c>
      <c r="H34" s="240" t="s">
        <v>2781</v>
      </c>
      <c r="I34" s="182" t="s">
        <v>2782</v>
      </c>
      <c r="J34" s="240" t="s">
        <v>2783</v>
      </c>
      <c r="K34" s="182" t="s">
        <v>2784</v>
      </c>
      <c r="L34" s="183" t="s">
        <v>2785</v>
      </c>
      <c r="M34" s="182" t="s">
        <v>2786</v>
      </c>
      <c r="N34" s="183" t="s">
        <v>2787</v>
      </c>
      <c r="O34" s="182" t="s">
        <v>2788</v>
      </c>
      <c r="P34" s="183" t="s">
        <v>2789</v>
      </c>
      <c r="Q34" s="182" t="s">
        <v>2790</v>
      </c>
      <c r="R34" s="183" t="s">
        <v>2791</v>
      </c>
      <c r="S34" s="182" t="s">
        <v>2792</v>
      </c>
      <c r="T34" s="183" t="s">
        <v>2793</v>
      </c>
      <c r="U34" s="182" t="s">
        <v>2794</v>
      </c>
      <c r="V34" s="183" t="s">
        <v>2795</v>
      </c>
      <c r="W34" s="182" t="s">
        <v>2796</v>
      </c>
      <c r="X34" s="183" t="s">
        <v>2797</v>
      </c>
      <c r="Y34" s="182" t="s">
        <v>2798</v>
      </c>
      <c r="Z34" s="183" t="s">
        <v>2799</v>
      </c>
      <c r="AA34" s="182" t="s">
        <v>2800</v>
      </c>
      <c r="AB34" s="183" t="s">
        <v>2801</v>
      </c>
      <c r="AC34" s="182" t="s">
        <v>2817</v>
      </c>
      <c r="AD34" s="183" t="s">
        <v>2818</v>
      </c>
      <c r="AE34" s="182" t="s">
        <v>2819</v>
      </c>
      <c r="AF34" s="183" t="s">
        <v>2821</v>
      </c>
      <c r="AG34" s="182" t="s">
        <v>2822</v>
      </c>
      <c r="AH34" s="183" t="s">
        <v>2823</v>
      </c>
      <c r="AI34" s="182" t="s">
        <v>2824</v>
      </c>
      <c r="AJ34" s="183" t="s">
        <v>2825</v>
      </c>
      <c r="AK34" s="182" t="s">
        <v>2826</v>
      </c>
      <c r="AL34" s="183" t="s">
        <v>2827</v>
      </c>
      <c r="AM34" s="229" t="s">
        <v>2831</v>
      </c>
      <c r="AN34" s="593" t="s">
        <v>2832</v>
      </c>
      <c r="AO34" s="498" t="s">
        <v>2833</v>
      </c>
      <c r="AP34" s="240" t="s">
        <v>2834</v>
      </c>
      <c r="AQ34" s="164" t="s">
        <v>3011</v>
      </c>
      <c r="AR34" s="164" t="s">
        <v>3012</v>
      </c>
      <c r="AS34" s="164" t="s">
        <v>3013</v>
      </c>
      <c r="AT34" s="939" t="s">
        <v>3014</v>
      </c>
      <c r="AU34" s="164" t="s">
        <v>3015</v>
      </c>
      <c r="AV34" s="1162" t="e">
        <f t="shared" si="0"/>
        <v>#VALUE!</v>
      </c>
      <c r="AW34" s="1058"/>
      <c r="AX34" s="1058"/>
      <c r="AY34" s="1058"/>
      <c r="AZ34" s="1058"/>
      <c r="BA34" s="1058"/>
      <c r="BB34" s="1058"/>
      <c r="BC34" s="1058"/>
      <c r="BD34" s="1058"/>
      <c r="BE34" s="1058"/>
      <c r="BF34" s="1058"/>
      <c r="BG34" s="884"/>
      <c r="BH34" s="884"/>
      <c r="BY34" s="210"/>
      <c r="CB34" s="1362" t="str">
        <f t="shared" si="1"/>
        <v/>
      </c>
      <c r="CC34" s="1362" t="e">
        <f t="shared" si="2"/>
        <v>#VALUE!</v>
      </c>
      <c r="CD34" s="1362" t="str">
        <f t="shared" si="3"/>
        <v xml:space="preserve">* Las consejerías realizadas en Espacios amigables NO DEBEN ser mayor al Total. </v>
      </c>
      <c r="CE34" s="1362" t="e">
        <f t="shared" si="4"/>
        <v>#VALUE!</v>
      </c>
      <c r="CF34" s="1362"/>
      <c r="CG34" s="1362"/>
      <c r="CH34" s="1363">
        <f t="shared" si="5"/>
        <v>0</v>
      </c>
      <c r="CI34" s="1363" t="e">
        <f t="shared" si="6"/>
        <v>#VALUE!</v>
      </c>
      <c r="CJ34" s="1363">
        <f t="shared" si="7"/>
        <v>1</v>
      </c>
      <c r="CK34" s="1363" t="e">
        <f t="shared" si="8"/>
        <v>#VALUE!</v>
      </c>
      <c r="CL34" s="1346"/>
      <c r="CM34" s="1346"/>
      <c r="CN34" s="1346"/>
      <c r="CO34" s="1346"/>
      <c r="CP34" s="1346"/>
    </row>
    <row r="35" spans="1:94" ht="16.350000000000001" customHeight="1" x14ac:dyDescent="0.25">
      <c r="A35" s="2458">
        <v>19184900</v>
      </c>
      <c r="B35" s="5159"/>
      <c r="C35" s="283" t="s">
        <v>69</v>
      </c>
      <c r="D35" s="1637" t="s">
        <v>2777</v>
      </c>
      <c r="E35" s="1638" t="s">
        <v>2778</v>
      </c>
      <c r="F35" s="269" t="s">
        <v>2779</v>
      </c>
      <c r="G35" s="166" t="s">
        <v>2780</v>
      </c>
      <c r="H35" s="168" t="s">
        <v>2781</v>
      </c>
      <c r="I35" s="166" t="s">
        <v>2782</v>
      </c>
      <c r="J35" s="168" t="s">
        <v>2783</v>
      </c>
      <c r="K35" s="166" t="s">
        <v>2784</v>
      </c>
      <c r="L35" s="125" t="s">
        <v>2785</v>
      </c>
      <c r="M35" s="166" t="s">
        <v>2786</v>
      </c>
      <c r="N35" s="125" t="s">
        <v>2787</v>
      </c>
      <c r="O35" s="166" t="s">
        <v>2788</v>
      </c>
      <c r="P35" s="125" t="s">
        <v>2789</v>
      </c>
      <c r="Q35" s="166" t="s">
        <v>2790</v>
      </c>
      <c r="R35" s="125" t="s">
        <v>2791</v>
      </c>
      <c r="S35" s="166" t="s">
        <v>2792</v>
      </c>
      <c r="T35" s="125" t="s">
        <v>2793</v>
      </c>
      <c r="U35" s="166" t="s">
        <v>2794</v>
      </c>
      <c r="V35" s="125" t="s">
        <v>2795</v>
      </c>
      <c r="W35" s="166" t="s">
        <v>2796</v>
      </c>
      <c r="X35" s="125" t="s">
        <v>2797</v>
      </c>
      <c r="Y35" s="166" t="s">
        <v>2798</v>
      </c>
      <c r="Z35" s="125" t="s">
        <v>2799</v>
      </c>
      <c r="AA35" s="166" t="s">
        <v>2800</v>
      </c>
      <c r="AB35" s="125" t="s">
        <v>2801</v>
      </c>
      <c r="AC35" s="166" t="s">
        <v>2817</v>
      </c>
      <c r="AD35" s="125" t="s">
        <v>2818</v>
      </c>
      <c r="AE35" s="166" t="s">
        <v>2819</v>
      </c>
      <c r="AF35" s="125" t="s">
        <v>2821</v>
      </c>
      <c r="AG35" s="166" t="s">
        <v>2822</v>
      </c>
      <c r="AH35" s="125" t="s">
        <v>2823</v>
      </c>
      <c r="AI35" s="166" t="s">
        <v>2824</v>
      </c>
      <c r="AJ35" s="125" t="s">
        <v>2825</v>
      </c>
      <c r="AK35" s="166" t="s">
        <v>2826</v>
      </c>
      <c r="AL35" s="125" t="s">
        <v>2827</v>
      </c>
      <c r="AM35" s="227" t="s">
        <v>2831</v>
      </c>
      <c r="AN35" s="319" t="s">
        <v>2832</v>
      </c>
      <c r="AO35" s="1679" t="s">
        <v>2833</v>
      </c>
      <c r="AP35" s="168" t="s">
        <v>2834</v>
      </c>
      <c r="AQ35" s="105" t="s">
        <v>3011</v>
      </c>
      <c r="AR35" s="105" t="s">
        <v>3012</v>
      </c>
      <c r="AS35" s="105" t="s">
        <v>3013</v>
      </c>
      <c r="AT35" s="613" t="s">
        <v>3014</v>
      </c>
      <c r="AU35" s="105" t="s">
        <v>3015</v>
      </c>
      <c r="AV35" s="1162" t="e">
        <f t="shared" si="0"/>
        <v>#VALUE!</v>
      </c>
      <c r="AW35" s="1058"/>
      <c r="AX35" s="1058"/>
      <c r="AY35" s="1058"/>
      <c r="AZ35" s="1058"/>
      <c r="BA35" s="1058"/>
      <c r="BB35" s="1058"/>
      <c r="BC35" s="1058"/>
      <c r="BD35" s="1058"/>
      <c r="BE35" s="1058"/>
      <c r="BF35" s="1058"/>
      <c r="BG35" s="884"/>
      <c r="BH35" s="884"/>
      <c r="BY35" s="210"/>
      <c r="CB35" s="1362" t="str">
        <f t="shared" si="1"/>
        <v/>
      </c>
      <c r="CC35" s="1362" t="e">
        <f t="shared" si="2"/>
        <v>#VALUE!</v>
      </c>
      <c r="CD35" s="1362" t="str">
        <f t="shared" si="3"/>
        <v xml:space="preserve">* Las consejerías realizadas en Espacios amigables NO DEBEN ser mayor al Total. </v>
      </c>
      <c r="CE35" s="1362" t="e">
        <f t="shared" si="4"/>
        <v>#VALUE!</v>
      </c>
      <c r="CF35" s="1362"/>
      <c r="CG35" s="1362"/>
      <c r="CH35" s="1363">
        <f t="shared" si="5"/>
        <v>0</v>
      </c>
      <c r="CI35" s="1363" t="e">
        <f t="shared" si="6"/>
        <v>#VALUE!</v>
      </c>
      <c r="CJ35" s="1363">
        <f t="shared" si="7"/>
        <v>1</v>
      </c>
      <c r="CK35" s="1363" t="e">
        <f t="shared" si="8"/>
        <v>#VALUE!</v>
      </c>
      <c r="CL35" s="1346"/>
      <c r="CM35" s="1346"/>
      <c r="CN35" s="1346"/>
      <c r="CO35" s="1346"/>
      <c r="CP35" s="1346"/>
    </row>
    <row r="36" spans="1:94" ht="16.350000000000001" customHeight="1" x14ac:dyDescent="0.25">
      <c r="A36" s="2458">
        <v>19120301</v>
      </c>
      <c r="B36" s="5787" t="s">
        <v>166</v>
      </c>
      <c r="C36" s="1668" t="s">
        <v>29</v>
      </c>
      <c r="D36" s="1633" t="s">
        <v>2777</v>
      </c>
      <c r="E36" s="1634" t="s">
        <v>2778</v>
      </c>
      <c r="F36" s="1669" t="s">
        <v>2779</v>
      </c>
      <c r="G36" s="1681" t="s">
        <v>2780</v>
      </c>
      <c r="H36" s="1682" t="s">
        <v>2781</v>
      </c>
      <c r="I36" s="1670" t="s">
        <v>2782</v>
      </c>
      <c r="J36" s="1671" t="s">
        <v>2783</v>
      </c>
      <c r="K36" s="1670" t="s">
        <v>2784</v>
      </c>
      <c r="L36" s="1672" t="s">
        <v>2785</v>
      </c>
      <c r="M36" s="1670" t="s">
        <v>2786</v>
      </c>
      <c r="N36" s="1672" t="s">
        <v>2787</v>
      </c>
      <c r="O36" s="1670" t="s">
        <v>2788</v>
      </c>
      <c r="P36" s="1672" t="s">
        <v>2789</v>
      </c>
      <c r="Q36" s="1670" t="s">
        <v>2790</v>
      </c>
      <c r="R36" s="1672" t="s">
        <v>2791</v>
      </c>
      <c r="S36" s="1670" t="s">
        <v>2792</v>
      </c>
      <c r="T36" s="1672" t="s">
        <v>2793</v>
      </c>
      <c r="U36" s="1670" t="s">
        <v>2794</v>
      </c>
      <c r="V36" s="1672" t="s">
        <v>2795</v>
      </c>
      <c r="W36" s="1670" t="s">
        <v>2796</v>
      </c>
      <c r="X36" s="1672" t="s">
        <v>2797</v>
      </c>
      <c r="Y36" s="1670" t="s">
        <v>2798</v>
      </c>
      <c r="Z36" s="1672" t="s">
        <v>2799</v>
      </c>
      <c r="AA36" s="1670" t="s">
        <v>2800</v>
      </c>
      <c r="AB36" s="1672" t="s">
        <v>2801</v>
      </c>
      <c r="AC36" s="1670" t="s">
        <v>2817</v>
      </c>
      <c r="AD36" s="1672" t="s">
        <v>2818</v>
      </c>
      <c r="AE36" s="1670" t="s">
        <v>2819</v>
      </c>
      <c r="AF36" s="1672" t="s">
        <v>2821</v>
      </c>
      <c r="AG36" s="1670" t="s">
        <v>2822</v>
      </c>
      <c r="AH36" s="1672" t="s">
        <v>2823</v>
      </c>
      <c r="AI36" s="1670" t="s">
        <v>2824</v>
      </c>
      <c r="AJ36" s="1672" t="s">
        <v>2825</v>
      </c>
      <c r="AK36" s="1670" t="s">
        <v>2826</v>
      </c>
      <c r="AL36" s="1672" t="s">
        <v>2827</v>
      </c>
      <c r="AM36" s="1673" t="s">
        <v>2831</v>
      </c>
      <c r="AN36" s="1674" t="s">
        <v>2832</v>
      </c>
      <c r="AO36" s="500" t="s">
        <v>2833</v>
      </c>
      <c r="AP36" s="1671" t="s">
        <v>2834</v>
      </c>
      <c r="AQ36" s="1604" t="s">
        <v>3011</v>
      </c>
      <c r="AR36" s="1604" t="s">
        <v>3012</v>
      </c>
      <c r="AS36" s="1604" t="s">
        <v>3013</v>
      </c>
      <c r="AT36" s="1675" t="s">
        <v>3014</v>
      </c>
      <c r="AU36" s="112" t="s">
        <v>3015</v>
      </c>
      <c r="AV36" s="1162" t="e">
        <f t="shared" si="0"/>
        <v>#VALUE!</v>
      </c>
      <c r="AW36" s="1058"/>
      <c r="AX36" s="1058"/>
      <c r="AY36" s="1058"/>
      <c r="AZ36" s="1058"/>
      <c r="BA36" s="1058"/>
      <c r="BB36" s="1058"/>
      <c r="BC36" s="1058"/>
      <c r="BD36" s="1058"/>
      <c r="BE36" s="1058"/>
      <c r="BF36" s="1058"/>
      <c r="BG36" s="884"/>
      <c r="BH36" s="884"/>
      <c r="BY36" s="210"/>
      <c r="CB36" s="1362" t="str">
        <f t="shared" si="1"/>
        <v/>
      </c>
      <c r="CC36" s="1362" t="e">
        <f t="shared" si="2"/>
        <v>#VALUE!</v>
      </c>
      <c r="CD36" s="1362" t="str">
        <f t="shared" si="3"/>
        <v xml:space="preserve">* Las consejerías realizadas en Espacios amigables NO DEBEN ser mayor al Total. </v>
      </c>
      <c r="CE36" s="1362" t="e">
        <f t="shared" si="4"/>
        <v>#VALUE!</v>
      </c>
      <c r="CF36" s="1362"/>
      <c r="CG36" s="1362"/>
      <c r="CH36" s="1363">
        <f t="shared" si="5"/>
        <v>0</v>
      </c>
      <c r="CI36" s="1363" t="e">
        <f t="shared" si="6"/>
        <v>#VALUE!</v>
      </c>
      <c r="CJ36" s="1363">
        <f t="shared" si="7"/>
        <v>1</v>
      </c>
      <c r="CK36" s="1363" t="e">
        <f t="shared" si="8"/>
        <v>#VALUE!</v>
      </c>
      <c r="CL36" s="1346"/>
      <c r="CM36" s="1346"/>
      <c r="CN36" s="1346"/>
      <c r="CO36" s="1346"/>
      <c r="CP36" s="1346"/>
    </row>
    <row r="37" spans="1:94" ht="16.350000000000001" customHeight="1" x14ac:dyDescent="0.25">
      <c r="A37" s="2458">
        <v>19120302</v>
      </c>
      <c r="B37" s="5113"/>
      <c r="C37" s="179" t="s">
        <v>41</v>
      </c>
      <c r="D37" s="1635" t="s">
        <v>2777</v>
      </c>
      <c r="E37" s="1636" t="s">
        <v>2778</v>
      </c>
      <c r="F37" s="1676" t="s">
        <v>2779</v>
      </c>
      <c r="G37" s="115" t="s">
        <v>2780</v>
      </c>
      <c r="H37" s="258" t="s">
        <v>2781</v>
      </c>
      <c r="I37" s="141" t="s">
        <v>2782</v>
      </c>
      <c r="J37" s="198" t="s">
        <v>2783</v>
      </c>
      <c r="K37" s="141" t="s">
        <v>2784</v>
      </c>
      <c r="L37" s="163" t="s">
        <v>2785</v>
      </c>
      <c r="M37" s="141" t="s">
        <v>2786</v>
      </c>
      <c r="N37" s="163" t="s">
        <v>2787</v>
      </c>
      <c r="O37" s="141" t="s">
        <v>2788</v>
      </c>
      <c r="P37" s="163" t="s">
        <v>2789</v>
      </c>
      <c r="Q37" s="141" t="s">
        <v>2790</v>
      </c>
      <c r="R37" s="163" t="s">
        <v>2791</v>
      </c>
      <c r="S37" s="141" t="s">
        <v>2792</v>
      </c>
      <c r="T37" s="163" t="s">
        <v>2793</v>
      </c>
      <c r="U37" s="141" t="s">
        <v>2794</v>
      </c>
      <c r="V37" s="163" t="s">
        <v>2795</v>
      </c>
      <c r="W37" s="141" t="s">
        <v>2796</v>
      </c>
      <c r="X37" s="163" t="s">
        <v>2797</v>
      </c>
      <c r="Y37" s="141" t="s">
        <v>2798</v>
      </c>
      <c r="Z37" s="163" t="s">
        <v>2799</v>
      </c>
      <c r="AA37" s="141" t="s">
        <v>2800</v>
      </c>
      <c r="AB37" s="163" t="s">
        <v>2801</v>
      </c>
      <c r="AC37" s="141" t="s">
        <v>2817</v>
      </c>
      <c r="AD37" s="163" t="s">
        <v>2818</v>
      </c>
      <c r="AE37" s="141" t="s">
        <v>2819</v>
      </c>
      <c r="AF37" s="163" t="s">
        <v>2821</v>
      </c>
      <c r="AG37" s="141" t="s">
        <v>2822</v>
      </c>
      <c r="AH37" s="163" t="s">
        <v>2823</v>
      </c>
      <c r="AI37" s="141" t="s">
        <v>2824</v>
      </c>
      <c r="AJ37" s="163" t="s">
        <v>2825</v>
      </c>
      <c r="AK37" s="141" t="s">
        <v>2826</v>
      </c>
      <c r="AL37" s="163" t="s">
        <v>2827</v>
      </c>
      <c r="AM37" s="224" t="s">
        <v>2831</v>
      </c>
      <c r="AN37" s="318" t="s">
        <v>2832</v>
      </c>
      <c r="AO37" s="498" t="s">
        <v>2833</v>
      </c>
      <c r="AP37" s="198" t="s">
        <v>2834</v>
      </c>
      <c r="AQ37" s="164" t="s">
        <v>3011</v>
      </c>
      <c r="AR37" s="164" t="s">
        <v>3012</v>
      </c>
      <c r="AS37" s="164" t="s">
        <v>3013</v>
      </c>
      <c r="AT37" s="939" t="s">
        <v>3014</v>
      </c>
      <c r="AU37" s="164" t="s">
        <v>3015</v>
      </c>
      <c r="AV37" s="1162" t="e">
        <f t="shared" si="0"/>
        <v>#VALUE!</v>
      </c>
      <c r="AW37" s="1058"/>
      <c r="AX37" s="1058"/>
      <c r="AY37" s="1058"/>
      <c r="AZ37" s="1058"/>
      <c r="BA37" s="1058"/>
      <c r="BB37" s="1058"/>
      <c r="BC37" s="1058"/>
      <c r="BD37" s="1058"/>
      <c r="BE37" s="1058"/>
      <c r="BF37" s="1058"/>
      <c r="BG37" s="884"/>
      <c r="BH37" s="884"/>
      <c r="BY37" s="210"/>
      <c r="CB37" s="1362" t="str">
        <f t="shared" si="1"/>
        <v/>
      </c>
      <c r="CC37" s="1362" t="e">
        <f t="shared" si="2"/>
        <v>#VALUE!</v>
      </c>
      <c r="CD37" s="1362" t="str">
        <f t="shared" si="3"/>
        <v xml:space="preserve">* Las consejerías realizadas en Espacios amigables NO DEBEN ser mayor al Total. </v>
      </c>
      <c r="CE37" s="1362" t="e">
        <f t="shared" si="4"/>
        <v>#VALUE!</v>
      </c>
      <c r="CF37" s="1362"/>
      <c r="CG37" s="1362"/>
      <c r="CH37" s="1363">
        <f t="shared" si="5"/>
        <v>0</v>
      </c>
      <c r="CI37" s="1363" t="e">
        <f t="shared" si="6"/>
        <v>#VALUE!</v>
      </c>
      <c r="CJ37" s="1363">
        <f t="shared" si="7"/>
        <v>1</v>
      </c>
      <c r="CK37" s="1363" t="e">
        <f t="shared" si="8"/>
        <v>#VALUE!</v>
      </c>
      <c r="CL37" s="1346"/>
      <c r="CM37" s="1346"/>
      <c r="CN37" s="1346"/>
      <c r="CO37" s="1346"/>
      <c r="CP37" s="1346"/>
    </row>
    <row r="38" spans="1:94" ht="16.350000000000001" customHeight="1" x14ac:dyDescent="0.25">
      <c r="A38" s="2458">
        <v>19120303</v>
      </c>
      <c r="B38" s="5113"/>
      <c r="C38" s="179" t="s">
        <v>30</v>
      </c>
      <c r="D38" s="1635" t="s">
        <v>2777</v>
      </c>
      <c r="E38" s="1636" t="s">
        <v>2778</v>
      </c>
      <c r="F38" s="1676" t="s">
        <v>2779</v>
      </c>
      <c r="G38" s="115" t="s">
        <v>2780</v>
      </c>
      <c r="H38" s="258" t="s">
        <v>2781</v>
      </c>
      <c r="I38" s="141" t="s">
        <v>2782</v>
      </c>
      <c r="J38" s="198" t="s">
        <v>2783</v>
      </c>
      <c r="K38" s="141" t="s">
        <v>2784</v>
      </c>
      <c r="L38" s="163" t="s">
        <v>2785</v>
      </c>
      <c r="M38" s="141" t="s">
        <v>2786</v>
      </c>
      <c r="N38" s="163" t="s">
        <v>2787</v>
      </c>
      <c r="O38" s="141" t="s">
        <v>2788</v>
      </c>
      <c r="P38" s="163" t="s">
        <v>2789</v>
      </c>
      <c r="Q38" s="141" t="s">
        <v>2790</v>
      </c>
      <c r="R38" s="163" t="s">
        <v>2791</v>
      </c>
      <c r="S38" s="141" t="s">
        <v>2792</v>
      </c>
      <c r="T38" s="163" t="s">
        <v>2793</v>
      </c>
      <c r="U38" s="141" t="s">
        <v>2794</v>
      </c>
      <c r="V38" s="163" t="s">
        <v>2795</v>
      </c>
      <c r="W38" s="141" t="s">
        <v>2796</v>
      </c>
      <c r="X38" s="163" t="s">
        <v>2797</v>
      </c>
      <c r="Y38" s="141" t="s">
        <v>2798</v>
      </c>
      <c r="Z38" s="163" t="s">
        <v>2799</v>
      </c>
      <c r="AA38" s="141" t="s">
        <v>2800</v>
      </c>
      <c r="AB38" s="163" t="s">
        <v>2801</v>
      </c>
      <c r="AC38" s="141" t="s">
        <v>2817</v>
      </c>
      <c r="AD38" s="163" t="s">
        <v>2818</v>
      </c>
      <c r="AE38" s="141" t="s">
        <v>2819</v>
      </c>
      <c r="AF38" s="163" t="s">
        <v>2821</v>
      </c>
      <c r="AG38" s="141" t="s">
        <v>2822</v>
      </c>
      <c r="AH38" s="163" t="s">
        <v>2823</v>
      </c>
      <c r="AI38" s="141" t="s">
        <v>2824</v>
      </c>
      <c r="AJ38" s="163" t="s">
        <v>2825</v>
      </c>
      <c r="AK38" s="141" t="s">
        <v>2826</v>
      </c>
      <c r="AL38" s="163" t="s">
        <v>2827</v>
      </c>
      <c r="AM38" s="224" t="s">
        <v>2831</v>
      </c>
      <c r="AN38" s="318" t="s">
        <v>2832</v>
      </c>
      <c r="AO38" s="498" t="s">
        <v>2833</v>
      </c>
      <c r="AP38" s="198" t="s">
        <v>2834</v>
      </c>
      <c r="AQ38" s="164" t="s">
        <v>3011</v>
      </c>
      <c r="AR38" s="164" t="s">
        <v>3012</v>
      </c>
      <c r="AS38" s="164" t="s">
        <v>3013</v>
      </c>
      <c r="AT38" s="939" t="s">
        <v>3014</v>
      </c>
      <c r="AU38" s="164" t="s">
        <v>3015</v>
      </c>
      <c r="AV38" s="1162" t="e">
        <f t="shared" si="0"/>
        <v>#VALUE!</v>
      </c>
      <c r="AW38" s="1058"/>
      <c r="AX38" s="1058"/>
      <c r="AY38" s="1058"/>
      <c r="AZ38" s="1058"/>
      <c r="BA38" s="1058"/>
      <c r="BB38" s="1058"/>
      <c r="BC38" s="1058"/>
      <c r="BD38" s="1058"/>
      <c r="BE38" s="1058"/>
      <c r="BF38" s="1058"/>
      <c r="BG38" s="884"/>
      <c r="BH38" s="884"/>
      <c r="BY38" s="210"/>
      <c r="CB38" s="1362" t="str">
        <f t="shared" si="1"/>
        <v/>
      </c>
      <c r="CC38" s="1362" t="e">
        <f t="shared" si="2"/>
        <v>#VALUE!</v>
      </c>
      <c r="CD38" s="1362" t="str">
        <f t="shared" si="3"/>
        <v xml:space="preserve">* Las consejerías realizadas en Espacios amigables NO DEBEN ser mayor al Total. </v>
      </c>
      <c r="CE38" s="1362" t="e">
        <f t="shared" si="4"/>
        <v>#VALUE!</v>
      </c>
      <c r="CF38" s="1362"/>
      <c r="CG38" s="1362"/>
      <c r="CH38" s="1363">
        <f t="shared" si="5"/>
        <v>0</v>
      </c>
      <c r="CI38" s="1363" t="e">
        <f t="shared" si="6"/>
        <v>#VALUE!</v>
      </c>
      <c r="CJ38" s="1363">
        <f t="shared" si="7"/>
        <v>1</v>
      </c>
      <c r="CK38" s="1363" t="e">
        <f t="shared" si="8"/>
        <v>#VALUE!</v>
      </c>
      <c r="CL38" s="1346"/>
      <c r="CM38" s="1346"/>
      <c r="CN38" s="1346"/>
      <c r="CO38" s="1346"/>
      <c r="CP38" s="1346"/>
    </row>
    <row r="39" spans="1:94" ht="16.350000000000001" customHeight="1" x14ac:dyDescent="0.25">
      <c r="A39" s="2458">
        <v>19120304</v>
      </c>
      <c r="B39" s="5113"/>
      <c r="C39" s="179" t="s">
        <v>68</v>
      </c>
      <c r="D39" s="1635" t="s">
        <v>2777</v>
      </c>
      <c r="E39" s="1636" t="s">
        <v>2778</v>
      </c>
      <c r="F39" s="1676" t="s">
        <v>2779</v>
      </c>
      <c r="G39" s="115" t="s">
        <v>2780</v>
      </c>
      <c r="H39" s="258" t="s">
        <v>2781</v>
      </c>
      <c r="I39" s="141" t="s">
        <v>2782</v>
      </c>
      <c r="J39" s="198" t="s">
        <v>2783</v>
      </c>
      <c r="K39" s="141" t="s">
        <v>2784</v>
      </c>
      <c r="L39" s="163" t="s">
        <v>2785</v>
      </c>
      <c r="M39" s="141" t="s">
        <v>2786</v>
      </c>
      <c r="N39" s="163" t="s">
        <v>2787</v>
      </c>
      <c r="O39" s="141" t="s">
        <v>2788</v>
      </c>
      <c r="P39" s="163" t="s">
        <v>2789</v>
      </c>
      <c r="Q39" s="141" t="s">
        <v>2790</v>
      </c>
      <c r="R39" s="163" t="s">
        <v>2791</v>
      </c>
      <c r="S39" s="141" t="s">
        <v>2792</v>
      </c>
      <c r="T39" s="163" t="s">
        <v>2793</v>
      </c>
      <c r="U39" s="141" t="s">
        <v>2794</v>
      </c>
      <c r="V39" s="163" t="s">
        <v>2795</v>
      </c>
      <c r="W39" s="141" t="s">
        <v>2796</v>
      </c>
      <c r="X39" s="163" t="s">
        <v>2797</v>
      </c>
      <c r="Y39" s="141" t="s">
        <v>2798</v>
      </c>
      <c r="Z39" s="163" t="s">
        <v>2799</v>
      </c>
      <c r="AA39" s="141" t="s">
        <v>2800</v>
      </c>
      <c r="AB39" s="163" t="s">
        <v>2801</v>
      </c>
      <c r="AC39" s="141" t="s">
        <v>2817</v>
      </c>
      <c r="AD39" s="163" t="s">
        <v>2818</v>
      </c>
      <c r="AE39" s="141" t="s">
        <v>2819</v>
      </c>
      <c r="AF39" s="163" t="s">
        <v>2821</v>
      </c>
      <c r="AG39" s="141" t="s">
        <v>2822</v>
      </c>
      <c r="AH39" s="163" t="s">
        <v>2823</v>
      </c>
      <c r="AI39" s="141" t="s">
        <v>2824</v>
      </c>
      <c r="AJ39" s="163" t="s">
        <v>2825</v>
      </c>
      <c r="AK39" s="141" t="s">
        <v>2826</v>
      </c>
      <c r="AL39" s="163" t="s">
        <v>2827</v>
      </c>
      <c r="AM39" s="224" t="s">
        <v>2831</v>
      </c>
      <c r="AN39" s="318" t="s">
        <v>2832</v>
      </c>
      <c r="AO39" s="498" t="s">
        <v>2833</v>
      </c>
      <c r="AP39" s="198" t="s">
        <v>2834</v>
      </c>
      <c r="AQ39" s="164" t="s">
        <v>3011</v>
      </c>
      <c r="AR39" s="164" t="s">
        <v>3012</v>
      </c>
      <c r="AS39" s="164" t="s">
        <v>3013</v>
      </c>
      <c r="AT39" s="939" t="s">
        <v>3014</v>
      </c>
      <c r="AU39" s="164" t="s">
        <v>3015</v>
      </c>
      <c r="AV39" s="1162" t="e">
        <f t="shared" si="0"/>
        <v>#VALUE!</v>
      </c>
      <c r="AW39" s="1058"/>
      <c r="AX39" s="1058"/>
      <c r="AY39" s="1058"/>
      <c r="AZ39" s="1058"/>
      <c r="BA39" s="1058"/>
      <c r="BB39" s="1058"/>
      <c r="BC39" s="1058"/>
      <c r="BD39" s="1058"/>
      <c r="BE39" s="1058"/>
      <c r="BF39" s="1058"/>
      <c r="BG39" s="884"/>
      <c r="BH39" s="884"/>
      <c r="BY39" s="210"/>
      <c r="CB39" s="1362" t="str">
        <f t="shared" si="1"/>
        <v/>
      </c>
      <c r="CC39" s="1362" t="e">
        <f t="shared" si="2"/>
        <v>#VALUE!</v>
      </c>
      <c r="CD39" s="1362" t="str">
        <f t="shared" si="3"/>
        <v xml:space="preserve">* Las consejerías realizadas en Espacios amigables NO DEBEN ser mayor al Total. </v>
      </c>
      <c r="CE39" s="1362" t="e">
        <f t="shared" si="4"/>
        <v>#VALUE!</v>
      </c>
      <c r="CF39" s="1362"/>
      <c r="CG39" s="1362"/>
      <c r="CH39" s="1363">
        <f t="shared" si="5"/>
        <v>0</v>
      </c>
      <c r="CI39" s="1363" t="e">
        <f t="shared" si="6"/>
        <v>#VALUE!</v>
      </c>
      <c r="CJ39" s="1363">
        <f t="shared" si="7"/>
        <v>1</v>
      </c>
      <c r="CK39" s="1363" t="e">
        <f t="shared" si="8"/>
        <v>#VALUE!</v>
      </c>
      <c r="CL39" s="1346"/>
      <c r="CM39" s="1346"/>
      <c r="CN39" s="1346"/>
      <c r="CO39" s="1346"/>
      <c r="CP39" s="1346"/>
    </row>
    <row r="40" spans="1:94" ht="16.350000000000001" customHeight="1" x14ac:dyDescent="0.25">
      <c r="A40" s="2458">
        <v>19120306</v>
      </c>
      <c r="B40" s="5113"/>
      <c r="C40" s="179" t="s">
        <v>283</v>
      </c>
      <c r="D40" s="1635" t="s">
        <v>2777</v>
      </c>
      <c r="E40" s="1636" t="s">
        <v>2778</v>
      </c>
      <c r="F40" s="1676" t="s">
        <v>2779</v>
      </c>
      <c r="G40" s="115" t="s">
        <v>2780</v>
      </c>
      <c r="H40" s="258" t="s">
        <v>2781</v>
      </c>
      <c r="I40" s="141" t="s">
        <v>2782</v>
      </c>
      <c r="J40" s="198" t="s">
        <v>2783</v>
      </c>
      <c r="K40" s="141" t="s">
        <v>2784</v>
      </c>
      <c r="L40" s="163" t="s">
        <v>2785</v>
      </c>
      <c r="M40" s="141" t="s">
        <v>2786</v>
      </c>
      <c r="N40" s="163" t="s">
        <v>2787</v>
      </c>
      <c r="O40" s="141" t="s">
        <v>2788</v>
      </c>
      <c r="P40" s="163" t="s">
        <v>2789</v>
      </c>
      <c r="Q40" s="141" t="s">
        <v>2790</v>
      </c>
      <c r="R40" s="163" t="s">
        <v>2791</v>
      </c>
      <c r="S40" s="141" t="s">
        <v>2792</v>
      </c>
      <c r="T40" s="163" t="s">
        <v>2793</v>
      </c>
      <c r="U40" s="141" t="s">
        <v>2794</v>
      </c>
      <c r="V40" s="163" t="s">
        <v>2795</v>
      </c>
      <c r="W40" s="141" t="s">
        <v>2796</v>
      </c>
      <c r="X40" s="163" t="s">
        <v>2797</v>
      </c>
      <c r="Y40" s="141" t="s">
        <v>2798</v>
      </c>
      <c r="Z40" s="163" t="s">
        <v>2799</v>
      </c>
      <c r="AA40" s="141" t="s">
        <v>2800</v>
      </c>
      <c r="AB40" s="163" t="s">
        <v>2801</v>
      </c>
      <c r="AC40" s="141" t="s">
        <v>2817</v>
      </c>
      <c r="AD40" s="163" t="s">
        <v>2818</v>
      </c>
      <c r="AE40" s="141" t="s">
        <v>2819</v>
      </c>
      <c r="AF40" s="163" t="s">
        <v>2821</v>
      </c>
      <c r="AG40" s="141" t="s">
        <v>2822</v>
      </c>
      <c r="AH40" s="163" t="s">
        <v>2823</v>
      </c>
      <c r="AI40" s="141" t="s">
        <v>2824</v>
      </c>
      <c r="AJ40" s="163" t="s">
        <v>2825</v>
      </c>
      <c r="AK40" s="141" t="s">
        <v>2826</v>
      </c>
      <c r="AL40" s="163" t="s">
        <v>2827</v>
      </c>
      <c r="AM40" s="224" t="s">
        <v>2831</v>
      </c>
      <c r="AN40" s="318" t="s">
        <v>2832</v>
      </c>
      <c r="AO40" s="498" t="s">
        <v>2833</v>
      </c>
      <c r="AP40" s="198" t="s">
        <v>2834</v>
      </c>
      <c r="AQ40" s="164" t="s">
        <v>3011</v>
      </c>
      <c r="AR40" s="164" t="s">
        <v>3012</v>
      </c>
      <c r="AS40" s="164" t="s">
        <v>3013</v>
      </c>
      <c r="AT40" s="939" t="s">
        <v>3014</v>
      </c>
      <c r="AU40" s="164" t="s">
        <v>3015</v>
      </c>
      <c r="AV40" s="1162" t="e">
        <f t="shared" si="0"/>
        <v>#VALUE!</v>
      </c>
      <c r="AW40" s="1058"/>
      <c r="AX40" s="1058"/>
      <c r="AY40" s="1058"/>
      <c r="AZ40" s="1058"/>
      <c r="BA40" s="1058"/>
      <c r="BB40" s="1058"/>
      <c r="BC40" s="1058"/>
      <c r="BD40" s="1058"/>
      <c r="BE40" s="1058"/>
      <c r="BF40" s="1058"/>
      <c r="BG40" s="884"/>
      <c r="BH40" s="884"/>
      <c r="BY40" s="210"/>
      <c r="CB40" s="1362" t="str">
        <f t="shared" si="1"/>
        <v/>
      </c>
      <c r="CC40" s="1362" t="e">
        <f t="shared" si="2"/>
        <v>#VALUE!</v>
      </c>
      <c r="CD40" s="1362" t="str">
        <f t="shared" si="3"/>
        <v xml:space="preserve">* Las consejerías realizadas en Espacios amigables NO DEBEN ser mayor al Total. </v>
      </c>
      <c r="CE40" s="1362" t="e">
        <f t="shared" si="4"/>
        <v>#VALUE!</v>
      </c>
      <c r="CF40" s="1362"/>
      <c r="CG40" s="1362"/>
      <c r="CH40" s="1363">
        <f t="shared" si="5"/>
        <v>0</v>
      </c>
      <c r="CI40" s="1363" t="e">
        <f t="shared" si="6"/>
        <v>#VALUE!</v>
      </c>
      <c r="CJ40" s="1363">
        <f t="shared" si="7"/>
        <v>1</v>
      </c>
      <c r="CK40" s="1363" t="e">
        <f t="shared" si="8"/>
        <v>#VALUE!</v>
      </c>
      <c r="CL40" s="1346"/>
      <c r="CM40" s="1346"/>
      <c r="CN40" s="1346"/>
      <c r="CO40" s="1346"/>
      <c r="CP40" s="1346"/>
    </row>
    <row r="41" spans="1:94" ht="16.350000000000001" customHeight="1" x14ac:dyDescent="0.25">
      <c r="A41" s="2458">
        <v>19120308</v>
      </c>
      <c r="B41" s="5113"/>
      <c r="C41" s="179" t="s">
        <v>2045</v>
      </c>
      <c r="D41" s="1635" t="s">
        <v>2777</v>
      </c>
      <c r="E41" s="1636" t="s">
        <v>2778</v>
      </c>
      <c r="F41" s="1676" t="s">
        <v>2779</v>
      </c>
      <c r="G41" s="115" t="s">
        <v>2780</v>
      </c>
      <c r="H41" s="258" t="s">
        <v>2781</v>
      </c>
      <c r="I41" s="141" t="s">
        <v>2782</v>
      </c>
      <c r="J41" s="198" t="s">
        <v>2783</v>
      </c>
      <c r="K41" s="141" t="s">
        <v>2784</v>
      </c>
      <c r="L41" s="163" t="s">
        <v>2785</v>
      </c>
      <c r="M41" s="141" t="s">
        <v>2786</v>
      </c>
      <c r="N41" s="163" t="s">
        <v>2787</v>
      </c>
      <c r="O41" s="141" t="s">
        <v>2788</v>
      </c>
      <c r="P41" s="163" t="s">
        <v>2789</v>
      </c>
      <c r="Q41" s="141" t="s">
        <v>2790</v>
      </c>
      <c r="R41" s="163" t="s">
        <v>2791</v>
      </c>
      <c r="S41" s="141" t="s">
        <v>2792</v>
      </c>
      <c r="T41" s="163" t="s">
        <v>2793</v>
      </c>
      <c r="U41" s="141" t="s">
        <v>2794</v>
      </c>
      <c r="V41" s="163" t="s">
        <v>2795</v>
      </c>
      <c r="W41" s="141" t="s">
        <v>2796</v>
      </c>
      <c r="X41" s="163" t="s">
        <v>2797</v>
      </c>
      <c r="Y41" s="141" t="s">
        <v>2798</v>
      </c>
      <c r="Z41" s="163" t="s">
        <v>2799</v>
      </c>
      <c r="AA41" s="141" t="s">
        <v>2800</v>
      </c>
      <c r="AB41" s="163" t="s">
        <v>2801</v>
      </c>
      <c r="AC41" s="141" t="s">
        <v>2817</v>
      </c>
      <c r="AD41" s="163" t="s">
        <v>2818</v>
      </c>
      <c r="AE41" s="141" t="s">
        <v>2819</v>
      </c>
      <c r="AF41" s="163" t="s">
        <v>2821</v>
      </c>
      <c r="AG41" s="141" t="s">
        <v>2822</v>
      </c>
      <c r="AH41" s="163" t="s">
        <v>2823</v>
      </c>
      <c r="AI41" s="141" t="s">
        <v>2824</v>
      </c>
      <c r="AJ41" s="163" t="s">
        <v>2825</v>
      </c>
      <c r="AK41" s="141" t="s">
        <v>2826</v>
      </c>
      <c r="AL41" s="163" t="s">
        <v>2827</v>
      </c>
      <c r="AM41" s="224" t="s">
        <v>2831</v>
      </c>
      <c r="AN41" s="318" t="s">
        <v>2832</v>
      </c>
      <c r="AO41" s="498" t="s">
        <v>2833</v>
      </c>
      <c r="AP41" s="198" t="s">
        <v>2834</v>
      </c>
      <c r="AQ41" s="164" t="s">
        <v>3011</v>
      </c>
      <c r="AR41" s="164" t="s">
        <v>3012</v>
      </c>
      <c r="AS41" s="164" t="s">
        <v>3013</v>
      </c>
      <c r="AT41" s="939" t="s">
        <v>3014</v>
      </c>
      <c r="AU41" s="164" t="s">
        <v>3015</v>
      </c>
      <c r="AV41" s="1162" t="e">
        <f t="shared" si="0"/>
        <v>#VALUE!</v>
      </c>
      <c r="AW41" s="1058"/>
      <c r="AX41" s="1058"/>
      <c r="AY41" s="1058"/>
      <c r="AZ41" s="1058"/>
      <c r="BA41" s="1058"/>
      <c r="BB41" s="1058"/>
      <c r="BC41" s="1058"/>
      <c r="BD41" s="1058"/>
      <c r="BE41" s="1058"/>
      <c r="BF41" s="1058"/>
      <c r="BG41" s="884"/>
      <c r="BH41" s="884"/>
      <c r="BY41" s="210"/>
      <c r="CB41" s="1362" t="str">
        <f t="shared" si="1"/>
        <v/>
      </c>
      <c r="CC41" s="1362" t="e">
        <f t="shared" si="2"/>
        <v>#VALUE!</v>
      </c>
      <c r="CD41" s="1362" t="str">
        <f t="shared" si="3"/>
        <v xml:space="preserve">* Las consejerías realizadas en Espacios amigables NO DEBEN ser mayor al Total. </v>
      </c>
      <c r="CE41" s="1362" t="e">
        <f t="shared" si="4"/>
        <v>#VALUE!</v>
      </c>
      <c r="CF41" s="1362"/>
      <c r="CG41" s="1362"/>
      <c r="CH41" s="1363">
        <f t="shared" si="5"/>
        <v>0</v>
      </c>
      <c r="CI41" s="1363" t="e">
        <f t="shared" si="6"/>
        <v>#VALUE!</v>
      </c>
      <c r="CJ41" s="1363">
        <f t="shared" si="7"/>
        <v>1</v>
      </c>
      <c r="CK41" s="1363" t="e">
        <f t="shared" si="8"/>
        <v>#VALUE!</v>
      </c>
      <c r="CL41" s="1346"/>
      <c r="CM41" s="1346"/>
      <c r="CN41" s="1346"/>
      <c r="CO41" s="1346"/>
      <c r="CP41" s="1346"/>
    </row>
    <row r="42" spans="1:94" ht="16.350000000000001" customHeight="1" x14ac:dyDescent="0.25">
      <c r="A42" s="2458">
        <v>19120310</v>
      </c>
      <c r="B42" s="5113"/>
      <c r="C42" s="179" t="s">
        <v>499</v>
      </c>
      <c r="D42" s="1635" t="s">
        <v>2777</v>
      </c>
      <c r="E42" s="1636" t="s">
        <v>2778</v>
      </c>
      <c r="F42" s="1676" t="s">
        <v>2779</v>
      </c>
      <c r="G42" s="115" t="s">
        <v>2780</v>
      </c>
      <c r="H42" s="258" t="s">
        <v>2781</v>
      </c>
      <c r="I42" s="141" t="s">
        <v>2782</v>
      </c>
      <c r="J42" s="198" t="s">
        <v>2783</v>
      </c>
      <c r="K42" s="141" t="s">
        <v>2784</v>
      </c>
      <c r="L42" s="163" t="s">
        <v>2785</v>
      </c>
      <c r="M42" s="141" t="s">
        <v>2786</v>
      </c>
      <c r="N42" s="163" t="s">
        <v>2787</v>
      </c>
      <c r="O42" s="141" t="s">
        <v>2788</v>
      </c>
      <c r="P42" s="163" t="s">
        <v>2789</v>
      </c>
      <c r="Q42" s="141" t="s">
        <v>2790</v>
      </c>
      <c r="R42" s="163" t="s">
        <v>2791</v>
      </c>
      <c r="S42" s="141" t="s">
        <v>2792</v>
      </c>
      <c r="T42" s="163" t="s">
        <v>2793</v>
      </c>
      <c r="U42" s="141" t="s">
        <v>2794</v>
      </c>
      <c r="V42" s="163" t="s">
        <v>2795</v>
      </c>
      <c r="W42" s="141" t="s">
        <v>2796</v>
      </c>
      <c r="X42" s="163" t="s">
        <v>2797</v>
      </c>
      <c r="Y42" s="141" t="s">
        <v>2798</v>
      </c>
      <c r="Z42" s="163" t="s">
        <v>2799</v>
      </c>
      <c r="AA42" s="141" t="s">
        <v>2800</v>
      </c>
      <c r="AB42" s="163" t="s">
        <v>2801</v>
      </c>
      <c r="AC42" s="141" t="s">
        <v>2817</v>
      </c>
      <c r="AD42" s="163" t="s">
        <v>2818</v>
      </c>
      <c r="AE42" s="141" t="s">
        <v>2819</v>
      </c>
      <c r="AF42" s="163" t="s">
        <v>2821</v>
      </c>
      <c r="AG42" s="141" t="s">
        <v>2822</v>
      </c>
      <c r="AH42" s="163" t="s">
        <v>2823</v>
      </c>
      <c r="AI42" s="141" t="s">
        <v>2824</v>
      </c>
      <c r="AJ42" s="163" t="s">
        <v>2825</v>
      </c>
      <c r="AK42" s="141" t="s">
        <v>2826</v>
      </c>
      <c r="AL42" s="163" t="s">
        <v>2827</v>
      </c>
      <c r="AM42" s="224" t="s">
        <v>2831</v>
      </c>
      <c r="AN42" s="318" t="s">
        <v>2832</v>
      </c>
      <c r="AO42" s="498" t="s">
        <v>2833</v>
      </c>
      <c r="AP42" s="198" t="s">
        <v>2834</v>
      </c>
      <c r="AQ42" s="164" t="s">
        <v>3011</v>
      </c>
      <c r="AR42" s="164" t="s">
        <v>3012</v>
      </c>
      <c r="AS42" s="164" t="s">
        <v>3013</v>
      </c>
      <c r="AT42" s="939" t="s">
        <v>3014</v>
      </c>
      <c r="AU42" s="164" t="s">
        <v>3015</v>
      </c>
      <c r="AV42" s="1162" t="e">
        <f t="shared" si="0"/>
        <v>#VALUE!</v>
      </c>
      <c r="AW42" s="1058"/>
      <c r="AX42" s="1058"/>
      <c r="AY42" s="1058"/>
      <c r="AZ42" s="1058"/>
      <c r="BA42" s="1058"/>
      <c r="BB42" s="1058"/>
      <c r="BC42" s="1058"/>
      <c r="BD42" s="1058"/>
      <c r="BE42" s="1058"/>
      <c r="BF42" s="1058"/>
      <c r="BG42" s="884"/>
      <c r="BH42" s="884"/>
      <c r="BY42" s="210"/>
      <c r="CB42" s="1362" t="str">
        <f t="shared" si="1"/>
        <v/>
      </c>
      <c r="CC42" s="1362" t="e">
        <f t="shared" si="2"/>
        <v>#VALUE!</v>
      </c>
      <c r="CD42" s="1362" t="str">
        <f t="shared" si="3"/>
        <v xml:space="preserve">* Las consejerías realizadas en Espacios amigables NO DEBEN ser mayor al Total. </v>
      </c>
      <c r="CE42" s="1362" t="e">
        <f t="shared" si="4"/>
        <v>#VALUE!</v>
      </c>
      <c r="CF42" s="1362"/>
      <c r="CG42" s="1362"/>
      <c r="CH42" s="1363">
        <f t="shared" si="5"/>
        <v>0</v>
      </c>
      <c r="CI42" s="1363" t="e">
        <f t="shared" si="6"/>
        <v>#VALUE!</v>
      </c>
      <c r="CJ42" s="1363">
        <f t="shared" si="7"/>
        <v>1</v>
      </c>
      <c r="CK42" s="1363" t="e">
        <f t="shared" si="8"/>
        <v>#VALUE!</v>
      </c>
      <c r="CL42" s="1346"/>
      <c r="CM42" s="1346"/>
      <c r="CN42" s="1346"/>
      <c r="CO42" s="1346"/>
      <c r="CP42" s="1346"/>
    </row>
    <row r="43" spans="1:94" ht="16.350000000000001" customHeight="1" x14ac:dyDescent="0.25">
      <c r="A43" s="2458">
        <v>19170200</v>
      </c>
      <c r="B43" s="5113"/>
      <c r="C43" s="1626" t="s">
        <v>282</v>
      </c>
      <c r="D43" s="714" t="s">
        <v>2777</v>
      </c>
      <c r="E43" s="715" t="s">
        <v>2778</v>
      </c>
      <c r="F43" s="1677" t="s">
        <v>2779</v>
      </c>
      <c r="G43" s="115" t="s">
        <v>2780</v>
      </c>
      <c r="H43" s="258" t="s">
        <v>2781</v>
      </c>
      <c r="I43" s="182" t="s">
        <v>2782</v>
      </c>
      <c r="J43" s="240" t="s">
        <v>2783</v>
      </c>
      <c r="K43" s="182" t="s">
        <v>2784</v>
      </c>
      <c r="L43" s="183" t="s">
        <v>2785</v>
      </c>
      <c r="M43" s="182" t="s">
        <v>2786</v>
      </c>
      <c r="N43" s="183" t="s">
        <v>2787</v>
      </c>
      <c r="O43" s="182" t="s">
        <v>2788</v>
      </c>
      <c r="P43" s="183" t="s">
        <v>2789</v>
      </c>
      <c r="Q43" s="182" t="s">
        <v>2790</v>
      </c>
      <c r="R43" s="183" t="s">
        <v>2791</v>
      </c>
      <c r="S43" s="182" t="s">
        <v>2792</v>
      </c>
      <c r="T43" s="183" t="s">
        <v>2793</v>
      </c>
      <c r="U43" s="182" t="s">
        <v>2794</v>
      </c>
      <c r="V43" s="183" t="s">
        <v>2795</v>
      </c>
      <c r="W43" s="182" t="s">
        <v>2796</v>
      </c>
      <c r="X43" s="183" t="s">
        <v>2797</v>
      </c>
      <c r="Y43" s="182" t="s">
        <v>2798</v>
      </c>
      <c r="Z43" s="183" t="s">
        <v>2799</v>
      </c>
      <c r="AA43" s="182" t="s">
        <v>2800</v>
      </c>
      <c r="AB43" s="183" t="s">
        <v>2801</v>
      </c>
      <c r="AC43" s="182" t="s">
        <v>2817</v>
      </c>
      <c r="AD43" s="183" t="s">
        <v>2818</v>
      </c>
      <c r="AE43" s="182" t="s">
        <v>2819</v>
      </c>
      <c r="AF43" s="183" t="s">
        <v>2821</v>
      </c>
      <c r="AG43" s="182" t="s">
        <v>2822</v>
      </c>
      <c r="AH43" s="183" t="s">
        <v>2823</v>
      </c>
      <c r="AI43" s="182" t="s">
        <v>2824</v>
      </c>
      <c r="AJ43" s="183" t="s">
        <v>2825</v>
      </c>
      <c r="AK43" s="182" t="s">
        <v>2826</v>
      </c>
      <c r="AL43" s="183" t="s">
        <v>2827</v>
      </c>
      <c r="AM43" s="229" t="s">
        <v>2831</v>
      </c>
      <c r="AN43" s="593" t="s">
        <v>2832</v>
      </c>
      <c r="AO43" s="498" t="s">
        <v>2833</v>
      </c>
      <c r="AP43" s="240" t="s">
        <v>2834</v>
      </c>
      <c r="AQ43" s="164" t="s">
        <v>3011</v>
      </c>
      <c r="AR43" s="164" t="s">
        <v>3012</v>
      </c>
      <c r="AS43" s="164" t="s">
        <v>3013</v>
      </c>
      <c r="AT43" s="939" t="s">
        <v>3014</v>
      </c>
      <c r="AU43" s="164" t="s">
        <v>3015</v>
      </c>
      <c r="AV43" s="1162" t="e">
        <f t="shared" si="0"/>
        <v>#VALUE!</v>
      </c>
      <c r="AW43" s="1058"/>
      <c r="AX43" s="1058"/>
      <c r="AY43" s="1058"/>
      <c r="AZ43" s="1058"/>
      <c r="BA43" s="1058"/>
      <c r="BB43" s="1058"/>
      <c r="BC43" s="1058"/>
      <c r="BD43" s="1058"/>
      <c r="BE43" s="1058"/>
      <c r="BF43" s="1058"/>
      <c r="BG43" s="884"/>
      <c r="BH43" s="884"/>
      <c r="BY43" s="210"/>
      <c r="CB43" s="1362" t="str">
        <f t="shared" si="1"/>
        <v/>
      </c>
      <c r="CC43" s="1362" t="e">
        <f t="shared" si="2"/>
        <v>#VALUE!</v>
      </c>
      <c r="CD43" s="1362" t="str">
        <f t="shared" si="3"/>
        <v xml:space="preserve">* Las consejerías realizadas en Espacios amigables NO DEBEN ser mayor al Total. </v>
      </c>
      <c r="CE43" s="1362" t="e">
        <f t="shared" si="4"/>
        <v>#VALUE!</v>
      </c>
      <c r="CF43" s="1362"/>
      <c r="CG43" s="1362"/>
      <c r="CH43" s="1363">
        <f t="shared" si="5"/>
        <v>0</v>
      </c>
      <c r="CI43" s="1363" t="e">
        <f t="shared" si="6"/>
        <v>#VALUE!</v>
      </c>
      <c r="CJ43" s="1363">
        <f t="shared" si="7"/>
        <v>1</v>
      </c>
      <c r="CK43" s="1363" t="e">
        <f t="shared" si="8"/>
        <v>#VALUE!</v>
      </c>
      <c r="CL43" s="1346"/>
      <c r="CM43" s="1346"/>
      <c r="CN43" s="1346"/>
      <c r="CO43" s="1346"/>
      <c r="CP43" s="1346"/>
    </row>
    <row r="44" spans="1:94" ht="16.350000000000001" customHeight="1" x14ac:dyDescent="0.25">
      <c r="A44" s="2458">
        <v>19120311</v>
      </c>
      <c r="B44" s="5113"/>
      <c r="C44" s="179" t="s">
        <v>2046</v>
      </c>
      <c r="D44" s="1635" t="s">
        <v>2777</v>
      </c>
      <c r="E44" s="1636" t="s">
        <v>2778</v>
      </c>
      <c r="F44" s="1676" t="s">
        <v>2779</v>
      </c>
      <c r="G44" s="115" t="s">
        <v>2780</v>
      </c>
      <c r="H44" s="258" t="s">
        <v>2781</v>
      </c>
      <c r="I44" s="141" t="s">
        <v>2782</v>
      </c>
      <c r="J44" s="198" t="s">
        <v>2783</v>
      </c>
      <c r="K44" s="141" t="s">
        <v>2784</v>
      </c>
      <c r="L44" s="163" t="s">
        <v>2785</v>
      </c>
      <c r="M44" s="141" t="s">
        <v>2786</v>
      </c>
      <c r="N44" s="163" t="s">
        <v>2787</v>
      </c>
      <c r="O44" s="141" t="s">
        <v>2788</v>
      </c>
      <c r="P44" s="163" t="s">
        <v>2789</v>
      </c>
      <c r="Q44" s="141" t="s">
        <v>2790</v>
      </c>
      <c r="R44" s="163" t="s">
        <v>2791</v>
      </c>
      <c r="S44" s="141" t="s">
        <v>2792</v>
      </c>
      <c r="T44" s="163" t="s">
        <v>2793</v>
      </c>
      <c r="U44" s="141" t="s">
        <v>2794</v>
      </c>
      <c r="V44" s="163" t="s">
        <v>2795</v>
      </c>
      <c r="W44" s="141" t="s">
        <v>2796</v>
      </c>
      <c r="X44" s="163" t="s">
        <v>2797</v>
      </c>
      <c r="Y44" s="141" t="s">
        <v>2798</v>
      </c>
      <c r="Z44" s="163" t="s">
        <v>2799</v>
      </c>
      <c r="AA44" s="141" t="s">
        <v>2800</v>
      </c>
      <c r="AB44" s="163" t="s">
        <v>2801</v>
      </c>
      <c r="AC44" s="141" t="s">
        <v>2817</v>
      </c>
      <c r="AD44" s="163" t="s">
        <v>2818</v>
      </c>
      <c r="AE44" s="141" t="s">
        <v>2819</v>
      </c>
      <c r="AF44" s="163" t="s">
        <v>2821</v>
      </c>
      <c r="AG44" s="141" t="s">
        <v>2822</v>
      </c>
      <c r="AH44" s="163" t="s">
        <v>2823</v>
      </c>
      <c r="AI44" s="141" t="s">
        <v>2824</v>
      </c>
      <c r="AJ44" s="163" t="s">
        <v>2825</v>
      </c>
      <c r="AK44" s="141" t="s">
        <v>2826</v>
      </c>
      <c r="AL44" s="163" t="s">
        <v>2827</v>
      </c>
      <c r="AM44" s="224" t="s">
        <v>2831</v>
      </c>
      <c r="AN44" s="318" t="s">
        <v>2832</v>
      </c>
      <c r="AO44" s="498" t="s">
        <v>2833</v>
      </c>
      <c r="AP44" s="198" t="s">
        <v>2834</v>
      </c>
      <c r="AQ44" s="164" t="s">
        <v>3011</v>
      </c>
      <c r="AR44" s="164" t="s">
        <v>3012</v>
      </c>
      <c r="AS44" s="164" t="s">
        <v>3013</v>
      </c>
      <c r="AT44" s="939" t="s">
        <v>3014</v>
      </c>
      <c r="AU44" s="164" t="s">
        <v>3015</v>
      </c>
      <c r="AV44" s="1162" t="e">
        <f t="shared" si="0"/>
        <v>#VALUE!</v>
      </c>
      <c r="AW44" s="1058"/>
      <c r="AX44" s="1058"/>
      <c r="AY44" s="1058"/>
      <c r="AZ44" s="1058"/>
      <c r="BA44" s="1058"/>
      <c r="BB44" s="1058"/>
      <c r="BC44" s="1058"/>
      <c r="BD44" s="1058"/>
      <c r="BE44" s="1058"/>
      <c r="BF44" s="1058"/>
      <c r="BG44" s="884"/>
      <c r="BH44" s="884"/>
      <c r="BY44" s="210"/>
      <c r="CB44" s="1362" t="str">
        <f t="shared" si="1"/>
        <v/>
      </c>
      <c r="CC44" s="1362" t="e">
        <f t="shared" si="2"/>
        <v>#VALUE!</v>
      </c>
      <c r="CD44" s="1362" t="str">
        <f t="shared" si="3"/>
        <v xml:space="preserve">* Las consejerías realizadas en Espacios amigables NO DEBEN ser mayor al Total. </v>
      </c>
      <c r="CE44" s="1362" t="e">
        <f t="shared" si="4"/>
        <v>#VALUE!</v>
      </c>
      <c r="CF44" s="1362"/>
      <c r="CG44" s="1362"/>
      <c r="CH44" s="1363">
        <f t="shared" si="5"/>
        <v>0</v>
      </c>
      <c r="CI44" s="1363" t="e">
        <f t="shared" si="6"/>
        <v>#VALUE!</v>
      </c>
      <c r="CJ44" s="1363">
        <f t="shared" si="7"/>
        <v>1</v>
      </c>
      <c r="CK44" s="1363" t="e">
        <f t="shared" si="8"/>
        <v>#VALUE!</v>
      </c>
      <c r="CL44" s="1346"/>
      <c r="CM44" s="1346"/>
      <c r="CN44" s="1346"/>
      <c r="CO44" s="1346"/>
      <c r="CP44" s="1346"/>
    </row>
    <row r="45" spans="1:94" ht="16.350000000000001" customHeight="1" x14ac:dyDescent="0.25">
      <c r="A45" s="2458">
        <v>19120312</v>
      </c>
      <c r="B45" s="5113"/>
      <c r="C45" s="1632" t="s">
        <v>2047</v>
      </c>
      <c r="D45" s="1580" t="s">
        <v>2777</v>
      </c>
      <c r="E45" s="1581" t="s">
        <v>2778</v>
      </c>
      <c r="F45" s="1678" t="s">
        <v>2779</v>
      </c>
      <c r="G45" s="115" t="s">
        <v>2780</v>
      </c>
      <c r="H45" s="111" t="s">
        <v>2781</v>
      </c>
      <c r="I45" s="170" t="s">
        <v>2782</v>
      </c>
      <c r="J45" s="197" t="s">
        <v>2783</v>
      </c>
      <c r="K45" s="170" t="s">
        <v>2784</v>
      </c>
      <c r="L45" s="171" t="s">
        <v>2785</v>
      </c>
      <c r="M45" s="170" t="s">
        <v>2786</v>
      </c>
      <c r="N45" s="171" t="s">
        <v>2787</v>
      </c>
      <c r="O45" s="170" t="s">
        <v>2788</v>
      </c>
      <c r="P45" s="171" t="s">
        <v>2789</v>
      </c>
      <c r="Q45" s="170" t="s">
        <v>2790</v>
      </c>
      <c r="R45" s="171" t="s">
        <v>2791</v>
      </c>
      <c r="S45" s="141" t="s">
        <v>2792</v>
      </c>
      <c r="T45" s="163" t="s">
        <v>2793</v>
      </c>
      <c r="U45" s="141" t="s">
        <v>2794</v>
      </c>
      <c r="V45" s="163" t="s">
        <v>2795</v>
      </c>
      <c r="W45" s="141" t="s">
        <v>2796</v>
      </c>
      <c r="X45" s="163" t="s">
        <v>2797</v>
      </c>
      <c r="Y45" s="141" t="s">
        <v>2798</v>
      </c>
      <c r="Z45" s="163" t="s">
        <v>2799</v>
      </c>
      <c r="AA45" s="141" t="s">
        <v>2800</v>
      </c>
      <c r="AB45" s="163" t="s">
        <v>2801</v>
      </c>
      <c r="AC45" s="141" t="s">
        <v>2817</v>
      </c>
      <c r="AD45" s="163" t="s">
        <v>2818</v>
      </c>
      <c r="AE45" s="141" t="s">
        <v>2819</v>
      </c>
      <c r="AF45" s="163" t="s">
        <v>2821</v>
      </c>
      <c r="AG45" s="141" t="s">
        <v>2822</v>
      </c>
      <c r="AH45" s="163" t="s">
        <v>2823</v>
      </c>
      <c r="AI45" s="141" t="s">
        <v>2824</v>
      </c>
      <c r="AJ45" s="163" t="s">
        <v>2825</v>
      </c>
      <c r="AK45" s="141" t="s">
        <v>2826</v>
      </c>
      <c r="AL45" s="163" t="s">
        <v>2827</v>
      </c>
      <c r="AM45" s="224" t="s">
        <v>2831</v>
      </c>
      <c r="AN45" s="318" t="s">
        <v>2832</v>
      </c>
      <c r="AO45" s="498" t="s">
        <v>2833</v>
      </c>
      <c r="AP45" s="198" t="s">
        <v>2834</v>
      </c>
      <c r="AQ45" s="164" t="s">
        <v>3011</v>
      </c>
      <c r="AR45" s="164" t="s">
        <v>3012</v>
      </c>
      <c r="AS45" s="164" t="s">
        <v>3013</v>
      </c>
      <c r="AT45" s="939" t="s">
        <v>3014</v>
      </c>
      <c r="AU45" s="164" t="s">
        <v>3015</v>
      </c>
      <c r="AV45" s="1162" t="e">
        <f t="shared" si="0"/>
        <v>#VALUE!</v>
      </c>
      <c r="AW45" s="1058"/>
      <c r="AX45" s="1058"/>
      <c r="AY45" s="1058"/>
      <c r="AZ45" s="1058"/>
      <c r="BA45" s="1058"/>
      <c r="BB45" s="1058"/>
      <c r="BC45" s="1058"/>
      <c r="BD45" s="1058"/>
      <c r="BE45" s="1058"/>
      <c r="BF45" s="1058"/>
      <c r="BG45" s="884"/>
      <c r="BH45" s="884"/>
      <c r="BY45" s="210"/>
      <c r="CB45" s="1362" t="str">
        <f t="shared" si="1"/>
        <v/>
      </c>
      <c r="CC45" s="1362" t="e">
        <f t="shared" si="2"/>
        <v>#VALUE!</v>
      </c>
      <c r="CD45" s="1362" t="str">
        <f t="shared" si="3"/>
        <v xml:space="preserve">* Las consejerías realizadas en Espacios amigables NO DEBEN ser mayor al Total. </v>
      </c>
      <c r="CE45" s="1362" t="e">
        <f t="shared" si="4"/>
        <v>#VALUE!</v>
      </c>
      <c r="CF45" s="1362"/>
      <c r="CG45" s="1362"/>
      <c r="CH45" s="1363">
        <f t="shared" si="5"/>
        <v>0</v>
      </c>
      <c r="CI45" s="1363" t="e">
        <f t="shared" si="6"/>
        <v>#VALUE!</v>
      </c>
      <c r="CJ45" s="1363">
        <f t="shared" si="7"/>
        <v>1</v>
      </c>
      <c r="CK45" s="1363" t="e">
        <f t="shared" si="8"/>
        <v>#VALUE!</v>
      </c>
      <c r="CL45" s="1346"/>
      <c r="CM45" s="1346"/>
      <c r="CN45" s="1346"/>
      <c r="CO45" s="1346"/>
      <c r="CP45" s="1346"/>
    </row>
    <row r="46" spans="1:94" ht="16.350000000000001" customHeight="1" x14ac:dyDescent="0.25">
      <c r="A46" s="2458">
        <v>19120305</v>
      </c>
      <c r="B46" s="5159"/>
      <c r="C46" s="283" t="s">
        <v>69</v>
      </c>
      <c r="D46" s="1637" t="s">
        <v>2777</v>
      </c>
      <c r="E46" s="1638" t="s">
        <v>2778</v>
      </c>
      <c r="F46" s="269" t="s">
        <v>2779</v>
      </c>
      <c r="G46" s="101" t="s">
        <v>2780</v>
      </c>
      <c r="H46" s="1683" t="s">
        <v>2781</v>
      </c>
      <c r="I46" s="203" t="s">
        <v>2782</v>
      </c>
      <c r="J46" s="1123" t="s">
        <v>2783</v>
      </c>
      <c r="K46" s="203" t="s">
        <v>2784</v>
      </c>
      <c r="L46" s="204" t="s">
        <v>2785</v>
      </c>
      <c r="M46" s="203" t="s">
        <v>2786</v>
      </c>
      <c r="N46" s="204" t="s">
        <v>2787</v>
      </c>
      <c r="O46" s="203" t="s">
        <v>2788</v>
      </c>
      <c r="P46" s="204" t="s">
        <v>2789</v>
      </c>
      <c r="Q46" s="203" t="s">
        <v>2790</v>
      </c>
      <c r="R46" s="204" t="s">
        <v>2791</v>
      </c>
      <c r="S46" s="203" t="s">
        <v>2792</v>
      </c>
      <c r="T46" s="204" t="s">
        <v>2793</v>
      </c>
      <c r="U46" s="203" t="s">
        <v>2794</v>
      </c>
      <c r="V46" s="204" t="s">
        <v>2795</v>
      </c>
      <c r="W46" s="203" t="s">
        <v>2796</v>
      </c>
      <c r="X46" s="204" t="s">
        <v>2797</v>
      </c>
      <c r="Y46" s="203" t="s">
        <v>2798</v>
      </c>
      <c r="Z46" s="204" t="s">
        <v>2799</v>
      </c>
      <c r="AA46" s="203" t="s">
        <v>2800</v>
      </c>
      <c r="AB46" s="204" t="s">
        <v>2801</v>
      </c>
      <c r="AC46" s="203" t="s">
        <v>2817</v>
      </c>
      <c r="AD46" s="204" t="s">
        <v>2818</v>
      </c>
      <c r="AE46" s="203" t="s">
        <v>2819</v>
      </c>
      <c r="AF46" s="204" t="s">
        <v>2821</v>
      </c>
      <c r="AG46" s="203" t="s">
        <v>2822</v>
      </c>
      <c r="AH46" s="204" t="s">
        <v>2823</v>
      </c>
      <c r="AI46" s="203" t="s">
        <v>2824</v>
      </c>
      <c r="AJ46" s="204" t="s">
        <v>2825</v>
      </c>
      <c r="AK46" s="203" t="s">
        <v>2826</v>
      </c>
      <c r="AL46" s="204" t="s">
        <v>2827</v>
      </c>
      <c r="AM46" s="1684" t="s">
        <v>2831</v>
      </c>
      <c r="AN46" s="519" t="s">
        <v>2832</v>
      </c>
      <c r="AO46" s="1679" t="s">
        <v>2833</v>
      </c>
      <c r="AP46" s="1123" t="s">
        <v>2834</v>
      </c>
      <c r="AQ46" s="105" t="s">
        <v>3011</v>
      </c>
      <c r="AR46" s="105" t="s">
        <v>3012</v>
      </c>
      <c r="AS46" s="105" t="s">
        <v>3013</v>
      </c>
      <c r="AT46" s="613" t="s">
        <v>3014</v>
      </c>
      <c r="AU46" s="105" t="s">
        <v>3015</v>
      </c>
      <c r="AV46" s="1162" t="e">
        <f t="shared" si="0"/>
        <v>#VALUE!</v>
      </c>
      <c r="AW46" s="1058"/>
      <c r="AX46" s="1058"/>
      <c r="AY46" s="1058"/>
      <c r="AZ46" s="1058"/>
      <c r="BA46" s="1058"/>
      <c r="BB46" s="1058"/>
      <c r="BC46" s="1058"/>
      <c r="BD46" s="1058"/>
      <c r="BE46" s="1058"/>
      <c r="BF46" s="1058"/>
      <c r="BG46" s="884"/>
      <c r="BH46" s="884"/>
      <c r="BY46" s="210"/>
      <c r="CB46" s="1362" t="str">
        <f t="shared" si="1"/>
        <v/>
      </c>
      <c r="CC46" s="1362" t="e">
        <f t="shared" si="2"/>
        <v>#VALUE!</v>
      </c>
      <c r="CD46" s="1362" t="str">
        <f t="shared" si="3"/>
        <v xml:space="preserve">* Las consejerías realizadas en Espacios amigables NO DEBEN ser mayor al Total. </v>
      </c>
      <c r="CE46" s="1362" t="e">
        <f t="shared" si="4"/>
        <v>#VALUE!</v>
      </c>
      <c r="CF46" s="1362"/>
      <c r="CG46" s="1362"/>
      <c r="CH46" s="1363">
        <f t="shared" si="5"/>
        <v>0</v>
      </c>
      <c r="CI46" s="1363" t="e">
        <f t="shared" si="6"/>
        <v>#VALUE!</v>
      </c>
      <c r="CJ46" s="1363">
        <f t="shared" si="7"/>
        <v>1</v>
      </c>
      <c r="CK46" s="1363" t="e">
        <f t="shared" si="8"/>
        <v>#VALUE!</v>
      </c>
      <c r="CL46" s="1346"/>
      <c r="CM46" s="1346"/>
      <c r="CN46" s="1346"/>
      <c r="CO46" s="1346"/>
      <c r="CP46" s="1346"/>
    </row>
    <row r="47" spans="1:94" ht="16.350000000000001" customHeight="1" x14ac:dyDescent="0.25">
      <c r="A47" s="2458">
        <v>19185000</v>
      </c>
      <c r="B47" s="5787" t="s">
        <v>2049</v>
      </c>
      <c r="C47" s="1668" t="s">
        <v>29</v>
      </c>
      <c r="D47" s="1633" t="s">
        <v>2777</v>
      </c>
      <c r="E47" s="1634" t="s">
        <v>2778</v>
      </c>
      <c r="F47" s="1669" t="s">
        <v>2779</v>
      </c>
      <c r="G47" s="1681" t="s">
        <v>2780</v>
      </c>
      <c r="H47" s="1682" t="s">
        <v>2781</v>
      </c>
      <c r="I47" s="1670" t="s">
        <v>2782</v>
      </c>
      <c r="J47" s="1671" t="s">
        <v>2783</v>
      </c>
      <c r="K47" s="1670" t="s">
        <v>2784</v>
      </c>
      <c r="L47" s="1672" t="s">
        <v>2785</v>
      </c>
      <c r="M47" s="1670" t="s">
        <v>2786</v>
      </c>
      <c r="N47" s="1672" t="s">
        <v>2787</v>
      </c>
      <c r="O47" s="1670" t="s">
        <v>2788</v>
      </c>
      <c r="P47" s="1672" t="s">
        <v>2789</v>
      </c>
      <c r="Q47" s="1670" t="s">
        <v>2790</v>
      </c>
      <c r="R47" s="1672" t="s">
        <v>2791</v>
      </c>
      <c r="S47" s="1670" t="s">
        <v>2792</v>
      </c>
      <c r="T47" s="1672" t="s">
        <v>2793</v>
      </c>
      <c r="U47" s="1670" t="s">
        <v>2794</v>
      </c>
      <c r="V47" s="1672" t="s">
        <v>2795</v>
      </c>
      <c r="W47" s="1670" t="s">
        <v>2796</v>
      </c>
      <c r="X47" s="1672" t="s">
        <v>2797</v>
      </c>
      <c r="Y47" s="1670" t="s">
        <v>2798</v>
      </c>
      <c r="Z47" s="1672" t="s">
        <v>2799</v>
      </c>
      <c r="AA47" s="1670" t="s">
        <v>2800</v>
      </c>
      <c r="AB47" s="1672" t="s">
        <v>2801</v>
      </c>
      <c r="AC47" s="1670" t="s">
        <v>2817</v>
      </c>
      <c r="AD47" s="1672" t="s">
        <v>2818</v>
      </c>
      <c r="AE47" s="1670" t="s">
        <v>2819</v>
      </c>
      <c r="AF47" s="1672" t="s">
        <v>2821</v>
      </c>
      <c r="AG47" s="1670" t="s">
        <v>2822</v>
      </c>
      <c r="AH47" s="1672" t="s">
        <v>2823</v>
      </c>
      <c r="AI47" s="1670" t="s">
        <v>2824</v>
      </c>
      <c r="AJ47" s="1672" t="s">
        <v>2825</v>
      </c>
      <c r="AK47" s="1670" t="s">
        <v>2826</v>
      </c>
      <c r="AL47" s="1672" t="s">
        <v>2827</v>
      </c>
      <c r="AM47" s="1673" t="s">
        <v>2831</v>
      </c>
      <c r="AN47" s="1674" t="s">
        <v>2832</v>
      </c>
      <c r="AO47" s="500" t="s">
        <v>2833</v>
      </c>
      <c r="AP47" s="1671" t="s">
        <v>2834</v>
      </c>
      <c r="AQ47" s="1604" t="s">
        <v>3011</v>
      </c>
      <c r="AR47" s="112" t="s">
        <v>3012</v>
      </c>
      <c r="AS47" s="112" t="s">
        <v>3013</v>
      </c>
      <c r="AT47" s="1685" t="s">
        <v>3014</v>
      </c>
      <c r="AU47" s="112" t="s">
        <v>3015</v>
      </c>
      <c r="AV47" s="1162" t="e">
        <f t="shared" si="0"/>
        <v>#VALUE!</v>
      </c>
      <c r="AW47" s="1058"/>
      <c r="AX47" s="1058"/>
      <c r="AY47" s="1058"/>
      <c r="AZ47" s="1058"/>
      <c r="BA47" s="1058"/>
      <c r="BB47" s="1058"/>
      <c r="BC47" s="1058"/>
      <c r="BD47" s="1058"/>
      <c r="BE47" s="1058"/>
      <c r="BF47" s="1058"/>
      <c r="BG47" s="884"/>
      <c r="BH47" s="884"/>
      <c r="BY47" s="210"/>
      <c r="CB47" s="1362" t="str">
        <f t="shared" si="1"/>
        <v/>
      </c>
      <c r="CC47" s="1362" t="e">
        <f t="shared" si="2"/>
        <v>#VALUE!</v>
      </c>
      <c r="CD47" s="1362" t="str">
        <f t="shared" si="3"/>
        <v xml:space="preserve">* Las consejerías realizadas en Espacios amigables NO DEBEN ser mayor al Total. </v>
      </c>
      <c r="CE47" s="1362" t="e">
        <f t="shared" si="4"/>
        <v>#VALUE!</v>
      </c>
      <c r="CF47" s="1362"/>
      <c r="CG47" s="1362"/>
      <c r="CH47" s="1363">
        <f t="shared" si="5"/>
        <v>0</v>
      </c>
      <c r="CI47" s="1363" t="e">
        <f t="shared" si="6"/>
        <v>#VALUE!</v>
      </c>
      <c r="CJ47" s="1363">
        <f t="shared" si="7"/>
        <v>1</v>
      </c>
      <c r="CK47" s="1363" t="e">
        <f t="shared" si="8"/>
        <v>#VALUE!</v>
      </c>
      <c r="CL47" s="1346"/>
      <c r="CM47" s="1346"/>
      <c r="CN47" s="1346"/>
      <c r="CO47" s="1346"/>
      <c r="CP47" s="1346"/>
    </row>
    <row r="48" spans="1:94" ht="16.350000000000001" customHeight="1" x14ac:dyDescent="0.25">
      <c r="A48" s="2458">
        <v>19185100</v>
      </c>
      <c r="B48" s="5113"/>
      <c r="C48" s="179" t="s">
        <v>41</v>
      </c>
      <c r="D48" s="1635" t="s">
        <v>2777</v>
      </c>
      <c r="E48" s="1636" t="s">
        <v>2778</v>
      </c>
      <c r="F48" s="1676" t="s">
        <v>2779</v>
      </c>
      <c r="G48" s="115" t="s">
        <v>2780</v>
      </c>
      <c r="H48" s="258" t="s">
        <v>2781</v>
      </c>
      <c r="I48" s="141" t="s">
        <v>2782</v>
      </c>
      <c r="J48" s="198" t="s">
        <v>2783</v>
      </c>
      <c r="K48" s="141" t="s">
        <v>2784</v>
      </c>
      <c r="L48" s="163" t="s">
        <v>2785</v>
      </c>
      <c r="M48" s="141" t="s">
        <v>2786</v>
      </c>
      <c r="N48" s="163" t="s">
        <v>2787</v>
      </c>
      <c r="O48" s="141" t="s">
        <v>2788</v>
      </c>
      <c r="P48" s="163" t="s">
        <v>2789</v>
      </c>
      <c r="Q48" s="141" t="s">
        <v>2790</v>
      </c>
      <c r="R48" s="163" t="s">
        <v>2791</v>
      </c>
      <c r="S48" s="141" t="s">
        <v>2792</v>
      </c>
      <c r="T48" s="163" t="s">
        <v>2793</v>
      </c>
      <c r="U48" s="141" t="s">
        <v>2794</v>
      </c>
      <c r="V48" s="163" t="s">
        <v>2795</v>
      </c>
      <c r="W48" s="141" t="s">
        <v>2796</v>
      </c>
      <c r="X48" s="163" t="s">
        <v>2797</v>
      </c>
      <c r="Y48" s="141" t="s">
        <v>2798</v>
      </c>
      <c r="Z48" s="163" t="s">
        <v>2799</v>
      </c>
      <c r="AA48" s="141" t="s">
        <v>2800</v>
      </c>
      <c r="AB48" s="163" t="s">
        <v>2801</v>
      </c>
      <c r="AC48" s="141" t="s">
        <v>2817</v>
      </c>
      <c r="AD48" s="163" t="s">
        <v>2818</v>
      </c>
      <c r="AE48" s="141" t="s">
        <v>2819</v>
      </c>
      <c r="AF48" s="163" t="s">
        <v>2821</v>
      </c>
      <c r="AG48" s="141" t="s">
        <v>2822</v>
      </c>
      <c r="AH48" s="163" t="s">
        <v>2823</v>
      </c>
      <c r="AI48" s="141" t="s">
        <v>2824</v>
      </c>
      <c r="AJ48" s="163" t="s">
        <v>2825</v>
      </c>
      <c r="AK48" s="141" t="s">
        <v>2826</v>
      </c>
      <c r="AL48" s="163" t="s">
        <v>2827</v>
      </c>
      <c r="AM48" s="224" t="s">
        <v>2831</v>
      </c>
      <c r="AN48" s="318" t="s">
        <v>2832</v>
      </c>
      <c r="AO48" s="498" t="s">
        <v>2833</v>
      </c>
      <c r="AP48" s="198" t="s">
        <v>2834</v>
      </c>
      <c r="AQ48" s="164" t="s">
        <v>3011</v>
      </c>
      <c r="AR48" s="164" t="s">
        <v>3012</v>
      </c>
      <c r="AS48" s="164" t="s">
        <v>3013</v>
      </c>
      <c r="AT48" s="939" t="s">
        <v>3014</v>
      </c>
      <c r="AU48" s="164" t="s">
        <v>3015</v>
      </c>
      <c r="AV48" s="1162" t="e">
        <f t="shared" si="0"/>
        <v>#VALUE!</v>
      </c>
      <c r="AW48" s="1058"/>
      <c r="AX48" s="1058"/>
      <c r="AY48" s="1058"/>
      <c r="AZ48" s="1058"/>
      <c r="BA48" s="1058"/>
      <c r="BB48" s="1058"/>
      <c r="BC48" s="1058"/>
      <c r="BD48" s="1058"/>
      <c r="BE48" s="1058"/>
      <c r="BF48" s="1058"/>
      <c r="BG48" s="884"/>
      <c r="BH48" s="884"/>
      <c r="BY48" s="210"/>
      <c r="CB48" s="1362" t="str">
        <f t="shared" si="1"/>
        <v/>
      </c>
      <c r="CC48" s="1362" t="e">
        <f t="shared" si="2"/>
        <v>#VALUE!</v>
      </c>
      <c r="CD48" s="1362" t="str">
        <f t="shared" si="3"/>
        <v xml:space="preserve">* Las consejerías realizadas en Espacios amigables NO DEBEN ser mayor al Total. </v>
      </c>
      <c r="CE48" s="1362" t="e">
        <f t="shared" si="4"/>
        <v>#VALUE!</v>
      </c>
      <c r="CF48" s="1362"/>
      <c r="CG48" s="1362"/>
      <c r="CH48" s="1363">
        <f t="shared" si="5"/>
        <v>0</v>
      </c>
      <c r="CI48" s="1363" t="e">
        <f t="shared" si="6"/>
        <v>#VALUE!</v>
      </c>
      <c r="CJ48" s="1363">
        <f t="shared" si="7"/>
        <v>1</v>
      </c>
      <c r="CK48" s="1363" t="e">
        <f t="shared" si="8"/>
        <v>#VALUE!</v>
      </c>
      <c r="CL48" s="1346"/>
      <c r="CM48" s="1346"/>
      <c r="CN48" s="1346"/>
      <c r="CO48" s="1346"/>
      <c r="CP48" s="1346"/>
    </row>
    <row r="49" spans="1:94" ht="16.350000000000001" customHeight="1" x14ac:dyDescent="0.25">
      <c r="A49" s="2458">
        <v>19185200</v>
      </c>
      <c r="B49" s="5113"/>
      <c r="C49" s="179" t="s">
        <v>30</v>
      </c>
      <c r="D49" s="1635" t="s">
        <v>2777</v>
      </c>
      <c r="E49" s="1636" t="s">
        <v>2778</v>
      </c>
      <c r="F49" s="1676" t="s">
        <v>2779</v>
      </c>
      <c r="G49" s="115" t="s">
        <v>2780</v>
      </c>
      <c r="H49" s="258" t="s">
        <v>2781</v>
      </c>
      <c r="I49" s="141" t="s">
        <v>2782</v>
      </c>
      <c r="J49" s="198" t="s">
        <v>2783</v>
      </c>
      <c r="K49" s="141" t="s">
        <v>2784</v>
      </c>
      <c r="L49" s="163" t="s">
        <v>2785</v>
      </c>
      <c r="M49" s="141" t="s">
        <v>2786</v>
      </c>
      <c r="N49" s="163" t="s">
        <v>2787</v>
      </c>
      <c r="O49" s="141" t="s">
        <v>2788</v>
      </c>
      <c r="P49" s="163" t="s">
        <v>2789</v>
      </c>
      <c r="Q49" s="141" t="s">
        <v>2790</v>
      </c>
      <c r="R49" s="163" t="s">
        <v>2791</v>
      </c>
      <c r="S49" s="141" t="s">
        <v>2792</v>
      </c>
      <c r="T49" s="163" t="s">
        <v>2793</v>
      </c>
      <c r="U49" s="141" t="s">
        <v>2794</v>
      </c>
      <c r="V49" s="163" t="s">
        <v>2795</v>
      </c>
      <c r="W49" s="141" t="s">
        <v>2796</v>
      </c>
      <c r="X49" s="163" t="s">
        <v>2797</v>
      </c>
      <c r="Y49" s="141" t="s">
        <v>2798</v>
      </c>
      <c r="Z49" s="163" t="s">
        <v>2799</v>
      </c>
      <c r="AA49" s="141" t="s">
        <v>2800</v>
      </c>
      <c r="AB49" s="163" t="s">
        <v>2801</v>
      </c>
      <c r="AC49" s="141" t="s">
        <v>2817</v>
      </c>
      <c r="AD49" s="163" t="s">
        <v>2818</v>
      </c>
      <c r="AE49" s="141" t="s">
        <v>2819</v>
      </c>
      <c r="AF49" s="163" t="s">
        <v>2821</v>
      </c>
      <c r="AG49" s="141" t="s">
        <v>2822</v>
      </c>
      <c r="AH49" s="163" t="s">
        <v>2823</v>
      </c>
      <c r="AI49" s="141" t="s">
        <v>2824</v>
      </c>
      <c r="AJ49" s="163" t="s">
        <v>2825</v>
      </c>
      <c r="AK49" s="141" t="s">
        <v>2826</v>
      </c>
      <c r="AL49" s="163" t="s">
        <v>2827</v>
      </c>
      <c r="AM49" s="224" t="s">
        <v>2831</v>
      </c>
      <c r="AN49" s="318" t="s">
        <v>2832</v>
      </c>
      <c r="AO49" s="498" t="s">
        <v>2833</v>
      </c>
      <c r="AP49" s="198" t="s">
        <v>2834</v>
      </c>
      <c r="AQ49" s="164" t="s">
        <v>3011</v>
      </c>
      <c r="AR49" s="164" t="s">
        <v>3012</v>
      </c>
      <c r="AS49" s="164" t="s">
        <v>3013</v>
      </c>
      <c r="AT49" s="939" t="s">
        <v>3014</v>
      </c>
      <c r="AU49" s="164" t="s">
        <v>3015</v>
      </c>
      <c r="AV49" s="1162" t="e">
        <f t="shared" si="0"/>
        <v>#VALUE!</v>
      </c>
      <c r="AW49" s="1058"/>
      <c r="AX49" s="1058"/>
      <c r="AY49" s="1058"/>
      <c r="AZ49" s="1058"/>
      <c r="BA49" s="1058"/>
      <c r="BB49" s="1058"/>
      <c r="BC49" s="1058"/>
      <c r="BD49" s="1058"/>
      <c r="BE49" s="1058"/>
      <c r="BF49" s="1058"/>
      <c r="BG49" s="884"/>
      <c r="BH49" s="884"/>
      <c r="BY49" s="210"/>
      <c r="CB49" s="1362" t="str">
        <f t="shared" si="1"/>
        <v/>
      </c>
      <c r="CC49" s="1362" t="e">
        <f t="shared" si="2"/>
        <v>#VALUE!</v>
      </c>
      <c r="CD49" s="1362" t="str">
        <f t="shared" si="3"/>
        <v xml:space="preserve">* Las consejerías realizadas en Espacios amigables NO DEBEN ser mayor al Total. </v>
      </c>
      <c r="CE49" s="1362" t="e">
        <f t="shared" si="4"/>
        <v>#VALUE!</v>
      </c>
      <c r="CF49" s="1362"/>
      <c r="CG49" s="1362"/>
      <c r="CH49" s="1363">
        <f t="shared" si="5"/>
        <v>0</v>
      </c>
      <c r="CI49" s="1363" t="e">
        <f t="shared" si="6"/>
        <v>#VALUE!</v>
      </c>
      <c r="CJ49" s="1363">
        <f t="shared" si="7"/>
        <v>1</v>
      </c>
      <c r="CK49" s="1363" t="e">
        <f t="shared" si="8"/>
        <v>#VALUE!</v>
      </c>
      <c r="CL49" s="1346"/>
      <c r="CM49" s="1346"/>
      <c r="CN49" s="1346"/>
      <c r="CO49" s="1346"/>
      <c r="CP49" s="1346"/>
    </row>
    <row r="50" spans="1:94" ht="16.350000000000001" customHeight="1" x14ac:dyDescent="0.25">
      <c r="A50" s="2458">
        <v>19185300</v>
      </c>
      <c r="B50" s="5113"/>
      <c r="C50" s="179" t="s">
        <v>68</v>
      </c>
      <c r="D50" s="1635" t="s">
        <v>2777</v>
      </c>
      <c r="E50" s="1636" t="s">
        <v>2778</v>
      </c>
      <c r="F50" s="1676" t="s">
        <v>2779</v>
      </c>
      <c r="G50" s="115" t="s">
        <v>2780</v>
      </c>
      <c r="H50" s="258" t="s">
        <v>2781</v>
      </c>
      <c r="I50" s="141" t="s">
        <v>2782</v>
      </c>
      <c r="J50" s="198" t="s">
        <v>2783</v>
      </c>
      <c r="K50" s="141" t="s">
        <v>2784</v>
      </c>
      <c r="L50" s="163" t="s">
        <v>2785</v>
      </c>
      <c r="M50" s="141" t="s">
        <v>2786</v>
      </c>
      <c r="N50" s="163" t="s">
        <v>2787</v>
      </c>
      <c r="O50" s="141" t="s">
        <v>2788</v>
      </c>
      <c r="P50" s="163" t="s">
        <v>2789</v>
      </c>
      <c r="Q50" s="141" t="s">
        <v>2790</v>
      </c>
      <c r="R50" s="163" t="s">
        <v>2791</v>
      </c>
      <c r="S50" s="141" t="s">
        <v>2792</v>
      </c>
      <c r="T50" s="163" t="s">
        <v>2793</v>
      </c>
      <c r="U50" s="141" t="s">
        <v>2794</v>
      </c>
      <c r="V50" s="163" t="s">
        <v>2795</v>
      </c>
      <c r="W50" s="141" t="s">
        <v>2796</v>
      </c>
      <c r="X50" s="163" t="s">
        <v>2797</v>
      </c>
      <c r="Y50" s="141" t="s">
        <v>2798</v>
      </c>
      <c r="Z50" s="163" t="s">
        <v>2799</v>
      </c>
      <c r="AA50" s="141" t="s">
        <v>2800</v>
      </c>
      <c r="AB50" s="163" t="s">
        <v>2801</v>
      </c>
      <c r="AC50" s="141" t="s">
        <v>2817</v>
      </c>
      <c r="AD50" s="163" t="s">
        <v>2818</v>
      </c>
      <c r="AE50" s="141" t="s">
        <v>2819</v>
      </c>
      <c r="AF50" s="163" t="s">
        <v>2821</v>
      </c>
      <c r="AG50" s="141" t="s">
        <v>2822</v>
      </c>
      <c r="AH50" s="163" t="s">
        <v>2823</v>
      </c>
      <c r="AI50" s="141" t="s">
        <v>2824</v>
      </c>
      <c r="AJ50" s="163" t="s">
        <v>2825</v>
      </c>
      <c r="AK50" s="141" t="s">
        <v>2826</v>
      </c>
      <c r="AL50" s="163" t="s">
        <v>2827</v>
      </c>
      <c r="AM50" s="224" t="s">
        <v>2831</v>
      </c>
      <c r="AN50" s="318" t="s">
        <v>2832</v>
      </c>
      <c r="AO50" s="498" t="s">
        <v>2833</v>
      </c>
      <c r="AP50" s="198" t="s">
        <v>2834</v>
      </c>
      <c r="AQ50" s="164" t="s">
        <v>3011</v>
      </c>
      <c r="AR50" s="164" t="s">
        <v>3012</v>
      </c>
      <c r="AS50" s="164" t="s">
        <v>3013</v>
      </c>
      <c r="AT50" s="939" t="s">
        <v>3014</v>
      </c>
      <c r="AU50" s="164" t="s">
        <v>3015</v>
      </c>
      <c r="AV50" s="1162" t="e">
        <f t="shared" si="0"/>
        <v>#VALUE!</v>
      </c>
      <c r="AW50" s="1058"/>
      <c r="AX50" s="1058"/>
      <c r="AY50" s="1058"/>
      <c r="AZ50" s="1058"/>
      <c r="BA50" s="1058"/>
      <c r="BB50" s="1058"/>
      <c r="BC50" s="1058"/>
      <c r="BD50" s="1058"/>
      <c r="BE50" s="1058"/>
      <c r="BF50" s="1058"/>
      <c r="BG50" s="884"/>
      <c r="BH50" s="884"/>
      <c r="BY50" s="210"/>
      <c r="CB50" s="1362" t="str">
        <f t="shared" si="1"/>
        <v/>
      </c>
      <c r="CC50" s="1362" t="e">
        <f t="shared" si="2"/>
        <v>#VALUE!</v>
      </c>
      <c r="CD50" s="1362" t="str">
        <f t="shared" si="3"/>
        <v xml:space="preserve">* Las consejerías realizadas en Espacios amigables NO DEBEN ser mayor al Total. </v>
      </c>
      <c r="CE50" s="1362" t="e">
        <f t="shared" si="4"/>
        <v>#VALUE!</v>
      </c>
      <c r="CF50" s="1362"/>
      <c r="CG50" s="1362"/>
      <c r="CH50" s="1363">
        <f t="shared" si="5"/>
        <v>0</v>
      </c>
      <c r="CI50" s="1363" t="e">
        <f t="shared" si="6"/>
        <v>#VALUE!</v>
      </c>
      <c r="CJ50" s="1363">
        <f t="shared" si="7"/>
        <v>1</v>
      </c>
      <c r="CK50" s="1363" t="e">
        <f t="shared" si="8"/>
        <v>#VALUE!</v>
      </c>
      <c r="CL50" s="1346"/>
      <c r="CM50" s="1346"/>
      <c r="CN50" s="1346"/>
      <c r="CO50" s="1346"/>
      <c r="CP50" s="1346"/>
    </row>
    <row r="51" spans="1:94" ht="16.350000000000001" customHeight="1" x14ac:dyDescent="0.25">
      <c r="A51" s="2458">
        <v>19185400</v>
      </c>
      <c r="B51" s="5113"/>
      <c r="C51" s="179" t="s">
        <v>283</v>
      </c>
      <c r="D51" s="1635" t="s">
        <v>2777</v>
      </c>
      <c r="E51" s="1636" t="s">
        <v>2778</v>
      </c>
      <c r="F51" s="1676" t="s">
        <v>2779</v>
      </c>
      <c r="G51" s="115" t="s">
        <v>2780</v>
      </c>
      <c r="H51" s="258" t="s">
        <v>2781</v>
      </c>
      <c r="I51" s="141" t="s">
        <v>2782</v>
      </c>
      <c r="J51" s="198" t="s">
        <v>2783</v>
      </c>
      <c r="K51" s="141" t="s">
        <v>2784</v>
      </c>
      <c r="L51" s="163" t="s">
        <v>2785</v>
      </c>
      <c r="M51" s="141" t="s">
        <v>2786</v>
      </c>
      <c r="N51" s="163" t="s">
        <v>2787</v>
      </c>
      <c r="O51" s="141" t="s">
        <v>2788</v>
      </c>
      <c r="P51" s="163" t="s">
        <v>2789</v>
      </c>
      <c r="Q51" s="141" t="s">
        <v>2790</v>
      </c>
      <c r="R51" s="163" t="s">
        <v>2791</v>
      </c>
      <c r="S51" s="141" t="s">
        <v>2792</v>
      </c>
      <c r="T51" s="163" t="s">
        <v>2793</v>
      </c>
      <c r="U51" s="141" t="s">
        <v>2794</v>
      </c>
      <c r="V51" s="163" t="s">
        <v>2795</v>
      </c>
      <c r="W51" s="141" t="s">
        <v>2796</v>
      </c>
      <c r="X51" s="163" t="s">
        <v>2797</v>
      </c>
      <c r="Y51" s="141" t="s">
        <v>2798</v>
      </c>
      <c r="Z51" s="163" t="s">
        <v>2799</v>
      </c>
      <c r="AA51" s="141" t="s">
        <v>2800</v>
      </c>
      <c r="AB51" s="163" t="s">
        <v>2801</v>
      </c>
      <c r="AC51" s="141" t="s">
        <v>2817</v>
      </c>
      <c r="AD51" s="163" t="s">
        <v>2818</v>
      </c>
      <c r="AE51" s="141" t="s">
        <v>2819</v>
      </c>
      <c r="AF51" s="163" t="s">
        <v>2821</v>
      </c>
      <c r="AG51" s="141" t="s">
        <v>2822</v>
      </c>
      <c r="AH51" s="163" t="s">
        <v>2823</v>
      </c>
      <c r="AI51" s="141" t="s">
        <v>2824</v>
      </c>
      <c r="AJ51" s="163" t="s">
        <v>2825</v>
      </c>
      <c r="AK51" s="141" t="s">
        <v>2826</v>
      </c>
      <c r="AL51" s="163" t="s">
        <v>2827</v>
      </c>
      <c r="AM51" s="224" t="s">
        <v>2831</v>
      </c>
      <c r="AN51" s="318" t="s">
        <v>2832</v>
      </c>
      <c r="AO51" s="498" t="s">
        <v>2833</v>
      </c>
      <c r="AP51" s="198" t="s">
        <v>2834</v>
      </c>
      <c r="AQ51" s="164" t="s">
        <v>3011</v>
      </c>
      <c r="AR51" s="164" t="s">
        <v>3012</v>
      </c>
      <c r="AS51" s="164" t="s">
        <v>3013</v>
      </c>
      <c r="AT51" s="939" t="s">
        <v>3014</v>
      </c>
      <c r="AU51" s="164" t="s">
        <v>3015</v>
      </c>
      <c r="AV51" s="1162" t="e">
        <f t="shared" si="0"/>
        <v>#VALUE!</v>
      </c>
      <c r="AW51" s="1058"/>
      <c r="AX51" s="1058"/>
      <c r="AY51" s="1058"/>
      <c r="AZ51" s="1058"/>
      <c r="BA51" s="1058"/>
      <c r="BB51" s="1058"/>
      <c r="BC51" s="1058"/>
      <c r="BD51" s="1058"/>
      <c r="BE51" s="1058"/>
      <c r="BF51" s="1058"/>
      <c r="BG51" s="884"/>
      <c r="BH51" s="884"/>
      <c r="BY51" s="210"/>
      <c r="CB51" s="1362" t="str">
        <f t="shared" si="1"/>
        <v/>
      </c>
      <c r="CC51" s="1362" t="e">
        <f t="shared" si="2"/>
        <v>#VALUE!</v>
      </c>
      <c r="CD51" s="1362" t="str">
        <f t="shared" si="3"/>
        <v xml:space="preserve">* Las consejerías realizadas en Espacios amigables NO DEBEN ser mayor al Total. </v>
      </c>
      <c r="CE51" s="1362" t="e">
        <f t="shared" si="4"/>
        <v>#VALUE!</v>
      </c>
      <c r="CF51" s="1362"/>
      <c r="CG51" s="1362"/>
      <c r="CH51" s="1363">
        <f t="shared" si="5"/>
        <v>0</v>
      </c>
      <c r="CI51" s="1363" t="e">
        <f t="shared" si="6"/>
        <v>#VALUE!</v>
      </c>
      <c r="CJ51" s="1363">
        <f t="shared" si="7"/>
        <v>1</v>
      </c>
      <c r="CK51" s="1363" t="e">
        <f t="shared" si="8"/>
        <v>#VALUE!</v>
      </c>
      <c r="CL51" s="1346"/>
      <c r="CM51" s="1346"/>
      <c r="CN51" s="1346"/>
      <c r="CO51" s="1346"/>
      <c r="CP51" s="1346"/>
    </row>
    <row r="52" spans="1:94" ht="16.350000000000001" customHeight="1" x14ac:dyDescent="0.25">
      <c r="A52" s="2458">
        <v>19185500</v>
      </c>
      <c r="B52" s="5113"/>
      <c r="C52" s="179" t="s">
        <v>2045</v>
      </c>
      <c r="D52" s="1635" t="s">
        <v>2777</v>
      </c>
      <c r="E52" s="1636" t="s">
        <v>2778</v>
      </c>
      <c r="F52" s="1676" t="s">
        <v>2779</v>
      </c>
      <c r="G52" s="115" t="s">
        <v>2780</v>
      </c>
      <c r="H52" s="258" t="s">
        <v>2781</v>
      </c>
      <c r="I52" s="141" t="s">
        <v>2782</v>
      </c>
      <c r="J52" s="198" t="s">
        <v>2783</v>
      </c>
      <c r="K52" s="141" t="s">
        <v>2784</v>
      </c>
      <c r="L52" s="163" t="s">
        <v>2785</v>
      </c>
      <c r="M52" s="141" t="s">
        <v>2786</v>
      </c>
      <c r="N52" s="163" t="s">
        <v>2787</v>
      </c>
      <c r="O52" s="141" t="s">
        <v>2788</v>
      </c>
      <c r="P52" s="163" t="s">
        <v>2789</v>
      </c>
      <c r="Q52" s="141" t="s">
        <v>2790</v>
      </c>
      <c r="R52" s="163" t="s">
        <v>2791</v>
      </c>
      <c r="S52" s="141" t="s">
        <v>2792</v>
      </c>
      <c r="T52" s="163" t="s">
        <v>2793</v>
      </c>
      <c r="U52" s="141" t="s">
        <v>2794</v>
      </c>
      <c r="V52" s="163" t="s">
        <v>2795</v>
      </c>
      <c r="W52" s="141" t="s">
        <v>2796</v>
      </c>
      <c r="X52" s="163" t="s">
        <v>2797</v>
      </c>
      <c r="Y52" s="141" t="s">
        <v>2798</v>
      </c>
      <c r="Z52" s="163" t="s">
        <v>2799</v>
      </c>
      <c r="AA52" s="141" t="s">
        <v>2800</v>
      </c>
      <c r="AB52" s="163" t="s">
        <v>2801</v>
      </c>
      <c r="AC52" s="141" t="s">
        <v>2817</v>
      </c>
      <c r="AD52" s="163" t="s">
        <v>2818</v>
      </c>
      <c r="AE52" s="141" t="s">
        <v>2819</v>
      </c>
      <c r="AF52" s="163" t="s">
        <v>2821</v>
      </c>
      <c r="AG52" s="141" t="s">
        <v>2822</v>
      </c>
      <c r="AH52" s="163" t="s">
        <v>2823</v>
      </c>
      <c r="AI52" s="141" t="s">
        <v>2824</v>
      </c>
      <c r="AJ52" s="163" t="s">
        <v>2825</v>
      </c>
      <c r="AK52" s="141" t="s">
        <v>2826</v>
      </c>
      <c r="AL52" s="163" t="s">
        <v>2827</v>
      </c>
      <c r="AM52" s="224" t="s">
        <v>2831</v>
      </c>
      <c r="AN52" s="318" t="s">
        <v>2832</v>
      </c>
      <c r="AO52" s="498" t="s">
        <v>2833</v>
      </c>
      <c r="AP52" s="198" t="s">
        <v>2834</v>
      </c>
      <c r="AQ52" s="164" t="s">
        <v>3011</v>
      </c>
      <c r="AR52" s="164" t="s">
        <v>3012</v>
      </c>
      <c r="AS52" s="164" t="s">
        <v>3013</v>
      </c>
      <c r="AT52" s="939" t="s">
        <v>3014</v>
      </c>
      <c r="AU52" s="164" t="s">
        <v>3015</v>
      </c>
      <c r="AV52" s="1162" t="e">
        <f t="shared" si="0"/>
        <v>#VALUE!</v>
      </c>
      <c r="AW52" s="1058"/>
      <c r="AX52" s="1058"/>
      <c r="AY52" s="1058"/>
      <c r="AZ52" s="1058"/>
      <c r="BA52" s="1058"/>
      <c r="BB52" s="1058"/>
      <c r="BC52" s="1058"/>
      <c r="BD52" s="1058"/>
      <c r="BE52" s="1058"/>
      <c r="BF52" s="1058"/>
      <c r="BG52" s="884"/>
      <c r="BH52" s="884"/>
      <c r="BY52" s="210"/>
      <c r="CB52" s="1362" t="str">
        <f t="shared" si="1"/>
        <v/>
      </c>
      <c r="CC52" s="1362" t="e">
        <f t="shared" si="2"/>
        <v>#VALUE!</v>
      </c>
      <c r="CD52" s="1362" t="str">
        <f t="shared" si="3"/>
        <v xml:space="preserve">* Las consejerías realizadas en Espacios amigables NO DEBEN ser mayor al Total. </v>
      </c>
      <c r="CE52" s="1362" t="e">
        <f t="shared" si="4"/>
        <v>#VALUE!</v>
      </c>
      <c r="CF52" s="1362"/>
      <c r="CG52" s="1362"/>
      <c r="CH52" s="1363">
        <f t="shared" si="5"/>
        <v>0</v>
      </c>
      <c r="CI52" s="1363" t="e">
        <f t="shared" si="6"/>
        <v>#VALUE!</v>
      </c>
      <c r="CJ52" s="1363">
        <f t="shared" si="7"/>
        <v>1</v>
      </c>
      <c r="CK52" s="1363" t="e">
        <f t="shared" si="8"/>
        <v>#VALUE!</v>
      </c>
      <c r="CL52" s="1346"/>
      <c r="CM52" s="1346"/>
      <c r="CN52" s="1346"/>
      <c r="CO52" s="1346"/>
      <c r="CP52" s="1346"/>
    </row>
    <row r="53" spans="1:94" ht="16.350000000000001" customHeight="1" x14ac:dyDescent="0.25">
      <c r="A53" s="2458">
        <v>19185600</v>
      </c>
      <c r="B53" s="5113"/>
      <c r="C53" s="179" t="s">
        <v>499</v>
      </c>
      <c r="D53" s="1635" t="s">
        <v>2777</v>
      </c>
      <c r="E53" s="1636" t="s">
        <v>2778</v>
      </c>
      <c r="F53" s="1676" t="s">
        <v>2779</v>
      </c>
      <c r="G53" s="115" t="s">
        <v>2780</v>
      </c>
      <c r="H53" s="258" t="s">
        <v>2781</v>
      </c>
      <c r="I53" s="141" t="s">
        <v>2782</v>
      </c>
      <c r="J53" s="198" t="s">
        <v>2783</v>
      </c>
      <c r="K53" s="141" t="s">
        <v>2784</v>
      </c>
      <c r="L53" s="163" t="s">
        <v>2785</v>
      </c>
      <c r="M53" s="141" t="s">
        <v>2786</v>
      </c>
      <c r="N53" s="163" t="s">
        <v>2787</v>
      </c>
      <c r="O53" s="141" t="s">
        <v>2788</v>
      </c>
      <c r="P53" s="163" t="s">
        <v>2789</v>
      </c>
      <c r="Q53" s="141" t="s">
        <v>2790</v>
      </c>
      <c r="R53" s="163" t="s">
        <v>2791</v>
      </c>
      <c r="S53" s="141" t="s">
        <v>2792</v>
      </c>
      <c r="T53" s="163" t="s">
        <v>2793</v>
      </c>
      <c r="U53" s="141" t="s">
        <v>2794</v>
      </c>
      <c r="V53" s="163" t="s">
        <v>2795</v>
      </c>
      <c r="W53" s="141" t="s">
        <v>2796</v>
      </c>
      <c r="X53" s="163" t="s">
        <v>2797</v>
      </c>
      <c r="Y53" s="141" t="s">
        <v>2798</v>
      </c>
      <c r="Z53" s="163" t="s">
        <v>2799</v>
      </c>
      <c r="AA53" s="141" t="s">
        <v>2800</v>
      </c>
      <c r="AB53" s="163" t="s">
        <v>2801</v>
      </c>
      <c r="AC53" s="141" t="s">
        <v>2817</v>
      </c>
      <c r="AD53" s="163" t="s">
        <v>2818</v>
      </c>
      <c r="AE53" s="141" t="s">
        <v>2819</v>
      </c>
      <c r="AF53" s="163" t="s">
        <v>2821</v>
      </c>
      <c r="AG53" s="141" t="s">
        <v>2822</v>
      </c>
      <c r="AH53" s="163" t="s">
        <v>2823</v>
      </c>
      <c r="AI53" s="141" t="s">
        <v>2824</v>
      </c>
      <c r="AJ53" s="163" t="s">
        <v>2825</v>
      </c>
      <c r="AK53" s="141" t="s">
        <v>2826</v>
      </c>
      <c r="AL53" s="163" t="s">
        <v>2827</v>
      </c>
      <c r="AM53" s="224" t="s">
        <v>2831</v>
      </c>
      <c r="AN53" s="318" t="s">
        <v>2832</v>
      </c>
      <c r="AO53" s="498" t="s">
        <v>2833</v>
      </c>
      <c r="AP53" s="198" t="s">
        <v>2834</v>
      </c>
      <c r="AQ53" s="164" t="s">
        <v>3011</v>
      </c>
      <c r="AR53" s="164" t="s">
        <v>3012</v>
      </c>
      <c r="AS53" s="164" t="s">
        <v>3013</v>
      </c>
      <c r="AT53" s="939" t="s">
        <v>3014</v>
      </c>
      <c r="AU53" s="164" t="s">
        <v>3015</v>
      </c>
      <c r="AV53" s="1162" t="e">
        <f t="shared" si="0"/>
        <v>#VALUE!</v>
      </c>
      <c r="AW53" s="1058"/>
      <c r="AX53" s="1058"/>
      <c r="AY53" s="1058"/>
      <c r="AZ53" s="1058"/>
      <c r="BA53" s="1058"/>
      <c r="BB53" s="1058"/>
      <c r="BC53" s="1058"/>
      <c r="BD53" s="1058"/>
      <c r="BE53" s="1058"/>
      <c r="BF53" s="1058"/>
      <c r="BG53" s="884"/>
      <c r="BH53" s="884"/>
      <c r="BY53" s="210"/>
      <c r="CB53" s="1362" t="str">
        <f t="shared" si="1"/>
        <v/>
      </c>
      <c r="CC53" s="1362" t="e">
        <f t="shared" si="2"/>
        <v>#VALUE!</v>
      </c>
      <c r="CD53" s="1362" t="str">
        <f t="shared" si="3"/>
        <v xml:space="preserve">* Las consejerías realizadas en Espacios amigables NO DEBEN ser mayor al Total. </v>
      </c>
      <c r="CE53" s="1362" t="e">
        <f t="shared" si="4"/>
        <v>#VALUE!</v>
      </c>
      <c r="CF53" s="1362"/>
      <c r="CG53" s="1362"/>
      <c r="CH53" s="1363">
        <f t="shared" si="5"/>
        <v>0</v>
      </c>
      <c r="CI53" s="1363" t="e">
        <f t="shared" si="6"/>
        <v>#VALUE!</v>
      </c>
      <c r="CJ53" s="1363">
        <f t="shared" si="7"/>
        <v>1</v>
      </c>
      <c r="CK53" s="1363" t="e">
        <f t="shared" si="8"/>
        <v>#VALUE!</v>
      </c>
      <c r="CL53" s="1346"/>
      <c r="CM53" s="1346"/>
      <c r="CN53" s="1346"/>
      <c r="CO53" s="1346"/>
      <c r="CP53" s="1346"/>
    </row>
    <row r="54" spans="1:94" ht="16.350000000000001" customHeight="1" x14ac:dyDescent="0.25">
      <c r="A54" s="2458">
        <v>19185700</v>
      </c>
      <c r="B54" s="5113"/>
      <c r="C54" s="1626" t="s">
        <v>282</v>
      </c>
      <c r="D54" s="714" t="s">
        <v>2777</v>
      </c>
      <c r="E54" s="715" t="s">
        <v>2778</v>
      </c>
      <c r="F54" s="1677" t="s">
        <v>2779</v>
      </c>
      <c r="G54" s="115" t="s">
        <v>2780</v>
      </c>
      <c r="H54" s="258" t="s">
        <v>2781</v>
      </c>
      <c r="I54" s="182" t="s">
        <v>2782</v>
      </c>
      <c r="J54" s="240" t="s">
        <v>2783</v>
      </c>
      <c r="K54" s="182" t="s">
        <v>2784</v>
      </c>
      <c r="L54" s="183" t="s">
        <v>2785</v>
      </c>
      <c r="M54" s="182" t="s">
        <v>2786</v>
      </c>
      <c r="N54" s="183" t="s">
        <v>2787</v>
      </c>
      <c r="O54" s="182" t="s">
        <v>2788</v>
      </c>
      <c r="P54" s="183" t="s">
        <v>2789</v>
      </c>
      <c r="Q54" s="182" t="s">
        <v>2790</v>
      </c>
      <c r="R54" s="183" t="s">
        <v>2791</v>
      </c>
      <c r="S54" s="182" t="s">
        <v>2792</v>
      </c>
      <c r="T54" s="183" t="s">
        <v>2793</v>
      </c>
      <c r="U54" s="182" t="s">
        <v>2794</v>
      </c>
      <c r="V54" s="183" t="s">
        <v>2795</v>
      </c>
      <c r="W54" s="182" t="s">
        <v>2796</v>
      </c>
      <c r="X54" s="183" t="s">
        <v>2797</v>
      </c>
      <c r="Y54" s="182" t="s">
        <v>2798</v>
      </c>
      <c r="Z54" s="183" t="s">
        <v>2799</v>
      </c>
      <c r="AA54" s="182" t="s">
        <v>2800</v>
      </c>
      <c r="AB54" s="183" t="s">
        <v>2801</v>
      </c>
      <c r="AC54" s="182" t="s">
        <v>2817</v>
      </c>
      <c r="AD54" s="183" t="s">
        <v>2818</v>
      </c>
      <c r="AE54" s="182" t="s">
        <v>2819</v>
      </c>
      <c r="AF54" s="183" t="s">
        <v>2821</v>
      </c>
      <c r="AG54" s="182" t="s">
        <v>2822</v>
      </c>
      <c r="AH54" s="183" t="s">
        <v>2823</v>
      </c>
      <c r="AI54" s="182" t="s">
        <v>2824</v>
      </c>
      <c r="AJ54" s="183" t="s">
        <v>2825</v>
      </c>
      <c r="AK54" s="182" t="s">
        <v>2826</v>
      </c>
      <c r="AL54" s="183" t="s">
        <v>2827</v>
      </c>
      <c r="AM54" s="229" t="s">
        <v>2831</v>
      </c>
      <c r="AN54" s="593" t="s">
        <v>2832</v>
      </c>
      <c r="AO54" s="498" t="s">
        <v>2833</v>
      </c>
      <c r="AP54" s="240" t="s">
        <v>2834</v>
      </c>
      <c r="AQ54" s="164" t="s">
        <v>3011</v>
      </c>
      <c r="AR54" s="164" t="s">
        <v>3012</v>
      </c>
      <c r="AS54" s="164" t="s">
        <v>3013</v>
      </c>
      <c r="AT54" s="939" t="s">
        <v>3014</v>
      </c>
      <c r="AU54" s="164" t="s">
        <v>3015</v>
      </c>
      <c r="AV54" s="1162" t="e">
        <f t="shared" si="0"/>
        <v>#VALUE!</v>
      </c>
      <c r="AW54" s="1058"/>
      <c r="AX54" s="1058"/>
      <c r="AY54" s="1058"/>
      <c r="AZ54" s="1058"/>
      <c r="BA54" s="1058"/>
      <c r="BB54" s="1058"/>
      <c r="BC54" s="1058"/>
      <c r="BD54" s="1058"/>
      <c r="BE54" s="1058"/>
      <c r="BF54" s="1058"/>
      <c r="BG54" s="884"/>
      <c r="BH54" s="884"/>
      <c r="BY54" s="210"/>
      <c r="CB54" s="1362" t="str">
        <f t="shared" si="1"/>
        <v/>
      </c>
      <c r="CC54" s="1362" t="e">
        <f t="shared" si="2"/>
        <v>#VALUE!</v>
      </c>
      <c r="CD54" s="1362" t="str">
        <f t="shared" si="3"/>
        <v xml:space="preserve">* Las consejerías realizadas en Espacios amigables NO DEBEN ser mayor al Total. </v>
      </c>
      <c r="CE54" s="1362" t="e">
        <f t="shared" si="4"/>
        <v>#VALUE!</v>
      </c>
      <c r="CF54" s="1362"/>
      <c r="CG54" s="1362"/>
      <c r="CH54" s="1363">
        <f t="shared" si="5"/>
        <v>0</v>
      </c>
      <c r="CI54" s="1363" t="e">
        <f t="shared" si="6"/>
        <v>#VALUE!</v>
      </c>
      <c r="CJ54" s="1363">
        <f t="shared" si="7"/>
        <v>1</v>
      </c>
      <c r="CK54" s="1363" t="e">
        <f t="shared" si="8"/>
        <v>#VALUE!</v>
      </c>
      <c r="CL54" s="1346"/>
      <c r="CM54" s="1346"/>
      <c r="CN54" s="1346"/>
      <c r="CO54" s="1346"/>
      <c r="CP54" s="1346"/>
    </row>
    <row r="55" spans="1:94" ht="16.350000000000001" customHeight="1" x14ac:dyDescent="0.25">
      <c r="A55" s="2458">
        <v>19185800</v>
      </c>
      <c r="B55" s="5113"/>
      <c r="C55" s="179" t="s">
        <v>2046</v>
      </c>
      <c r="D55" s="1635" t="s">
        <v>2777</v>
      </c>
      <c r="E55" s="1636" t="s">
        <v>2778</v>
      </c>
      <c r="F55" s="1676" t="s">
        <v>2779</v>
      </c>
      <c r="G55" s="115" t="s">
        <v>2780</v>
      </c>
      <c r="H55" s="258" t="s">
        <v>2781</v>
      </c>
      <c r="I55" s="141" t="s">
        <v>2782</v>
      </c>
      <c r="J55" s="198" t="s">
        <v>2783</v>
      </c>
      <c r="K55" s="141" t="s">
        <v>2784</v>
      </c>
      <c r="L55" s="163" t="s">
        <v>2785</v>
      </c>
      <c r="M55" s="141" t="s">
        <v>2786</v>
      </c>
      <c r="N55" s="163" t="s">
        <v>2787</v>
      </c>
      <c r="O55" s="141" t="s">
        <v>2788</v>
      </c>
      <c r="P55" s="163" t="s">
        <v>2789</v>
      </c>
      <c r="Q55" s="141" t="s">
        <v>2790</v>
      </c>
      <c r="R55" s="163" t="s">
        <v>2791</v>
      </c>
      <c r="S55" s="141" t="s">
        <v>2792</v>
      </c>
      <c r="T55" s="163" t="s">
        <v>2793</v>
      </c>
      <c r="U55" s="141" t="s">
        <v>2794</v>
      </c>
      <c r="V55" s="163" t="s">
        <v>2795</v>
      </c>
      <c r="W55" s="141" t="s">
        <v>2796</v>
      </c>
      <c r="X55" s="163" t="s">
        <v>2797</v>
      </c>
      <c r="Y55" s="141" t="s">
        <v>2798</v>
      </c>
      <c r="Z55" s="163" t="s">
        <v>2799</v>
      </c>
      <c r="AA55" s="141" t="s">
        <v>2800</v>
      </c>
      <c r="AB55" s="163" t="s">
        <v>2801</v>
      </c>
      <c r="AC55" s="141" t="s">
        <v>2817</v>
      </c>
      <c r="AD55" s="163" t="s">
        <v>2818</v>
      </c>
      <c r="AE55" s="141" t="s">
        <v>2819</v>
      </c>
      <c r="AF55" s="163" t="s">
        <v>2821</v>
      </c>
      <c r="AG55" s="141" t="s">
        <v>2822</v>
      </c>
      <c r="AH55" s="163" t="s">
        <v>2823</v>
      </c>
      <c r="AI55" s="141" t="s">
        <v>2824</v>
      </c>
      <c r="AJ55" s="163" t="s">
        <v>2825</v>
      </c>
      <c r="AK55" s="141" t="s">
        <v>2826</v>
      </c>
      <c r="AL55" s="163" t="s">
        <v>2827</v>
      </c>
      <c r="AM55" s="224" t="s">
        <v>2831</v>
      </c>
      <c r="AN55" s="318" t="s">
        <v>2832</v>
      </c>
      <c r="AO55" s="498" t="s">
        <v>2833</v>
      </c>
      <c r="AP55" s="198" t="s">
        <v>2834</v>
      </c>
      <c r="AQ55" s="164" t="s">
        <v>3011</v>
      </c>
      <c r="AR55" s="164" t="s">
        <v>3012</v>
      </c>
      <c r="AS55" s="164" t="s">
        <v>3013</v>
      </c>
      <c r="AT55" s="939" t="s">
        <v>3014</v>
      </c>
      <c r="AU55" s="164" t="s">
        <v>3015</v>
      </c>
      <c r="AV55" s="1162" t="e">
        <f t="shared" si="0"/>
        <v>#VALUE!</v>
      </c>
      <c r="AW55" s="1058"/>
      <c r="AX55" s="1058"/>
      <c r="AY55" s="1058"/>
      <c r="AZ55" s="1058"/>
      <c r="BA55" s="1058"/>
      <c r="BB55" s="1058"/>
      <c r="BC55" s="1058"/>
      <c r="BD55" s="1058"/>
      <c r="BE55" s="1058"/>
      <c r="BF55" s="1058"/>
      <c r="BG55" s="884"/>
      <c r="BH55" s="884"/>
      <c r="BY55" s="210"/>
      <c r="CB55" s="1362" t="str">
        <f t="shared" si="1"/>
        <v/>
      </c>
      <c r="CC55" s="1362" t="e">
        <f t="shared" si="2"/>
        <v>#VALUE!</v>
      </c>
      <c r="CD55" s="1362" t="str">
        <f t="shared" si="3"/>
        <v xml:space="preserve">* Las consejerías realizadas en Espacios amigables NO DEBEN ser mayor al Total. </v>
      </c>
      <c r="CE55" s="1362" t="e">
        <f t="shared" si="4"/>
        <v>#VALUE!</v>
      </c>
      <c r="CF55" s="1362"/>
      <c r="CG55" s="1362"/>
      <c r="CH55" s="1363">
        <f t="shared" si="5"/>
        <v>0</v>
      </c>
      <c r="CI55" s="1363" t="e">
        <f t="shared" si="6"/>
        <v>#VALUE!</v>
      </c>
      <c r="CJ55" s="1363">
        <f t="shared" si="7"/>
        <v>1</v>
      </c>
      <c r="CK55" s="1363" t="e">
        <f t="shared" si="8"/>
        <v>#VALUE!</v>
      </c>
      <c r="CL55" s="1346"/>
      <c r="CM55" s="1346"/>
      <c r="CN55" s="1346"/>
      <c r="CO55" s="1346"/>
      <c r="CP55" s="1346"/>
    </row>
    <row r="56" spans="1:94" ht="16.350000000000001" customHeight="1" x14ac:dyDescent="0.25">
      <c r="A56" s="2458">
        <v>19185801</v>
      </c>
      <c r="B56" s="5113"/>
      <c r="C56" s="1632" t="s">
        <v>2047</v>
      </c>
      <c r="D56" s="1580" t="s">
        <v>2777</v>
      </c>
      <c r="E56" s="1581" t="s">
        <v>2778</v>
      </c>
      <c r="F56" s="1678" t="s">
        <v>2779</v>
      </c>
      <c r="G56" s="115" t="s">
        <v>2780</v>
      </c>
      <c r="H56" s="883" t="s">
        <v>2781</v>
      </c>
      <c r="I56" s="141" t="s">
        <v>2782</v>
      </c>
      <c r="J56" s="198" t="s">
        <v>2783</v>
      </c>
      <c r="K56" s="141" t="s">
        <v>2784</v>
      </c>
      <c r="L56" s="163" t="s">
        <v>2785</v>
      </c>
      <c r="M56" s="141" t="s">
        <v>2786</v>
      </c>
      <c r="N56" s="163" t="s">
        <v>2787</v>
      </c>
      <c r="O56" s="141" t="s">
        <v>2788</v>
      </c>
      <c r="P56" s="163" t="s">
        <v>2789</v>
      </c>
      <c r="Q56" s="141" t="s">
        <v>2790</v>
      </c>
      <c r="R56" s="163" t="s">
        <v>2791</v>
      </c>
      <c r="S56" s="141" t="s">
        <v>2792</v>
      </c>
      <c r="T56" s="163" t="s">
        <v>2793</v>
      </c>
      <c r="U56" s="141" t="s">
        <v>2794</v>
      </c>
      <c r="V56" s="163" t="s">
        <v>2795</v>
      </c>
      <c r="W56" s="141" t="s">
        <v>2796</v>
      </c>
      <c r="X56" s="163" t="s">
        <v>2797</v>
      </c>
      <c r="Y56" s="141" t="s">
        <v>2798</v>
      </c>
      <c r="Z56" s="163" t="s">
        <v>2799</v>
      </c>
      <c r="AA56" s="141" t="s">
        <v>2800</v>
      </c>
      <c r="AB56" s="163" t="s">
        <v>2801</v>
      </c>
      <c r="AC56" s="141" t="s">
        <v>2817</v>
      </c>
      <c r="AD56" s="163" t="s">
        <v>2818</v>
      </c>
      <c r="AE56" s="141" t="s">
        <v>2819</v>
      </c>
      <c r="AF56" s="163" t="s">
        <v>2821</v>
      </c>
      <c r="AG56" s="141" t="s">
        <v>2822</v>
      </c>
      <c r="AH56" s="247" t="s">
        <v>2823</v>
      </c>
      <c r="AI56" s="141" t="s">
        <v>2824</v>
      </c>
      <c r="AJ56" s="163" t="s">
        <v>2825</v>
      </c>
      <c r="AK56" s="141" t="s">
        <v>2826</v>
      </c>
      <c r="AL56" s="163" t="s">
        <v>2827</v>
      </c>
      <c r="AM56" s="224" t="s">
        <v>2831</v>
      </c>
      <c r="AN56" s="318" t="s">
        <v>2832</v>
      </c>
      <c r="AO56" s="498" t="s">
        <v>2833</v>
      </c>
      <c r="AP56" s="198" t="s">
        <v>2834</v>
      </c>
      <c r="AQ56" s="164" t="s">
        <v>3011</v>
      </c>
      <c r="AR56" s="164" t="s">
        <v>3012</v>
      </c>
      <c r="AS56" s="164" t="s">
        <v>3013</v>
      </c>
      <c r="AT56" s="939" t="s">
        <v>3014</v>
      </c>
      <c r="AU56" s="164" t="s">
        <v>3015</v>
      </c>
      <c r="AV56" s="1162" t="e">
        <f t="shared" si="0"/>
        <v>#VALUE!</v>
      </c>
      <c r="AW56" s="1058"/>
      <c r="AX56" s="1058"/>
      <c r="AY56" s="1058"/>
      <c r="AZ56" s="1058"/>
      <c r="BA56" s="1058"/>
      <c r="BB56" s="1058"/>
      <c r="BC56" s="1058"/>
      <c r="BD56" s="1058"/>
      <c r="BE56" s="1058"/>
      <c r="BF56" s="1058"/>
      <c r="BG56" s="884"/>
      <c r="BH56" s="884"/>
      <c r="BY56" s="210"/>
      <c r="CB56" s="1362" t="str">
        <f t="shared" si="1"/>
        <v/>
      </c>
      <c r="CC56" s="1362" t="e">
        <f t="shared" si="2"/>
        <v>#VALUE!</v>
      </c>
      <c r="CD56" s="1362" t="str">
        <f t="shared" si="3"/>
        <v xml:space="preserve">* Las consejerías realizadas en Espacios amigables NO DEBEN ser mayor al Total. </v>
      </c>
      <c r="CE56" s="1362" t="e">
        <f t="shared" si="4"/>
        <v>#VALUE!</v>
      </c>
      <c r="CF56" s="1362"/>
      <c r="CG56" s="1362"/>
      <c r="CH56" s="1363">
        <f t="shared" si="5"/>
        <v>0</v>
      </c>
      <c r="CI56" s="1363" t="e">
        <f t="shared" si="6"/>
        <v>#VALUE!</v>
      </c>
      <c r="CJ56" s="1363">
        <f t="shared" si="7"/>
        <v>1</v>
      </c>
      <c r="CK56" s="1363" t="e">
        <f t="shared" si="8"/>
        <v>#VALUE!</v>
      </c>
      <c r="CL56" s="1346"/>
      <c r="CM56" s="1346"/>
      <c r="CN56" s="1346"/>
      <c r="CO56" s="1346"/>
      <c r="CP56" s="1346"/>
    </row>
    <row r="57" spans="1:94" ht="16.350000000000001" customHeight="1" x14ac:dyDescent="0.25">
      <c r="A57" s="2458">
        <v>19185900</v>
      </c>
      <c r="B57" s="5159"/>
      <c r="C57" s="283" t="s">
        <v>69</v>
      </c>
      <c r="D57" s="1637" t="s">
        <v>2777</v>
      </c>
      <c r="E57" s="1638" t="s">
        <v>2778</v>
      </c>
      <c r="F57" s="269" t="s">
        <v>2779</v>
      </c>
      <c r="G57" s="101" t="s">
        <v>2780</v>
      </c>
      <c r="H57" s="1683" t="s">
        <v>2781</v>
      </c>
      <c r="I57" s="203" t="s">
        <v>2782</v>
      </c>
      <c r="J57" s="1123" t="s">
        <v>2783</v>
      </c>
      <c r="K57" s="203" t="s">
        <v>2784</v>
      </c>
      <c r="L57" s="204" t="s">
        <v>2785</v>
      </c>
      <c r="M57" s="203" t="s">
        <v>2786</v>
      </c>
      <c r="N57" s="204" t="s">
        <v>2787</v>
      </c>
      <c r="O57" s="203" t="s">
        <v>2788</v>
      </c>
      <c r="P57" s="204" t="s">
        <v>2789</v>
      </c>
      <c r="Q57" s="203" t="s">
        <v>2790</v>
      </c>
      <c r="R57" s="204" t="s">
        <v>2791</v>
      </c>
      <c r="S57" s="203" t="s">
        <v>2792</v>
      </c>
      <c r="T57" s="204" t="s">
        <v>2793</v>
      </c>
      <c r="U57" s="203" t="s">
        <v>2794</v>
      </c>
      <c r="V57" s="204" t="s">
        <v>2795</v>
      </c>
      <c r="W57" s="203" t="s">
        <v>2796</v>
      </c>
      <c r="X57" s="204" t="s">
        <v>2797</v>
      </c>
      <c r="Y57" s="203" t="s">
        <v>2798</v>
      </c>
      <c r="Z57" s="204" t="s">
        <v>2799</v>
      </c>
      <c r="AA57" s="203" t="s">
        <v>2800</v>
      </c>
      <c r="AB57" s="204" t="s">
        <v>2801</v>
      </c>
      <c r="AC57" s="203" t="s">
        <v>2817</v>
      </c>
      <c r="AD57" s="204" t="s">
        <v>2818</v>
      </c>
      <c r="AE57" s="203" t="s">
        <v>2819</v>
      </c>
      <c r="AF57" s="204" t="s">
        <v>2821</v>
      </c>
      <c r="AG57" s="203" t="s">
        <v>2822</v>
      </c>
      <c r="AH57" s="204" t="s">
        <v>2823</v>
      </c>
      <c r="AI57" s="203" t="s">
        <v>2824</v>
      </c>
      <c r="AJ57" s="204" t="s">
        <v>2825</v>
      </c>
      <c r="AK57" s="203" t="s">
        <v>2826</v>
      </c>
      <c r="AL57" s="204" t="s">
        <v>2827</v>
      </c>
      <c r="AM57" s="1684" t="s">
        <v>2831</v>
      </c>
      <c r="AN57" s="519" t="s">
        <v>2832</v>
      </c>
      <c r="AO57" s="1679" t="s">
        <v>2833</v>
      </c>
      <c r="AP57" s="1123" t="s">
        <v>2834</v>
      </c>
      <c r="AQ57" s="105" t="s">
        <v>3011</v>
      </c>
      <c r="AR57" s="105" t="s">
        <v>3012</v>
      </c>
      <c r="AS57" s="105" t="s">
        <v>3013</v>
      </c>
      <c r="AT57" s="939" t="s">
        <v>3014</v>
      </c>
      <c r="AU57" s="164" t="s">
        <v>3015</v>
      </c>
      <c r="AV57" s="1162" t="e">
        <f t="shared" si="0"/>
        <v>#VALUE!</v>
      </c>
      <c r="AW57" s="1058"/>
      <c r="AX57" s="1058"/>
      <c r="AY57" s="1058"/>
      <c r="AZ57" s="1058"/>
      <c r="BA57" s="1058"/>
      <c r="BB57" s="1058"/>
      <c r="BC57" s="1058"/>
      <c r="BD57" s="1058"/>
      <c r="BE57" s="1058"/>
      <c r="BF57" s="1058"/>
      <c r="BG57" s="884"/>
      <c r="BH57" s="884"/>
      <c r="BY57" s="210"/>
      <c r="CB57" s="1362" t="str">
        <f t="shared" si="1"/>
        <v/>
      </c>
      <c r="CC57" s="1362" t="e">
        <f t="shared" si="2"/>
        <v>#VALUE!</v>
      </c>
      <c r="CD57" s="1362" t="str">
        <f t="shared" si="3"/>
        <v xml:space="preserve">* Las consejerías realizadas en Espacios amigables NO DEBEN ser mayor al Total. </v>
      </c>
      <c r="CE57" s="1362" t="e">
        <f t="shared" si="4"/>
        <v>#VALUE!</v>
      </c>
      <c r="CF57" s="1362"/>
      <c r="CG57" s="1362"/>
      <c r="CH57" s="1363">
        <f t="shared" si="5"/>
        <v>0</v>
      </c>
      <c r="CI57" s="1363" t="e">
        <f t="shared" si="6"/>
        <v>#VALUE!</v>
      </c>
      <c r="CJ57" s="1363">
        <f t="shared" si="7"/>
        <v>1</v>
      </c>
      <c r="CK57" s="1363" t="e">
        <f t="shared" si="8"/>
        <v>#VALUE!</v>
      </c>
      <c r="CL57" s="1346"/>
      <c r="CM57" s="1346"/>
      <c r="CN57" s="1346"/>
      <c r="CO57" s="1346"/>
      <c r="CP57" s="1346"/>
    </row>
    <row r="58" spans="1:94" ht="16.350000000000001" customHeight="1" x14ac:dyDescent="0.25">
      <c r="A58" s="2458">
        <v>19120601</v>
      </c>
      <c r="B58" s="5787" t="s">
        <v>1775</v>
      </c>
      <c r="C58" s="1668" t="s">
        <v>29</v>
      </c>
      <c r="D58" s="1633" t="s">
        <v>2777</v>
      </c>
      <c r="E58" s="1634" t="s">
        <v>2778</v>
      </c>
      <c r="F58" s="1669" t="s">
        <v>2779</v>
      </c>
      <c r="G58" s="1681" t="s">
        <v>2780</v>
      </c>
      <c r="H58" s="1682" t="s">
        <v>2781</v>
      </c>
      <c r="I58" s="1681" t="s">
        <v>2782</v>
      </c>
      <c r="J58" s="1682" t="s">
        <v>2783</v>
      </c>
      <c r="K58" s="1670" t="s">
        <v>2784</v>
      </c>
      <c r="L58" s="1672" t="s">
        <v>2785</v>
      </c>
      <c r="M58" s="1670" t="s">
        <v>2786</v>
      </c>
      <c r="N58" s="1672" t="s">
        <v>2787</v>
      </c>
      <c r="O58" s="1670" t="s">
        <v>2788</v>
      </c>
      <c r="P58" s="1672" t="s">
        <v>2789</v>
      </c>
      <c r="Q58" s="1670" t="s">
        <v>2790</v>
      </c>
      <c r="R58" s="1672" t="s">
        <v>2791</v>
      </c>
      <c r="S58" s="1670" t="s">
        <v>2792</v>
      </c>
      <c r="T58" s="1672" t="s">
        <v>2793</v>
      </c>
      <c r="U58" s="1670" t="s">
        <v>2794</v>
      </c>
      <c r="V58" s="1672" t="s">
        <v>2795</v>
      </c>
      <c r="W58" s="1670" t="s">
        <v>2796</v>
      </c>
      <c r="X58" s="1672" t="s">
        <v>2797</v>
      </c>
      <c r="Y58" s="1670" t="s">
        <v>2798</v>
      </c>
      <c r="Z58" s="1672" t="s">
        <v>2799</v>
      </c>
      <c r="AA58" s="1670" t="s">
        <v>2800</v>
      </c>
      <c r="AB58" s="1672" t="s">
        <v>2801</v>
      </c>
      <c r="AC58" s="1670" t="s">
        <v>2817</v>
      </c>
      <c r="AD58" s="1672" t="s">
        <v>2818</v>
      </c>
      <c r="AE58" s="1670" t="s">
        <v>2819</v>
      </c>
      <c r="AF58" s="1672" t="s">
        <v>2821</v>
      </c>
      <c r="AG58" s="1670" t="s">
        <v>2822</v>
      </c>
      <c r="AH58" s="1672" t="s">
        <v>2823</v>
      </c>
      <c r="AI58" s="1670" t="s">
        <v>2824</v>
      </c>
      <c r="AJ58" s="1672" t="s">
        <v>2825</v>
      </c>
      <c r="AK58" s="1670" t="s">
        <v>2826</v>
      </c>
      <c r="AL58" s="1672" t="s">
        <v>2827</v>
      </c>
      <c r="AM58" s="1673" t="s">
        <v>2831</v>
      </c>
      <c r="AN58" s="1674" t="s">
        <v>2832</v>
      </c>
      <c r="AO58" s="500" t="s">
        <v>2833</v>
      </c>
      <c r="AP58" s="1671" t="s">
        <v>2834</v>
      </c>
      <c r="AQ58" s="1686" t="s">
        <v>3011</v>
      </c>
      <c r="AR58" s="1686" t="s">
        <v>3012</v>
      </c>
      <c r="AS58" s="1686" t="s">
        <v>3013</v>
      </c>
      <c r="AT58" s="1686" t="s">
        <v>3014</v>
      </c>
      <c r="AU58" s="1686" t="s">
        <v>3015</v>
      </c>
      <c r="AV58" s="1162" t="e">
        <f t="shared" si="0"/>
        <v>#VALUE!</v>
      </c>
      <c r="AW58" s="1058"/>
      <c r="AX58" s="1058"/>
      <c r="AY58" s="1058"/>
      <c r="AZ58" s="1058"/>
      <c r="BA58" s="1058"/>
      <c r="BB58" s="1058"/>
      <c r="BC58" s="1058"/>
      <c r="BD58" s="1058"/>
      <c r="BE58" s="1058"/>
      <c r="BF58" s="1058"/>
      <c r="BG58" s="884"/>
      <c r="BH58" s="884"/>
      <c r="BY58" s="210"/>
      <c r="CB58" s="1362" t="str">
        <f t="shared" si="1"/>
        <v/>
      </c>
      <c r="CC58" s="1362" t="e">
        <f t="shared" si="2"/>
        <v>#VALUE!</v>
      </c>
      <c r="CD58" s="1362" t="str">
        <f t="shared" si="3"/>
        <v xml:space="preserve">* Las consejerías realizadas en Espacios amigables NO DEBEN ser mayor al Total. </v>
      </c>
      <c r="CE58" s="1362" t="e">
        <f t="shared" si="4"/>
        <v>#VALUE!</v>
      </c>
      <c r="CF58" s="1362"/>
      <c r="CG58" s="1362"/>
      <c r="CH58" s="1363">
        <f t="shared" si="5"/>
        <v>0</v>
      </c>
      <c r="CI58" s="1363" t="e">
        <f t="shared" si="6"/>
        <v>#VALUE!</v>
      </c>
      <c r="CJ58" s="1363">
        <f t="shared" si="7"/>
        <v>1</v>
      </c>
      <c r="CK58" s="1363" t="e">
        <f t="shared" si="8"/>
        <v>#VALUE!</v>
      </c>
      <c r="CL58" s="1346"/>
      <c r="CM58" s="1346"/>
      <c r="CN58" s="1346"/>
      <c r="CO58" s="1346"/>
      <c r="CP58" s="1346"/>
    </row>
    <row r="59" spans="1:94" ht="16.350000000000001" customHeight="1" x14ac:dyDescent="0.25">
      <c r="A59" s="2458">
        <v>19120602</v>
      </c>
      <c r="B59" s="5113"/>
      <c r="C59" s="179" t="s">
        <v>41</v>
      </c>
      <c r="D59" s="1635" t="s">
        <v>2777</v>
      </c>
      <c r="E59" s="1636" t="s">
        <v>2778</v>
      </c>
      <c r="F59" s="1676" t="s">
        <v>2779</v>
      </c>
      <c r="G59" s="115" t="s">
        <v>2780</v>
      </c>
      <c r="H59" s="258" t="s">
        <v>2781</v>
      </c>
      <c r="I59" s="115" t="s">
        <v>2782</v>
      </c>
      <c r="J59" s="258" t="s">
        <v>2783</v>
      </c>
      <c r="K59" s="141" t="s">
        <v>2784</v>
      </c>
      <c r="L59" s="163" t="s">
        <v>2785</v>
      </c>
      <c r="M59" s="141" t="s">
        <v>2786</v>
      </c>
      <c r="N59" s="163" t="s">
        <v>2787</v>
      </c>
      <c r="O59" s="141" t="s">
        <v>2788</v>
      </c>
      <c r="P59" s="163" t="s">
        <v>2789</v>
      </c>
      <c r="Q59" s="141" t="s">
        <v>2790</v>
      </c>
      <c r="R59" s="163" t="s">
        <v>2791</v>
      </c>
      <c r="S59" s="141" t="s">
        <v>2792</v>
      </c>
      <c r="T59" s="163" t="s">
        <v>2793</v>
      </c>
      <c r="U59" s="141" t="s">
        <v>2794</v>
      </c>
      <c r="V59" s="163" t="s">
        <v>2795</v>
      </c>
      <c r="W59" s="141" t="s">
        <v>2796</v>
      </c>
      <c r="X59" s="163" t="s">
        <v>2797</v>
      </c>
      <c r="Y59" s="141" t="s">
        <v>2798</v>
      </c>
      <c r="Z59" s="163" t="s">
        <v>2799</v>
      </c>
      <c r="AA59" s="141" t="s">
        <v>2800</v>
      </c>
      <c r="AB59" s="163" t="s">
        <v>2801</v>
      </c>
      <c r="AC59" s="141" t="s">
        <v>2817</v>
      </c>
      <c r="AD59" s="163" t="s">
        <v>2818</v>
      </c>
      <c r="AE59" s="141" t="s">
        <v>2819</v>
      </c>
      <c r="AF59" s="163" t="s">
        <v>2821</v>
      </c>
      <c r="AG59" s="141" t="s">
        <v>2822</v>
      </c>
      <c r="AH59" s="163" t="s">
        <v>2823</v>
      </c>
      <c r="AI59" s="141" t="s">
        <v>2824</v>
      </c>
      <c r="AJ59" s="163" t="s">
        <v>2825</v>
      </c>
      <c r="AK59" s="141" t="s">
        <v>2826</v>
      </c>
      <c r="AL59" s="163" t="s">
        <v>2827</v>
      </c>
      <c r="AM59" s="224" t="s">
        <v>2831</v>
      </c>
      <c r="AN59" s="318" t="s">
        <v>2832</v>
      </c>
      <c r="AO59" s="498" t="s">
        <v>2833</v>
      </c>
      <c r="AP59" s="198" t="s">
        <v>2834</v>
      </c>
      <c r="AQ59" s="164" t="s">
        <v>3011</v>
      </c>
      <c r="AR59" s="164" t="s">
        <v>3012</v>
      </c>
      <c r="AS59" s="164" t="s">
        <v>3013</v>
      </c>
      <c r="AT59" s="164" t="s">
        <v>3014</v>
      </c>
      <c r="AU59" s="164" t="s">
        <v>3015</v>
      </c>
      <c r="AV59" s="1162" t="e">
        <f t="shared" si="0"/>
        <v>#VALUE!</v>
      </c>
      <c r="AW59" s="1058"/>
      <c r="AX59" s="1058"/>
      <c r="AY59" s="1058"/>
      <c r="AZ59" s="1058"/>
      <c r="BA59" s="1058"/>
      <c r="BB59" s="1058"/>
      <c r="BC59" s="1058"/>
      <c r="BD59" s="1058"/>
      <c r="BE59" s="1058"/>
      <c r="BF59" s="1058"/>
      <c r="BG59" s="884"/>
      <c r="BH59" s="884"/>
      <c r="BY59" s="210"/>
      <c r="CB59" s="1362" t="str">
        <f t="shared" si="1"/>
        <v/>
      </c>
      <c r="CC59" s="1362" t="e">
        <f t="shared" si="2"/>
        <v>#VALUE!</v>
      </c>
      <c r="CD59" s="1362" t="str">
        <f t="shared" si="3"/>
        <v xml:space="preserve">* Las consejerías realizadas en Espacios amigables NO DEBEN ser mayor al Total. </v>
      </c>
      <c r="CE59" s="1362" t="e">
        <f t="shared" si="4"/>
        <v>#VALUE!</v>
      </c>
      <c r="CF59" s="1362"/>
      <c r="CG59" s="1362"/>
      <c r="CH59" s="1363">
        <f t="shared" si="5"/>
        <v>0</v>
      </c>
      <c r="CI59" s="1363" t="e">
        <f t="shared" si="6"/>
        <v>#VALUE!</v>
      </c>
      <c r="CJ59" s="1363">
        <f t="shared" si="7"/>
        <v>1</v>
      </c>
      <c r="CK59" s="1363" t="e">
        <f t="shared" si="8"/>
        <v>#VALUE!</v>
      </c>
      <c r="CL59" s="1346"/>
      <c r="CM59" s="1346"/>
      <c r="CN59" s="1346"/>
      <c r="CO59" s="1346"/>
      <c r="CP59" s="1346"/>
    </row>
    <row r="60" spans="1:94" ht="16.350000000000001" customHeight="1" x14ac:dyDescent="0.25">
      <c r="A60" s="2458">
        <v>19120603</v>
      </c>
      <c r="B60" s="5113"/>
      <c r="C60" s="179" t="s">
        <v>30</v>
      </c>
      <c r="D60" s="1635" t="s">
        <v>2777</v>
      </c>
      <c r="E60" s="1636" t="s">
        <v>2778</v>
      </c>
      <c r="F60" s="1676" t="s">
        <v>2779</v>
      </c>
      <c r="G60" s="115" t="s">
        <v>2780</v>
      </c>
      <c r="H60" s="258" t="s">
        <v>2781</v>
      </c>
      <c r="I60" s="115" t="s">
        <v>2782</v>
      </c>
      <c r="J60" s="258" t="s">
        <v>2783</v>
      </c>
      <c r="K60" s="141" t="s">
        <v>2784</v>
      </c>
      <c r="L60" s="163" t="s">
        <v>2785</v>
      </c>
      <c r="M60" s="141" t="s">
        <v>2786</v>
      </c>
      <c r="N60" s="163" t="s">
        <v>2787</v>
      </c>
      <c r="O60" s="141" t="s">
        <v>2788</v>
      </c>
      <c r="P60" s="163" t="s">
        <v>2789</v>
      </c>
      <c r="Q60" s="141" t="s">
        <v>2790</v>
      </c>
      <c r="R60" s="163" t="s">
        <v>2791</v>
      </c>
      <c r="S60" s="141" t="s">
        <v>2792</v>
      </c>
      <c r="T60" s="163" t="s">
        <v>2793</v>
      </c>
      <c r="U60" s="141" t="s">
        <v>2794</v>
      </c>
      <c r="V60" s="163" t="s">
        <v>2795</v>
      </c>
      <c r="W60" s="141" t="s">
        <v>2796</v>
      </c>
      <c r="X60" s="163" t="s">
        <v>2797</v>
      </c>
      <c r="Y60" s="141" t="s">
        <v>2798</v>
      </c>
      <c r="Z60" s="163" t="s">
        <v>2799</v>
      </c>
      <c r="AA60" s="141" t="s">
        <v>2800</v>
      </c>
      <c r="AB60" s="163" t="s">
        <v>2801</v>
      </c>
      <c r="AC60" s="141" t="s">
        <v>2817</v>
      </c>
      <c r="AD60" s="163" t="s">
        <v>2818</v>
      </c>
      <c r="AE60" s="141" t="s">
        <v>2819</v>
      </c>
      <c r="AF60" s="163" t="s">
        <v>2821</v>
      </c>
      <c r="AG60" s="141" t="s">
        <v>2822</v>
      </c>
      <c r="AH60" s="163" t="s">
        <v>2823</v>
      </c>
      <c r="AI60" s="141" t="s">
        <v>2824</v>
      </c>
      <c r="AJ60" s="163" t="s">
        <v>2825</v>
      </c>
      <c r="AK60" s="141" t="s">
        <v>2826</v>
      </c>
      <c r="AL60" s="163" t="s">
        <v>2827</v>
      </c>
      <c r="AM60" s="224" t="s">
        <v>2831</v>
      </c>
      <c r="AN60" s="318" t="s">
        <v>2832</v>
      </c>
      <c r="AO60" s="498" t="s">
        <v>2833</v>
      </c>
      <c r="AP60" s="198" t="s">
        <v>2834</v>
      </c>
      <c r="AQ60" s="164" t="s">
        <v>3011</v>
      </c>
      <c r="AR60" s="164" t="s">
        <v>3012</v>
      </c>
      <c r="AS60" s="164" t="s">
        <v>3013</v>
      </c>
      <c r="AT60" s="164" t="s">
        <v>3014</v>
      </c>
      <c r="AU60" s="164" t="s">
        <v>3015</v>
      </c>
      <c r="AV60" s="1162" t="e">
        <f t="shared" si="0"/>
        <v>#VALUE!</v>
      </c>
      <c r="AW60" s="1058"/>
      <c r="AX60" s="1058"/>
      <c r="AY60" s="1058"/>
      <c r="AZ60" s="1058"/>
      <c r="BA60" s="1058"/>
      <c r="BB60" s="1058"/>
      <c r="BC60" s="1058"/>
      <c r="BD60" s="1058"/>
      <c r="BE60" s="1058"/>
      <c r="BF60" s="1058"/>
      <c r="BG60" s="884"/>
      <c r="BH60" s="884"/>
      <c r="BY60" s="210"/>
      <c r="CB60" s="1362" t="str">
        <f t="shared" si="1"/>
        <v/>
      </c>
      <c r="CC60" s="1362" t="e">
        <f t="shared" si="2"/>
        <v>#VALUE!</v>
      </c>
      <c r="CD60" s="1362" t="str">
        <f t="shared" si="3"/>
        <v xml:space="preserve">* Las consejerías realizadas en Espacios amigables NO DEBEN ser mayor al Total. </v>
      </c>
      <c r="CE60" s="1362" t="e">
        <f t="shared" si="4"/>
        <v>#VALUE!</v>
      </c>
      <c r="CF60" s="1362"/>
      <c r="CG60" s="1362"/>
      <c r="CH60" s="1363">
        <f t="shared" si="5"/>
        <v>0</v>
      </c>
      <c r="CI60" s="1363" t="e">
        <f t="shared" si="6"/>
        <v>#VALUE!</v>
      </c>
      <c r="CJ60" s="1363">
        <f t="shared" si="7"/>
        <v>1</v>
      </c>
      <c r="CK60" s="1363" t="e">
        <f t="shared" si="8"/>
        <v>#VALUE!</v>
      </c>
      <c r="CL60" s="1346"/>
      <c r="CM60" s="1346"/>
      <c r="CN60" s="1346"/>
      <c r="CO60" s="1346"/>
      <c r="CP60" s="1346"/>
    </row>
    <row r="61" spans="1:94" ht="16.350000000000001" customHeight="1" x14ac:dyDescent="0.25">
      <c r="A61" s="2458">
        <v>19120606</v>
      </c>
      <c r="B61" s="5113"/>
      <c r="C61" s="179" t="s">
        <v>283</v>
      </c>
      <c r="D61" s="1635" t="s">
        <v>2777</v>
      </c>
      <c r="E61" s="1636" t="s">
        <v>2778</v>
      </c>
      <c r="F61" s="1676" t="s">
        <v>2779</v>
      </c>
      <c r="G61" s="115" t="s">
        <v>2780</v>
      </c>
      <c r="H61" s="258" t="s">
        <v>2781</v>
      </c>
      <c r="I61" s="115" t="s">
        <v>2782</v>
      </c>
      <c r="J61" s="258" t="s">
        <v>2783</v>
      </c>
      <c r="K61" s="141" t="s">
        <v>2784</v>
      </c>
      <c r="L61" s="163" t="s">
        <v>2785</v>
      </c>
      <c r="M61" s="141" t="s">
        <v>2786</v>
      </c>
      <c r="N61" s="163" t="s">
        <v>2787</v>
      </c>
      <c r="O61" s="141" t="s">
        <v>2788</v>
      </c>
      <c r="P61" s="163" t="s">
        <v>2789</v>
      </c>
      <c r="Q61" s="141" t="s">
        <v>2790</v>
      </c>
      <c r="R61" s="163" t="s">
        <v>2791</v>
      </c>
      <c r="S61" s="141" t="s">
        <v>2792</v>
      </c>
      <c r="T61" s="163" t="s">
        <v>2793</v>
      </c>
      <c r="U61" s="141" t="s">
        <v>2794</v>
      </c>
      <c r="V61" s="163" t="s">
        <v>2795</v>
      </c>
      <c r="W61" s="141" t="s">
        <v>2796</v>
      </c>
      <c r="X61" s="163" t="s">
        <v>2797</v>
      </c>
      <c r="Y61" s="141" t="s">
        <v>2798</v>
      </c>
      <c r="Z61" s="163" t="s">
        <v>2799</v>
      </c>
      <c r="AA61" s="141" t="s">
        <v>2800</v>
      </c>
      <c r="AB61" s="163" t="s">
        <v>2801</v>
      </c>
      <c r="AC61" s="141" t="s">
        <v>2817</v>
      </c>
      <c r="AD61" s="163" t="s">
        <v>2818</v>
      </c>
      <c r="AE61" s="141" t="s">
        <v>2819</v>
      </c>
      <c r="AF61" s="163" t="s">
        <v>2821</v>
      </c>
      <c r="AG61" s="141" t="s">
        <v>2822</v>
      </c>
      <c r="AH61" s="163" t="s">
        <v>2823</v>
      </c>
      <c r="AI61" s="141" t="s">
        <v>2824</v>
      </c>
      <c r="AJ61" s="163" t="s">
        <v>2825</v>
      </c>
      <c r="AK61" s="141" t="s">
        <v>2826</v>
      </c>
      <c r="AL61" s="163" t="s">
        <v>2827</v>
      </c>
      <c r="AM61" s="224" t="s">
        <v>2831</v>
      </c>
      <c r="AN61" s="318" t="s">
        <v>2832</v>
      </c>
      <c r="AO61" s="498" t="s">
        <v>2833</v>
      </c>
      <c r="AP61" s="198" t="s">
        <v>2834</v>
      </c>
      <c r="AQ61" s="164" t="s">
        <v>3011</v>
      </c>
      <c r="AR61" s="164" t="s">
        <v>3012</v>
      </c>
      <c r="AS61" s="164" t="s">
        <v>3013</v>
      </c>
      <c r="AT61" s="164" t="s">
        <v>3014</v>
      </c>
      <c r="AU61" s="164" t="s">
        <v>3015</v>
      </c>
      <c r="AV61" s="1162" t="e">
        <f t="shared" si="0"/>
        <v>#VALUE!</v>
      </c>
      <c r="AW61" s="1058"/>
      <c r="AX61" s="1058"/>
      <c r="AY61" s="1058"/>
      <c r="AZ61" s="1058"/>
      <c r="BA61" s="1058"/>
      <c r="BB61" s="1058"/>
      <c r="BC61" s="1058"/>
      <c r="BD61" s="1058"/>
      <c r="BE61" s="1058"/>
      <c r="BF61" s="1058"/>
      <c r="BG61" s="884"/>
      <c r="BH61" s="884"/>
      <c r="BY61" s="210"/>
      <c r="CB61" s="1362" t="str">
        <f t="shared" si="1"/>
        <v/>
      </c>
      <c r="CC61" s="1362" t="e">
        <f t="shared" si="2"/>
        <v>#VALUE!</v>
      </c>
      <c r="CD61" s="1362" t="str">
        <f t="shared" si="3"/>
        <v xml:space="preserve">* Las consejerías realizadas en Espacios amigables NO DEBEN ser mayor al Total. </v>
      </c>
      <c r="CE61" s="1362" t="e">
        <f t="shared" si="4"/>
        <v>#VALUE!</v>
      </c>
      <c r="CF61" s="1362"/>
      <c r="CG61" s="1362"/>
      <c r="CH61" s="1363">
        <f t="shared" si="5"/>
        <v>0</v>
      </c>
      <c r="CI61" s="1363" t="e">
        <f t="shared" si="6"/>
        <v>#VALUE!</v>
      </c>
      <c r="CJ61" s="1363">
        <f t="shared" si="7"/>
        <v>1</v>
      </c>
      <c r="CK61" s="1363" t="e">
        <f t="shared" si="8"/>
        <v>#VALUE!</v>
      </c>
      <c r="CL61" s="1346"/>
      <c r="CM61" s="1346"/>
      <c r="CN61" s="1346"/>
      <c r="CO61" s="1346"/>
      <c r="CP61" s="1346"/>
    </row>
    <row r="62" spans="1:94" ht="16.350000000000001" customHeight="1" x14ac:dyDescent="0.25">
      <c r="A62" s="2458">
        <v>19120608</v>
      </c>
      <c r="B62" s="5113"/>
      <c r="C62" s="179" t="s">
        <v>2045</v>
      </c>
      <c r="D62" s="1635" t="s">
        <v>2777</v>
      </c>
      <c r="E62" s="1636" t="s">
        <v>2778</v>
      </c>
      <c r="F62" s="1676" t="s">
        <v>2779</v>
      </c>
      <c r="G62" s="115" t="s">
        <v>2780</v>
      </c>
      <c r="H62" s="258" t="s">
        <v>2781</v>
      </c>
      <c r="I62" s="115" t="s">
        <v>2782</v>
      </c>
      <c r="J62" s="258" t="s">
        <v>2783</v>
      </c>
      <c r="K62" s="141" t="s">
        <v>2784</v>
      </c>
      <c r="L62" s="163" t="s">
        <v>2785</v>
      </c>
      <c r="M62" s="141" t="s">
        <v>2786</v>
      </c>
      <c r="N62" s="163" t="s">
        <v>2787</v>
      </c>
      <c r="O62" s="141" t="s">
        <v>2788</v>
      </c>
      <c r="P62" s="163" t="s">
        <v>2789</v>
      </c>
      <c r="Q62" s="141" t="s">
        <v>2790</v>
      </c>
      <c r="R62" s="163" t="s">
        <v>2791</v>
      </c>
      <c r="S62" s="141" t="s">
        <v>2792</v>
      </c>
      <c r="T62" s="163" t="s">
        <v>2793</v>
      </c>
      <c r="U62" s="141" t="s">
        <v>2794</v>
      </c>
      <c r="V62" s="163" t="s">
        <v>2795</v>
      </c>
      <c r="W62" s="141" t="s">
        <v>2796</v>
      </c>
      <c r="X62" s="163" t="s">
        <v>2797</v>
      </c>
      <c r="Y62" s="141" t="s">
        <v>2798</v>
      </c>
      <c r="Z62" s="163" t="s">
        <v>2799</v>
      </c>
      <c r="AA62" s="141" t="s">
        <v>2800</v>
      </c>
      <c r="AB62" s="163" t="s">
        <v>2801</v>
      </c>
      <c r="AC62" s="141" t="s">
        <v>2817</v>
      </c>
      <c r="AD62" s="163" t="s">
        <v>2818</v>
      </c>
      <c r="AE62" s="141" t="s">
        <v>2819</v>
      </c>
      <c r="AF62" s="163" t="s">
        <v>2821</v>
      </c>
      <c r="AG62" s="141" t="s">
        <v>2822</v>
      </c>
      <c r="AH62" s="163" t="s">
        <v>2823</v>
      </c>
      <c r="AI62" s="141" t="s">
        <v>2824</v>
      </c>
      <c r="AJ62" s="163" t="s">
        <v>2825</v>
      </c>
      <c r="AK62" s="141" t="s">
        <v>2826</v>
      </c>
      <c r="AL62" s="163" t="s">
        <v>2827</v>
      </c>
      <c r="AM62" s="224" t="s">
        <v>2831</v>
      </c>
      <c r="AN62" s="318" t="s">
        <v>2832</v>
      </c>
      <c r="AO62" s="498" t="s">
        <v>2833</v>
      </c>
      <c r="AP62" s="198" t="s">
        <v>2834</v>
      </c>
      <c r="AQ62" s="164" t="s">
        <v>3011</v>
      </c>
      <c r="AR62" s="164" t="s">
        <v>3012</v>
      </c>
      <c r="AS62" s="164" t="s">
        <v>3013</v>
      </c>
      <c r="AT62" s="164" t="s">
        <v>3014</v>
      </c>
      <c r="AU62" s="164" t="s">
        <v>3015</v>
      </c>
      <c r="AV62" s="1162" t="e">
        <f t="shared" si="0"/>
        <v>#VALUE!</v>
      </c>
      <c r="AW62" s="1058"/>
      <c r="AX62" s="1058"/>
      <c r="AY62" s="1058"/>
      <c r="AZ62" s="1058"/>
      <c r="BA62" s="1058"/>
      <c r="BB62" s="1058"/>
      <c r="BC62" s="1058"/>
      <c r="BD62" s="1058"/>
      <c r="BE62" s="1058"/>
      <c r="BF62" s="1058"/>
      <c r="BG62" s="884"/>
      <c r="BH62" s="884"/>
      <c r="BY62" s="210"/>
      <c r="CB62" s="1362" t="str">
        <f t="shared" si="1"/>
        <v/>
      </c>
      <c r="CC62" s="1362" t="e">
        <f t="shared" si="2"/>
        <v>#VALUE!</v>
      </c>
      <c r="CD62" s="1362" t="str">
        <f t="shared" si="3"/>
        <v xml:space="preserve">* Las consejerías realizadas en Espacios amigables NO DEBEN ser mayor al Total. </v>
      </c>
      <c r="CE62" s="1362" t="e">
        <f t="shared" si="4"/>
        <v>#VALUE!</v>
      </c>
      <c r="CF62" s="1362"/>
      <c r="CG62" s="1362"/>
      <c r="CH62" s="1363">
        <f t="shared" si="5"/>
        <v>0</v>
      </c>
      <c r="CI62" s="1363" t="e">
        <f t="shared" si="6"/>
        <v>#VALUE!</v>
      </c>
      <c r="CJ62" s="1363">
        <f t="shared" si="7"/>
        <v>1</v>
      </c>
      <c r="CK62" s="1363" t="e">
        <f t="shared" si="8"/>
        <v>#VALUE!</v>
      </c>
      <c r="CL62" s="1346"/>
      <c r="CM62" s="1346"/>
      <c r="CN62" s="1346"/>
      <c r="CO62" s="1346"/>
      <c r="CP62" s="1346"/>
    </row>
    <row r="63" spans="1:94" ht="16.350000000000001" customHeight="1" x14ac:dyDescent="0.25">
      <c r="A63" s="2458">
        <v>19120609</v>
      </c>
      <c r="B63" s="5113"/>
      <c r="C63" s="310" t="s">
        <v>2047</v>
      </c>
      <c r="D63" s="994" t="s">
        <v>2777</v>
      </c>
      <c r="E63" s="1581" t="s">
        <v>2778</v>
      </c>
      <c r="F63" s="1678" t="s">
        <v>2779</v>
      </c>
      <c r="G63" s="115" t="s">
        <v>2780</v>
      </c>
      <c r="H63" s="258" t="s">
        <v>2781</v>
      </c>
      <c r="I63" s="115" t="s">
        <v>2782</v>
      </c>
      <c r="J63" s="258" t="s">
        <v>2783</v>
      </c>
      <c r="K63" s="182" t="s">
        <v>2784</v>
      </c>
      <c r="L63" s="183" t="s">
        <v>2785</v>
      </c>
      <c r="M63" s="182" t="s">
        <v>2786</v>
      </c>
      <c r="N63" s="183" t="s">
        <v>2787</v>
      </c>
      <c r="O63" s="182" t="s">
        <v>2788</v>
      </c>
      <c r="P63" s="183" t="s">
        <v>2789</v>
      </c>
      <c r="Q63" s="182" t="s">
        <v>2790</v>
      </c>
      <c r="R63" s="183" t="s">
        <v>2791</v>
      </c>
      <c r="S63" s="182" t="s">
        <v>2792</v>
      </c>
      <c r="T63" s="183" t="s">
        <v>2793</v>
      </c>
      <c r="U63" s="182" t="s">
        <v>2794</v>
      </c>
      <c r="V63" s="183" t="s">
        <v>2795</v>
      </c>
      <c r="W63" s="182" t="s">
        <v>2796</v>
      </c>
      <c r="X63" s="183" t="s">
        <v>2797</v>
      </c>
      <c r="Y63" s="182" t="s">
        <v>2798</v>
      </c>
      <c r="Z63" s="183" t="s">
        <v>2799</v>
      </c>
      <c r="AA63" s="182" t="s">
        <v>2800</v>
      </c>
      <c r="AB63" s="183" t="s">
        <v>2801</v>
      </c>
      <c r="AC63" s="182" t="s">
        <v>2817</v>
      </c>
      <c r="AD63" s="183" t="s">
        <v>2818</v>
      </c>
      <c r="AE63" s="182" t="s">
        <v>2819</v>
      </c>
      <c r="AF63" s="183" t="s">
        <v>2821</v>
      </c>
      <c r="AG63" s="182" t="s">
        <v>2822</v>
      </c>
      <c r="AH63" s="183" t="s">
        <v>2823</v>
      </c>
      <c r="AI63" s="182" t="s">
        <v>2824</v>
      </c>
      <c r="AJ63" s="183" t="s">
        <v>2825</v>
      </c>
      <c r="AK63" s="182" t="s">
        <v>2826</v>
      </c>
      <c r="AL63" s="183" t="s">
        <v>2827</v>
      </c>
      <c r="AM63" s="229" t="s">
        <v>2831</v>
      </c>
      <c r="AN63" s="593" t="s">
        <v>2832</v>
      </c>
      <c r="AO63" s="498" t="s">
        <v>2833</v>
      </c>
      <c r="AP63" s="240" t="s">
        <v>2834</v>
      </c>
      <c r="AQ63" s="119" t="s">
        <v>3011</v>
      </c>
      <c r="AR63" s="119" t="s">
        <v>3012</v>
      </c>
      <c r="AS63" s="119" t="s">
        <v>3013</v>
      </c>
      <c r="AT63" s="119" t="s">
        <v>3014</v>
      </c>
      <c r="AU63" s="119" t="s">
        <v>3015</v>
      </c>
      <c r="AV63" s="1162" t="e">
        <f t="shared" si="0"/>
        <v>#VALUE!</v>
      </c>
      <c r="AW63" s="1058"/>
      <c r="AX63" s="1058"/>
      <c r="AY63" s="1058"/>
      <c r="AZ63" s="1058"/>
      <c r="BA63" s="1058"/>
      <c r="BB63" s="1058"/>
      <c r="BC63" s="1058"/>
      <c r="BD63" s="1058"/>
      <c r="BE63" s="1058"/>
      <c r="BF63" s="1058"/>
      <c r="BG63" s="884"/>
      <c r="BH63" s="884"/>
      <c r="BY63" s="210"/>
      <c r="CB63" s="1362" t="str">
        <f t="shared" si="1"/>
        <v/>
      </c>
      <c r="CC63" s="1362" t="e">
        <f t="shared" si="2"/>
        <v>#VALUE!</v>
      </c>
      <c r="CD63" s="1362" t="str">
        <f t="shared" si="3"/>
        <v xml:space="preserve">* Las consejerías realizadas en Espacios amigables NO DEBEN ser mayor al Total. </v>
      </c>
      <c r="CE63" s="1362" t="e">
        <f t="shared" si="4"/>
        <v>#VALUE!</v>
      </c>
      <c r="CF63" s="1362"/>
      <c r="CG63" s="1362"/>
      <c r="CH63" s="1363">
        <f t="shared" si="5"/>
        <v>0</v>
      </c>
      <c r="CI63" s="1363" t="e">
        <f t="shared" si="6"/>
        <v>#VALUE!</v>
      </c>
      <c r="CJ63" s="1363">
        <f t="shared" si="7"/>
        <v>1</v>
      </c>
      <c r="CK63" s="1363" t="e">
        <f t="shared" si="8"/>
        <v>#VALUE!</v>
      </c>
      <c r="CL63" s="1346"/>
      <c r="CM63" s="1346"/>
      <c r="CN63" s="1346"/>
      <c r="CO63" s="1346"/>
      <c r="CP63" s="1346"/>
    </row>
    <row r="64" spans="1:94" ht="16.350000000000001" customHeight="1" x14ac:dyDescent="0.25">
      <c r="A64" s="2458">
        <v>19120611</v>
      </c>
      <c r="B64" s="5113"/>
      <c r="C64" s="283" t="s">
        <v>2046</v>
      </c>
      <c r="D64" s="1637" t="s">
        <v>2777</v>
      </c>
      <c r="E64" s="1638" t="s">
        <v>2778</v>
      </c>
      <c r="F64" s="269" t="s">
        <v>2779</v>
      </c>
      <c r="G64" s="101" t="s">
        <v>2780</v>
      </c>
      <c r="H64" s="169" t="s">
        <v>2781</v>
      </c>
      <c r="I64" s="101" t="s">
        <v>2782</v>
      </c>
      <c r="J64" s="169" t="s">
        <v>2783</v>
      </c>
      <c r="K64" s="166" t="s">
        <v>2784</v>
      </c>
      <c r="L64" s="125" t="s">
        <v>2785</v>
      </c>
      <c r="M64" s="166" t="s">
        <v>2786</v>
      </c>
      <c r="N64" s="125" t="s">
        <v>2787</v>
      </c>
      <c r="O64" s="166" t="s">
        <v>2788</v>
      </c>
      <c r="P64" s="125" t="s">
        <v>2789</v>
      </c>
      <c r="Q64" s="166" t="s">
        <v>2790</v>
      </c>
      <c r="R64" s="125" t="s">
        <v>2791</v>
      </c>
      <c r="S64" s="166" t="s">
        <v>2792</v>
      </c>
      <c r="T64" s="125" t="s">
        <v>2793</v>
      </c>
      <c r="U64" s="166" t="s">
        <v>2794</v>
      </c>
      <c r="V64" s="125" t="s">
        <v>2795</v>
      </c>
      <c r="W64" s="166" t="s">
        <v>2796</v>
      </c>
      <c r="X64" s="125" t="s">
        <v>2797</v>
      </c>
      <c r="Y64" s="166" t="s">
        <v>2798</v>
      </c>
      <c r="Z64" s="125" t="s">
        <v>2799</v>
      </c>
      <c r="AA64" s="166" t="s">
        <v>2800</v>
      </c>
      <c r="AB64" s="125" t="s">
        <v>2801</v>
      </c>
      <c r="AC64" s="166" t="s">
        <v>2817</v>
      </c>
      <c r="AD64" s="125" t="s">
        <v>2818</v>
      </c>
      <c r="AE64" s="166" t="s">
        <v>2819</v>
      </c>
      <c r="AF64" s="125" t="s">
        <v>2821</v>
      </c>
      <c r="AG64" s="166" t="s">
        <v>2822</v>
      </c>
      <c r="AH64" s="125" t="s">
        <v>2823</v>
      </c>
      <c r="AI64" s="166" t="s">
        <v>2824</v>
      </c>
      <c r="AJ64" s="125" t="s">
        <v>2825</v>
      </c>
      <c r="AK64" s="166" t="s">
        <v>2826</v>
      </c>
      <c r="AL64" s="125" t="s">
        <v>2827</v>
      </c>
      <c r="AM64" s="227" t="s">
        <v>2831</v>
      </c>
      <c r="AN64" s="319" t="s">
        <v>2832</v>
      </c>
      <c r="AO64" s="1679" t="s">
        <v>2833</v>
      </c>
      <c r="AP64" s="168" t="s">
        <v>2834</v>
      </c>
      <c r="AQ64" s="105" t="s">
        <v>3011</v>
      </c>
      <c r="AR64" s="105" t="s">
        <v>3012</v>
      </c>
      <c r="AS64" s="105" t="s">
        <v>3013</v>
      </c>
      <c r="AT64" s="105" t="s">
        <v>3014</v>
      </c>
      <c r="AU64" s="105" t="s">
        <v>3015</v>
      </c>
      <c r="AV64" s="1162" t="e">
        <f t="shared" si="0"/>
        <v>#VALUE!</v>
      </c>
      <c r="AW64" s="1058"/>
      <c r="AX64" s="1058"/>
      <c r="AY64" s="1058"/>
      <c r="AZ64" s="1058"/>
      <c r="BA64" s="1058"/>
      <c r="BB64" s="1058"/>
      <c r="BC64" s="1058"/>
      <c r="BD64" s="1058"/>
      <c r="BE64" s="1058"/>
      <c r="BF64" s="1058"/>
      <c r="BG64" s="884"/>
      <c r="BH64" s="884"/>
      <c r="BY64" s="210"/>
      <c r="CB64" s="1362" t="str">
        <f t="shared" si="1"/>
        <v/>
      </c>
      <c r="CC64" s="1362" t="e">
        <f t="shared" si="2"/>
        <v>#VALUE!</v>
      </c>
      <c r="CD64" s="1362" t="str">
        <f t="shared" si="3"/>
        <v xml:space="preserve">* Las consejerías realizadas en Espacios amigables NO DEBEN ser mayor al Total. </v>
      </c>
      <c r="CE64" s="1362" t="e">
        <f t="shared" si="4"/>
        <v>#VALUE!</v>
      </c>
      <c r="CF64" s="1362"/>
      <c r="CG64" s="1362"/>
      <c r="CH64" s="1363">
        <f t="shared" si="5"/>
        <v>0</v>
      </c>
      <c r="CI64" s="1363" t="e">
        <f t="shared" si="6"/>
        <v>#VALUE!</v>
      </c>
      <c r="CJ64" s="1363">
        <f t="shared" si="7"/>
        <v>1</v>
      </c>
      <c r="CK64" s="1363" t="e">
        <f t="shared" si="8"/>
        <v>#VALUE!</v>
      </c>
      <c r="CL64" s="1346"/>
      <c r="CM64" s="1346"/>
      <c r="CN64" s="1346"/>
      <c r="CO64" s="1346"/>
      <c r="CP64" s="1346"/>
    </row>
    <row r="65" spans="1:94" ht="16.350000000000001" customHeight="1" x14ac:dyDescent="0.25">
      <c r="A65" s="2458">
        <v>19182010</v>
      </c>
      <c r="B65" s="5787" t="s">
        <v>2050</v>
      </c>
      <c r="C65" s="1668" t="s">
        <v>29</v>
      </c>
      <c r="D65" s="1633" t="s">
        <v>2777</v>
      </c>
      <c r="E65" s="1634" t="s">
        <v>2778</v>
      </c>
      <c r="F65" s="1669" t="s">
        <v>2779</v>
      </c>
      <c r="G65" s="1681" t="s">
        <v>2780</v>
      </c>
      <c r="H65" s="1682" t="s">
        <v>2781</v>
      </c>
      <c r="I65" s="1681" t="s">
        <v>2782</v>
      </c>
      <c r="J65" s="1682" t="s">
        <v>2783</v>
      </c>
      <c r="K65" s="1670" t="s">
        <v>2784</v>
      </c>
      <c r="L65" s="1672" t="s">
        <v>2785</v>
      </c>
      <c r="M65" s="1670" t="s">
        <v>2786</v>
      </c>
      <c r="N65" s="1672" t="s">
        <v>2787</v>
      </c>
      <c r="O65" s="1670" t="s">
        <v>2788</v>
      </c>
      <c r="P65" s="1672" t="s">
        <v>2789</v>
      </c>
      <c r="Q65" s="1670" t="s">
        <v>2790</v>
      </c>
      <c r="R65" s="1672" t="s">
        <v>2791</v>
      </c>
      <c r="S65" s="1670" t="s">
        <v>2792</v>
      </c>
      <c r="T65" s="1672" t="s">
        <v>2793</v>
      </c>
      <c r="U65" s="1670" t="s">
        <v>2794</v>
      </c>
      <c r="V65" s="1672" t="s">
        <v>2795</v>
      </c>
      <c r="W65" s="1670" t="s">
        <v>2796</v>
      </c>
      <c r="X65" s="1672" t="s">
        <v>2797</v>
      </c>
      <c r="Y65" s="1670" t="s">
        <v>2798</v>
      </c>
      <c r="Z65" s="1672" t="s">
        <v>2799</v>
      </c>
      <c r="AA65" s="1670" t="s">
        <v>2800</v>
      </c>
      <c r="AB65" s="1672" t="s">
        <v>2801</v>
      </c>
      <c r="AC65" s="141" t="s">
        <v>2817</v>
      </c>
      <c r="AD65" s="163" t="s">
        <v>2818</v>
      </c>
      <c r="AE65" s="936" t="s">
        <v>2819</v>
      </c>
      <c r="AF65" s="937" t="s">
        <v>2821</v>
      </c>
      <c r="AG65" s="96" t="s">
        <v>2822</v>
      </c>
      <c r="AH65" s="99" t="s">
        <v>2823</v>
      </c>
      <c r="AI65" s="96" t="s">
        <v>2824</v>
      </c>
      <c r="AJ65" s="99" t="s">
        <v>2825</v>
      </c>
      <c r="AK65" s="96" t="s">
        <v>2826</v>
      </c>
      <c r="AL65" s="99" t="s">
        <v>2827</v>
      </c>
      <c r="AM65" s="1687" t="s">
        <v>2831</v>
      </c>
      <c r="AN65" s="602" t="s">
        <v>2832</v>
      </c>
      <c r="AO65" s="500" t="s">
        <v>2833</v>
      </c>
      <c r="AP65" s="1603" t="s">
        <v>2834</v>
      </c>
      <c r="AQ65" s="1604" t="s">
        <v>3011</v>
      </c>
      <c r="AR65" s="1604" t="s">
        <v>3012</v>
      </c>
      <c r="AS65" s="1604" t="s">
        <v>3013</v>
      </c>
      <c r="AT65" s="1604" t="s">
        <v>3014</v>
      </c>
      <c r="AU65" s="1604" t="s">
        <v>3015</v>
      </c>
      <c r="AV65" s="1162" t="e">
        <f t="shared" si="0"/>
        <v>#VALUE!</v>
      </c>
      <c r="AW65" s="1058"/>
      <c r="AX65" s="1058"/>
      <c r="AY65" s="1058"/>
      <c r="AZ65" s="1058"/>
      <c r="BA65" s="1058"/>
      <c r="BB65" s="1058"/>
      <c r="BC65" s="1058"/>
      <c r="BD65" s="1058"/>
      <c r="BE65" s="1058"/>
      <c r="BF65" s="1058"/>
      <c r="BG65" s="884"/>
      <c r="BH65" s="884"/>
      <c r="BY65" s="210"/>
      <c r="CB65" s="1362" t="str">
        <f t="shared" si="1"/>
        <v/>
      </c>
      <c r="CC65" s="1362" t="e">
        <f t="shared" si="2"/>
        <v>#VALUE!</v>
      </c>
      <c r="CD65" s="1362" t="str">
        <f t="shared" si="3"/>
        <v xml:space="preserve">* Las consejerías realizadas en Espacios amigables NO DEBEN ser mayor al Total. </v>
      </c>
      <c r="CE65" s="1362" t="e">
        <f t="shared" si="4"/>
        <v>#VALUE!</v>
      </c>
      <c r="CF65" s="1362"/>
      <c r="CG65" s="1362"/>
      <c r="CH65" s="1363">
        <f t="shared" si="5"/>
        <v>0</v>
      </c>
      <c r="CI65" s="1363" t="e">
        <f t="shared" si="6"/>
        <v>#VALUE!</v>
      </c>
      <c r="CJ65" s="1363">
        <f t="shared" si="7"/>
        <v>1</v>
      </c>
      <c r="CK65" s="1363" t="e">
        <f t="shared" si="8"/>
        <v>#VALUE!</v>
      </c>
      <c r="CL65" s="1346"/>
      <c r="CM65" s="1346"/>
      <c r="CN65" s="1346"/>
      <c r="CO65" s="1346"/>
      <c r="CP65" s="1346"/>
    </row>
    <row r="66" spans="1:94" ht="16.350000000000001" customHeight="1" x14ac:dyDescent="0.25">
      <c r="A66" s="2458">
        <v>19182020</v>
      </c>
      <c r="B66" s="5113"/>
      <c r="C66" s="179" t="s">
        <v>30</v>
      </c>
      <c r="D66" s="1635" t="s">
        <v>2777</v>
      </c>
      <c r="E66" s="1636" t="s">
        <v>2778</v>
      </c>
      <c r="F66" s="1676" t="s">
        <v>2779</v>
      </c>
      <c r="G66" s="115" t="s">
        <v>2780</v>
      </c>
      <c r="H66" s="258" t="s">
        <v>2781</v>
      </c>
      <c r="I66" s="115" t="s">
        <v>2782</v>
      </c>
      <c r="J66" s="258" t="s">
        <v>2783</v>
      </c>
      <c r="K66" s="141" t="s">
        <v>2784</v>
      </c>
      <c r="L66" s="163" t="s">
        <v>2785</v>
      </c>
      <c r="M66" s="141" t="s">
        <v>2786</v>
      </c>
      <c r="N66" s="163" t="s">
        <v>2787</v>
      </c>
      <c r="O66" s="141" t="s">
        <v>2788</v>
      </c>
      <c r="P66" s="163" t="s">
        <v>2789</v>
      </c>
      <c r="Q66" s="141" t="s">
        <v>2790</v>
      </c>
      <c r="R66" s="163" t="s">
        <v>2791</v>
      </c>
      <c r="S66" s="141" t="s">
        <v>2792</v>
      </c>
      <c r="T66" s="163" t="s">
        <v>2793</v>
      </c>
      <c r="U66" s="141" t="s">
        <v>2794</v>
      </c>
      <c r="V66" s="163" t="s">
        <v>2795</v>
      </c>
      <c r="W66" s="141" t="s">
        <v>2796</v>
      </c>
      <c r="X66" s="163" t="s">
        <v>2797</v>
      </c>
      <c r="Y66" s="141" t="s">
        <v>2798</v>
      </c>
      <c r="Z66" s="163" t="s">
        <v>2799</v>
      </c>
      <c r="AA66" s="141" t="s">
        <v>2800</v>
      </c>
      <c r="AB66" s="163" t="s">
        <v>2801</v>
      </c>
      <c r="AC66" s="141" t="s">
        <v>2817</v>
      </c>
      <c r="AD66" s="163" t="s">
        <v>2818</v>
      </c>
      <c r="AE66" s="936" t="s">
        <v>2819</v>
      </c>
      <c r="AF66" s="937" t="s">
        <v>2821</v>
      </c>
      <c r="AG66" s="173" t="s">
        <v>2822</v>
      </c>
      <c r="AH66" s="162" t="s">
        <v>2823</v>
      </c>
      <c r="AI66" s="173" t="s">
        <v>2824</v>
      </c>
      <c r="AJ66" s="162" t="s">
        <v>2825</v>
      </c>
      <c r="AK66" s="173" t="s">
        <v>2826</v>
      </c>
      <c r="AL66" s="162" t="s">
        <v>2827</v>
      </c>
      <c r="AM66" s="175" t="s">
        <v>2831</v>
      </c>
      <c r="AN66" s="507" t="s">
        <v>2832</v>
      </c>
      <c r="AO66" s="498" t="s">
        <v>2833</v>
      </c>
      <c r="AP66" s="198" t="s">
        <v>2834</v>
      </c>
      <c r="AQ66" s="164" t="s">
        <v>3011</v>
      </c>
      <c r="AR66" s="164" t="s">
        <v>3012</v>
      </c>
      <c r="AS66" s="164" t="s">
        <v>3013</v>
      </c>
      <c r="AT66" s="164" t="s">
        <v>3014</v>
      </c>
      <c r="AU66" s="164" t="s">
        <v>3015</v>
      </c>
      <c r="AV66" s="1162" t="e">
        <f t="shared" si="0"/>
        <v>#VALUE!</v>
      </c>
      <c r="AW66" s="1058"/>
      <c r="AX66" s="1058"/>
      <c r="AY66" s="1058"/>
      <c r="AZ66" s="1058"/>
      <c r="BA66" s="1058"/>
      <c r="BB66" s="1058"/>
      <c r="BC66" s="1058"/>
      <c r="BD66" s="1058"/>
      <c r="BE66" s="1058"/>
      <c r="BF66" s="1058"/>
      <c r="BG66" s="884"/>
      <c r="BH66" s="884"/>
      <c r="BY66" s="210"/>
      <c r="CB66" s="1362" t="str">
        <f t="shared" si="1"/>
        <v/>
      </c>
      <c r="CC66" s="1362" t="e">
        <f t="shared" si="2"/>
        <v>#VALUE!</v>
      </c>
      <c r="CD66" s="1362" t="str">
        <f t="shared" si="3"/>
        <v xml:space="preserve">* Las consejerías realizadas en Espacios amigables NO DEBEN ser mayor al Total. </v>
      </c>
      <c r="CE66" s="1362" t="e">
        <f t="shared" si="4"/>
        <v>#VALUE!</v>
      </c>
      <c r="CF66" s="1362"/>
      <c r="CG66" s="1362"/>
      <c r="CH66" s="1363">
        <f t="shared" si="5"/>
        <v>0</v>
      </c>
      <c r="CI66" s="1363" t="e">
        <f t="shared" si="6"/>
        <v>#VALUE!</v>
      </c>
      <c r="CJ66" s="1363">
        <f t="shared" si="7"/>
        <v>1</v>
      </c>
      <c r="CK66" s="1363" t="e">
        <f t="shared" si="8"/>
        <v>#VALUE!</v>
      </c>
      <c r="CL66" s="1346"/>
      <c r="CM66" s="1346"/>
      <c r="CN66" s="1346"/>
      <c r="CO66" s="1346"/>
      <c r="CP66" s="1346"/>
    </row>
    <row r="67" spans="1:94" ht="16.350000000000001" customHeight="1" x14ac:dyDescent="0.25">
      <c r="A67" s="2458">
        <v>19182021</v>
      </c>
      <c r="B67" s="5113"/>
      <c r="C67" s="1632" t="s">
        <v>2047</v>
      </c>
      <c r="D67" s="1580" t="s">
        <v>2777</v>
      </c>
      <c r="E67" s="1581" t="s">
        <v>2778</v>
      </c>
      <c r="F67" s="1678" t="s">
        <v>2779</v>
      </c>
      <c r="G67" s="115" t="s">
        <v>2780</v>
      </c>
      <c r="H67" s="258" t="s">
        <v>2781</v>
      </c>
      <c r="I67" s="115" t="s">
        <v>2782</v>
      </c>
      <c r="J67" s="258" t="s">
        <v>2783</v>
      </c>
      <c r="K67" s="182" t="s">
        <v>2784</v>
      </c>
      <c r="L67" s="183" t="s">
        <v>2785</v>
      </c>
      <c r="M67" s="182" t="s">
        <v>2786</v>
      </c>
      <c r="N67" s="183" t="s">
        <v>2787</v>
      </c>
      <c r="O67" s="182" t="s">
        <v>2788</v>
      </c>
      <c r="P67" s="183" t="s">
        <v>2789</v>
      </c>
      <c r="Q67" s="182" t="s">
        <v>2790</v>
      </c>
      <c r="R67" s="183" t="s">
        <v>2791</v>
      </c>
      <c r="S67" s="182" t="s">
        <v>2792</v>
      </c>
      <c r="T67" s="183" t="s">
        <v>2793</v>
      </c>
      <c r="U67" s="182" t="s">
        <v>2794</v>
      </c>
      <c r="V67" s="183" t="s">
        <v>2795</v>
      </c>
      <c r="W67" s="182" t="s">
        <v>2796</v>
      </c>
      <c r="X67" s="183" t="s">
        <v>2797</v>
      </c>
      <c r="Y67" s="182" t="s">
        <v>2798</v>
      </c>
      <c r="Z67" s="183" t="s">
        <v>2799</v>
      </c>
      <c r="AA67" s="182" t="s">
        <v>2800</v>
      </c>
      <c r="AB67" s="183" t="s">
        <v>2801</v>
      </c>
      <c r="AC67" s="141" t="s">
        <v>2817</v>
      </c>
      <c r="AD67" s="163" t="s">
        <v>2818</v>
      </c>
      <c r="AE67" s="936" t="s">
        <v>2819</v>
      </c>
      <c r="AF67" s="937" t="s">
        <v>2821</v>
      </c>
      <c r="AG67" s="115" t="s">
        <v>2822</v>
      </c>
      <c r="AH67" s="118" t="s">
        <v>2823</v>
      </c>
      <c r="AI67" s="115" t="s">
        <v>2824</v>
      </c>
      <c r="AJ67" s="118" t="s">
        <v>2825</v>
      </c>
      <c r="AK67" s="115" t="s">
        <v>2826</v>
      </c>
      <c r="AL67" s="118" t="s">
        <v>2827</v>
      </c>
      <c r="AM67" s="1472" t="s">
        <v>2831</v>
      </c>
      <c r="AN67" s="1374" t="s">
        <v>2832</v>
      </c>
      <c r="AO67" s="498" t="s">
        <v>2833</v>
      </c>
      <c r="AP67" s="240" t="s">
        <v>2834</v>
      </c>
      <c r="AQ67" s="119" t="s">
        <v>3011</v>
      </c>
      <c r="AR67" s="119" t="s">
        <v>3012</v>
      </c>
      <c r="AS67" s="119" t="s">
        <v>3013</v>
      </c>
      <c r="AT67" s="119" t="s">
        <v>3014</v>
      </c>
      <c r="AU67" s="119" t="s">
        <v>3015</v>
      </c>
      <c r="AV67" s="1162" t="e">
        <f t="shared" si="0"/>
        <v>#VALUE!</v>
      </c>
      <c r="AW67" s="1058"/>
      <c r="AX67" s="1058"/>
      <c r="AY67" s="1058"/>
      <c r="AZ67" s="1058"/>
      <c r="BA67" s="1058"/>
      <c r="BB67" s="1058"/>
      <c r="BC67" s="1058"/>
      <c r="BD67" s="1058"/>
      <c r="BE67" s="1058"/>
      <c r="BF67" s="1058"/>
      <c r="BG67" s="884"/>
      <c r="BH67" s="884"/>
      <c r="BY67" s="210"/>
      <c r="CB67" s="1362" t="str">
        <f t="shared" si="1"/>
        <v/>
      </c>
      <c r="CC67" s="1362" t="e">
        <f t="shared" si="2"/>
        <v>#VALUE!</v>
      </c>
      <c r="CD67" s="1362" t="str">
        <f t="shared" si="3"/>
        <v xml:space="preserve">* Las consejerías realizadas en Espacios amigables NO DEBEN ser mayor al Total. </v>
      </c>
      <c r="CE67" s="1362" t="e">
        <f t="shared" si="4"/>
        <v>#VALUE!</v>
      </c>
      <c r="CF67" s="1362"/>
      <c r="CG67" s="1362"/>
      <c r="CH67" s="1363">
        <f t="shared" si="5"/>
        <v>0</v>
      </c>
      <c r="CI67" s="1363" t="e">
        <f t="shared" si="6"/>
        <v>#VALUE!</v>
      </c>
      <c r="CJ67" s="1363">
        <f t="shared" si="7"/>
        <v>1</v>
      </c>
      <c r="CK67" s="1363" t="e">
        <f t="shared" si="8"/>
        <v>#VALUE!</v>
      </c>
      <c r="CL67" s="1346"/>
      <c r="CM67" s="1346"/>
      <c r="CN67" s="1346"/>
      <c r="CO67" s="1346"/>
      <c r="CP67" s="1346"/>
    </row>
    <row r="68" spans="1:94" ht="16.350000000000001" customHeight="1" x14ac:dyDescent="0.25">
      <c r="A68" s="2458">
        <v>19182030</v>
      </c>
      <c r="B68" s="5159"/>
      <c r="C68" s="283" t="s">
        <v>2046</v>
      </c>
      <c r="D68" s="1637" t="s">
        <v>2777</v>
      </c>
      <c r="E68" s="1638" t="s">
        <v>2778</v>
      </c>
      <c r="F68" s="269" t="s">
        <v>2779</v>
      </c>
      <c r="G68" s="101" t="s">
        <v>2780</v>
      </c>
      <c r="H68" s="169" t="s">
        <v>2781</v>
      </c>
      <c r="I68" s="101" t="s">
        <v>2782</v>
      </c>
      <c r="J68" s="169" t="s">
        <v>2783</v>
      </c>
      <c r="K68" s="166" t="s">
        <v>2784</v>
      </c>
      <c r="L68" s="125" t="s">
        <v>2785</v>
      </c>
      <c r="M68" s="166" t="s">
        <v>2786</v>
      </c>
      <c r="N68" s="125" t="s">
        <v>2787</v>
      </c>
      <c r="O68" s="166" t="s">
        <v>2788</v>
      </c>
      <c r="P68" s="125" t="s">
        <v>2789</v>
      </c>
      <c r="Q68" s="166" t="s">
        <v>2790</v>
      </c>
      <c r="R68" s="125" t="s">
        <v>2791</v>
      </c>
      <c r="S68" s="166" t="s">
        <v>2792</v>
      </c>
      <c r="T68" s="125" t="s">
        <v>2793</v>
      </c>
      <c r="U68" s="166" t="s">
        <v>2794</v>
      </c>
      <c r="V68" s="125" t="s">
        <v>2795</v>
      </c>
      <c r="W68" s="166" t="s">
        <v>2796</v>
      </c>
      <c r="X68" s="125" t="s">
        <v>2797</v>
      </c>
      <c r="Y68" s="166" t="s">
        <v>2798</v>
      </c>
      <c r="Z68" s="125" t="s">
        <v>2799</v>
      </c>
      <c r="AA68" s="166" t="s">
        <v>2800</v>
      </c>
      <c r="AB68" s="125" t="s">
        <v>2801</v>
      </c>
      <c r="AC68" s="141" t="s">
        <v>2817</v>
      </c>
      <c r="AD68" s="163" t="s">
        <v>2818</v>
      </c>
      <c r="AE68" s="936" t="s">
        <v>2819</v>
      </c>
      <c r="AF68" s="937" t="s">
        <v>2821</v>
      </c>
      <c r="AG68" s="101" t="s">
        <v>2822</v>
      </c>
      <c r="AH68" s="104" t="s">
        <v>2823</v>
      </c>
      <c r="AI68" s="101" t="s">
        <v>2824</v>
      </c>
      <c r="AJ68" s="104" t="s">
        <v>2825</v>
      </c>
      <c r="AK68" s="101" t="s">
        <v>2826</v>
      </c>
      <c r="AL68" s="104" t="s">
        <v>2827</v>
      </c>
      <c r="AM68" s="176" t="s">
        <v>2831</v>
      </c>
      <c r="AN68" s="429" t="s">
        <v>2832</v>
      </c>
      <c r="AO68" s="1679" t="s">
        <v>2833</v>
      </c>
      <c r="AP68" s="168" t="s">
        <v>2834</v>
      </c>
      <c r="AQ68" s="105" t="s">
        <v>3011</v>
      </c>
      <c r="AR68" s="105" t="s">
        <v>3012</v>
      </c>
      <c r="AS68" s="105" t="s">
        <v>3013</v>
      </c>
      <c r="AT68" s="105" t="s">
        <v>3014</v>
      </c>
      <c r="AU68" s="105" t="s">
        <v>3015</v>
      </c>
      <c r="AV68" s="1162" t="e">
        <f t="shared" si="0"/>
        <v>#VALUE!</v>
      </c>
      <c r="AW68" s="1058"/>
      <c r="AX68" s="1058"/>
      <c r="AY68" s="1058"/>
      <c r="AZ68" s="1058"/>
      <c r="BA68" s="1058"/>
      <c r="BB68" s="1058"/>
      <c r="BC68" s="1058"/>
      <c r="BD68" s="1058"/>
      <c r="BE68" s="1058"/>
      <c r="BF68" s="1058"/>
      <c r="BG68" s="884"/>
      <c r="BH68" s="884"/>
      <c r="BY68" s="210"/>
      <c r="CB68" s="1362" t="str">
        <f t="shared" si="1"/>
        <v/>
      </c>
      <c r="CC68" s="1362" t="e">
        <f t="shared" si="2"/>
        <v>#VALUE!</v>
      </c>
      <c r="CD68" s="1362" t="str">
        <f t="shared" si="3"/>
        <v xml:space="preserve">* Las consejerías realizadas en Espacios amigables NO DEBEN ser mayor al Total. </v>
      </c>
      <c r="CE68" s="1362" t="e">
        <f t="shared" si="4"/>
        <v>#VALUE!</v>
      </c>
      <c r="CF68" s="1362"/>
      <c r="CG68" s="1362"/>
      <c r="CH68" s="1363">
        <f t="shared" si="5"/>
        <v>0</v>
      </c>
      <c r="CI68" s="1363" t="e">
        <f t="shared" si="6"/>
        <v>#VALUE!</v>
      </c>
      <c r="CJ68" s="1363">
        <f t="shared" si="7"/>
        <v>1</v>
      </c>
      <c r="CK68" s="1363" t="e">
        <f t="shared" si="8"/>
        <v>#VALUE!</v>
      </c>
      <c r="CL68" s="1346"/>
      <c r="CM68" s="1346"/>
      <c r="CN68" s="1346"/>
      <c r="CO68" s="1346"/>
      <c r="CP68" s="1346"/>
    </row>
    <row r="69" spans="1:94" ht="16.350000000000001" customHeight="1" x14ac:dyDescent="0.25">
      <c r="A69" s="2458">
        <v>19120701</v>
      </c>
      <c r="B69" s="5787" t="s">
        <v>2051</v>
      </c>
      <c r="C69" s="1668" t="s">
        <v>29</v>
      </c>
      <c r="D69" s="1633" t="s">
        <v>2777</v>
      </c>
      <c r="E69" s="1634" t="s">
        <v>2778</v>
      </c>
      <c r="F69" s="1669" t="s">
        <v>2779</v>
      </c>
      <c r="G69" s="1681" t="s">
        <v>2780</v>
      </c>
      <c r="H69" s="1682" t="s">
        <v>2781</v>
      </c>
      <c r="I69" s="1681" t="s">
        <v>2782</v>
      </c>
      <c r="J69" s="1682" t="s">
        <v>2783</v>
      </c>
      <c r="K69" s="1670" t="s">
        <v>2784</v>
      </c>
      <c r="L69" s="1672" t="s">
        <v>2785</v>
      </c>
      <c r="M69" s="1670" t="s">
        <v>2786</v>
      </c>
      <c r="N69" s="1672" t="s">
        <v>2787</v>
      </c>
      <c r="O69" s="1670" t="s">
        <v>2788</v>
      </c>
      <c r="P69" s="1672" t="s">
        <v>2789</v>
      </c>
      <c r="Q69" s="1670" t="s">
        <v>2790</v>
      </c>
      <c r="R69" s="1672" t="s">
        <v>2791</v>
      </c>
      <c r="S69" s="1670" t="s">
        <v>2792</v>
      </c>
      <c r="T69" s="1672" t="s">
        <v>2793</v>
      </c>
      <c r="U69" s="1670" t="s">
        <v>2794</v>
      </c>
      <c r="V69" s="1672" t="s">
        <v>2795</v>
      </c>
      <c r="W69" s="1670" t="s">
        <v>2796</v>
      </c>
      <c r="X69" s="1672" t="s">
        <v>2797</v>
      </c>
      <c r="Y69" s="1670" t="s">
        <v>2798</v>
      </c>
      <c r="Z69" s="1672" t="s">
        <v>2799</v>
      </c>
      <c r="AA69" s="1670" t="s">
        <v>2800</v>
      </c>
      <c r="AB69" s="1672" t="s">
        <v>2801</v>
      </c>
      <c r="AC69" s="1670" t="s">
        <v>2817</v>
      </c>
      <c r="AD69" s="1672" t="s">
        <v>2818</v>
      </c>
      <c r="AE69" s="1670" t="s">
        <v>2819</v>
      </c>
      <c r="AF69" s="1672" t="s">
        <v>2821</v>
      </c>
      <c r="AG69" s="1670" t="s">
        <v>2822</v>
      </c>
      <c r="AH69" s="1672" t="s">
        <v>2823</v>
      </c>
      <c r="AI69" s="1670" t="s">
        <v>2824</v>
      </c>
      <c r="AJ69" s="1672" t="s">
        <v>2825</v>
      </c>
      <c r="AK69" s="1670" t="s">
        <v>2826</v>
      </c>
      <c r="AL69" s="1672" t="s">
        <v>2827</v>
      </c>
      <c r="AM69" s="1673" t="s">
        <v>2831</v>
      </c>
      <c r="AN69" s="1674" t="s">
        <v>2832</v>
      </c>
      <c r="AO69" s="500" t="s">
        <v>2833</v>
      </c>
      <c r="AP69" s="1603" t="s">
        <v>2834</v>
      </c>
      <c r="AQ69" s="1604" t="s">
        <v>3011</v>
      </c>
      <c r="AR69" s="1604" t="s">
        <v>3012</v>
      </c>
      <c r="AS69" s="1604" t="s">
        <v>3013</v>
      </c>
      <c r="AT69" s="1604" t="s">
        <v>3014</v>
      </c>
      <c r="AU69" s="1604" t="s">
        <v>3015</v>
      </c>
      <c r="AV69" s="1162" t="e">
        <f t="shared" si="0"/>
        <v>#VALUE!</v>
      </c>
      <c r="AW69" s="1058"/>
      <c r="AX69" s="1058"/>
      <c r="AY69" s="1058"/>
      <c r="AZ69" s="1058"/>
      <c r="BA69" s="1058"/>
      <c r="BB69" s="1058"/>
      <c r="BC69" s="1058"/>
      <c r="BD69" s="1058"/>
      <c r="BE69" s="1058"/>
      <c r="BF69" s="1058"/>
      <c r="BG69" s="884"/>
      <c r="BH69" s="884"/>
      <c r="BY69" s="210"/>
      <c r="CB69" s="1362" t="str">
        <f t="shared" si="1"/>
        <v/>
      </c>
      <c r="CC69" s="1362" t="e">
        <f t="shared" si="2"/>
        <v>#VALUE!</v>
      </c>
      <c r="CD69" s="1362" t="str">
        <f t="shared" si="3"/>
        <v xml:space="preserve">* Las consejerías realizadas en Espacios amigables NO DEBEN ser mayor al Total. </v>
      </c>
      <c r="CE69" s="1362" t="e">
        <f t="shared" si="4"/>
        <v>#VALUE!</v>
      </c>
      <c r="CF69" s="1362"/>
      <c r="CG69" s="1362"/>
      <c r="CH69" s="1363">
        <f t="shared" si="5"/>
        <v>0</v>
      </c>
      <c r="CI69" s="1363" t="e">
        <f t="shared" si="6"/>
        <v>#VALUE!</v>
      </c>
      <c r="CJ69" s="1363">
        <f t="shared" si="7"/>
        <v>1</v>
      </c>
      <c r="CK69" s="1363" t="e">
        <f t="shared" si="8"/>
        <v>#VALUE!</v>
      </c>
      <c r="CL69" s="1346"/>
      <c r="CM69" s="1346"/>
      <c r="CN69" s="1346"/>
      <c r="CO69" s="1346"/>
      <c r="CP69" s="1346"/>
    </row>
    <row r="70" spans="1:94" ht="16.350000000000001" customHeight="1" x14ac:dyDescent="0.25">
      <c r="A70" s="2458">
        <v>19120702</v>
      </c>
      <c r="B70" s="5113"/>
      <c r="C70" s="179" t="s">
        <v>41</v>
      </c>
      <c r="D70" s="1635" t="s">
        <v>2777</v>
      </c>
      <c r="E70" s="1636" t="s">
        <v>2778</v>
      </c>
      <c r="F70" s="1676" t="s">
        <v>2779</v>
      </c>
      <c r="G70" s="115" t="s">
        <v>2780</v>
      </c>
      <c r="H70" s="258" t="s">
        <v>2781</v>
      </c>
      <c r="I70" s="115" t="s">
        <v>2782</v>
      </c>
      <c r="J70" s="258" t="s">
        <v>2783</v>
      </c>
      <c r="K70" s="141" t="s">
        <v>2784</v>
      </c>
      <c r="L70" s="163" t="s">
        <v>2785</v>
      </c>
      <c r="M70" s="141" t="s">
        <v>2786</v>
      </c>
      <c r="N70" s="163" t="s">
        <v>2787</v>
      </c>
      <c r="O70" s="141" t="s">
        <v>2788</v>
      </c>
      <c r="P70" s="163" t="s">
        <v>2789</v>
      </c>
      <c r="Q70" s="141" t="s">
        <v>2790</v>
      </c>
      <c r="R70" s="163" t="s">
        <v>2791</v>
      </c>
      <c r="S70" s="141" t="s">
        <v>2792</v>
      </c>
      <c r="T70" s="163" t="s">
        <v>2793</v>
      </c>
      <c r="U70" s="141" t="s">
        <v>2794</v>
      </c>
      <c r="V70" s="163" t="s">
        <v>2795</v>
      </c>
      <c r="W70" s="141" t="s">
        <v>2796</v>
      </c>
      <c r="X70" s="163" t="s">
        <v>2797</v>
      </c>
      <c r="Y70" s="141" t="s">
        <v>2798</v>
      </c>
      <c r="Z70" s="163" t="s">
        <v>2799</v>
      </c>
      <c r="AA70" s="141" t="s">
        <v>2800</v>
      </c>
      <c r="AB70" s="163" t="s">
        <v>2801</v>
      </c>
      <c r="AC70" s="141" t="s">
        <v>2817</v>
      </c>
      <c r="AD70" s="163" t="s">
        <v>2818</v>
      </c>
      <c r="AE70" s="141" t="s">
        <v>2819</v>
      </c>
      <c r="AF70" s="163" t="s">
        <v>2821</v>
      </c>
      <c r="AG70" s="141" t="s">
        <v>2822</v>
      </c>
      <c r="AH70" s="163" t="s">
        <v>2823</v>
      </c>
      <c r="AI70" s="141" t="s">
        <v>2824</v>
      </c>
      <c r="AJ70" s="163" t="s">
        <v>2825</v>
      </c>
      <c r="AK70" s="141" t="s">
        <v>2826</v>
      </c>
      <c r="AL70" s="163" t="s">
        <v>2827</v>
      </c>
      <c r="AM70" s="224" t="s">
        <v>2831</v>
      </c>
      <c r="AN70" s="318" t="s">
        <v>2832</v>
      </c>
      <c r="AO70" s="498" t="s">
        <v>2833</v>
      </c>
      <c r="AP70" s="467" t="s">
        <v>2834</v>
      </c>
      <c r="AQ70" s="343" t="s">
        <v>3011</v>
      </c>
      <c r="AR70" s="343" t="s">
        <v>3012</v>
      </c>
      <c r="AS70" s="343" t="s">
        <v>3013</v>
      </c>
      <c r="AT70" s="343" t="s">
        <v>3014</v>
      </c>
      <c r="AU70" s="343" t="s">
        <v>3015</v>
      </c>
      <c r="AV70" s="1162" t="e">
        <f t="shared" si="0"/>
        <v>#VALUE!</v>
      </c>
      <c r="AW70" s="1058"/>
      <c r="AX70" s="1058"/>
      <c r="AY70" s="1058"/>
      <c r="AZ70" s="1058"/>
      <c r="BA70" s="1058"/>
      <c r="BB70" s="1058"/>
      <c r="BC70" s="1058"/>
      <c r="BD70" s="1058"/>
      <c r="BE70" s="1058"/>
      <c r="BF70" s="1058"/>
      <c r="BG70" s="884"/>
      <c r="BH70" s="884"/>
      <c r="BY70" s="210"/>
      <c r="CB70" s="1362" t="str">
        <f t="shared" si="1"/>
        <v/>
      </c>
      <c r="CC70" s="1362" t="e">
        <f t="shared" si="2"/>
        <v>#VALUE!</v>
      </c>
      <c r="CD70" s="1362" t="str">
        <f t="shared" si="3"/>
        <v xml:space="preserve">* Las consejerías realizadas en Espacios amigables NO DEBEN ser mayor al Total. </v>
      </c>
      <c r="CE70" s="1362" t="e">
        <f t="shared" si="4"/>
        <v>#VALUE!</v>
      </c>
      <c r="CF70" s="1362"/>
      <c r="CG70" s="1362"/>
      <c r="CH70" s="1363">
        <f t="shared" si="5"/>
        <v>0</v>
      </c>
      <c r="CI70" s="1363" t="e">
        <f t="shared" si="6"/>
        <v>#VALUE!</v>
      </c>
      <c r="CJ70" s="1363">
        <f t="shared" si="7"/>
        <v>1</v>
      </c>
      <c r="CK70" s="1363" t="e">
        <f t="shared" si="8"/>
        <v>#VALUE!</v>
      </c>
      <c r="CL70" s="1346"/>
      <c r="CM70" s="1346"/>
      <c r="CN70" s="1346"/>
      <c r="CO70" s="1346"/>
      <c r="CP70" s="1346"/>
    </row>
    <row r="71" spans="1:94" ht="16.350000000000001" customHeight="1" x14ac:dyDescent="0.25">
      <c r="A71" s="2458">
        <v>19120703</v>
      </c>
      <c r="B71" s="5113"/>
      <c r="C71" s="179" t="s">
        <v>30</v>
      </c>
      <c r="D71" s="1635" t="s">
        <v>2777</v>
      </c>
      <c r="E71" s="1636" t="s">
        <v>2778</v>
      </c>
      <c r="F71" s="1676" t="s">
        <v>2779</v>
      </c>
      <c r="G71" s="115" t="s">
        <v>2780</v>
      </c>
      <c r="H71" s="258" t="s">
        <v>2781</v>
      </c>
      <c r="I71" s="115" t="s">
        <v>2782</v>
      </c>
      <c r="J71" s="258" t="s">
        <v>2783</v>
      </c>
      <c r="K71" s="141" t="s">
        <v>2784</v>
      </c>
      <c r="L71" s="163" t="s">
        <v>2785</v>
      </c>
      <c r="M71" s="141" t="s">
        <v>2786</v>
      </c>
      <c r="N71" s="163" t="s">
        <v>2787</v>
      </c>
      <c r="O71" s="141" t="s">
        <v>2788</v>
      </c>
      <c r="P71" s="163" t="s">
        <v>2789</v>
      </c>
      <c r="Q71" s="141" t="s">
        <v>2790</v>
      </c>
      <c r="R71" s="163" t="s">
        <v>2791</v>
      </c>
      <c r="S71" s="141" t="s">
        <v>2792</v>
      </c>
      <c r="T71" s="163" t="s">
        <v>2793</v>
      </c>
      <c r="U71" s="141" t="s">
        <v>2794</v>
      </c>
      <c r="V71" s="163" t="s">
        <v>2795</v>
      </c>
      <c r="W71" s="141" t="s">
        <v>2796</v>
      </c>
      <c r="X71" s="163" t="s">
        <v>2797</v>
      </c>
      <c r="Y71" s="141" t="s">
        <v>2798</v>
      </c>
      <c r="Z71" s="163" t="s">
        <v>2799</v>
      </c>
      <c r="AA71" s="141" t="s">
        <v>2800</v>
      </c>
      <c r="AB71" s="163" t="s">
        <v>2801</v>
      </c>
      <c r="AC71" s="141" t="s">
        <v>2817</v>
      </c>
      <c r="AD71" s="163" t="s">
        <v>2818</v>
      </c>
      <c r="AE71" s="141" t="s">
        <v>2819</v>
      </c>
      <c r="AF71" s="163" t="s">
        <v>2821</v>
      </c>
      <c r="AG71" s="141" t="s">
        <v>2822</v>
      </c>
      <c r="AH71" s="163" t="s">
        <v>2823</v>
      </c>
      <c r="AI71" s="141" t="s">
        <v>2824</v>
      </c>
      <c r="AJ71" s="163" t="s">
        <v>2825</v>
      </c>
      <c r="AK71" s="141" t="s">
        <v>2826</v>
      </c>
      <c r="AL71" s="163" t="s">
        <v>2827</v>
      </c>
      <c r="AM71" s="224" t="s">
        <v>2831</v>
      </c>
      <c r="AN71" s="318" t="s">
        <v>2832</v>
      </c>
      <c r="AO71" s="498" t="s">
        <v>2833</v>
      </c>
      <c r="AP71" s="198" t="s">
        <v>2834</v>
      </c>
      <c r="AQ71" s="164" t="s">
        <v>3011</v>
      </c>
      <c r="AR71" s="164" t="s">
        <v>3012</v>
      </c>
      <c r="AS71" s="164" t="s">
        <v>3013</v>
      </c>
      <c r="AT71" s="164" t="s">
        <v>3014</v>
      </c>
      <c r="AU71" s="164" t="s">
        <v>3015</v>
      </c>
      <c r="AV71" s="1162" t="e">
        <f t="shared" si="0"/>
        <v>#VALUE!</v>
      </c>
      <c r="AW71" s="1058"/>
      <c r="AX71" s="1058"/>
      <c r="AY71" s="1058"/>
      <c r="AZ71" s="1058"/>
      <c r="BA71" s="1058"/>
      <c r="BB71" s="1058"/>
      <c r="BC71" s="1058"/>
      <c r="BD71" s="1058"/>
      <c r="BE71" s="1058"/>
      <c r="BF71" s="1058"/>
      <c r="BG71" s="884"/>
      <c r="BH71" s="884"/>
      <c r="BY71" s="210"/>
      <c r="CB71" s="1362" t="str">
        <f t="shared" si="1"/>
        <v/>
      </c>
      <c r="CC71" s="1362" t="e">
        <f t="shared" si="2"/>
        <v>#VALUE!</v>
      </c>
      <c r="CD71" s="1362" t="str">
        <f t="shared" si="3"/>
        <v xml:space="preserve">* Las consejerías realizadas en Espacios amigables NO DEBEN ser mayor al Total. </v>
      </c>
      <c r="CE71" s="1362" t="e">
        <f t="shared" si="4"/>
        <v>#VALUE!</v>
      </c>
      <c r="CF71" s="1362"/>
      <c r="CG71" s="1362"/>
      <c r="CH71" s="1363">
        <f t="shared" si="5"/>
        <v>0</v>
      </c>
      <c r="CI71" s="1363" t="e">
        <f t="shared" si="6"/>
        <v>#VALUE!</v>
      </c>
      <c r="CJ71" s="1363">
        <f t="shared" si="7"/>
        <v>1</v>
      </c>
      <c r="CK71" s="1363" t="e">
        <f t="shared" si="8"/>
        <v>#VALUE!</v>
      </c>
      <c r="CL71" s="1346"/>
      <c r="CM71" s="1346"/>
      <c r="CN71" s="1346"/>
      <c r="CO71" s="1346"/>
      <c r="CP71" s="1346"/>
    </row>
    <row r="72" spans="1:94" ht="16.350000000000001" customHeight="1" x14ac:dyDescent="0.25">
      <c r="A72" s="2458">
        <v>19120706</v>
      </c>
      <c r="B72" s="5113"/>
      <c r="C72" s="179" t="s">
        <v>283</v>
      </c>
      <c r="D72" s="1635" t="s">
        <v>2777</v>
      </c>
      <c r="E72" s="1636" t="s">
        <v>2778</v>
      </c>
      <c r="F72" s="1676" t="s">
        <v>2779</v>
      </c>
      <c r="G72" s="115" t="s">
        <v>2780</v>
      </c>
      <c r="H72" s="258" t="s">
        <v>2781</v>
      </c>
      <c r="I72" s="115" t="s">
        <v>2782</v>
      </c>
      <c r="J72" s="258" t="s">
        <v>2783</v>
      </c>
      <c r="K72" s="141" t="s">
        <v>2784</v>
      </c>
      <c r="L72" s="163" t="s">
        <v>2785</v>
      </c>
      <c r="M72" s="141" t="s">
        <v>2786</v>
      </c>
      <c r="N72" s="163" t="s">
        <v>2787</v>
      </c>
      <c r="O72" s="141" t="s">
        <v>2788</v>
      </c>
      <c r="P72" s="163" t="s">
        <v>2789</v>
      </c>
      <c r="Q72" s="141" t="s">
        <v>2790</v>
      </c>
      <c r="R72" s="163" t="s">
        <v>2791</v>
      </c>
      <c r="S72" s="141" t="s">
        <v>2792</v>
      </c>
      <c r="T72" s="163" t="s">
        <v>2793</v>
      </c>
      <c r="U72" s="141" t="s">
        <v>2794</v>
      </c>
      <c r="V72" s="163" t="s">
        <v>2795</v>
      </c>
      <c r="W72" s="141" t="s">
        <v>2796</v>
      </c>
      <c r="X72" s="163" t="s">
        <v>2797</v>
      </c>
      <c r="Y72" s="141" t="s">
        <v>2798</v>
      </c>
      <c r="Z72" s="163" t="s">
        <v>2799</v>
      </c>
      <c r="AA72" s="141" t="s">
        <v>2800</v>
      </c>
      <c r="AB72" s="163" t="s">
        <v>2801</v>
      </c>
      <c r="AC72" s="141" t="s">
        <v>2817</v>
      </c>
      <c r="AD72" s="163" t="s">
        <v>2818</v>
      </c>
      <c r="AE72" s="141" t="s">
        <v>2819</v>
      </c>
      <c r="AF72" s="163" t="s">
        <v>2821</v>
      </c>
      <c r="AG72" s="141" t="s">
        <v>2822</v>
      </c>
      <c r="AH72" s="163" t="s">
        <v>2823</v>
      </c>
      <c r="AI72" s="141" t="s">
        <v>2824</v>
      </c>
      <c r="AJ72" s="163" t="s">
        <v>2825</v>
      </c>
      <c r="AK72" s="141" t="s">
        <v>2826</v>
      </c>
      <c r="AL72" s="163" t="s">
        <v>2827</v>
      </c>
      <c r="AM72" s="224" t="s">
        <v>2831</v>
      </c>
      <c r="AN72" s="318" t="s">
        <v>2832</v>
      </c>
      <c r="AO72" s="498" t="s">
        <v>2833</v>
      </c>
      <c r="AP72" s="198" t="s">
        <v>2834</v>
      </c>
      <c r="AQ72" s="164" t="s">
        <v>3011</v>
      </c>
      <c r="AR72" s="164" t="s">
        <v>3012</v>
      </c>
      <c r="AS72" s="164" t="s">
        <v>3013</v>
      </c>
      <c r="AT72" s="164" t="s">
        <v>3014</v>
      </c>
      <c r="AU72" s="164" t="s">
        <v>3015</v>
      </c>
      <c r="AV72" s="1162" t="e">
        <f t="shared" si="0"/>
        <v>#VALUE!</v>
      </c>
      <c r="AW72" s="1058"/>
      <c r="AX72" s="1058"/>
      <c r="AY72" s="1058"/>
      <c r="AZ72" s="1058"/>
      <c r="BA72" s="1058"/>
      <c r="BB72" s="1058"/>
      <c r="BC72" s="1058"/>
      <c r="BD72" s="1058"/>
      <c r="BE72" s="1058"/>
      <c r="BF72" s="1058"/>
      <c r="BG72" s="884"/>
      <c r="BH72" s="884"/>
      <c r="BY72" s="210"/>
      <c r="CB72" s="1362" t="str">
        <f t="shared" si="1"/>
        <v/>
      </c>
      <c r="CC72" s="1362" t="e">
        <f t="shared" si="2"/>
        <v>#VALUE!</v>
      </c>
      <c r="CD72" s="1362" t="str">
        <f t="shared" si="3"/>
        <v xml:space="preserve">* Las consejerías realizadas en Espacios amigables NO DEBEN ser mayor al Total. </v>
      </c>
      <c r="CE72" s="1362" t="e">
        <f t="shared" si="4"/>
        <v>#VALUE!</v>
      </c>
      <c r="CF72" s="1362"/>
      <c r="CG72" s="1362"/>
      <c r="CH72" s="1363">
        <f t="shared" si="5"/>
        <v>0</v>
      </c>
      <c r="CI72" s="1363" t="e">
        <f t="shared" si="6"/>
        <v>#VALUE!</v>
      </c>
      <c r="CJ72" s="1363">
        <f t="shared" si="7"/>
        <v>1</v>
      </c>
      <c r="CK72" s="1363" t="e">
        <f t="shared" si="8"/>
        <v>#VALUE!</v>
      </c>
      <c r="CL72" s="1346"/>
      <c r="CM72" s="1346"/>
      <c r="CN72" s="1346"/>
      <c r="CO72" s="1346"/>
      <c r="CP72" s="1346"/>
    </row>
    <row r="73" spans="1:94" ht="16.350000000000001" customHeight="1" x14ac:dyDescent="0.25">
      <c r="A73" s="2458">
        <v>19120708</v>
      </c>
      <c r="B73" s="5113"/>
      <c r="C73" s="179" t="s">
        <v>2045</v>
      </c>
      <c r="D73" s="1635" t="s">
        <v>2777</v>
      </c>
      <c r="E73" s="1636" t="s">
        <v>2778</v>
      </c>
      <c r="F73" s="1676" t="s">
        <v>2779</v>
      </c>
      <c r="G73" s="115" t="s">
        <v>2780</v>
      </c>
      <c r="H73" s="258" t="s">
        <v>2781</v>
      </c>
      <c r="I73" s="115" t="s">
        <v>2782</v>
      </c>
      <c r="J73" s="258" t="s">
        <v>2783</v>
      </c>
      <c r="K73" s="141" t="s">
        <v>2784</v>
      </c>
      <c r="L73" s="163" t="s">
        <v>2785</v>
      </c>
      <c r="M73" s="141" t="s">
        <v>2786</v>
      </c>
      <c r="N73" s="163" t="s">
        <v>2787</v>
      </c>
      <c r="O73" s="141" t="s">
        <v>2788</v>
      </c>
      <c r="P73" s="163" t="s">
        <v>2789</v>
      </c>
      <c r="Q73" s="141" t="s">
        <v>2790</v>
      </c>
      <c r="R73" s="163" t="s">
        <v>2791</v>
      </c>
      <c r="S73" s="141" t="s">
        <v>2792</v>
      </c>
      <c r="T73" s="163" t="s">
        <v>2793</v>
      </c>
      <c r="U73" s="141" t="s">
        <v>2794</v>
      </c>
      <c r="V73" s="163" t="s">
        <v>2795</v>
      </c>
      <c r="W73" s="141" t="s">
        <v>2796</v>
      </c>
      <c r="X73" s="163" t="s">
        <v>2797</v>
      </c>
      <c r="Y73" s="141" t="s">
        <v>2798</v>
      </c>
      <c r="Z73" s="163" t="s">
        <v>2799</v>
      </c>
      <c r="AA73" s="141" t="s">
        <v>2800</v>
      </c>
      <c r="AB73" s="163" t="s">
        <v>2801</v>
      </c>
      <c r="AC73" s="141" t="s">
        <v>2817</v>
      </c>
      <c r="AD73" s="163" t="s">
        <v>2818</v>
      </c>
      <c r="AE73" s="141" t="s">
        <v>2819</v>
      </c>
      <c r="AF73" s="163" t="s">
        <v>2821</v>
      </c>
      <c r="AG73" s="141" t="s">
        <v>2822</v>
      </c>
      <c r="AH73" s="163" t="s">
        <v>2823</v>
      </c>
      <c r="AI73" s="141" t="s">
        <v>2824</v>
      </c>
      <c r="AJ73" s="163" t="s">
        <v>2825</v>
      </c>
      <c r="AK73" s="141" t="s">
        <v>2826</v>
      </c>
      <c r="AL73" s="163" t="s">
        <v>2827</v>
      </c>
      <c r="AM73" s="224" t="s">
        <v>2831</v>
      </c>
      <c r="AN73" s="318" t="s">
        <v>2832</v>
      </c>
      <c r="AO73" s="498" t="s">
        <v>2833</v>
      </c>
      <c r="AP73" s="198" t="s">
        <v>2834</v>
      </c>
      <c r="AQ73" s="164" t="s">
        <v>3011</v>
      </c>
      <c r="AR73" s="164" t="s">
        <v>3012</v>
      </c>
      <c r="AS73" s="164" t="s">
        <v>3013</v>
      </c>
      <c r="AT73" s="164" t="s">
        <v>3014</v>
      </c>
      <c r="AU73" s="164" t="s">
        <v>3015</v>
      </c>
      <c r="AV73" s="1162" t="e">
        <f t="shared" si="0"/>
        <v>#VALUE!</v>
      </c>
      <c r="AW73" s="1058"/>
      <c r="AX73" s="1058"/>
      <c r="AY73" s="1058"/>
      <c r="AZ73" s="1058"/>
      <c r="BA73" s="1058"/>
      <c r="BB73" s="1058"/>
      <c r="BC73" s="1058"/>
      <c r="BD73" s="1058"/>
      <c r="BE73" s="1058"/>
      <c r="BF73" s="1058"/>
      <c r="BG73" s="884"/>
      <c r="BH73" s="884"/>
      <c r="BY73" s="210"/>
      <c r="CB73" s="1362" t="str">
        <f t="shared" si="1"/>
        <v/>
      </c>
      <c r="CC73" s="1362" t="e">
        <f t="shared" si="2"/>
        <v>#VALUE!</v>
      </c>
      <c r="CD73" s="1362" t="str">
        <f t="shared" si="3"/>
        <v xml:space="preserve">* Las consejerías realizadas en Espacios amigables NO DEBEN ser mayor al Total. </v>
      </c>
      <c r="CE73" s="1362" t="e">
        <f t="shared" si="4"/>
        <v>#VALUE!</v>
      </c>
      <c r="CF73" s="1362"/>
      <c r="CG73" s="1362"/>
      <c r="CH73" s="1363">
        <f t="shared" si="5"/>
        <v>0</v>
      </c>
      <c r="CI73" s="1363" t="e">
        <f t="shared" si="6"/>
        <v>#VALUE!</v>
      </c>
      <c r="CJ73" s="1363">
        <f t="shared" si="7"/>
        <v>1</v>
      </c>
      <c r="CK73" s="1363" t="e">
        <f t="shared" si="8"/>
        <v>#VALUE!</v>
      </c>
      <c r="CL73" s="1346"/>
      <c r="CM73" s="1346"/>
      <c r="CN73" s="1346"/>
      <c r="CO73" s="1346"/>
      <c r="CP73" s="1346"/>
    </row>
    <row r="74" spans="1:94" ht="16.350000000000001" customHeight="1" x14ac:dyDescent="0.25">
      <c r="A74" s="2458">
        <v>19120709</v>
      </c>
      <c r="B74" s="5113"/>
      <c r="C74" s="310" t="s">
        <v>2047</v>
      </c>
      <c r="D74" s="994" t="s">
        <v>2777</v>
      </c>
      <c r="E74" s="1581" t="s">
        <v>2778</v>
      </c>
      <c r="F74" s="1678" t="s">
        <v>2779</v>
      </c>
      <c r="G74" s="115" t="s">
        <v>2780</v>
      </c>
      <c r="H74" s="258" t="s">
        <v>2781</v>
      </c>
      <c r="I74" s="115" t="s">
        <v>2782</v>
      </c>
      <c r="J74" s="258" t="s">
        <v>2783</v>
      </c>
      <c r="K74" s="182" t="s">
        <v>2784</v>
      </c>
      <c r="L74" s="183" t="s">
        <v>2785</v>
      </c>
      <c r="M74" s="182" t="s">
        <v>2786</v>
      </c>
      <c r="N74" s="183" t="s">
        <v>2787</v>
      </c>
      <c r="O74" s="182" t="s">
        <v>2788</v>
      </c>
      <c r="P74" s="183" t="s">
        <v>2789</v>
      </c>
      <c r="Q74" s="182" t="s">
        <v>2790</v>
      </c>
      <c r="R74" s="183" t="s">
        <v>2791</v>
      </c>
      <c r="S74" s="182" t="s">
        <v>2792</v>
      </c>
      <c r="T74" s="183" t="s">
        <v>2793</v>
      </c>
      <c r="U74" s="182" t="s">
        <v>2794</v>
      </c>
      <c r="V74" s="183" t="s">
        <v>2795</v>
      </c>
      <c r="W74" s="182" t="s">
        <v>2796</v>
      </c>
      <c r="X74" s="183" t="s">
        <v>2797</v>
      </c>
      <c r="Y74" s="182" t="s">
        <v>2798</v>
      </c>
      <c r="Z74" s="183" t="s">
        <v>2799</v>
      </c>
      <c r="AA74" s="182" t="s">
        <v>2800</v>
      </c>
      <c r="AB74" s="183" t="s">
        <v>2801</v>
      </c>
      <c r="AC74" s="182" t="s">
        <v>2817</v>
      </c>
      <c r="AD74" s="183" t="s">
        <v>2818</v>
      </c>
      <c r="AE74" s="182" t="s">
        <v>2819</v>
      </c>
      <c r="AF74" s="183" t="s">
        <v>2821</v>
      </c>
      <c r="AG74" s="182" t="s">
        <v>2822</v>
      </c>
      <c r="AH74" s="183" t="s">
        <v>2823</v>
      </c>
      <c r="AI74" s="182" t="s">
        <v>2824</v>
      </c>
      <c r="AJ74" s="183" t="s">
        <v>2825</v>
      </c>
      <c r="AK74" s="182" t="s">
        <v>2826</v>
      </c>
      <c r="AL74" s="183" t="s">
        <v>2827</v>
      </c>
      <c r="AM74" s="229" t="s">
        <v>2831</v>
      </c>
      <c r="AN74" s="593" t="s">
        <v>2832</v>
      </c>
      <c r="AO74" s="498" t="s">
        <v>2833</v>
      </c>
      <c r="AP74" s="240" t="s">
        <v>2834</v>
      </c>
      <c r="AQ74" s="119" t="s">
        <v>3011</v>
      </c>
      <c r="AR74" s="119" t="s">
        <v>3012</v>
      </c>
      <c r="AS74" s="119" t="s">
        <v>3013</v>
      </c>
      <c r="AT74" s="119" t="s">
        <v>3014</v>
      </c>
      <c r="AU74" s="119" t="s">
        <v>3015</v>
      </c>
      <c r="AV74" s="1162" t="e">
        <f t="shared" si="0"/>
        <v>#VALUE!</v>
      </c>
      <c r="AW74" s="1058"/>
      <c r="AX74" s="1058"/>
      <c r="AY74" s="1058"/>
      <c r="AZ74" s="1058"/>
      <c r="BA74" s="1058"/>
      <c r="BB74" s="1058"/>
      <c r="BC74" s="1058"/>
      <c r="BD74" s="1058"/>
      <c r="BE74" s="1058"/>
      <c r="BF74" s="1058"/>
      <c r="BG74" s="884"/>
      <c r="BH74" s="884"/>
      <c r="BY74" s="210"/>
      <c r="CB74" s="1362" t="str">
        <f t="shared" si="1"/>
        <v/>
      </c>
      <c r="CC74" s="1362" t="e">
        <f t="shared" si="2"/>
        <v>#VALUE!</v>
      </c>
      <c r="CD74" s="1362" t="str">
        <f t="shared" si="3"/>
        <v xml:space="preserve">* Las consejerías realizadas en Espacios amigables NO DEBEN ser mayor al Total. </v>
      </c>
      <c r="CE74" s="1362" t="e">
        <f t="shared" si="4"/>
        <v>#VALUE!</v>
      </c>
      <c r="CF74" s="1362"/>
      <c r="CG74" s="1362"/>
      <c r="CH74" s="1363">
        <f t="shared" si="5"/>
        <v>0</v>
      </c>
      <c r="CI74" s="1363" t="e">
        <f t="shared" si="6"/>
        <v>#VALUE!</v>
      </c>
      <c r="CJ74" s="1363">
        <f t="shared" si="7"/>
        <v>1</v>
      </c>
      <c r="CK74" s="1363" t="e">
        <f t="shared" si="8"/>
        <v>#VALUE!</v>
      </c>
      <c r="CL74" s="1346"/>
      <c r="CM74" s="1346"/>
      <c r="CN74" s="1346"/>
      <c r="CO74" s="1346"/>
      <c r="CP74" s="1346"/>
    </row>
    <row r="75" spans="1:94" ht="16.350000000000001" customHeight="1" x14ac:dyDescent="0.25">
      <c r="A75" s="2458">
        <v>19120711</v>
      </c>
      <c r="B75" s="5159"/>
      <c r="C75" s="283" t="s">
        <v>2046</v>
      </c>
      <c r="D75" s="1637" t="s">
        <v>2777</v>
      </c>
      <c r="E75" s="1638" t="s">
        <v>2778</v>
      </c>
      <c r="F75" s="269" t="s">
        <v>2779</v>
      </c>
      <c r="G75" s="101" t="s">
        <v>2780</v>
      </c>
      <c r="H75" s="169" t="s">
        <v>2781</v>
      </c>
      <c r="I75" s="101" t="s">
        <v>2782</v>
      </c>
      <c r="J75" s="169" t="s">
        <v>2783</v>
      </c>
      <c r="K75" s="166" t="s">
        <v>2784</v>
      </c>
      <c r="L75" s="125" t="s">
        <v>2785</v>
      </c>
      <c r="M75" s="166" t="s">
        <v>2786</v>
      </c>
      <c r="N75" s="125" t="s">
        <v>2787</v>
      </c>
      <c r="O75" s="166" t="s">
        <v>2788</v>
      </c>
      <c r="P75" s="125" t="s">
        <v>2789</v>
      </c>
      <c r="Q75" s="166" t="s">
        <v>2790</v>
      </c>
      <c r="R75" s="125" t="s">
        <v>2791</v>
      </c>
      <c r="S75" s="166" t="s">
        <v>2792</v>
      </c>
      <c r="T75" s="125" t="s">
        <v>2793</v>
      </c>
      <c r="U75" s="166" t="s">
        <v>2794</v>
      </c>
      <c r="V75" s="125" t="s">
        <v>2795</v>
      </c>
      <c r="W75" s="166" t="s">
        <v>2796</v>
      </c>
      <c r="X75" s="125" t="s">
        <v>2797</v>
      </c>
      <c r="Y75" s="166" t="s">
        <v>2798</v>
      </c>
      <c r="Z75" s="125" t="s">
        <v>2799</v>
      </c>
      <c r="AA75" s="166" t="s">
        <v>2800</v>
      </c>
      <c r="AB75" s="125" t="s">
        <v>2801</v>
      </c>
      <c r="AC75" s="166" t="s">
        <v>2817</v>
      </c>
      <c r="AD75" s="125" t="s">
        <v>2818</v>
      </c>
      <c r="AE75" s="166" t="s">
        <v>2819</v>
      </c>
      <c r="AF75" s="125" t="s">
        <v>2821</v>
      </c>
      <c r="AG75" s="166" t="s">
        <v>2822</v>
      </c>
      <c r="AH75" s="125" t="s">
        <v>2823</v>
      </c>
      <c r="AI75" s="166" t="s">
        <v>2824</v>
      </c>
      <c r="AJ75" s="125" t="s">
        <v>2825</v>
      </c>
      <c r="AK75" s="166" t="s">
        <v>2826</v>
      </c>
      <c r="AL75" s="125" t="s">
        <v>2827</v>
      </c>
      <c r="AM75" s="227" t="s">
        <v>2831</v>
      </c>
      <c r="AN75" s="319" t="s">
        <v>2832</v>
      </c>
      <c r="AO75" s="1679" t="s">
        <v>2833</v>
      </c>
      <c r="AP75" s="168" t="s">
        <v>2834</v>
      </c>
      <c r="AQ75" s="105" t="s">
        <v>3011</v>
      </c>
      <c r="AR75" s="105" t="s">
        <v>3012</v>
      </c>
      <c r="AS75" s="105" t="s">
        <v>3013</v>
      </c>
      <c r="AT75" s="105" t="s">
        <v>3014</v>
      </c>
      <c r="AU75" s="105" t="s">
        <v>3015</v>
      </c>
      <c r="AV75" s="1162" t="e">
        <f t="shared" si="0"/>
        <v>#VALUE!</v>
      </c>
      <c r="AW75" s="1058"/>
      <c r="AX75" s="1058"/>
      <c r="AY75" s="1058"/>
      <c r="AZ75" s="1058"/>
      <c r="BA75" s="1058"/>
      <c r="BB75" s="1058"/>
      <c r="BC75" s="1058"/>
      <c r="BD75" s="1058"/>
      <c r="BE75" s="1058"/>
      <c r="BF75" s="1058"/>
      <c r="BG75" s="884"/>
      <c r="BH75" s="884"/>
      <c r="BY75" s="210"/>
      <c r="CB75" s="1362" t="str">
        <f t="shared" si="1"/>
        <v/>
      </c>
      <c r="CC75" s="1362" t="e">
        <f t="shared" si="2"/>
        <v>#VALUE!</v>
      </c>
      <c r="CD75" s="1362" t="str">
        <f t="shared" si="3"/>
        <v xml:space="preserve">* Las consejerías realizadas en Espacios amigables NO DEBEN ser mayor al Total. </v>
      </c>
      <c r="CE75" s="1362" t="e">
        <f t="shared" si="4"/>
        <v>#VALUE!</v>
      </c>
      <c r="CF75" s="1362"/>
      <c r="CG75" s="1362"/>
      <c r="CH75" s="1363">
        <f t="shared" si="5"/>
        <v>0</v>
      </c>
      <c r="CI75" s="1363" t="e">
        <f t="shared" si="6"/>
        <v>#VALUE!</v>
      </c>
      <c r="CJ75" s="1363">
        <f t="shared" si="7"/>
        <v>1</v>
      </c>
      <c r="CK75" s="1363" t="e">
        <f t="shared" si="8"/>
        <v>#VALUE!</v>
      </c>
      <c r="CL75" s="1346"/>
      <c r="CM75" s="1346"/>
      <c r="CN75" s="1346"/>
      <c r="CO75" s="1346"/>
      <c r="CP75" s="1346"/>
    </row>
    <row r="76" spans="1:94" ht="16.350000000000001" customHeight="1" x14ac:dyDescent="0.25">
      <c r="A76" s="2458">
        <v>19150900</v>
      </c>
      <c r="B76" s="5787" t="s">
        <v>2052</v>
      </c>
      <c r="C76" s="1668" t="s">
        <v>2053</v>
      </c>
      <c r="D76" s="1633" t="s">
        <v>2777</v>
      </c>
      <c r="E76" s="1634" t="s">
        <v>2778</v>
      </c>
      <c r="F76" s="1669" t="s">
        <v>2779</v>
      </c>
      <c r="G76" s="1681" t="s">
        <v>2780</v>
      </c>
      <c r="H76" s="1682" t="s">
        <v>2781</v>
      </c>
      <c r="I76" s="1681" t="s">
        <v>2782</v>
      </c>
      <c r="J76" s="1682" t="s">
        <v>2783</v>
      </c>
      <c r="K76" s="1670" t="s">
        <v>2784</v>
      </c>
      <c r="L76" s="1672" t="s">
        <v>2785</v>
      </c>
      <c r="M76" s="1670" t="s">
        <v>2786</v>
      </c>
      <c r="N76" s="1672" t="s">
        <v>2787</v>
      </c>
      <c r="O76" s="1670" t="s">
        <v>2788</v>
      </c>
      <c r="P76" s="1672" t="s">
        <v>2789</v>
      </c>
      <c r="Q76" s="1670" t="s">
        <v>2790</v>
      </c>
      <c r="R76" s="1672" t="s">
        <v>2791</v>
      </c>
      <c r="S76" s="1670" t="s">
        <v>2792</v>
      </c>
      <c r="T76" s="1672" t="s">
        <v>2793</v>
      </c>
      <c r="U76" s="1670" t="s">
        <v>2794</v>
      </c>
      <c r="V76" s="1672" t="s">
        <v>2795</v>
      </c>
      <c r="W76" s="1670" t="s">
        <v>2796</v>
      </c>
      <c r="X76" s="1672" t="s">
        <v>2797</v>
      </c>
      <c r="Y76" s="1670" t="s">
        <v>2798</v>
      </c>
      <c r="Z76" s="1672" t="s">
        <v>2799</v>
      </c>
      <c r="AA76" s="1670" t="s">
        <v>2800</v>
      </c>
      <c r="AB76" s="1672" t="s">
        <v>2801</v>
      </c>
      <c r="AC76" s="182" t="s">
        <v>2817</v>
      </c>
      <c r="AD76" s="183" t="s">
        <v>2818</v>
      </c>
      <c r="AE76" s="770" t="s">
        <v>2819</v>
      </c>
      <c r="AF76" s="847" t="s">
        <v>2821</v>
      </c>
      <c r="AG76" s="96" t="s">
        <v>2822</v>
      </c>
      <c r="AH76" s="99" t="s">
        <v>2823</v>
      </c>
      <c r="AI76" s="96" t="s">
        <v>2824</v>
      </c>
      <c r="AJ76" s="99" t="s">
        <v>2825</v>
      </c>
      <c r="AK76" s="96" t="s">
        <v>2826</v>
      </c>
      <c r="AL76" s="99" t="s">
        <v>2827</v>
      </c>
      <c r="AM76" s="1687" t="s">
        <v>2831</v>
      </c>
      <c r="AN76" s="602" t="s">
        <v>2832</v>
      </c>
      <c r="AO76" s="500" t="s">
        <v>2833</v>
      </c>
      <c r="AP76" s="1603" t="s">
        <v>2834</v>
      </c>
      <c r="AQ76" s="1604" t="s">
        <v>3011</v>
      </c>
      <c r="AR76" s="1604" t="s">
        <v>3012</v>
      </c>
      <c r="AS76" s="1604" t="s">
        <v>3013</v>
      </c>
      <c r="AT76" s="1604" t="s">
        <v>3014</v>
      </c>
      <c r="AU76" s="1604" t="s">
        <v>3015</v>
      </c>
      <c r="AV76" s="1162" t="e">
        <f t="shared" si="0"/>
        <v>#VALUE!</v>
      </c>
      <c r="AW76" s="1058"/>
      <c r="AX76" s="1058"/>
      <c r="AY76" s="1058"/>
      <c r="AZ76" s="1058"/>
      <c r="BA76" s="1058"/>
      <c r="BB76" s="1058"/>
      <c r="BC76" s="1058"/>
      <c r="BD76" s="1058"/>
      <c r="BE76" s="1058"/>
      <c r="BF76" s="1058"/>
      <c r="BG76" s="884"/>
      <c r="BH76" s="884"/>
      <c r="BY76" s="210"/>
      <c r="CB76" s="1362" t="str">
        <f t="shared" si="1"/>
        <v/>
      </c>
      <c r="CC76" s="1362" t="e">
        <f t="shared" si="2"/>
        <v>#VALUE!</v>
      </c>
      <c r="CD76" s="1362" t="str">
        <f t="shared" si="3"/>
        <v xml:space="preserve">* Las consejerías realizadas en Espacios amigables NO DEBEN ser mayor al Total. </v>
      </c>
      <c r="CE76" s="1362" t="e">
        <f t="shared" si="4"/>
        <v>#VALUE!</v>
      </c>
      <c r="CF76" s="1362"/>
      <c r="CG76" s="1362"/>
      <c r="CH76" s="1363">
        <f t="shared" si="5"/>
        <v>0</v>
      </c>
      <c r="CI76" s="1363" t="e">
        <f t="shared" si="6"/>
        <v>#VALUE!</v>
      </c>
      <c r="CJ76" s="1363">
        <f t="shared" si="7"/>
        <v>1</v>
      </c>
      <c r="CK76" s="1363" t="e">
        <f t="shared" si="8"/>
        <v>#VALUE!</v>
      </c>
      <c r="CL76" s="1346"/>
      <c r="CM76" s="1346"/>
      <c r="CN76" s="1346"/>
      <c r="CO76" s="1346"/>
      <c r="CP76" s="1346"/>
    </row>
    <row r="77" spans="1:94" ht="16.350000000000001" customHeight="1" x14ac:dyDescent="0.25">
      <c r="A77" s="2458">
        <v>19150920</v>
      </c>
      <c r="B77" s="5113"/>
      <c r="C77" s="181" t="s">
        <v>2054</v>
      </c>
      <c r="D77" s="630" t="s">
        <v>2777</v>
      </c>
      <c r="E77" s="704" t="s">
        <v>2778</v>
      </c>
      <c r="F77" s="1678" t="s">
        <v>2779</v>
      </c>
      <c r="G77" s="115" t="s">
        <v>2780</v>
      </c>
      <c r="H77" s="258" t="s">
        <v>2781</v>
      </c>
      <c r="I77" s="115" t="s">
        <v>2782</v>
      </c>
      <c r="J77" s="258" t="s">
        <v>2783</v>
      </c>
      <c r="K77" s="141" t="s">
        <v>2784</v>
      </c>
      <c r="L77" s="163" t="s">
        <v>2785</v>
      </c>
      <c r="M77" s="141" t="s">
        <v>2786</v>
      </c>
      <c r="N77" s="163" t="s">
        <v>2787</v>
      </c>
      <c r="O77" s="141" t="s">
        <v>2788</v>
      </c>
      <c r="P77" s="163" t="s">
        <v>2789</v>
      </c>
      <c r="Q77" s="141" t="s">
        <v>2790</v>
      </c>
      <c r="R77" s="163" t="s">
        <v>2791</v>
      </c>
      <c r="S77" s="141" t="s">
        <v>2792</v>
      </c>
      <c r="T77" s="163" t="s">
        <v>2793</v>
      </c>
      <c r="U77" s="141" t="s">
        <v>2794</v>
      </c>
      <c r="V77" s="163" t="s">
        <v>2795</v>
      </c>
      <c r="W77" s="141" t="s">
        <v>2796</v>
      </c>
      <c r="X77" s="163" t="s">
        <v>2797</v>
      </c>
      <c r="Y77" s="141" t="s">
        <v>2798</v>
      </c>
      <c r="Z77" s="163" t="s">
        <v>2799</v>
      </c>
      <c r="AA77" s="141" t="s">
        <v>2800</v>
      </c>
      <c r="AB77" s="163" t="s">
        <v>2801</v>
      </c>
      <c r="AC77" s="182" t="s">
        <v>2817</v>
      </c>
      <c r="AD77" s="183" t="s">
        <v>2818</v>
      </c>
      <c r="AE77" s="770" t="s">
        <v>2819</v>
      </c>
      <c r="AF77" s="847" t="s">
        <v>2821</v>
      </c>
      <c r="AG77" s="173" t="s">
        <v>2822</v>
      </c>
      <c r="AH77" s="162" t="s">
        <v>2823</v>
      </c>
      <c r="AI77" s="173" t="s">
        <v>2824</v>
      </c>
      <c r="AJ77" s="162" t="s">
        <v>2825</v>
      </c>
      <c r="AK77" s="173" t="s">
        <v>2826</v>
      </c>
      <c r="AL77" s="162" t="s">
        <v>2827</v>
      </c>
      <c r="AM77" s="175" t="s">
        <v>2831</v>
      </c>
      <c r="AN77" s="507" t="s">
        <v>2832</v>
      </c>
      <c r="AO77" s="498" t="s">
        <v>2833</v>
      </c>
      <c r="AP77" s="198" t="s">
        <v>2834</v>
      </c>
      <c r="AQ77" s="164" t="s">
        <v>3011</v>
      </c>
      <c r="AR77" s="164" t="s">
        <v>3012</v>
      </c>
      <c r="AS77" s="164" t="s">
        <v>3013</v>
      </c>
      <c r="AT77" s="164" t="s">
        <v>3014</v>
      </c>
      <c r="AU77" s="164" t="s">
        <v>3015</v>
      </c>
      <c r="AV77" s="1162" t="e">
        <f t="shared" si="0"/>
        <v>#VALUE!</v>
      </c>
      <c r="AW77" s="1058"/>
      <c r="AX77" s="1058"/>
      <c r="AY77" s="1058"/>
      <c r="AZ77" s="1058"/>
      <c r="BA77" s="1058"/>
      <c r="BB77" s="1058"/>
      <c r="BC77" s="1058"/>
      <c r="BD77" s="1058"/>
      <c r="BE77" s="1058"/>
      <c r="BF77" s="1058"/>
      <c r="BG77" s="884"/>
      <c r="BH77" s="884"/>
      <c r="BY77" s="210"/>
      <c r="CB77" s="1362" t="str">
        <f t="shared" si="1"/>
        <v/>
      </c>
      <c r="CC77" s="1362" t="e">
        <f t="shared" si="2"/>
        <v>#VALUE!</v>
      </c>
      <c r="CD77" s="1362" t="str">
        <f t="shared" si="3"/>
        <v xml:space="preserve">* Las consejerías realizadas en Espacios amigables NO DEBEN ser mayor al Total. </v>
      </c>
      <c r="CE77" s="1362" t="e">
        <f t="shared" si="4"/>
        <v>#VALUE!</v>
      </c>
      <c r="CF77" s="1362"/>
      <c r="CG77" s="1362"/>
      <c r="CH77" s="1363">
        <f t="shared" si="5"/>
        <v>0</v>
      </c>
      <c r="CI77" s="1363" t="e">
        <f t="shared" si="6"/>
        <v>#VALUE!</v>
      </c>
      <c r="CJ77" s="1363">
        <f t="shared" si="7"/>
        <v>1</v>
      </c>
      <c r="CK77" s="1363" t="e">
        <f t="shared" si="8"/>
        <v>#VALUE!</v>
      </c>
      <c r="CL77" s="1346"/>
      <c r="CM77" s="1346"/>
      <c r="CN77" s="1346"/>
      <c r="CO77" s="1346"/>
      <c r="CP77" s="1346"/>
    </row>
    <row r="78" spans="1:94" ht="16.350000000000001" customHeight="1" x14ac:dyDescent="0.25">
      <c r="A78" s="2458">
        <v>19170300</v>
      </c>
      <c r="B78" s="5113"/>
      <c r="C78" s="181" t="s">
        <v>2055</v>
      </c>
      <c r="D78" s="630" t="s">
        <v>2777</v>
      </c>
      <c r="E78" s="704" t="s">
        <v>2778</v>
      </c>
      <c r="F78" s="1678" t="s">
        <v>2779</v>
      </c>
      <c r="G78" s="173" t="s">
        <v>2780</v>
      </c>
      <c r="H78" s="174" t="s">
        <v>2781</v>
      </c>
      <c r="I78" s="173" t="s">
        <v>2782</v>
      </c>
      <c r="J78" s="174" t="s">
        <v>2783</v>
      </c>
      <c r="K78" s="141" t="s">
        <v>2784</v>
      </c>
      <c r="L78" s="163" t="s">
        <v>2785</v>
      </c>
      <c r="M78" s="141" t="s">
        <v>2786</v>
      </c>
      <c r="N78" s="163" t="s">
        <v>2787</v>
      </c>
      <c r="O78" s="141" t="s">
        <v>2788</v>
      </c>
      <c r="P78" s="163" t="s">
        <v>2789</v>
      </c>
      <c r="Q78" s="141" t="s">
        <v>2790</v>
      </c>
      <c r="R78" s="163" t="s">
        <v>2791</v>
      </c>
      <c r="S78" s="141" t="s">
        <v>2792</v>
      </c>
      <c r="T78" s="163" t="s">
        <v>2793</v>
      </c>
      <c r="U78" s="141" t="s">
        <v>2794</v>
      </c>
      <c r="V78" s="163" t="s">
        <v>2795</v>
      </c>
      <c r="W78" s="141" t="s">
        <v>2796</v>
      </c>
      <c r="X78" s="163" t="s">
        <v>2797</v>
      </c>
      <c r="Y78" s="141" t="s">
        <v>2798</v>
      </c>
      <c r="Z78" s="163" t="s">
        <v>2799</v>
      </c>
      <c r="AA78" s="141" t="s">
        <v>2800</v>
      </c>
      <c r="AB78" s="163" t="s">
        <v>2801</v>
      </c>
      <c r="AC78" s="182" t="s">
        <v>2817</v>
      </c>
      <c r="AD78" s="183" t="s">
        <v>2818</v>
      </c>
      <c r="AE78" s="770" t="s">
        <v>2819</v>
      </c>
      <c r="AF78" s="847" t="s">
        <v>2821</v>
      </c>
      <c r="AG78" s="173" t="s">
        <v>2822</v>
      </c>
      <c r="AH78" s="162" t="s">
        <v>2823</v>
      </c>
      <c r="AI78" s="173" t="s">
        <v>2824</v>
      </c>
      <c r="AJ78" s="162" t="s">
        <v>2825</v>
      </c>
      <c r="AK78" s="173" t="s">
        <v>2826</v>
      </c>
      <c r="AL78" s="162" t="s">
        <v>2827</v>
      </c>
      <c r="AM78" s="175" t="s">
        <v>2831</v>
      </c>
      <c r="AN78" s="507" t="s">
        <v>2832</v>
      </c>
      <c r="AO78" s="498" t="s">
        <v>2833</v>
      </c>
      <c r="AP78" s="240" t="s">
        <v>2834</v>
      </c>
      <c r="AQ78" s="119" t="s">
        <v>3011</v>
      </c>
      <c r="AR78" s="119" t="s">
        <v>3012</v>
      </c>
      <c r="AS78" s="119" t="s">
        <v>3013</v>
      </c>
      <c r="AT78" s="119" t="s">
        <v>3014</v>
      </c>
      <c r="AU78" s="119" t="s">
        <v>3015</v>
      </c>
      <c r="AV78" s="1162" t="e">
        <f t="shared" si="0"/>
        <v>#VALUE!</v>
      </c>
      <c r="AW78" s="1058"/>
      <c r="AX78" s="1058"/>
      <c r="AY78" s="1058"/>
      <c r="AZ78" s="1058"/>
      <c r="BA78" s="1058"/>
      <c r="BB78" s="1058"/>
      <c r="BC78" s="1058"/>
      <c r="BD78" s="1058"/>
      <c r="BE78" s="1058"/>
      <c r="BF78" s="1058"/>
      <c r="BG78" s="884"/>
      <c r="BH78" s="884"/>
      <c r="BY78" s="210"/>
      <c r="CB78" s="1362" t="str">
        <f t="shared" si="1"/>
        <v/>
      </c>
      <c r="CC78" s="1362" t="e">
        <f t="shared" si="2"/>
        <v>#VALUE!</v>
      </c>
      <c r="CD78" s="1362" t="str">
        <f t="shared" si="3"/>
        <v xml:space="preserve">* Las consejerías realizadas en Espacios amigables NO DEBEN ser mayor al Total. </v>
      </c>
      <c r="CE78" s="1362" t="e">
        <f t="shared" si="4"/>
        <v>#VALUE!</v>
      </c>
      <c r="CF78" s="1362"/>
      <c r="CG78" s="1362"/>
      <c r="CH78" s="1363">
        <f t="shared" si="5"/>
        <v>0</v>
      </c>
      <c r="CI78" s="1363" t="e">
        <f t="shared" si="6"/>
        <v>#VALUE!</v>
      </c>
      <c r="CJ78" s="1363">
        <f t="shared" si="7"/>
        <v>1</v>
      </c>
      <c r="CK78" s="1363" t="e">
        <f t="shared" si="8"/>
        <v>#VALUE!</v>
      </c>
      <c r="CL78" s="1346"/>
      <c r="CM78" s="1346"/>
      <c r="CN78" s="1346"/>
      <c r="CO78" s="1346"/>
      <c r="CP78" s="1346"/>
    </row>
    <row r="79" spans="1:94" ht="16.350000000000001" customHeight="1" x14ac:dyDescent="0.25">
      <c r="A79" s="2458">
        <v>19170400</v>
      </c>
      <c r="B79" s="5113"/>
      <c r="C79" s="181" t="s">
        <v>2056</v>
      </c>
      <c r="D79" s="1635" t="s">
        <v>2777</v>
      </c>
      <c r="E79" s="1636" t="s">
        <v>2778</v>
      </c>
      <c r="F79" s="1678" t="s">
        <v>2779</v>
      </c>
      <c r="G79" s="115" t="s">
        <v>2780</v>
      </c>
      <c r="H79" s="258" t="s">
        <v>2781</v>
      </c>
      <c r="I79" s="115" t="s">
        <v>2782</v>
      </c>
      <c r="J79" s="258" t="s">
        <v>2783</v>
      </c>
      <c r="K79" s="182" t="s">
        <v>2784</v>
      </c>
      <c r="L79" s="183" t="s">
        <v>2785</v>
      </c>
      <c r="M79" s="182" t="s">
        <v>2786</v>
      </c>
      <c r="N79" s="183" t="s">
        <v>2787</v>
      </c>
      <c r="O79" s="182" t="s">
        <v>2788</v>
      </c>
      <c r="P79" s="183" t="s">
        <v>2789</v>
      </c>
      <c r="Q79" s="182" t="s">
        <v>2790</v>
      </c>
      <c r="R79" s="183" t="s">
        <v>2791</v>
      </c>
      <c r="S79" s="182" t="s">
        <v>2792</v>
      </c>
      <c r="T79" s="183" t="s">
        <v>2793</v>
      </c>
      <c r="U79" s="182" t="s">
        <v>2794</v>
      </c>
      <c r="V79" s="183" t="s">
        <v>2795</v>
      </c>
      <c r="W79" s="182" t="s">
        <v>2796</v>
      </c>
      <c r="X79" s="183" t="s">
        <v>2797</v>
      </c>
      <c r="Y79" s="182" t="s">
        <v>2798</v>
      </c>
      <c r="Z79" s="183" t="s">
        <v>2799</v>
      </c>
      <c r="AA79" s="182" t="s">
        <v>2800</v>
      </c>
      <c r="AB79" s="183" t="s">
        <v>2801</v>
      </c>
      <c r="AC79" s="182" t="s">
        <v>2817</v>
      </c>
      <c r="AD79" s="183" t="s">
        <v>2818</v>
      </c>
      <c r="AE79" s="770" t="s">
        <v>2819</v>
      </c>
      <c r="AF79" s="847" t="s">
        <v>2821</v>
      </c>
      <c r="AG79" s="173" t="s">
        <v>2822</v>
      </c>
      <c r="AH79" s="162" t="s">
        <v>2823</v>
      </c>
      <c r="AI79" s="173" t="s">
        <v>2824</v>
      </c>
      <c r="AJ79" s="162" t="s">
        <v>2825</v>
      </c>
      <c r="AK79" s="173" t="s">
        <v>2826</v>
      </c>
      <c r="AL79" s="162" t="s">
        <v>2827</v>
      </c>
      <c r="AM79" s="175" t="s">
        <v>2831</v>
      </c>
      <c r="AN79" s="507" t="s">
        <v>2832</v>
      </c>
      <c r="AO79" s="498" t="s">
        <v>2833</v>
      </c>
      <c r="AP79" s="240" t="s">
        <v>2834</v>
      </c>
      <c r="AQ79" s="119" t="s">
        <v>3011</v>
      </c>
      <c r="AR79" s="119" t="s">
        <v>3012</v>
      </c>
      <c r="AS79" s="119" t="s">
        <v>3013</v>
      </c>
      <c r="AT79" s="119" t="s">
        <v>3014</v>
      </c>
      <c r="AU79" s="119" t="s">
        <v>3015</v>
      </c>
      <c r="AV79" s="1162" t="e">
        <f t="shared" ref="AV79:AV89" si="9">$CB79&amp;$CC79&amp;$CD79&amp;$CE79</f>
        <v>#VALUE!</v>
      </c>
      <c r="AW79" s="1058"/>
      <c r="AX79" s="1058"/>
      <c r="AY79" s="1058"/>
      <c r="AZ79" s="1058"/>
      <c r="BA79" s="1058"/>
      <c r="BB79" s="1058"/>
      <c r="BC79" s="1058"/>
      <c r="BD79" s="1058"/>
      <c r="BE79" s="1058"/>
      <c r="BF79" s="1058"/>
      <c r="BG79" s="884"/>
      <c r="BH79" s="884"/>
      <c r="BY79" s="210"/>
      <c r="CB79" s="1362" t="str">
        <f t="shared" ref="CB79:CB89" si="10">IF(CH79=1,"* No olvide digitar la columna Trans y/o Pueblos Originarios y/o Migrantes y/o Población SENAME (Digite Cero si no tiene). ","")</f>
        <v/>
      </c>
      <c r="CC79" s="1362" t="e">
        <f t="shared" ref="CC79:CC89" si="11">IF(CI79=1,"* El número de Trans y/o Pueblos Originarios y/o Migrantes y/o Población SENAME NO DEBE ser mayor que el Total. ","")</f>
        <v>#VALUE!</v>
      </c>
      <c r="CD79" s="1362" t="str">
        <f t="shared" ref="CD79:CD89" si="12">IF(CJ79=1,"* Las consejerías realizadas en Espacios amigables NO DEBEN ser mayor al Total. ","")</f>
        <v xml:space="preserve">* Las consejerías realizadas en Espacios amigables NO DEBEN ser mayor al Total. </v>
      </c>
      <c r="CE79" s="1362" t="e">
        <f t="shared" ref="CE79:CE89" si="13">IF(CK79=1,"* La columna 14-18 AÑOS no puede ser mayor al total por grupo edad de 10 a 19 años. ","")</f>
        <v>#VALUE!</v>
      </c>
      <c r="CF79" s="1362"/>
      <c r="CG79" s="1362"/>
      <c r="CH79" s="1363">
        <f t="shared" ref="CH79:CH89" si="14">IF(AND(D79&lt;&gt;0,OR(AP79="",AQ79="",AR79="",AS79="",AU79="")),1,0)</f>
        <v>0</v>
      </c>
      <c r="CI79" s="1363" t="e">
        <f t="shared" ref="CI79:CI89" si="15">IF(OR(D79&lt;(AP79+AQ79),D79&lt;AR79,D79&lt;AS79,D79&lt;AU79),1,0)</f>
        <v>#VALUE!</v>
      </c>
      <c r="CJ79" s="1363">
        <f t="shared" ref="CJ79:CJ89" si="16">IF(D79&lt;AO79,1,0)</f>
        <v>1</v>
      </c>
      <c r="CK79" s="1363" t="e">
        <f t="shared" ref="CK79:CK89" si="17">IF((K79+L79+M79+N79)&lt;AT79,1,0)</f>
        <v>#VALUE!</v>
      </c>
      <c r="CL79" s="1346"/>
      <c r="CM79" s="1346"/>
      <c r="CN79" s="1346"/>
      <c r="CO79" s="1346"/>
      <c r="CP79" s="1346"/>
    </row>
    <row r="80" spans="1:94" ht="16.350000000000001" customHeight="1" x14ac:dyDescent="0.25">
      <c r="A80" s="2458">
        <v>19170401</v>
      </c>
      <c r="B80" s="5113"/>
      <c r="C80" s="3102" t="s">
        <v>2047</v>
      </c>
      <c r="D80" s="996" t="s">
        <v>2777</v>
      </c>
      <c r="E80" s="997" t="s">
        <v>2778</v>
      </c>
      <c r="F80" s="269" t="s">
        <v>2779</v>
      </c>
      <c r="G80" s="101" t="s">
        <v>2780</v>
      </c>
      <c r="H80" s="169" t="s">
        <v>2781</v>
      </c>
      <c r="I80" s="101" t="s">
        <v>2782</v>
      </c>
      <c r="J80" s="169" t="s">
        <v>2783</v>
      </c>
      <c r="K80" s="166" t="s">
        <v>2784</v>
      </c>
      <c r="L80" s="125" t="s">
        <v>2785</v>
      </c>
      <c r="M80" s="182" t="s">
        <v>2786</v>
      </c>
      <c r="N80" s="183" t="s">
        <v>2787</v>
      </c>
      <c r="O80" s="182" t="s">
        <v>2788</v>
      </c>
      <c r="P80" s="183" t="s">
        <v>2789</v>
      </c>
      <c r="Q80" s="182" t="s">
        <v>2790</v>
      </c>
      <c r="R80" s="183" t="s">
        <v>2791</v>
      </c>
      <c r="S80" s="182" t="s">
        <v>2792</v>
      </c>
      <c r="T80" s="183" t="s">
        <v>2793</v>
      </c>
      <c r="U80" s="182" t="s">
        <v>2794</v>
      </c>
      <c r="V80" s="183" t="s">
        <v>2795</v>
      </c>
      <c r="W80" s="182" t="s">
        <v>2796</v>
      </c>
      <c r="X80" s="183" t="s">
        <v>2797</v>
      </c>
      <c r="Y80" s="182" t="s">
        <v>2798</v>
      </c>
      <c r="Z80" s="183" t="s">
        <v>2799</v>
      </c>
      <c r="AA80" s="182" t="s">
        <v>2800</v>
      </c>
      <c r="AB80" s="183" t="s">
        <v>2801</v>
      </c>
      <c r="AC80" s="182" t="s">
        <v>2817</v>
      </c>
      <c r="AD80" s="183" t="s">
        <v>2818</v>
      </c>
      <c r="AE80" s="1332" t="s">
        <v>2819</v>
      </c>
      <c r="AF80" s="938" t="s">
        <v>2821</v>
      </c>
      <c r="AG80" s="101" t="s">
        <v>2822</v>
      </c>
      <c r="AH80" s="104" t="s">
        <v>2823</v>
      </c>
      <c r="AI80" s="101" t="s">
        <v>2824</v>
      </c>
      <c r="AJ80" s="104" t="s">
        <v>2825</v>
      </c>
      <c r="AK80" s="101" t="s">
        <v>2826</v>
      </c>
      <c r="AL80" s="104" t="s">
        <v>2827</v>
      </c>
      <c r="AM80" s="176" t="s">
        <v>2831</v>
      </c>
      <c r="AN80" s="429" t="s">
        <v>2832</v>
      </c>
      <c r="AO80" s="1679" t="s">
        <v>2833</v>
      </c>
      <c r="AP80" s="168" t="s">
        <v>2834</v>
      </c>
      <c r="AQ80" s="105" t="s">
        <v>3011</v>
      </c>
      <c r="AR80" s="105" t="s">
        <v>3012</v>
      </c>
      <c r="AS80" s="105" t="s">
        <v>3013</v>
      </c>
      <c r="AT80" s="105" t="s">
        <v>3014</v>
      </c>
      <c r="AU80" s="105" t="s">
        <v>3015</v>
      </c>
      <c r="AV80" s="1162" t="e">
        <f t="shared" si="9"/>
        <v>#VALUE!</v>
      </c>
      <c r="AW80" s="1058"/>
      <c r="AX80" s="1058"/>
      <c r="AY80" s="1058"/>
      <c r="AZ80" s="1058"/>
      <c r="BA80" s="1058"/>
      <c r="BB80" s="1058"/>
      <c r="BC80" s="1058"/>
      <c r="BD80" s="1058"/>
      <c r="BE80" s="1058"/>
      <c r="BF80" s="1058"/>
      <c r="BG80" s="884"/>
      <c r="BH80" s="884"/>
      <c r="BY80" s="210"/>
      <c r="CB80" s="1362" t="str">
        <f t="shared" si="10"/>
        <v/>
      </c>
      <c r="CC80" s="1362" t="e">
        <f t="shared" si="11"/>
        <v>#VALUE!</v>
      </c>
      <c r="CD80" s="1362" t="str">
        <f t="shared" si="12"/>
        <v xml:space="preserve">* Las consejerías realizadas en Espacios amigables NO DEBEN ser mayor al Total. </v>
      </c>
      <c r="CE80" s="1362" t="e">
        <f t="shared" si="13"/>
        <v>#VALUE!</v>
      </c>
      <c r="CF80" s="1362"/>
      <c r="CG80" s="1362"/>
      <c r="CH80" s="1363">
        <f t="shared" si="14"/>
        <v>0</v>
      </c>
      <c r="CI80" s="1363" t="e">
        <f t="shared" si="15"/>
        <v>#VALUE!</v>
      </c>
      <c r="CJ80" s="1363">
        <f t="shared" si="16"/>
        <v>1</v>
      </c>
      <c r="CK80" s="1363" t="e">
        <f t="shared" si="17"/>
        <v>#VALUE!</v>
      </c>
      <c r="CL80" s="1346"/>
      <c r="CM80" s="1346"/>
      <c r="CN80" s="1346"/>
      <c r="CO80" s="1346"/>
      <c r="CP80" s="1346"/>
    </row>
    <row r="81" spans="1:94" ht="16.350000000000001" customHeight="1" x14ac:dyDescent="0.25">
      <c r="A81" s="4665">
        <v>19190107</v>
      </c>
      <c r="B81" s="1937" t="s">
        <v>2057</v>
      </c>
      <c r="C81" s="3101" t="s">
        <v>41</v>
      </c>
      <c r="D81" s="4773" t="s">
        <v>2777</v>
      </c>
      <c r="E81" s="670" t="s">
        <v>2778</v>
      </c>
      <c r="F81" s="269" t="s">
        <v>2779</v>
      </c>
      <c r="G81" s="101" t="s">
        <v>2780</v>
      </c>
      <c r="H81" s="169" t="s">
        <v>2781</v>
      </c>
      <c r="I81" s="101" t="s">
        <v>2782</v>
      </c>
      <c r="J81" s="169" t="s">
        <v>2783</v>
      </c>
      <c r="K81" s="166" t="s">
        <v>2784</v>
      </c>
      <c r="L81" s="125" t="s">
        <v>2785</v>
      </c>
      <c r="M81" s="182" t="s">
        <v>2786</v>
      </c>
      <c r="N81" s="183" t="s">
        <v>2787</v>
      </c>
      <c r="O81" s="182" t="s">
        <v>2788</v>
      </c>
      <c r="P81" s="183" t="s">
        <v>2789</v>
      </c>
      <c r="Q81" s="182" t="s">
        <v>2790</v>
      </c>
      <c r="R81" s="183" t="s">
        <v>2791</v>
      </c>
      <c r="S81" s="182" t="s">
        <v>2792</v>
      </c>
      <c r="T81" s="183" t="s">
        <v>2793</v>
      </c>
      <c r="U81" s="182" t="s">
        <v>2794</v>
      </c>
      <c r="V81" s="183" t="s">
        <v>2795</v>
      </c>
      <c r="W81" s="182" t="s">
        <v>2796</v>
      </c>
      <c r="X81" s="183" t="s">
        <v>2797</v>
      </c>
      <c r="Y81" s="182" t="s">
        <v>2798</v>
      </c>
      <c r="Z81" s="183" t="s">
        <v>2799</v>
      </c>
      <c r="AA81" s="182" t="s">
        <v>2800</v>
      </c>
      <c r="AB81" s="183" t="s">
        <v>2801</v>
      </c>
      <c r="AC81" s="182" t="s">
        <v>2817</v>
      </c>
      <c r="AD81" s="183" t="s">
        <v>2818</v>
      </c>
      <c r="AE81" s="1332" t="s">
        <v>2819</v>
      </c>
      <c r="AF81" s="938" t="s">
        <v>2821</v>
      </c>
      <c r="AG81" s="101" t="s">
        <v>2822</v>
      </c>
      <c r="AH81" s="104" t="s">
        <v>2823</v>
      </c>
      <c r="AI81" s="101" t="s">
        <v>2824</v>
      </c>
      <c r="AJ81" s="104" t="s">
        <v>2825</v>
      </c>
      <c r="AK81" s="101" t="s">
        <v>2826</v>
      </c>
      <c r="AL81" s="104" t="s">
        <v>2827</v>
      </c>
      <c r="AM81" s="176" t="s">
        <v>2831</v>
      </c>
      <c r="AN81" s="429" t="s">
        <v>2832</v>
      </c>
      <c r="AO81" s="1679" t="s">
        <v>2833</v>
      </c>
      <c r="AP81" s="168" t="s">
        <v>2834</v>
      </c>
      <c r="AQ81" s="105" t="s">
        <v>3011</v>
      </c>
      <c r="AR81" s="105" t="s">
        <v>3012</v>
      </c>
      <c r="AS81" s="105" t="s">
        <v>3013</v>
      </c>
      <c r="AT81" s="105" t="s">
        <v>3014</v>
      </c>
      <c r="AU81" s="105" t="s">
        <v>3015</v>
      </c>
      <c r="AV81" s="1162" t="e">
        <f t="shared" si="9"/>
        <v>#VALUE!</v>
      </c>
      <c r="AW81" s="1058"/>
      <c r="AX81" s="1058"/>
      <c r="AY81" s="1058"/>
      <c r="AZ81" s="1058"/>
      <c r="BA81" s="1058"/>
      <c r="BB81" s="1058"/>
      <c r="BC81" s="1058"/>
      <c r="BD81" s="1058"/>
      <c r="BE81" s="1058"/>
      <c r="BF81" s="1058"/>
      <c r="BG81" s="884"/>
      <c r="BH81" s="884"/>
      <c r="BY81" s="210"/>
      <c r="CB81" s="1362" t="str">
        <f t="shared" ref="CB81" si="18">IF(CH81=1,"* No olvide digitar la columna Trans y/o Pueblos Originarios y/o Migrantes y/o Población SENAME (Digite Cero si no tiene). ","")</f>
        <v/>
      </c>
      <c r="CC81" s="1362" t="e">
        <f t="shared" ref="CC81" si="19">IF(CI81=1,"* El número de Trans y/o Pueblos Originarios y/o Migrantes y/o Población SENAME NO DEBE ser mayor que el Total. ","")</f>
        <v>#VALUE!</v>
      </c>
      <c r="CD81" s="1362" t="str">
        <f t="shared" ref="CD81" si="20">IF(CJ81=1,"* Las consejerías realizadas en Espacios amigables NO DEBEN ser mayor al Total. ","")</f>
        <v xml:space="preserve">* Las consejerías realizadas en Espacios amigables NO DEBEN ser mayor al Total. </v>
      </c>
      <c r="CE81" s="1362" t="e">
        <f t="shared" ref="CE81" si="21">IF(CK81=1,"* La columna 14-18 AÑOS no puede ser mayor al total por grupo edad de 10 a 19 años. ","")</f>
        <v>#VALUE!</v>
      </c>
      <c r="CF81" s="1362"/>
      <c r="CG81" s="1362"/>
      <c r="CH81" s="1363">
        <f t="shared" ref="CH81" si="22">IF(AND(D81&lt;&gt;0,OR(AP81="",AQ81="",AR81="",AS81="",AU81="")),1,0)</f>
        <v>0</v>
      </c>
      <c r="CI81" s="1363" t="e">
        <f t="shared" ref="CI81" si="23">IF(OR(D81&lt;(AP81+AQ81),D81&lt;AR81,D81&lt;AS81,D81&lt;AU81),1,0)</f>
        <v>#VALUE!</v>
      </c>
      <c r="CJ81" s="1363">
        <f t="shared" ref="CJ81" si="24">IF(D81&lt;AO81,1,0)</f>
        <v>1</v>
      </c>
      <c r="CK81" s="1363" t="e">
        <f t="shared" ref="CK81" si="25">IF((K81+L81+M81+N81)&lt;AT81,1,0)</f>
        <v>#VALUE!</v>
      </c>
      <c r="CL81" s="1346"/>
      <c r="CM81" s="1346"/>
      <c r="CN81" s="1346"/>
      <c r="CO81" s="1346"/>
      <c r="CP81" s="1346"/>
    </row>
    <row r="82" spans="1:94" ht="16.350000000000001" customHeight="1" x14ac:dyDescent="0.25">
      <c r="A82" s="2458">
        <v>19140604</v>
      </c>
      <c r="B82" s="5787" t="s">
        <v>2058</v>
      </c>
      <c r="C82" s="1668" t="s">
        <v>29</v>
      </c>
      <c r="D82" s="1633" t="s">
        <v>2777</v>
      </c>
      <c r="E82" s="1634" t="s">
        <v>2778</v>
      </c>
      <c r="F82" s="1669" t="s">
        <v>2779</v>
      </c>
      <c r="G82" s="141" t="s">
        <v>2780</v>
      </c>
      <c r="H82" s="198" t="s">
        <v>2781</v>
      </c>
      <c r="I82" s="141" t="s">
        <v>2782</v>
      </c>
      <c r="J82" s="198" t="s">
        <v>2783</v>
      </c>
      <c r="K82" s="141" t="s">
        <v>2784</v>
      </c>
      <c r="L82" s="163" t="s">
        <v>2785</v>
      </c>
      <c r="M82" s="141" t="s">
        <v>2786</v>
      </c>
      <c r="N82" s="163" t="s">
        <v>2787</v>
      </c>
      <c r="O82" s="141" t="s">
        <v>2788</v>
      </c>
      <c r="P82" s="163" t="s">
        <v>2789</v>
      </c>
      <c r="Q82" s="141" t="s">
        <v>2790</v>
      </c>
      <c r="R82" s="163" t="s">
        <v>2791</v>
      </c>
      <c r="S82" s="141" t="s">
        <v>2792</v>
      </c>
      <c r="T82" s="163" t="s">
        <v>2793</v>
      </c>
      <c r="U82" s="141" t="s">
        <v>2794</v>
      </c>
      <c r="V82" s="163" t="s">
        <v>2795</v>
      </c>
      <c r="W82" s="141" t="s">
        <v>2796</v>
      </c>
      <c r="X82" s="163" t="s">
        <v>2797</v>
      </c>
      <c r="Y82" s="141" t="s">
        <v>2798</v>
      </c>
      <c r="Z82" s="163" t="s">
        <v>2799</v>
      </c>
      <c r="AA82" s="141" t="s">
        <v>2800</v>
      </c>
      <c r="AB82" s="163" t="s">
        <v>2801</v>
      </c>
      <c r="AC82" s="141" t="s">
        <v>2817</v>
      </c>
      <c r="AD82" s="163" t="s">
        <v>2818</v>
      </c>
      <c r="AE82" s="170" t="s">
        <v>2819</v>
      </c>
      <c r="AF82" s="171" t="s">
        <v>2821</v>
      </c>
      <c r="AG82" s="141" t="s">
        <v>2822</v>
      </c>
      <c r="AH82" s="163" t="s">
        <v>2823</v>
      </c>
      <c r="AI82" s="141" t="s">
        <v>2824</v>
      </c>
      <c r="AJ82" s="163" t="s">
        <v>2825</v>
      </c>
      <c r="AK82" s="141" t="s">
        <v>2826</v>
      </c>
      <c r="AL82" s="163" t="s">
        <v>2827</v>
      </c>
      <c r="AM82" s="224" t="s">
        <v>2831</v>
      </c>
      <c r="AN82" s="318" t="s">
        <v>2832</v>
      </c>
      <c r="AO82" s="1688" t="s">
        <v>2833</v>
      </c>
      <c r="AP82" s="197" t="s">
        <v>2834</v>
      </c>
      <c r="AQ82" s="112" t="s">
        <v>3011</v>
      </c>
      <c r="AR82" s="112" t="s">
        <v>3012</v>
      </c>
      <c r="AS82" s="112" t="s">
        <v>3013</v>
      </c>
      <c r="AT82" s="112" t="s">
        <v>3014</v>
      </c>
      <c r="AU82" s="112" t="s">
        <v>3015</v>
      </c>
      <c r="AV82" s="1162" t="e">
        <f t="shared" si="9"/>
        <v>#VALUE!</v>
      </c>
      <c r="AW82" s="1058"/>
      <c r="AX82" s="1058"/>
      <c r="AY82" s="1058"/>
      <c r="AZ82" s="1058"/>
      <c r="BA82" s="1058"/>
      <c r="BB82" s="1058"/>
      <c r="BC82" s="1058"/>
      <c r="BD82" s="1058"/>
      <c r="BE82" s="1058"/>
      <c r="BF82" s="1058"/>
      <c r="BG82" s="884"/>
      <c r="BH82" s="884"/>
      <c r="BY82" s="210"/>
      <c r="CB82" s="1362" t="str">
        <f t="shared" si="10"/>
        <v/>
      </c>
      <c r="CC82" s="1362" t="e">
        <f t="shared" si="11"/>
        <v>#VALUE!</v>
      </c>
      <c r="CD82" s="1362" t="str">
        <f t="shared" si="12"/>
        <v xml:space="preserve">* Las consejerías realizadas en Espacios amigables NO DEBEN ser mayor al Total. </v>
      </c>
      <c r="CE82" s="1362" t="e">
        <f t="shared" si="13"/>
        <v>#VALUE!</v>
      </c>
      <c r="CF82" s="1362"/>
      <c r="CG82" s="1362"/>
      <c r="CH82" s="1363">
        <f t="shared" si="14"/>
        <v>0</v>
      </c>
      <c r="CI82" s="1363" t="e">
        <f t="shared" si="15"/>
        <v>#VALUE!</v>
      </c>
      <c r="CJ82" s="1363">
        <f t="shared" si="16"/>
        <v>1</v>
      </c>
      <c r="CK82" s="1363" t="e">
        <f t="shared" si="17"/>
        <v>#VALUE!</v>
      </c>
      <c r="CL82" s="1346"/>
      <c r="CM82" s="1346"/>
      <c r="CN82" s="1346"/>
      <c r="CO82" s="1346"/>
      <c r="CP82" s="1346"/>
    </row>
    <row r="83" spans="1:94" ht="16.350000000000001" customHeight="1" x14ac:dyDescent="0.25">
      <c r="A83" s="2458">
        <v>19140605</v>
      </c>
      <c r="B83" s="5113"/>
      <c r="C83" s="179" t="s">
        <v>41</v>
      </c>
      <c r="D83" s="1635" t="s">
        <v>2777</v>
      </c>
      <c r="E83" s="1636" t="s">
        <v>2778</v>
      </c>
      <c r="F83" s="1676" t="s">
        <v>2779</v>
      </c>
      <c r="G83" s="141" t="s">
        <v>2780</v>
      </c>
      <c r="H83" s="198" t="s">
        <v>2781</v>
      </c>
      <c r="I83" s="141" t="s">
        <v>2782</v>
      </c>
      <c r="J83" s="198" t="s">
        <v>2783</v>
      </c>
      <c r="K83" s="141" t="s">
        <v>2784</v>
      </c>
      <c r="L83" s="163" t="s">
        <v>2785</v>
      </c>
      <c r="M83" s="141" t="s">
        <v>2786</v>
      </c>
      <c r="N83" s="163" t="s">
        <v>2787</v>
      </c>
      <c r="O83" s="141" t="s">
        <v>2788</v>
      </c>
      <c r="P83" s="163" t="s">
        <v>2789</v>
      </c>
      <c r="Q83" s="141" t="s">
        <v>2790</v>
      </c>
      <c r="R83" s="163" t="s">
        <v>2791</v>
      </c>
      <c r="S83" s="141" t="s">
        <v>2792</v>
      </c>
      <c r="T83" s="163" t="s">
        <v>2793</v>
      </c>
      <c r="U83" s="141" t="s">
        <v>2794</v>
      </c>
      <c r="V83" s="163" t="s">
        <v>2795</v>
      </c>
      <c r="W83" s="141" t="s">
        <v>2796</v>
      </c>
      <c r="X83" s="163" t="s">
        <v>2797</v>
      </c>
      <c r="Y83" s="141" t="s">
        <v>2798</v>
      </c>
      <c r="Z83" s="163" t="s">
        <v>2799</v>
      </c>
      <c r="AA83" s="141" t="s">
        <v>2800</v>
      </c>
      <c r="AB83" s="163" t="s">
        <v>2801</v>
      </c>
      <c r="AC83" s="141" t="s">
        <v>2817</v>
      </c>
      <c r="AD83" s="163" t="s">
        <v>2818</v>
      </c>
      <c r="AE83" s="141" t="s">
        <v>2819</v>
      </c>
      <c r="AF83" s="163" t="s">
        <v>2821</v>
      </c>
      <c r="AG83" s="141" t="s">
        <v>2822</v>
      </c>
      <c r="AH83" s="163" t="s">
        <v>2823</v>
      </c>
      <c r="AI83" s="141" t="s">
        <v>2824</v>
      </c>
      <c r="AJ83" s="163" t="s">
        <v>2825</v>
      </c>
      <c r="AK83" s="141" t="s">
        <v>2826</v>
      </c>
      <c r="AL83" s="163" t="s">
        <v>2827</v>
      </c>
      <c r="AM83" s="224" t="s">
        <v>2831</v>
      </c>
      <c r="AN83" s="318" t="s">
        <v>2832</v>
      </c>
      <c r="AO83" s="1608" t="s">
        <v>2833</v>
      </c>
      <c r="AP83" s="198" t="s">
        <v>2834</v>
      </c>
      <c r="AQ83" s="164" t="s">
        <v>3011</v>
      </c>
      <c r="AR83" s="164" t="s">
        <v>3012</v>
      </c>
      <c r="AS83" s="164" t="s">
        <v>3013</v>
      </c>
      <c r="AT83" s="164" t="s">
        <v>3014</v>
      </c>
      <c r="AU83" s="164" t="s">
        <v>3015</v>
      </c>
      <c r="AV83" s="1162" t="e">
        <f t="shared" si="9"/>
        <v>#VALUE!</v>
      </c>
      <c r="AW83" s="1058"/>
      <c r="AX83" s="1058"/>
      <c r="AY83" s="1058"/>
      <c r="AZ83" s="1058"/>
      <c r="BA83" s="1058"/>
      <c r="BB83" s="1058"/>
      <c r="BC83" s="1058"/>
      <c r="BD83" s="1058"/>
      <c r="BE83" s="1058"/>
      <c r="BF83" s="1058"/>
      <c r="BG83" s="884"/>
      <c r="BH83" s="884"/>
      <c r="BY83" s="210"/>
      <c r="CB83" s="1362" t="str">
        <f t="shared" si="10"/>
        <v/>
      </c>
      <c r="CC83" s="1362" t="e">
        <f t="shared" si="11"/>
        <v>#VALUE!</v>
      </c>
      <c r="CD83" s="1362" t="str">
        <f t="shared" si="12"/>
        <v xml:space="preserve">* Las consejerías realizadas en Espacios amigables NO DEBEN ser mayor al Total. </v>
      </c>
      <c r="CE83" s="1362" t="e">
        <f t="shared" si="13"/>
        <v>#VALUE!</v>
      </c>
      <c r="CF83" s="1362"/>
      <c r="CG83" s="1362"/>
      <c r="CH83" s="1363">
        <f t="shared" si="14"/>
        <v>0</v>
      </c>
      <c r="CI83" s="1363" t="e">
        <f t="shared" si="15"/>
        <v>#VALUE!</v>
      </c>
      <c r="CJ83" s="1363">
        <f t="shared" si="16"/>
        <v>1</v>
      </c>
      <c r="CK83" s="1363" t="e">
        <f t="shared" si="17"/>
        <v>#VALUE!</v>
      </c>
      <c r="CL83" s="1346"/>
      <c r="CM83" s="1346"/>
      <c r="CN83" s="1346"/>
      <c r="CO83" s="1346"/>
      <c r="CP83" s="1346"/>
    </row>
    <row r="84" spans="1:94" ht="16.350000000000001" customHeight="1" x14ac:dyDescent="0.25">
      <c r="A84" s="2458">
        <v>19140606</v>
      </c>
      <c r="B84" s="5113"/>
      <c r="C84" s="179" t="s">
        <v>30</v>
      </c>
      <c r="D84" s="1635" t="s">
        <v>2777</v>
      </c>
      <c r="E84" s="1636" t="s">
        <v>2778</v>
      </c>
      <c r="F84" s="1676" t="s">
        <v>2779</v>
      </c>
      <c r="G84" s="141" t="s">
        <v>2780</v>
      </c>
      <c r="H84" s="198" t="s">
        <v>2781</v>
      </c>
      <c r="I84" s="141" t="s">
        <v>2782</v>
      </c>
      <c r="J84" s="198" t="s">
        <v>2783</v>
      </c>
      <c r="K84" s="141" t="s">
        <v>2784</v>
      </c>
      <c r="L84" s="163" t="s">
        <v>2785</v>
      </c>
      <c r="M84" s="141" t="s">
        <v>2786</v>
      </c>
      <c r="N84" s="163" t="s">
        <v>2787</v>
      </c>
      <c r="O84" s="141" t="s">
        <v>2788</v>
      </c>
      <c r="P84" s="163" t="s">
        <v>2789</v>
      </c>
      <c r="Q84" s="141" t="s">
        <v>2790</v>
      </c>
      <c r="R84" s="163" t="s">
        <v>2791</v>
      </c>
      <c r="S84" s="141" t="s">
        <v>2792</v>
      </c>
      <c r="T84" s="163" t="s">
        <v>2793</v>
      </c>
      <c r="U84" s="141" t="s">
        <v>2794</v>
      </c>
      <c r="V84" s="163" t="s">
        <v>2795</v>
      </c>
      <c r="W84" s="141" t="s">
        <v>2796</v>
      </c>
      <c r="X84" s="163" t="s">
        <v>2797</v>
      </c>
      <c r="Y84" s="141" t="s">
        <v>2798</v>
      </c>
      <c r="Z84" s="163" t="s">
        <v>2799</v>
      </c>
      <c r="AA84" s="141" t="s">
        <v>2800</v>
      </c>
      <c r="AB84" s="163" t="s">
        <v>2801</v>
      </c>
      <c r="AC84" s="141" t="s">
        <v>2817</v>
      </c>
      <c r="AD84" s="163" t="s">
        <v>2818</v>
      </c>
      <c r="AE84" s="141" t="s">
        <v>2819</v>
      </c>
      <c r="AF84" s="163" t="s">
        <v>2821</v>
      </c>
      <c r="AG84" s="141" t="s">
        <v>2822</v>
      </c>
      <c r="AH84" s="163" t="s">
        <v>2823</v>
      </c>
      <c r="AI84" s="141" t="s">
        <v>2824</v>
      </c>
      <c r="AJ84" s="163" t="s">
        <v>2825</v>
      </c>
      <c r="AK84" s="141" t="s">
        <v>2826</v>
      </c>
      <c r="AL84" s="163" t="s">
        <v>2827</v>
      </c>
      <c r="AM84" s="224" t="s">
        <v>2831</v>
      </c>
      <c r="AN84" s="318" t="s">
        <v>2832</v>
      </c>
      <c r="AO84" s="1608" t="s">
        <v>2833</v>
      </c>
      <c r="AP84" s="198" t="s">
        <v>2834</v>
      </c>
      <c r="AQ84" s="164" t="s">
        <v>3011</v>
      </c>
      <c r="AR84" s="164" t="s">
        <v>3012</v>
      </c>
      <c r="AS84" s="164" t="s">
        <v>3013</v>
      </c>
      <c r="AT84" s="164" t="s">
        <v>3014</v>
      </c>
      <c r="AU84" s="164" t="s">
        <v>3015</v>
      </c>
      <c r="AV84" s="1162" t="e">
        <f t="shared" si="9"/>
        <v>#VALUE!</v>
      </c>
      <c r="AW84" s="1058"/>
      <c r="AX84" s="1058"/>
      <c r="AY84" s="1058"/>
      <c r="AZ84" s="1058"/>
      <c r="BA84" s="1058"/>
      <c r="BB84" s="1058"/>
      <c r="BC84" s="1058"/>
      <c r="BD84" s="1058"/>
      <c r="BE84" s="1058"/>
      <c r="BF84" s="1058"/>
      <c r="BG84" s="884"/>
      <c r="BH84" s="884"/>
      <c r="BY84" s="210"/>
      <c r="CB84" s="1362" t="str">
        <f t="shared" si="10"/>
        <v/>
      </c>
      <c r="CC84" s="1362" t="e">
        <f t="shared" si="11"/>
        <v>#VALUE!</v>
      </c>
      <c r="CD84" s="1362" t="str">
        <f t="shared" si="12"/>
        <v xml:space="preserve">* Las consejerías realizadas en Espacios amigables NO DEBEN ser mayor al Total. </v>
      </c>
      <c r="CE84" s="1362" t="e">
        <f t="shared" si="13"/>
        <v>#VALUE!</v>
      </c>
      <c r="CF84" s="1362"/>
      <c r="CG84" s="1362"/>
      <c r="CH84" s="1363">
        <f t="shared" si="14"/>
        <v>0</v>
      </c>
      <c r="CI84" s="1363" t="e">
        <f t="shared" si="15"/>
        <v>#VALUE!</v>
      </c>
      <c r="CJ84" s="1363">
        <f t="shared" si="16"/>
        <v>1</v>
      </c>
      <c r="CK84" s="1363" t="e">
        <f t="shared" si="17"/>
        <v>#VALUE!</v>
      </c>
      <c r="CL84" s="1346"/>
      <c r="CM84" s="1346"/>
      <c r="CN84" s="1346"/>
      <c r="CO84" s="1346"/>
      <c r="CP84" s="1346"/>
    </row>
    <row r="85" spans="1:94" ht="16.350000000000001" customHeight="1" x14ac:dyDescent="0.25">
      <c r="A85" s="2458">
        <v>19140607</v>
      </c>
      <c r="B85" s="5113"/>
      <c r="C85" s="179" t="s">
        <v>283</v>
      </c>
      <c r="D85" s="1635" t="s">
        <v>2777</v>
      </c>
      <c r="E85" s="1636" t="s">
        <v>2778</v>
      </c>
      <c r="F85" s="1676" t="s">
        <v>2779</v>
      </c>
      <c r="G85" s="141" t="s">
        <v>2780</v>
      </c>
      <c r="H85" s="198" t="s">
        <v>2781</v>
      </c>
      <c r="I85" s="141" t="s">
        <v>2782</v>
      </c>
      <c r="J85" s="198" t="s">
        <v>2783</v>
      </c>
      <c r="K85" s="141" t="s">
        <v>2784</v>
      </c>
      <c r="L85" s="163" t="s">
        <v>2785</v>
      </c>
      <c r="M85" s="141" t="s">
        <v>2786</v>
      </c>
      <c r="N85" s="163" t="s">
        <v>2787</v>
      </c>
      <c r="O85" s="141" t="s">
        <v>2788</v>
      </c>
      <c r="P85" s="163" t="s">
        <v>2789</v>
      </c>
      <c r="Q85" s="141" t="s">
        <v>2790</v>
      </c>
      <c r="R85" s="163" t="s">
        <v>2791</v>
      </c>
      <c r="S85" s="141" t="s">
        <v>2792</v>
      </c>
      <c r="T85" s="163" t="s">
        <v>2793</v>
      </c>
      <c r="U85" s="141" t="s">
        <v>2794</v>
      </c>
      <c r="V85" s="163" t="s">
        <v>2795</v>
      </c>
      <c r="W85" s="141" t="s">
        <v>2796</v>
      </c>
      <c r="X85" s="163" t="s">
        <v>2797</v>
      </c>
      <c r="Y85" s="141" t="s">
        <v>2798</v>
      </c>
      <c r="Z85" s="163" t="s">
        <v>2799</v>
      </c>
      <c r="AA85" s="141" t="s">
        <v>2800</v>
      </c>
      <c r="AB85" s="163" t="s">
        <v>2801</v>
      </c>
      <c r="AC85" s="141" t="s">
        <v>2817</v>
      </c>
      <c r="AD85" s="163" t="s">
        <v>2818</v>
      </c>
      <c r="AE85" s="141" t="s">
        <v>2819</v>
      </c>
      <c r="AF85" s="163" t="s">
        <v>2821</v>
      </c>
      <c r="AG85" s="141" t="s">
        <v>2822</v>
      </c>
      <c r="AH85" s="163" t="s">
        <v>2823</v>
      </c>
      <c r="AI85" s="141" t="s">
        <v>2824</v>
      </c>
      <c r="AJ85" s="163" t="s">
        <v>2825</v>
      </c>
      <c r="AK85" s="141" t="s">
        <v>2826</v>
      </c>
      <c r="AL85" s="163" t="s">
        <v>2827</v>
      </c>
      <c r="AM85" s="224" t="s">
        <v>2831</v>
      </c>
      <c r="AN85" s="318" t="s">
        <v>2832</v>
      </c>
      <c r="AO85" s="1608" t="s">
        <v>2833</v>
      </c>
      <c r="AP85" s="198" t="s">
        <v>2834</v>
      </c>
      <c r="AQ85" s="164" t="s">
        <v>3011</v>
      </c>
      <c r="AR85" s="164" t="s">
        <v>3012</v>
      </c>
      <c r="AS85" s="164" t="s">
        <v>3013</v>
      </c>
      <c r="AT85" s="164" t="s">
        <v>3014</v>
      </c>
      <c r="AU85" s="164" t="s">
        <v>3015</v>
      </c>
      <c r="AV85" s="1162" t="e">
        <f t="shared" si="9"/>
        <v>#VALUE!</v>
      </c>
      <c r="AW85" s="1058"/>
      <c r="AX85" s="1058"/>
      <c r="AY85" s="1058"/>
      <c r="AZ85" s="1058"/>
      <c r="BA85" s="1058"/>
      <c r="BB85" s="1058"/>
      <c r="BC85" s="1058"/>
      <c r="BD85" s="1058"/>
      <c r="BE85" s="1058"/>
      <c r="BF85" s="1058"/>
      <c r="BG85" s="884"/>
      <c r="BH85" s="884"/>
      <c r="BY85" s="210"/>
      <c r="CB85" s="1362" t="str">
        <f t="shared" si="10"/>
        <v/>
      </c>
      <c r="CC85" s="1362" t="e">
        <f t="shared" si="11"/>
        <v>#VALUE!</v>
      </c>
      <c r="CD85" s="1362" t="str">
        <f t="shared" si="12"/>
        <v xml:space="preserve">* Las consejerías realizadas en Espacios amigables NO DEBEN ser mayor al Total. </v>
      </c>
      <c r="CE85" s="1362" t="e">
        <f t="shared" si="13"/>
        <v>#VALUE!</v>
      </c>
      <c r="CF85" s="1362"/>
      <c r="CG85" s="1362"/>
      <c r="CH85" s="1363">
        <f t="shared" si="14"/>
        <v>0</v>
      </c>
      <c r="CI85" s="1363" t="e">
        <f t="shared" si="15"/>
        <v>#VALUE!</v>
      </c>
      <c r="CJ85" s="1363">
        <f t="shared" si="16"/>
        <v>1</v>
      </c>
      <c r="CK85" s="1363" t="e">
        <f t="shared" si="17"/>
        <v>#VALUE!</v>
      </c>
      <c r="CL85" s="1346"/>
      <c r="CM85" s="1346"/>
      <c r="CN85" s="1346"/>
      <c r="CO85" s="1346"/>
      <c r="CP85" s="1346"/>
    </row>
    <row r="86" spans="1:94" ht="16.350000000000001" customHeight="1" x14ac:dyDescent="0.25">
      <c r="A86" s="2458">
        <v>19140608</v>
      </c>
      <c r="B86" s="5113"/>
      <c r="C86" s="179" t="s">
        <v>2045</v>
      </c>
      <c r="D86" s="1635" t="s">
        <v>2777</v>
      </c>
      <c r="E86" s="1636" t="s">
        <v>2778</v>
      </c>
      <c r="F86" s="1676" t="s">
        <v>2779</v>
      </c>
      <c r="G86" s="141" t="s">
        <v>2780</v>
      </c>
      <c r="H86" s="198" t="s">
        <v>2781</v>
      </c>
      <c r="I86" s="141" t="s">
        <v>2782</v>
      </c>
      <c r="J86" s="198" t="s">
        <v>2783</v>
      </c>
      <c r="K86" s="141" t="s">
        <v>2784</v>
      </c>
      <c r="L86" s="163" t="s">
        <v>2785</v>
      </c>
      <c r="M86" s="141" t="s">
        <v>2786</v>
      </c>
      <c r="N86" s="163" t="s">
        <v>2787</v>
      </c>
      <c r="O86" s="141" t="s">
        <v>2788</v>
      </c>
      <c r="P86" s="163" t="s">
        <v>2789</v>
      </c>
      <c r="Q86" s="141" t="s">
        <v>2790</v>
      </c>
      <c r="R86" s="163" t="s">
        <v>2791</v>
      </c>
      <c r="S86" s="141" t="s">
        <v>2792</v>
      </c>
      <c r="T86" s="163" t="s">
        <v>2793</v>
      </c>
      <c r="U86" s="141" t="s">
        <v>2794</v>
      </c>
      <c r="V86" s="163" t="s">
        <v>2795</v>
      </c>
      <c r="W86" s="141" t="s">
        <v>2796</v>
      </c>
      <c r="X86" s="163" t="s">
        <v>2797</v>
      </c>
      <c r="Y86" s="141" t="s">
        <v>2798</v>
      </c>
      <c r="Z86" s="163" t="s">
        <v>2799</v>
      </c>
      <c r="AA86" s="141" t="s">
        <v>2800</v>
      </c>
      <c r="AB86" s="163" t="s">
        <v>2801</v>
      </c>
      <c r="AC86" s="141" t="s">
        <v>2817</v>
      </c>
      <c r="AD86" s="163" t="s">
        <v>2818</v>
      </c>
      <c r="AE86" s="141" t="s">
        <v>2819</v>
      </c>
      <c r="AF86" s="163" t="s">
        <v>2821</v>
      </c>
      <c r="AG86" s="141" t="s">
        <v>2822</v>
      </c>
      <c r="AH86" s="163" t="s">
        <v>2823</v>
      </c>
      <c r="AI86" s="141" t="s">
        <v>2824</v>
      </c>
      <c r="AJ86" s="163" t="s">
        <v>2825</v>
      </c>
      <c r="AK86" s="141" t="s">
        <v>2826</v>
      </c>
      <c r="AL86" s="163" t="s">
        <v>2827</v>
      </c>
      <c r="AM86" s="224" t="s">
        <v>2831</v>
      </c>
      <c r="AN86" s="318" t="s">
        <v>2832</v>
      </c>
      <c r="AO86" s="1608" t="s">
        <v>2833</v>
      </c>
      <c r="AP86" s="198" t="s">
        <v>2834</v>
      </c>
      <c r="AQ86" s="164" t="s">
        <v>3011</v>
      </c>
      <c r="AR86" s="164" t="s">
        <v>3012</v>
      </c>
      <c r="AS86" s="164" t="s">
        <v>3013</v>
      </c>
      <c r="AT86" s="164" t="s">
        <v>3014</v>
      </c>
      <c r="AU86" s="164" t="s">
        <v>3015</v>
      </c>
      <c r="AV86" s="1162" t="e">
        <f t="shared" si="9"/>
        <v>#VALUE!</v>
      </c>
      <c r="AW86" s="1058"/>
      <c r="AX86" s="1058"/>
      <c r="AY86" s="1058"/>
      <c r="AZ86" s="1058"/>
      <c r="BA86" s="1058"/>
      <c r="BB86" s="1058"/>
      <c r="BC86" s="1058"/>
      <c r="BD86" s="1058"/>
      <c r="BE86" s="1058"/>
      <c r="BF86" s="1058"/>
      <c r="BG86" s="884"/>
      <c r="BH86" s="884"/>
      <c r="BY86" s="210"/>
      <c r="CB86" s="1362" t="str">
        <f t="shared" si="10"/>
        <v/>
      </c>
      <c r="CC86" s="1362" t="e">
        <f t="shared" si="11"/>
        <v>#VALUE!</v>
      </c>
      <c r="CD86" s="1362" t="str">
        <f t="shared" si="12"/>
        <v xml:space="preserve">* Las consejerías realizadas en Espacios amigables NO DEBEN ser mayor al Total. </v>
      </c>
      <c r="CE86" s="1362" t="e">
        <f t="shared" si="13"/>
        <v>#VALUE!</v>
      </c>
      <c r="CF86" s="1362"/>
      <c r="CG86" s="1362"/>
      <c r="CH86" s="1363">
        <f t="shared" si="14"/>
        <v>0</v>
      </c>
      <c r="CI86" s="1363" t="e">
        <f t="shared" si="15"/>
        <v>#VALUE!</v>
      </c>
      <c r="CJ86" s="1363">
        <f t="shared" si="16"/>
        <v>1</v>
      </c>
      <c r="CK86" s="1363" t="e">
        <f t="shared" si="17"/>
        <v>#VALUE!</v>
      </c>
      <c r="CL86" s="1346"/>
      <c r="CM86" s="1346"/>
      <c r="CN86" s="1346"/>
      <c r="CO86" s="1346"/>
      <c r="CP86" s="1346"/>
    </row>
    <row r="87" spans="1:94" ht="16.350000000000001" customHeight="1" x14ac:dyDescent="0.25">
      <c r="A87" s="2458">
        <v>19170500</v>
      </c>
      <c r="B87" s="5113"/>
      <c r="C87" s="179" t="s">
        <v>282</v>
      </c>
      <c r="D87" s="1635" t="s">
        <v>2777</v>
      </c>
      <c r="E87" s="1636" t="s">
        <v>2778</v>
      </c>
      <c r="F87" s="1676" t="s">
        <v>2779</v>
      </c>
      <c r="G87" s="141" t="s">
        <v>2780</v>
      </c>
      <c r="H87" s="198" t="s">
        <v>2781</v>
      </c>
      <c r="I87" s="141" t="s">
        <v>2782</v>
      </c>
      <c r="J87" s="198" t="s">
        <v>2783</v>
      </c>
      <c r="K87" s="141" t="s">
        <v>2784</v>
      </c>
      <c r="L87" s="163" t="s">
        <v>2785</v>
      </c>
      <c r="M87" s="141" t="s">
        <v>2786</v>
      </c>
      <c r="N87" s="163" t="s">
        <v>2787</v>
      </c>
      <c r="O87" s="141" t="s">
        <v>2788</v>
      </c>
      <c r="P87" s="163" t="s">
        <v>2789</v>
      </c>
      <c r="Q87" s="141" t="s">
        <v>2790</v>
      </c>
      <c r="R87" s="163" t="s">
        <v>2791</v>
      </c>
      <c r="S87" s="141" t="s">
        <v>2792</v>
      </c>
      <c r="T87" s="163" t="s">
        <v>2793</v>
      </c>
      <c r="U87" s="141" t="s">
        <v>2794</v>
      </c>
      <c r="V87" s="163" t="s">
        <v>2795</v>
      </c>
      <c r="W87" s="141" t="s">
        <v>2796</v>
      </c>
      <c r="X87" s="163" t="s">
        <v>2797</v>
      </c>
      <c r="Y87" s="141" t="s">
        <v>2798</v>
      </c>
      <c r="Z87" s="163" t="s">
        <v>2799</v>
      </c>
      <c r="AA87" s="141" t="s">
        <v>2800</v>
      </c>
      <c r="AB87" s="163" t="s">
        <v>2801</v>
      </c>
      <c r="AC87" s="141" t="s">
        <v>2817</v>
      </c>
      <c r="AD87" s="163" t="s">
        <v>2818</v>
      </c>
      <c r="AE87" s="141" t="s">
        <v>2819</v>
      </c>
      <c r="AF87" s="163" t="s">
        <v>2821</v>
      </c>
      <c r="AG87" s="141" t="s">
        <v>2822</v>
      </c>
      <c r="AH87" s="163" t="s">
        <v>2823</v>
      </c>
      <c r="AI87" s="141" t="s">
        <v>2824</v>
      </c>
      <c r="AJ87" s="163" t="s">
        <v>2825</v>
      </c>
      <c r="AK87" s="141" t="s">
        <v>2826</v>
      </c>
      <c r="AL87" s="163" t="s">
        <v>2827</v>
      </c>
      <c r="AM87" s="224" t="s">
        <v>2831</v>
      </c>
      <c r="AN87" s="318" t="s">
        <v>2832</v>
      </c>
      <c r="AO87" s="1608" t="s">
        <v>2833</v>
      </c>
      <c r="AP87" s="198" t="s">
        <v>2834</v>
      </c>
      <c r="AQ87" s="164" t="s">
        <v>3011</v>
      </c>
      <c r="AR87" s="164" t="s">
        <v>3012</v>
      </c>
      <c r="AS87" s="164" t="s">
        <v>3013</v>
      </c>
      <c r="AT87" s="164" t="s">
        <v>3014</v>
      </c>
      <c r="AU87" s="164" t="s">
        <v>3015</v>
      </c>
      <c r="AV87" s="1162" t="e">
        <f t="shared" si="9"/>
        <v>#VALUE!</v>
      </c>
      <c r="AW87" s="1058"/>
      <c r="AX87" s="1058"/>
      <c r="AY87" s="1058"/>
      <c r="AZ87" s="1058"/>
      <c r="BA87" s="1058"/>
      <c r="BB87" s="1058"/>
      <c r="BC87" s="1058"/>
      <c r="BD87" s="1058"/>
      <c r="BE87" s="1058"/>
      <c r="BF87" s="1058"/>
      <c r="BG87" s="884"/>
      <c r="BH87" s="884"/>
      <c r="BY87" s="210"/>
      <c r="CB87" s="1362" t="str">
        <f t="shared" si="10"/>
        <v/>
      </c>
      <c r="CC87" s="1362" t="e">
        <f t="shared" si="11"/>
        <v>#VALUE!</v>
      </c>
      <c r="CD87" s="1362" t="str">
        <f t="shared" si="12"/>
        <v xml:space="preserve">* Las consejerías realizadas en Espacios amigables NO DEBEN ser mayor al Total. </v>
      </c>
      <c r="CE87" s="1362" t="e">
        <f t="shared" si="13"/>
        <v>#VALUE!</v>
      </c>
      <c r="CF87" s="1362"/>
      <c r="CG87" s="1362"/>
      <c r="CH87" s="1363">
        <f t="shared" si="14"/>
        <v>0</v>
      </c>
      <c r="CI87" s="1363" t="e">
        <f t="shared" si="15"/>
        <v>#VALUE!</v>
      </c>
      <c r="CJ87" s="1363">
        <f t="shared" si="16"/>
        <v>1</v>
      </c>
      <c r="CK87" s="1363" t="e">
        <f t="shared" si="17"/>
        <v>#VALUE!</v>
      </c>
      <c r="CL87" s="1346"/>
      <c r="CM87" s="1346"/>
      <c r="CN87" s="1346"/>
      <c r="CO87" s="1346"/>
      <c r="CP87" s="1346"/>
    </row>
    <row r="88" spans="1:94" ht="16.350000000000001" customHeight="1" x14ac:dyDescent="0.25">
      <c r="A88" s="2458">
        <v>19170501</v>
      </c>
      <c r="B88" s="5113"/>
      <c r="C88" s="1632" t="s">
        <v>2047</v>
      </c>
      <c r="D88" s="1580" t="s">
        <v>2777</v>
      </c>
      <c r="E88" s="1581" t="s">
        <v>2778</v>
      </c>
      <c r="F88" s="1678" t="s">
        <v>2779</v>
      </c>
      <c r="G88" s="141" t="s">
        <v>2780</v>
      </c>
      <c r="H88" s="198" t="s">
        <v>2781</v>
      </c>
      <c r="I88" s="141" t="s">
        <v>2782</v>
      </c>
      <c r="J88" s="198" t="s">
        <v>2783</v>
      </c>
      <c r="K88" s="141" t="s">
        <v>2784</v>
      </c>
      <c r="L88" s="163" t="s">
        <v>2785</v>
      </c>
      <c r="M88" s="141" t="s">
        <v>2786</v>
      </c>
      <c r="N88" s="163" t="s">
        <v>2787</v>
      </c>
      <c r="O88" s="141" t="s">
        <v>2788</v>
      </c>
      <c r="P88" s="163" t="s">
        <v>2789</v>
      </c>
      <c r="Q88" s="141" t="s">
        <v>2790</v>
      </c>
      <c r="R88" s="163" t="s">
        <v>2791</v>
      </c>
      <c r="S88" s="141" t="s">
        <v>2792</v>
      </c>
      <c r="T88" s="163" t="s">
        <v>2793</v>
      </c>
      <c r="U88" s="141" t="s">
        <v>2794</v>
      </c>
      <c r="V88" s="163" t="s">
        <v>2795</v>
      </c>
      <c r="W88" s="141" t="s">
        <v>2796</v>
      </c>
      <c r="X88" s="163" t="s">
        <v>2797</v>
      </c>
      <c r="Y88" s="141" t="s">
        <v>2798</v>
      </c>
      <c r="Z88" s="163" t="s">
        <v>2799</v>
      </c>
      <c r="AA88" s="141" t="s">
        <v>2800</v>
      </c>
      <c r="AB88" s="163" t="s">
        <v>2801</v>
      </c>
      <c r="AC88" s="141" t="s">
        <v>2817</v>
      </c>
      <c r="AD88" s="163" t="s">
        <v>2818</v>
      </c>
      <c r="AE88" s="141" t="s">
        <v>2819</v>
      </c>
      <c r="AF88" s="163" t="s">
        <v>2821</v>
      </c>
      <c r="AG88" s="141" t="s">
        <v>2822</v>
      </c>
      <c r="AH88" s="163" t="s">
        <v>2823</v>
      </c>
      <c r="AI88" s="141" t="s">
        <v>2824</v>
      </c>
      <c r="AJ88" s="163" t="s">
        <v>2825</v>
      </c>
      <c r="AK88" s="141" t="s">
        <v>2826</v>
      </c>
      <c r="AL88" s="163" t="s">
        <v>2827</v>
      </c>
      <c r="AM88" s="224" t="s">
        <v>2831</v>
      </c>
      <c r="AN88" s="318" t="s">
        <v>2832</v>
      </c>
      <c r="AO88" s="1608" t="s">
        <v>2833</v>
      </c>
      <c r="AP88" s="198" t="s">
        <v>2834</v>
      </c>
      <c r="AQ88" s="164" t="s">
        <v>3011</v>
      </c>
      <c r="AR88" s="164" t="s">
        <v>3012</v>
      </c>
      <c r="AS88" s="164" t="s">
        <v>3013</v>
      </c>
      <c r="AT88" s="164" t="s">
        <v>3014</v>
      </c>
      <c r="AU88" s="164" t="s">
        <v>3015</v>
      </c>
      <c r="AV88" s="1162" t="e">
        <f t="shared" si="9"/>
        <v>#VALUE!</v>
      </c>
      <c r="AW88" s="1058"/>
      <c r="AX88" s="1058"/>
      <c r="AY88" s="1058"/>
      <c r="AZ88" s="1058"/>
      <c r="BA88" s="1058"/>
      <c r="BB88" s="1058"/>
      <c r="BC88" s="1058"/>
      <c r="BD88" s="1058"/>
      <c r="BE88" s="1058"/>
      <c r="BF88" s="1058"/>
      <c r="BG88" s="884"/>
      <c r="BH88" s="884"/>
      <c r="BY88" s="210"/>
      <c r="CB88" s="1362" t="str">
        <f t="shared" si="10"/>
        <v/>
      </c>
      <c r="CC88" s="1362" t="e">
        <f t="shared" si="11"/>
        <v>#VALUE!</v>
      </c>
      <c r="CD88" s="1362" t="str">
        <f t="shared" si="12"/>
        <v xml:space="preserve">* Las consejerías realizadas en Espacios amigables NO DEBEN ser mayor al Total. </v>
      </c>
      <c r="CE88" s="1362" t="e">
        <f t="shared" si="13"/>
        <v>#VALUE!</v>
      </c>
      <c r="CF88" s="1362"/>
      <c r="CG88" s="1362"/>
      <c r="CH88" s="1363">
        <f t="shared" si="14"/>
        <v>0</v>
      </c>
      <c r="CI88" s="1363" t="e">
        <f t="shared" si="15"/>
        <v>#VALUE!</v>
      </c>
      <c r="CJ88" s="1363">
        <f t="shared" si="16"/>
        <v>1</v>
      </c>
      <c r="CK88" s="1363" t="e">
        <f t="shared" si="17"/>
        <v>#VALUE!</v>
      </c>
      <c r="CL88" s="1346"/>
      <c r="CM88" s="1346"/>
      <c r="CN88" s="1346"/>
      <c r="CO88" s="1346"/>
      <c r="CP88" s="1346"/>
    </row>
    <row r="89" spans="1:94" ht="16.350000000000001" customHeight="1" x14ac:dyDescent="0.25">
      <c r="A89" s="2458">
        <v>19140609</v>
      </c>
      <c r="B89" s="5159"/>
      <c r="C89" s="283" t="s">
        <v>2046</v>
      </c>
      <c r="D89" s="1637" t="s">
        <v>2777</v>
      </c>
      <c r="E89" s="1638" t="s">
        <v>2778</v>
      </c>
      <c r="F89" s="269" t="s">
        <v>2779</v>
      </c>
      <c r="G89" s="166" t="s">
        <v>2780</v>
      </c>
      <c r="H89" s="168" t="s">
        <v>2781</v>
      </c>
      <c r="I89" s="166" t="s">
        <v>2782</v>
      </c>
      <c r="J89" s="168" t="s">
        <v>2783</v>
      </c>
      <c r="K89" s="166" t="s">
        <v>2784</v>
      </c>
      <c r="L89" s="125" t="s">
        <v>2785</v>
      </c>
      <c r="M89" s="166" t="s">
        <v>2786</v>
      </c>
      <c r="N89" s="125" t="s">
        <v>2787</v>
      </c>
      <c r="O89" s="166" t="s">
        <v>2788</v>
      </c>
      <c r="P89" s="125" t="s">
        <v>2789</v>
      </c>
      <c r="Q89" s="166" t="s">
        <v>2790</v>
      </c>
      <c r="R89" s="125" t="s">
        <v>2791</v>
      </c>
      <c r="S89" s="166" t="s">
        <v>2792</v>
      </c>
      <c r="T89" s="125" t="s">
        <v>2793</v>
      </c>
      <c r="U89" s="166" t="s">
        <v>2794</v>
      </c>
      <c r="V89" s="125" t="s">
        <v>2795</v>
      </c>
      <c r="W89" s="166" t="s">
        <v>2796</v>
      </c>
      <c r="X89" s="125" t="s">
        <v>2797</v>
      </c>
      <c r="Y89" s="166" t="s">
        <v>2798</v>
      </c>
      <c r="Z89" s="125" t="s">
        <v>2799</v>
      </c>
      <c r="AA89" s="166" t="s">
        <v>2800</v>
      </c>
      <c r="AB89" s="125" t="s">
        <v>2801</v>
      </c>
      <c r="AC89" s="166" t="s">
        <v>2817</v>
      </c>
      <c r="AD89" s="125" t="s">
        <v>2818</v>
      </c>
      <c r="AE89" s="166" t="s">
        <v>2819</v>
      </c>
      <c r="AF89" s="125" t="s">
        <v>2821</v>
      </c>
      <c r="AG89" s="166" t="s">
        <v>2822</v>
      </c>
      <c r="AH89" s="125" t="s">
        <v>2823</v>
      </c>
      <c r="AI89" s="166" t="s">
        <v>2824</v>
      </c>
      <c r="AJ89" s="125" t="s">
        <v>2825</v>
      </c>
      <c r="AK89" s="166" t="s">
        <v>2826</v>
      </c>
      <c r="AL89" s="125" t="s">
        <v>2827</v>
      </c>
      <c r="AM89" s="227" t="s">
        <v>2831</v>
      </c>
      <c r="AN89" s="319" t="s">
        <v>2832</v>
      </c>
      <c r="AO89" s="1689" t="s">
        <v>2833</v>
      </c>
      <c r="AP89" s="168" t="s">
        <v>2834</v>
      </c>
      <c r="AQ89" s="105" t="s">
        <v>3011</v>
      </c>
      <c r="AR89" s="105" t="s">
        <v>3012</v>
      </c>
      <c r="AS89" s="105" t="s">
        <v>3013</v>
      </c>
      <c r="AT89" s="105" t="s">
        <v>3014</v>
      </c>
      <c r="AU89" s="105" t="s">
        <v>3015</v>
      </c>
      <c r="AV89" s="1162" t="e">
        <f t="shared" si="9"/>
        <v>#VALUE!</v>
      </c>
      <c r="AW89" s="1058"/>
      <c r="AX89" s="1058"/>
      <c r="AY89" s="1058"/>
      <c r="AZ89" s="1058"/>
      <c r="BA89" s="1058"/>
      <c r="BB89" s="1058"/>
      <c r="BC89" s="1058"/>
      <c r="BD89" s="1058"/>
      <c r="BE89" s="1058"/>
      <c r="BF89" s="1058"/>
      <c r="BG89" s="884"/>
      <c r="BH89" s="884"/>
      <c r="BY89" s="210"/>
      <c r="CB89" s="1362" t="str">
        <f t="shared" si="10"/>
        <v/>
      </c>
      <c r="CC89" s="1362" t="e">
        <f t="shared" si="11"/>
        <v>#VALUE!</v>
      </c>
      <c r="CD89" s="1362" t="str">
        <f t="shared" si="12"/>
        <v xml:space="preserve">* Las consejerías realizadas en Espacios amigables NO DEBEN ser mayor al Total. </v>
      </c>
      <c r="CE89" s="1362" t="e">
        <f t="shared" si="13"/>
        <v>#VALUE!</v>
      </c>
      <c r="CF89" s="1362"/>
      <c r="CG89" s="1362"/>
      <c r="CH89" s="1363">
        <f t="shared" si="14"/>
        <v>0</v>
      </c>
      <c r="CI89" s="1363" t="e">
        <f t="shared" si="15"/>
        <v>#VALUE!</v>
      </c>
      <c r="CJ89" s="1363">
        <f t="shared" si="16"/>
        <v>1</v>
      </c>
      <c r="CK89" s="1363" t="e">
        <f t="shared" si="17"/>
        <v>#VALUE!</v>
      </c>
      <c r="CL89" s="1346"/>
      <c r="CM89" s="1346"/>
      <c r="CN89" s="1346"/>
      <c r="CO89" s="1346"/>
      <c r="CP89" s="1346"/>
    </row>
    <row r="90" spans="1:94" ht="32.1" customHeight="1" x14ac:dyDescent="0.25">
      <c r="B90" s="1690" t="s">
        <v>2658</v>
      </c>
      <c r="C90" s="1691"/>
      <c r="D90" s="1692"/>
      <c r="E90" s="1692"/>
      <c r="F90" s="1692"/>
      <c r="G90" s="1692"/>
      <c r="H90" s="1692"/>
      <c r="I90" s="1692"/>
      <c r="J90" s="1692"/>
      <c r="K90" s="1692"/>
      <c r="L90" s="1693"/>
      <c r="M90" s="1693"/>
      <c r="N90" s="881"/>
      <c r="O90" s="1694"/>
      <c r="P90" s="881"/>
      <c r="Q90" s="881"/>
      <c r="R90" s="881"/>
      <c r="S90" s="881"/>
      <c r="T90" s="881"/>
      <c r="U90" s="881"/>
      <c r="V90" s="881"/>
      <c r="W90" s="881"/>
      <c r="X90" s="1694"/>
      <c r="Y90" s="1694"/>
      <c r="Z90" s="1694"/>
      <c r="AA90" s="956"/>
      <c r="AB90" s="881"/>
      <c r="AC90" s="881"/>
      <c r="AD90" s="881"/>
      <c r="AE90" s="881"/>
      <c r="AF90" s="881"/>
      <c r="AG90" s="881"/>
      <c r="AH90" s="881"/>
      <c r="AI90" s="881"/>
      <c r="AJ90" s="881"/>
      <c r="AK90" s="881"/>
      <c r="AL90" s="881"/>
      <c r="AM90" s="881"/>
      <c r="AN90" s="881"/>
      <c r="AO90" s="881"/>
      <c r="AP90" s="881"/>
      <c r="AQ90" s="881"/>
      <c r="AR90" s="884"/>
      <c r="AS90" s="884"/>
      <c r="CH90" s="1346"/>
      <c r="CI90" s="1346"/>
      <c r="CJ90" s="1346"/>
      <c r="CK90" s="1346"/>
      <c r="CL90" s="1346"/>
      <c r="CM90" s="1346"/>
      <c r="CN90" s="1346"/>
      <c r="CO90" s="1346"/>
      <c r="CP90" s="1346"/>
    </row>
    <row r="91" spans="1:94" ht="21" customHeight="1" x14ac:dyDescent="0.25">
      <c r="B91" s="5787" t="s">
        <v>2659</v>
      </c>
      <c r="C91" s="6306" t="s">
        <v>2059</v>
      </c>
      <c r="D91" s="6308" t="s">
        <v>231</v>
      </c>
      <c r="E91" s="6309"/>
      <c r="F91" s="6219"/>
      <c r="G91" s="5160" t="s">
        <v>406</v>
      </c>
      <c r="H91" s="6321"/>
      <c r="I91" s="6321"/>
      <c r="J91" s="6321"/>
      <c r="K91" s="6321"/>
      <c r="L91" s="6321"/>
      <c r="M91" s="6321"/>
      <c r="N91" s="6321"/>
      <c r="O91" s="6321"/>
      <c r="P91" s="6321"/>
      <c r="Q91" s="6321"/>
      <c r="R91" s="6321"/>
      <c r="S91" s="6321"/>
      <c r="T91" s="6321"/>
      <c r="U91" s="6321"/>
      <c r="V91" s="6321"/>
      <c r="W91" s="6321"/>
      <c r="X91" s="6321"/>
      <c r="Y91" s="6321"/>
      <c r="Z91" s="6321"/>
      <c r="AA91" s="6321"/>
      <c r="AB91" s="6321"/>
      <c r="AC91" s="6321"/>
      <c r="AD91" s="6321"/>
      <c r="AE91" s="6321"/>
      <c r="AF91" s="6321"/>
      <c r="AG91" s="6321"/>
      <c r="AH91" s="6321"/>
      <c r="AI91" s="6321"/>
      <c r="AJ91" s="6321"/>
      <c r="AK91" s="6321"/>
      <c r="AL91" s="6321"/>
      <c r="AM91" s="6321"/>
      <c r="AN91" s="6212"/>
      <c r="AO91" s="6309" t="s">
        <v>411</v>
      </c>
      <c r="AP91" s="6219"/>
      <c r="AQ91" s="5787" t="s">
        <v>1359</v>
      </c>
      <c r="AR91" s="5787" t="s">
        <v>1358</v>
      </c>
      <c r="AS91" s="6301" t="s">
        <v>1483</v>
      </c>
      <c r="BY91" s="210"/>
      <c r="CH91" s="1346"/>
      <c r="CI91" s="1346"/>
      <c r="CJ91" s="1346"/>
      <c r="CK91" s="1346"/>
      <c r="CL91" s="1346"/>
      <c r="CM91" s="1346"/>
      <c r="CN91" s="1346"/>
      <c r="CO91" s="1346"/>
      <c r="CP91" s="1346"/>
    </row>
    <row r="92" spans="1:94" ht="22.5" customHeight="1" x14ac:dyDescent="0.25">
      <c r="B92" s="5113"/>
      <c r="C92" s="5135"/>
      <c r="D92" s="5799"/>
      <c r="E92" s="5772"/>
      <c r="F92" s="5773"/>
      <c r="G92" s="5165" t="s">
        <v>350</v>
      </c>
      <c r="H92" s="5167"/>
      <c r="I92" s="5165" t="s">
        <v>351</v>
      </c>
      <c r="J92" s="5167"/>
      <c r="K92" s="5160" t="s">
        <v>1761</v>
      </c>
      <c r="L92" s="5162"/>
      <c r="M92" s="5160" t="s">
        <v>9</v>
      </c>
      <c r="N92" s="5162"/>
      <c r="O92" s="5160" t="s">
        <v>1762</v>
      </c>
      <c r="P92" s="5162"/>
      <c r="Q92" s="5160" t="s">
        <v>11</v>
      </c>
      <c r="R92" s="5162"/>
      <c r="S92" s="5160" t="s">
        <v>12</v>
      </c>
      <c r="T92" s="5162"/>
      <c r="U92" s="5160" t="s">
        <v>13</v>
      </c>
      <c r="V92" s="5162"/>
      <c r="W92" s="5160" t="s">
        <v>14</v>
      </c>
      <c r="X92" s="5162"/>
      <c r="Y92" s="5160" t="s">
        <v>15</v>
      </c>
      <c r="Z92" s="5162"/>
      <c r="AA92" s="5160" t="s">
        <v>16</v>
      </c>
      <c r="AB92" s="5162"/>
      <c r="AC92" s="5160" t="s">
        <v>17</v>
      </c>
      <c r="AD92" s="5162"/>
      <c r="AE92" s="5160" t="s">
        <v>18</v>
      </c>
      <c r="AF92" s="6321"/>
      <c r="AG92" s="5160" t="s">
        <v>19</v>
      </c>
      <c r="AH92" s="5162"/>
      <c r="AI92" s="6321" t="s">
        <v>20</v>
      </c>
      <c r="AJ92" s="6321"/>
      <c r="AK92" s="5160" t="s">
        <v>21</v>
      </c>
      <c r="AL92" s="5162"/>
      <c r="AM92" s="6321" t="s">
        <v>22</v>
      </c>
      <c r="AN92" s="6212"/>
      <c r="AO92" s="5772"/>
      <c r="AP92" s="5773"/>
      <c r="AQ92" s="5113"/>
      <c r="AR92" s="5113"/>
      <c r="AS92" s="5810"/>
      <c r="AT92" s="884"/>
      <c r="AU92" s="884"/>
      <c r="AV92" s="884"/>
      <c r="AW92" s="884"/>
      <c r="AX92" s="884"/>
      <c r="AY92" s="884"/>
      <c r="AZ92" s="884"/>
      <c r="BA92" s="884"/>
      <c r="BB92" s="884"/>
      <c r="BC92" s="884"/>
      <c r="BD92" s="884"/>
      <c r="BE92" s="884"/>
      <c r="BF92" s="884"/>
      <c r="BY92" s="210"/>
      <c r="CH92" s="1346"/>
      <c r="CI92" s="1346"/>
      <c r="CJ92" s="1346"/>
      <c r="CK92" s="1346"/>
      <c r="CL92" s="1346"/>
      <c r="CM92" s="1346"/>
      <c r="CN92" s="1346"/>
      <c r="CO92" s="1346"/>
      <c r="CP92" s="1346"/>
    </row>
    <row r="93" spans="1:94" ht="24" customHeight="1" x14ac:dyDescent="0.25">
      <c r="B93" s="5159"/>
      <c r="C93" s="6307"/>
      <c r="D93" s="1597" t="s">
        <v>2043</v>
      </c>
      <c r="E93" s="1695" t="s">
        <v>65</v>
      </c>
      <c r="F93" s="1628" t="s">
        <v>66</v>
      </c>
      <c r="G93" s="1595" t="s">
        <v>65</v>
      </c>
      <c r="H93" s="1666" t="s">
        <v>66</v>
      </c>
      <c r="I93" s="1595" t="s">
        <v>65</v>
      </c>
      <c r="J93" s="1666" t="s">
        <v>66</v>
      </c>
      <c r="K93" s="1595" t="s">
        <v>65</v>
      </c>
      <c r="L93" s="1666" t="s">
        <v>66</v>
      </c>
      <c r="M93" s="1595" t="s">
        <v>65</v>
      </c>
      <c r="N93" s="1666" t="s">
        <v>66</v>
      </c>
      <c r="O93" s="1595" t="s">
        <v>65</v>
      </c>
      <c r="P93" s="1696" t="s">
        <v>66</v>
      </c>
      <c r="Q93" s="1595" t="s">
        <v>65</v>
      </c>
      <c r="R93" s="1666" t="s">
        <v>66</v>
      </c>
      <c r="S93" s="1349" t="s">
        <v>65</v>
      </c>
      <c r="T93" s="1696" t="s">
        <v>66</v>
      </c>
      <c r="U93" s="1595" t="s">
        <v>65</v>
      </c>
      <c r="V93" s="1666" t="s">
        <v>66</v>
      </c>
      <c r="W93" s="1349" t="s">
        <v>65</v>
      </c>
      <c r="X93" s="1696" t="s">
        <v>66</v>
      </c>
      <c r="Y93" s="1595" t="s">
        <v>65</v>
      </c>
      <c r="Z93" s="1666" t="s">
        <v>66</v>
      </c>
      <c r="AA93" s="1349" t="s">
        <v>65</v>
      </c>
      <c r="AB93" s="1696" t="s">
        <v>66</v>
      </c>
      <c r="AC93" s="1595" t="s">
        <v>65</v>
      </c>
      <c r="AD93" s="1666" t="s">
        <v>66</v>
      </c>
      <c r="AE93" s="1595" t="s">
        <v>65</v>
      </c>
      <c r="AF93" s="1696" t="s">
        <v>66</v>
      </c>
      <c r="AG93" s="1595" t="s">
        <v>65</v>
      </c>
      <c r="AH93" s="1666" t="s">
        <v>66</v>
      </c>
      <c r="AI93" s="1349" t="s">
        <v>65</v>
      </c>
      <c r="AJ93" s="1696" t="s">
        <v>66</v>
      </c>
      <c r="AK93" s="1595" t="s">
        <v>65</v>
      </c>
      <c r="AL93" s="1666" t="s">
        <v>66</v>
      </c>
      <c r="AM93" s="1349" t="s">
        <v>65</v>
      </c>
      <c r="AN93" s="1697" t="s">
        <v>66</v>
      </c>
      <c r="AO93" s="1627" t="s">
        <v>1350</v>
      </c>
      <c r="AP93" s="1628" t="s">
        <v>1351</v>
      </c>
      <c r="AQ93" s="5159"/>
      <c r="AR93" s="5159"/>
      <c r="AS93" s="6300"/>
      <c r="AT93" s="884"/>
      <c r="AU93" s="884"/>
      <c r="AV93" s="884"/>
      <c r="AW93" s="884"/>
      <c r="AX93" s="884"/>
      <c r="AY93" s="884"/>
      <c r="AZ93" s="884"/>
      <c r="BA93" s="884"/>
      <c r="BB93" s="884"/>
      <c r="BC93" s="884"/>
      <c r="BD93" s="884"/>
      <c r="BE93" s="884"/>
      <c r="BF93" s="884"/>
      <c r="BY93" s="210"/>
      <c r="CH93" s="1346"/>
      <c r="CI93" s="1346"/>
      <c r="CJ93" s="1346"/>
      <c r="CK93" s="1346"/>
      <c r="CL93" s="1346"/>
      <c r="CM93" s="1346"/>
      <c r="CN93" s="1346"/>
      <c r="CO93" s="1346"/>
      <c r="CP93" s="1346"/>
    </row>
    <row r="94" spans="1:94" ht="19.5" customHeight="1" x14ac:dyDescent="0.25">
      <c r="A94" s="2458">
        <v>19150960</v>
      </c>
      <c r="B94" s="5787" t="s">
        <v>2060</v>
      </c>
      <c r="C94" s="1668" t="s">
        <v>2061</v>
      </c>
      <c r="D94" s="1633" t="s">
        <v>2777</v>
      </c>
      <c r="E94" s="1634" t="s">
        <v>2778</v>
      </c>
      <c r="F94" s="1698" t="s">
        <v>2779</v>
      </c>
      <c r="G94" s="770" t="s">
        <v>2780</v>
      </c>
      <c r="H94" s="771" t="s">
        <v>2781</v>
      </c>
      <c r="I94" s="770" t="s">
        <v>2782</v>
      </c>
      <c r="J94" s="772" t="s">
        <v>2783</v>
      </c>
      <c r="K94" s="770" t="s">
        <v>2784</v>
      </c>
      <c r="L94" s="771" t="s">
        <v>2785</v>
      </c>
      <c r="M94" s="137" t="s">
        <v>2786</v>
      </c>
      <c r="N94" s="123" t="s">
        <v>2787</v>
      </c>
      <c r="O94" s="1601" t="s">
        <v>2788</v>
      </c>
      <c r="P94" s="268" t="s">
        <v>2789</v>
      </c>
      <c r="Q94" s="1680" t="s">
        <v>2790</v>
      </c>
      <c r="R94" s="123" t="s">
        <v>2791</v>
      </c>
      <c r="S94" s="1616" t="s">
        <v>2792</v>
      </c>
      <c r="T94" s="268" t="s">
        <v>2793</v>
      </c>
      <c r="U94" s="137" t="s">
        <v>2794</v>
      </c>
      <c r="V94" s="1603" t="s">
        <v>2795</v>
      </c>
      <c r="W94" s="1601" t="s">
        <v>2796</v>
      </c>
      <c r="X94" s="1616" t="s">
        <v>2797</v>
      </c>
      <c r="Y94" s="137" t="s">
        <v>2798</v>
      </c>
      <c r="Z94" s="1603" t="s">
        <v>2799</v>
      </c>
      <c r="AA94" s="1601" t="s">
        <v>2800</v>
      </c>
      <c r="AB94" s="1616" t="s">
        <v>2801</v>
      </c>
      <c r="AC94" s="137" t="s">
        <v>2817</v>
      </c>
      <c r="AD94" s="1603" t="s">
        <v>2818</v>
      </c>
      <c r="AE94" s="137" t="s">
        <v>2819</v>
      </c>
      <c r="AF94" s="123" t="s">
        <v>2821</v>
      </c>
      <c r="AG94" s="940" t="s">
        <v>2822</v>
      </c>
      <c r="AH94" s="1699" t="s">
        <v>2823</v>
      </c>
      <c r="AI94" s="940" t="s">
        <v>2824</v>
      </c>
      <c r="AJ94" s="1699" t="s">
        <v>2825</v>
      </c>
      <c r="AK94" s="940" t="s">
        <v>2826</v>
      </c>
      <c r="AL94" s="1699" t="s">
        <v>2827</v>
      </c>
      <c r="AM94" s="1700" t="s">
        <v>2831</v>
      </c>
      <c r="AN94" s="1701" t="s">
        <v>2832</v>
      </c>
      <c r="AO94" s="180" t="s">
        <v>2833</v>
      </c>
      <c r="AP94" s="123" t="s">
        <v>2834</v>
      </c>
      <c r="AQ94" s="1604" t="s">
        <v>3011</v>
      </c>
      <c r="AR94" s="1603" t="s">
        <v>3012</v>
      </c>
      <c r="AS94" s="123" t="s">
        <v>3013</v>
      </c>
      <c r="AT94" s="1162" t="e">
        <f t="shared" ref="AT94:AT105" si="26">$CB94&amp;$CC94&amp;$CD94&amp;$CE94</f>
        <v>#VALUE!</v>
      </c>
      <c r="AU94" s="1058"/>
      <c r="AV94" s="1058"/>
      <c r="AW94" s="1058"/>
      <c r="AX94" s="1058"/>
      <c r="AY94" s="1058"/>
      <c r="AZ94" s="1058"/>
      <c r="BA94" s="1058"/>
      <c r="BB94" s="1058"/>
      <c r="BC94" s="1058"/>
      <c r="BD94" s="1058"/>
      <c r="BE94" s="884"/>
      <c r="BF94" s="884"/>
      <c r="BY94" s="210"/>
      <c r="CB94" s="1362" t="str">
        <f t="shared" ref="CB94:CB105" si="27">IF(CH94=1,"* No olvide digitar la columna Trans y/o Pueblos Originarios y/o Migrantes y/o Población SENAME (Digite Cero si no tiene). ","")</f>
        <v/>
      </c>
      <c r="CC94" s="1362" t="e">
        <f t="shared" ref="CC94:CC105" si="28">IF(CI94=1,"* El número de Trans y/o Pueblos Originarios y/o Migrantes y/o Población SENAME NO DEBE ser mayor que el Total. ","")</f>
        <v>#VALUE!</v>
      </c>
      <c r="CD94" s="1362"/>
      <c r="CE94" s="1362"/>
      <c r="CF94" s="1362"/>
      <c r="CG94" s="1362"/>
      <c r="CH94" s="1363">
        <f>IF(AND(D94&lt;&gt;0,OR(AP94="",AQ94="",AR94="",AS94="",AO94="")),1,0)</f>
        <v>0</v>
      </c>
      <c r="CI94" s="1363" t="e">
        <f>IF(OR(D94&lt;(AO94+AP94),D94&lt;AR94,D94&lt;AQ94,D94&lt;AS94),1,0)</f>
        <v>#VALUE!</v>
      </c>
      <c r="CJ94" s="1363"/>
      <c r="CK94" s="1363"/>
      <c r="CL94" s="1346"/>
      <c r="CM94" s="1346"/>
      <c r="CN94" s="1346"/>
      <c r="CO94" s="1346"/>
      <c r="CP94" s="1346"/>
    </row>
    <row r="95" spans="1:94" ht="19.5" customHeight="1" x14ac:dyDescent="0.25">
      <c r="A95" s="2458">
        <v>19150970</v>
      </c>
      <c r="B95" s="5113"/>
      <c r="C95" s="179" t="s">
        <v>2062</v>
      </c>
      <c r="D95" s="1635" t="s">
        <v>2777</v>
      </c>
      <c r="E95" s="1636" t="s">
        <v>2778</v>
      </c>
      <c r="F95" s="200" t="s">
        <v>2779</v>
      </c>
      <c r="G95" s="141" t="s">
        <v>2780</v>
      </c>
      <c r="H95" s="143" t="s">
        <v>2781</v>
      </c>
      <c r="I95" s="141" t="s">
        <v>2782</v>
      </c>
      <c r="J95" s="198" t="s">
        <v>2783</v>
      </c>
      <c r="K95" s="180" t="s">
        <v>2784</v>
      </c>
      <c r="L95" s="247" t="s">
        <v>2785</v>
      </c>
      <c r="M95" s="141" t="s">
        <v>2786</v>
      </c>
      <c r="N95" s="163" t="s">
        <v>2787</v>
      </c>
      <c r="O95" s="180" t="s">
        <v>2788</v>
      </c>
      <c r="P95" s="247" t="s">
        <v>2789</v>
      </c>
      <c r="Q95" s="224" t="s">
        <v>2790</v>
      </c>
      <c r="R95" s="163" t="s">
        <v>2791</v>
      </c>
      <c r="S95" s="143" t="s">
        <v>2792</v>
      </c>
      <c r="T95" s="247" t="s">
        <v>2793</v>
      </c>
      <c r="U95" s="141" t="s">
        <v>2794</v>
      </c>
      <c r="V95" s="198" t="s">
        <v>2795</v>
      </c>
      <c r="W95" s="180" t="s">
        <v>2796</v>
      </c>
      <c r="X95" s="143" t="s">
        <v>2797</v>
      </c>
      <c r="Y95" s="141" t="s">
        <v>2798</v>
      </c>
      <c r="Z95" s="198" t="s">
        <v>2799</v>
      </c>
      <c r="AA95" s="180" t="s">
        <v>2800</v>
      </c>
      <c r="AB95" s="143" t="s">
        <v>2801</v>
      </c>
      <c r="AC95" s="141" t="s">
        <v>2817</v>
      </c>
      <c r="AD95" s="198" t="s">
        <v>2818</v>
      </c>
      <c r="AE95" s="141" t="s">
        <v>2819</v>
      </c>
      <c r="AF95" s="163" t="s">
        <v>2821</v>
      </c>
      <c r="AG95" s="141" t="s">
        <v>2822</v>
      </c>
      <c r="AH95" s="198" t="s">
        <v>2823</v>
      </c>
      <c r="AI95" s="141" t="s">
        <v>2824</v>
      </c>
      <c r="AJ95" s="198" t="s">
        <v>2825</v>
      </c>
      <c r="AK95" s="141" t="s">
        <v>2826</v>
      </c>
      <c r="AL95" s="198" t="s">
        <v>2827</v>
      </c>
      <c r="AM95" s="180" t="s">
        <v>2831</v>
      </c>
      <c r="AN95" s="498" t="s">
        <v>2832</v>
      </c>
      <c r="AO95" s="180" t="s">
        <v>2833</v>
      </c>
      <c r="AP95" s="163" t="s">
        <v>2834</v>
      </c>
      <c r="AQ95" s="164" t="s">
        <v>3011</v>
      </c>
      <c r="AR95" s="198" t="s">
        <v>3012</v>
      </c>
      <c r="AS95" s="163" t="s">
        <v>3013</v>
      </c>
      <c r="AT95" s="1162" t="e">
        <f t="shared" si="26"/>
        <v>#VALUE!</v>
      </c>
      <c r="AU95" s="1058"/>
      <c r="AV95" s="1058"/>
      <c r="AW95" s="1058"/>
      <c r="AX95" s="1058"/>
      <c r="AY95" s="1058"/>
      <c r="AZ95" s="1058"/>
      <c r="BA95" s="1058"/>
      <c r="BB95" s="1058"/>
      <c r="BC95" s="1058"/>
      <c r="BD95" s="1058"/>
      <c r="BE95" s="884"/>
      <c r="BF95" s="884"/>
      <c r="BY95" s="210"/>
      <c r="CB95" s="1362" t="str">
        <f t="shared" si="27"/>
        <v/>
      </c>
      <c r="CC95" s="1362" t="e">
        <f t="shared" si="28"/>
        <v>#VALUE!</v>
      </c>
      <c r="CH95" s="1363">
        <f t="shared" ref="CH95:CH105" si="29">IF(AND(D95&lt;&gt;0,OR(AP95="",AQ95="",AR95="",AS95="",AO95="")),1,0)</f>
        <v>0</v>
      </c>
      <c r="CI95" s="1363" t="e">
        <f t="shared" ref="CI95:CI105" si="30">IF(OR(D95&lt;(AO95+AP95),D95&lt;AR95,D95&lt;AQ95,D95&lt;AS95),1,0)</f>
        <v>#VALUE!</v>
      </c>
      <c r="CJ95" s="1346"/>
      <c r="CK95" s="1346"/>
      <c r="CL95" s="1346"/>
      <c r="CM95" s="1346"/>
      <c r="CN95" s="1346"/>
      <c r="CO95" s="1346"/>
      <c r="CP95" s="1346"/>
    </row>
    <row r="96" spans="1:94" ht="19.5" customHeight="1" x14ac:dyDescent="0.25">
      <c r="A96" s="2458">
        <v>19150980</v>
      </c>
      <c r="B96" s="5113"/>
      <c r="C96" s="179" t="s">
        <v>2063</v>
      </c>
      <c r="D96" s="1635" t="s">
        <v>2777</v>
      </c>
      <c r="E96" s="1636" t="s">
        <v>2778</v>
      </c>
      <c r="F96" s="200" t="s">
        <v>2779</v>
      </c>
      <c r="G96" s="141" t="s">
        <v>2780</v>
      </c>
      <c r="H96" s="143" t="s">
        <v>2781</v>
      </c>
      <c r="I96" s="141" t="s">
        <v>2782</v>
      </c>
      <c r="J96" s="198" t="s">
        <v>2783</v>
      </c>
      <c r="K96" s="180" t="s">
        <v>2784</v>
      </c>
      <c r="L96" s="247" t="s">
        <v>2785</v>
      </c>
      <c r="M96" s="141" t="s">
        <v>2786</v>
      </c>
      <c r="N96" s="163" t="s">
        <v>2787</v>
      </c>
      <c r="O96" s="180" t="s">
        <v>2788</v>
      </c>
      <c r="P96" s="247" t="s">
        <v>2789</v>
      </c>
      <c r="Q96" s="224" t="s">
        <v>2790</v>
      </c>
      <c r="R96" s="163" t="s">
        <v>2791</v>
      </c>
      <c r="S96" s="143" t="s">
        <v>2792</v>
      </c>
      <c r="T96" s="247" t="s">
        <v>2793</v>
      </c>
      <c r="U96" s="141" t="s">
        <v>2794</v>
      </c>
      <c r="V96" s="198" t="s">
        <v>2795</v>
      </c>
      <c r="W96" s="180" t="s">
        <v>2796</v>
      </c>
      <c r="X96" s="143" t="s">
        <v>2797</v>
      </c>
      <c r="Y96" s="141" t="s">
        <v>2798</v>
      </c>
      <c r="Z96" s="198" t="s">
        <v>2799</v>
      </c>
      <c r="AA96" s="180" t="s">
        <v>2800</v>
      </c>
      <c r="AB96" s="143" t="s">
        <v>2801</v>
      </c>
      <c r="AC96" s="141" t="s">
        <v>2817</v>
      </c>
      <c r="AD96" s="198" t="s">
        <v>2818</v>
      </c>
      <c r="AE96" s="141" t="s">
        <v>2819</v>
      </c>
      <c r="AF96" s="163" t="s">
        <v>2821</v>
      </c>
      <c r="AG96" s="141" t="s">
        <v>2822</v>
      </c>
      <c r="AH96" s="198" t="s">
        <v>2823</v>
      </c>
      <c r="AI96" s="141" t="s">
        <v>2824</v>
      </c>
      <c r="AJ96" s="198" t="s">
        <v>2825</v>
      </c>
      <c r="AK96" s="141" t="s">
        <v>2826</v>
      </c>
      <c r="AL96" s="198" t="s">
        <v>2827</v>
      </c>
      <c r="AM96" s="180" t="s">
        <v>2831</v>
      </c>
      <c r="AN96" s="498" t="s">
        <v>2832</v>
      </c>
      <c r="AO96" s="180" t="s">
        <v>2833</v>
      </c>
      <c r="AP96" s="163" t="s">
        <v>2834</v>
      </c>
      <c r="AQ96" s="164" t="s">
        <v>3011</v>
      </c>
      <c r="AR96" s="198" t="s">
        <v>3012</v>
      </c>
      <c r="AS96" s="163" t="s">
        <v>3013</v>
      </c>
      <c r="AT96" s="1162" t="e">
        <f t="shared" si="26"/>
        <v>#VALUE!</v>
      </c>
      <c r="AU96" s="1058"/>
      <c r="AV96" s="1058"/>
      <c r="AW96" s="1058"/>
      <c r="AX96" s="1058"/>
      <c r="AY96" s="1058"/>
      <c r="AZ96" s="1058"/>
      <c r="BA96" s="1058"/>
      <c r="BB96" s="1058"/>
      <c r="BC96" s="1058"/>
      <c r="BD96" s="1058"/>
      <c r="BE96" s="884"/>
      <c r="BF96" s="884"/>
      <c r="BY96" s="210"/>
      <c r="CB96" s="1362" t="str">
        <f t="shared" si="27"/>
        <v/>
      </c>
      <c r="CC96" s="1362" t="e">
        <f t="shared" si="28"/>
        <v>#VALUE!</v>
      </c>
      <c r="CH96" s="1363">
        <f t="shared" si="29"/>
        <v>0</v>
      </c>
      <c r="CI96" s="1363" t="e">
        <f t="shared" si="30"/>
        <v>#VALUE!</v>
      </c>
      <c r="CJ96" s="1346"/>
      <c r="CK96" s="1346"/>
      <c r="CL96" s="1346"/>
      <c r="CM96" s="1346"/>
      <c r="CN96" s="1346"/>
      <c r="CO96" s="1346"/>
      <c r="CP96" s="1346"/>
    </row>
    <row r="97" spans="1:94" ht="19.5" customHeight="1" x14ac:dyDescent="0.25">
      <c r="A97" s="2458">
        <v>19150990</v>
      </c>
      <c r="B97" s="5113"/>
      <c r="C97" s="179" t="s">
        <v>2064</v>
      </c>
      <c r="D97" s="1635" t="s">
        <v>2777</v>
      </c>
      <c r="E97" s="1636" t="s">
        <v>2778</v>
      </c>
      <c r="F97" s="200" t="s">
        <v>2779</v>
      </c>
      <c r="G97" s="141" t="s">
        <v>2780</v>
      </c>
      <c r="H97" s="143" t="s">
        <v>2781</v>
      </c>
      <c r="I97" s="141" t="s">
        <v>2782</v>
      </c>
      <c r="J97" s="198" t="s">
        <v>2783</v>
      </c>
      <c r="K97" s="180" t="s">
        <v>2784</v>
      </c>
      <c r="L97" s="247" t="s">
        <v>2785</v>
      </c>
      <c r="M97" s="141" t="s">
        <v>2786</v>
      </c>
      <c r="N97" s="163" t="s">
        <v>2787</v>
      </c>
      <c r="O97" s="180" t="s">
        <v>2788</v>
      </c>
      <c r="P97" s="247" t="s">
        <v>2789</v>
      </c>
      <c r="Q97" s="224" t="s">
        <v>2790</v>
      </c>
      <c r="R97" s="163" t="s">
        <v>2791</v>
      </c>
      <c r="S97" s="143" t="s">
        <v>2792</v>
      </c>
      <c r="T97" s="247" t="s">
        <v>2793</v>
      </c>
      <c r="U97" s="141" t="s">
        <v>2794</v>
      </c>
      <c r="V97" s="198" t="s">
        <v>2795</v>
      </c>
      <c r="W97" s="180" t="s">
        <v>2796</v>
      </c>
      <c r="X97" s="143" t="s">
        <v>2797</v>
      </c>
      <c r="Y97" s="141" t="s">
        <v>2798</v>
      </c>
      <c r="Z97" s="198" t="s">
        <v>2799</v>
      </c>
      <c r="AA97" s="180" t="s">
        <v>2800</v>
      </c>
      <c r="AB97" s="143" t="s">
        <v>2801</v>
      </c>
      <c r="AC97" s="141" t="s">
        <v>2817</v>
      </c>
      <c r="AD97" s="198" t="s">
        <v>2818</v>
      </c>
      <c r="AE97" s="141" t="s">
        <v>2819</v>
      </c>
      <c r="AF97" s="163" t="s">
        <v>2821</v>
      </c>
      <c r="AG97" s="141" t="s">
        <v>2822</v>
      </c>
      <c r="AH97" s="198" t="s">
        <v>2823</v>
      </c>
      <c r="AI97" s="141" t="s">
        <v>2824</v>
      </c>
      <c r="AJ97" s="198" t="s">
        <v>2825</v>
      </c>
      <c r="AK97" s="141" t="s">
        <v>2826</v>
      </c>
      <c r="AL97" s="198" t="s">
        <v>2827</v>
      </c>
      <c r="AM97" s="180" t="s">
        <v>2831</v>
      </c>
      <c r="AN97" s="498" t="s">
        <v>2832</v>
      </c>
      <c r="AO97" s="180" t="s">
        <v>2833</v>
      </c>
      <c r="AP97" s="163" t="s">
        <v>2834</v>
      </c>
      <c r="AQ97" s="164" t="s">
        <v>3011</v>
      </c>
      <c r="AR97" s="198" t="s">
        <v>3012</v>
      </c>
      <c r="AS97" s="163" t="s">
        <v>3013</v>
      </c>
      <c r="AT97" s="1162" t="e">
        <f t="shared" si="26"/>
        <v>#VALUE!</v>
      </c>
      <c r="AU97" s="1058"/>
      <c r="AV97" s="1058"/>
      <c r="AW97" s="1058"/>
      <c r="AX97" s="1058"/>
      <c r="AY97" s="1058"/>
      <c r="AZ97" s="1058"/>
      <c r="BA97" s="1058"/>
      <c r="BB97" s="1058"/>
      <c r="BC97" s="1058"/>
      <c r="BD97" s="1058"/>
      <c r="BE97" s="884"/>
      <c r="BF97" s="884"/>
      <c r="BY97" s="210"/>
      <c r="CB97" s="1362" t="str">
        <f t="shared" si="27"/>
        <v/>
      </c>
      <c r="CC97" s="1362" t="e">
        <f t="shared" si="28"/>
        <v>#VALUE!</v>
      </c>
      <c r="CH97" s="1363">
        <f t="shared" si="29"/>
        <v>0</v>
      </c>
      <c r="CI97" s="1363" t="e">
        <f t="shared" si="30"/>
        <v>#VALUE!</v>
      </c>
      <c r="CJ97" s="1346"/>
      <c r="CK97" s="1346"/>
      <c r="CL97" s="1346"/>
      <c r="CM97" s="1346"/>
      <c r="CN97" s="1346"/>
      <c r="CO97" s="1346"/>
      <c r="CP97" s="1346"/>
    </row>
    <row r="98" spans="1:94" ht="19.5" customHeight="1" x14ac:dyDescent="0.25">
      <c r="A98" s="2458">
        <v>19182040</v>
      </c>
      <c r="B98" s="5113"/>
      <c r="C98" s="181" t="s">
        <v>2065</v>
      </c>
      <c r="D98" s="630" t="s">
        <v>2777</v>
      </c>
      <c r="E98" s="704" t="s">
        <v>2778</v>
      </c>
      <c r="F98" s="264" t="s">
        <v>2779</v>
      </c>
      <c r="G98" s="115" t="s">
        <v>2780</v>
      </c>
      <c r="H98" s="1702" t="s">
        <v>2781</v>
      </c>
      <c r="I98" s="115" t="s">
        <v>2782</v>
      </c>
      <c r="J98" s="258" t="s">
        <v>2783</v>
      </c>
      <c r="K98" s="180" t="s">
        <v>2784</v>
      </c>
      <c r="L98" s="247" t="s">
        <v>2785</v>
      </c>
      <c r="M98" s="182" t="s">
        <v>2786</v>
      </c>
      <c r="N98" s="183" t="s">
        <v>2787</v>
      </c>
      <c r="O98" s="144" t="s">
        <v>2788</v>
      </c>
      <c r="P98" s="147" t="s">
        <v>2789</v>
      </c>
      <c r="Q98" s="1472" t="s">
        <v>2790</v>
      </c>
      <c r="R98" s="118" t="s">
        <v>2791</v>
      </c>
      <c r="S98" s="1702" t="s">
        <v>2792</v>
      </c>
      <c r="T98" s="1372" t="s">
        <v>2793</v>
      </c>
      <c r="U98" s="115" t="s">
        <v>2794</v>
      </c>
      <c r="V98" s="258" t="s">
        <v>2795</v>
      </c>
      <c r="W98" s="497" t="s">
        <v>2796</v>
      </c>
      <c r="X98" s="1702" t="s">
        <v>2797</v>
      </c>
      <c r="Y98" s="115" t="s">
        <v>2798</v>
      </c>
      <c r="Z98" s="258" t="s">
        <v>2799</v>
      </c>
      <c r="AA98" s="497" t="s">
        <v>2800</v>
      </c>
      <c r="AB98" s="1702" t="s">
        <v>2801</v>
      </c>
      <c r="AC98" s="115" t="s">
        <v>2817</v>
      </c>
      <c r="AD98" s="258" t="s">
        <v>2818</v>
      </c>
      <c r="AE98" s="115" t="s">
        <v>2819</v>
      </c>
      <c r="AF98" s="118" t="s">
        <v>2821</v>
      </c>
      <c r="AG98" s="115" t="s">
        <v>2822</v>
      </c>
      <c r="AH98" s="258" t="s">
        <v>2823</v>
      </c>
      <c r="AI98" s="115" t="s">
        <v>2824</v>
      </c>
      <c r="AJ98" s="258" t="s">
        <v>2825</v>
      </c>
      <c r="AK98" s="115" t="s">
        <v>2826</v>
      </c>
      <c r="AL98" s="258" t="s">
        <v>2827</v>
      </c>
      <c r="AM98" s="1702" t="s">
        <v>2831</v>
      </c>
      <c r="AN98" s="1374" t="s">
        <v>2832</v>
      </c>
      <c r="AO98" s="180" t="s">
        <v>2833</v>
      </c>
      <c r="AP98" s="163" t="s">
        <v>2834</v>
      </c>
      <c r="AQ98" s="164" t="s">
        <v>3011</v>
      </c>
      <c r="AR98" s="240" t="s">
        <v>3012</v>
      </c>
      <c r="AS98" s="183" t="s">
        <v>3013</v>
      </c>
      <c r="AT98" s="1162" t="e">
        <f t="shared" si="26"/>
        <v>#VALUE!</v>
      </c>
      <c r="AU98" s="1058"/>
      <c r="AV98" s="1058"/>
      <c r="AW98" s="1058"/>
      <c r="AX98" s="1058"/>
      <c r="AY98" s="1058"/>
      <c r="AZ98" s="1058"/>
      <c r="BA98" s="1058"/>
      <c r="BB98" s="1058"/>
      <c r="BC98" s="1058"/>
      <c r="BD98" s="1058"/>
      <c r="BE98" s="884"/>
      <c r="BF98" s="884"/>
      <c r="BY98" s="210"/>
      <c r="CB98" s="1362" t="str">
        <f t="shared" si="27"/>
        <v/>
      </c>
      <c r="CC98" s="1362" t="e">
        <f t="shared" si="28"/>
        <v>#VALUE!</v>
      </c>
      <c r="CH98" s="1363">
        <f t="shared" si="29"/>
        <v>0</v>
      </c>
      <c r="CI98" s="1363" t="e">
        <f t="shared" si="30"/>
        <v>#VALUE!</v>
      </c>
      <c r="CJ98" s="1346"/>
      <c r="CK98" s="1346"/>
      <c r="CL98" s="1346"/>
      <c r="CM98" s="1346"/>
      <c r="CN98" s="1346"/>
      <c r="CO98" s="1346"/>
      <c r="CP98" s="1346"/>
    </row>
    <row r="99" spans="1:94" ht="19.5" customHeight="1" x14ac:dyDescent="0.25">
      <c r="A99" s="2458">
        <v>19160100</v>
      </c>
      <c r="B99" s="5159"/>
      <c r="C99" s="283" t="s">
        <v>2066</v>
      </c>
      <c r="D99" s="1637" t="s">
        <v>2777</v>
      </c>
      <c r="E99" s="1638" t="s">
        <v>2778</v>
      </c>
      <c r="F99" s="202" t="s">
        <v>2779</v>
      </c>
      <c r="G99" s="166" t="s">
        <v>2780</v>
      </c>
      <c r="H99" s="265" t="s">
        <v>2781</v>
      </c>
      <c r="I99" s="166" t="s">
        <v>2782</v>
      </c>
      <c r="J99" s="168" t="s">
        <v>2783</v>
      </c>
      <c r="K99" s="126" t="s">
        <v>2784</v>
      </c>
      <c r="L99" s="270" t="s">
        <v>2785</v>
      </c>
      <c r="M99" s="166" t="s">
        <v>2786</v>
      </c>
      <c r="N99" s="125" t="s">
        <v>2787</v>
      </c>
      <c r="O99" s="126" t="s">
        <v>2788</v>
      </c>
      <c r="P99" s="270" t="s">
        <v>2789</v>
      </c>
      <c r="Q99" s="227" t="s">
        <v>2790</v>
      </c>
      <c r="R99" s="125" t="s">
        <v>2791</v>
      </c>
      <c r="S99" s="265" t="s">
        <v>2792</v>
      </c>
      <c r="T99" s="270" t="s">
        <v>2793</v>
      </c>
      <c r="U99" s="166" t="s">
        <v>2794</v>
      </c>
      <c r="V99" s="168" t="s">
        <v>2795</v>
      </c>
      <c r="W99" s="126" t="s">
        <v>2796</v>
      </c>
      <c r="X99" s="265" t="s">
        <v>2797</v>
      </c>
      <c r="Y99" s="166" t="s">
        <v>2798</v>
      </c>
      <c r="Z99" s="168" t="s">
        <v>2799</v>
      </c>
      <c r="AA99" s="126" t="s">
        <v>2800</v>
      </c>
      <c r="AB99" s="265" t="s">
        <v>2801</v>
      </c>
      <c r="AC99" s="166" t="s">
        <v>2817</v>
      </c>
      <c r="AD99" s="168" t="s">
        <v>2818</v>
      </c>
      <c r="AE99" s="166" t="s">
        <v>2819</v>
      </c>
      <c r="AF99" s="125" t="s">
        <v>2821</v>
      </c>
      <c r="AG99" s="166" t="s">
        <v>2822</v>
      </c>
      <c r="AH99" s="168" t="s">
        <v>2823</v>
      </c>
      <c r="AI99" s="166" t="s">
        <v>2824</v>
      </c>
      <c r="AJ99" s="168" t="s">
        <v>2825</v>
      </c>
      <c r="AK99" s="166" t="s">
        <v>2826</v>
      </c>
      <c r="AL99" s="168" t="s">
        <v>2827</v>
      </c>
      <c r="AM99" s="166" t="s">
        <v>2831</v>
      </c>
      <c r="AN99" s="168" t="s">
        <v>2832</v>
      </c>
      <c r="AO99" s="180" t="s">
        <v>2833</v>
      </c>
      <c r="AP99" s="163" t="s">
        <v>2834</v>
      </c>
      <c r="AQ99" s="164" t="s">
        <v>3011</v>
      </c>
      <c r="AR99" s="198" t="s">
        <v>3012</v>
      </c>
      <c r="AS99" s="163" t="s">
        <v>3013</v>
      </c>
      <c r="AT99" s="1162" t="e">
        <f t="shared" si="26"/>
        <v>#VALUE!</v>
      </c>
      <c r="AU99" s="1058"/>
      <c r="AV99" s="1058"/>
      <c r="AW99" s="1058"/>
      <c r="AX99" s="1058"/>
      <c r="AY99" s="1058"/>
      <c r="AZ99" s="1058"/>
      <c r="BA99" s="1058"/>
      <c r="BB99" s="1058"/>
      <c r="BC99" s="1058"/>
      <c r="BD99" s="1058"/>
      <c r="BE99" s="884"/>
      <c r="BF99" s="884"/>
      <c r="BY99" s="210"/>
      <c r="CB99" s="1362" t="str">
        <f t="shared" si="27"/>
        <v/>
      </c>
      <c r="CC99" s="1362" t="e">
        <f t="shared" si="28"/>
        <v>#VALUE!</v>
      </c>
      <c r="CH99" s="1363">
        <f t="shared" si="29"/>
        <v>0</v>
      </c>
      <c r="CI99" s="1363" t="e">
        <f t="shared" si="30"/>
        <v>#VALUE!</v>
      </c>
      <c r="CJ99" s="1346"/>
      <c r="CK99" s="1346"/>
      <c r="CL99" s="1346"/>
      <c r="CM99" s="1346"/>
      <c r="CN99" s="1346"/>
      <c r="CO99" s="1346"/>
      <c r="CP99" s="1346"/>
    </row>
    <row r="100" spans="1:94" ht="19.5" customHeight="1" x14ac:dyDescent="0.25">
      <c r="A100" s="2458">
        <v>19160200</v>
      </c>
      <c r="B100" s="5787" t="s">
        <v>2067</v>
      </c>
      <c r="C100" s="1668" t="s">
        <v>2061</v>
      </c>
      <c r="D100" s="1633" t="s">
        <v>2777</v>
      </c>
      <c r="E100" s="1634" t="s">
        <v>2778</v>
      </c>
      <c r="F100" s="1698" t="s">
        <v>2779</v>
      </c>
      <c r="G100" s="770" t="s">
        <v>2780</v>
      </c>
      <c r="H100" s="771" t="s">
        <v>2781</v>
      </c>
      <c r="I100" s="770" t="s">
        <v>2782</v>
      </c>
      <c r="J100" s="772" t="s">
        <v>2783</v>
      </c>
      <c r="K100" s="770" t="s">
        <v>2784</v>
      </c>
      <c r="L100" s="771" t="s">
        <v>2785</v>
      </c>
      <c r="M100" s="137" t="s">
        <v>2786</v>
      </c>
      <c r="N100" s="123" t="s">
        <v>2787</v>
      </c>
      <c r="O100" s="1601" t="s">
        <v>2788</v>
      </c>
      <c r="P100" s="268" t="s">
        <v>2789</v>
      </c>
      <c r="Q100" s="1680" t="s">
        <v>2790</v>
      </c>
      <c r="R100" s="123" t="s">
        <v>2791</v>
      </c>
      <c r="S100" s="1616" t="s">
        <v>2792</v>
      </c>
      <c r="T100" s="268" t="s">
        <v>2793</v>
      </c>
      <c r="U100" s="137" t="s">
        <v>2794</v>
      </c>
      <c r="V100" s="1603" t="s">
        <v>2795</v>
      </c>
      <c r="W100" s="1601" t="s">
        <v>2796</v>
      </c>
      <c r="X100" s="1616" t="s">
        <v>2797</v>
      </c>
      <c r="Y100" s="137" t="s">
        <v>2798</v>
      </c>
      <c r="Z100" s="1603" t="s">
        <v>2799</v>
      </c>
      <c r="AA100" s="1601" t="s">
        <v>2800</v>
      </c>
      <c r="AB100" s="1616" t="s">
        <v>2801</v>
      </c>
      <c r="AC100" s="137" t="s">
        <v>2817</v>
      </c>
      <c r="AD100" s="1603" t="s">
        <v>2818</v>
      </c>
      <c r="AE100" s="137" t="s">
        <v>2819</v>
      </c>
      <c r="AF100" s="123" t="s">
        <v>2821</v>
      </c>
      <c r="AG100" s="936" t="s">
        <v>2822</v>
      </c>
      <c r="AH100" s="941" t="s">
        <v>2823</v>
      </c>
      <c r="AI100" s="936" t="s">
        <v>2824</v>
      </c>
      <c r="AJ100" s="941" t="s">
        <v>2825</v>
      </c>
      <c r="AK100" s="936" t="s">
        <v>2826</v>
      </c>
      <c r="AL100" s="941" t="s">
        <v>2827</v>
      </c>
      <c r="AM100" s="1703" t="s">
        <v>2831</v>
      </c>
      <c r="AN100" s="1704" t="s">
        <v>2832</v>
      </c>
      <c r="AO100" s="180" t="s">
        <v>2833</v>
      </c>
      <c r="AP100" s="163" t="s">
        <v>2834</v>
      </c>
      <c r="AQ100" s="164" t="s">
        <v>3011</v>
      </c>
      <c r="AR100" s="197" t="s">
        <v>3012</v>
      </c>
      <c r="AS100" s="171" t="s">
        <v>3013</v>
      </c>
      <c r="AT100" s="1162" t="e">
        <f t="shared" si="26"/>
        <v>#VALUE!</v>
      </c>
      <c r="AU100" s="1058"/>
      <c r="AV100" s="1058"/>
      <c r="AW100" s="1058"/>
      <c r="AX100" s="1058"/>
      <c r="AY100" s="1058"/>
      <c r="AZ100" s="1058"/>
      <c r="BA100" s="1058"/>
      <c r="BB100" s="1058"/>
      <c r="BC100" s="1058"/>
      <c r="BD100" s="1058"/>
      <c r="BE100" s="884"/>
      <c r="BF100" s="884"/>
      <c r="BY100" s="210"/>
      <c r="CB100" s="1362" t="str">
        <f t="shared" si="27"/>
        <v/>
      </c>
      <c r="CC100" s="1362" t="e">
        <f t="shared" si="28"/>
        <v>#VALUE!</v>
      </c>
      <c r="CH100" s="1363">
        <f t="shared" si="29"/>
        <v>0</v>
      </c>
      <c r="CI100" s="1363" t="e">
        <f t="shared" si="30"/>
        <v>#VALUE!</v>
      </c>
      <c r="CJ100" s="1346"/>
      <c r="CK100" s="1346"/>
      <c r="CL100" s="1346"/>
      <c r="CM100" s="1346"/>
      <c r="CN100" s="1346"/>
      <c r="CO100" s="1346"/>
      <c r="CP100" s="1346"/>
    </row>
    <row r="101" spans="1:94" ht="19.5" customHeight="1" x14ac:dyDescent="0.25">
      <c r="A101" s="2458">
        <v>19160300</v>
      </c>
      <c r="B101" s="5113"/>
      <c r="C101" s="179" t="s">
        <v>2062</v>
      </c>
      <c r="D101" s="1635" t="s">
        <v>2777</v>
      </c>
      <c r="E101" s="1636" t="s">
        <v>2778</v>
      </c>
      <c r="F101" s="200" t="s">
        <v>2779</v>
      </c>
      <c r="G101" s="141" t="s">
        <v>2780</v>
      </c>
      <c r="H101" s="493" t="s">
        <v>2781</v>
      </c>
      <c r="I101" s="141" t="s">
        <v>2782</v>
      </c>
      <c r="J101" s="197" t="s">
        <v>2783</v>
      </c>
      <c r="K101" s="141" t="s">
        <v>2784</v>
      </c>
      <c r="L101" s="493" t="s">
        <v>2785</v>
      </c>
      <c r="M101" s="141" t="s">
        <v>2786</v>
      </c>
      <c r="N101" s="197" t="s">
        <v>2787</v>
      </c>
      <c r="O101" s="180" t="s">
        <v>2788</v>
      </c>
      <c r="P101" s="493" t="s">
        <v>2789</v>
      </c>
      <c r="Q101" s="141" t="s">
        <v>2790</v>
      </c>
      <c r="R101" s="197" t="s">
        <v>2791</v>
      </c>
      <c r="S101" s="180" t="s">
        <v>2792</v>
      </c>
      <c r="T101" s="493" t="s">
        <v>2793</v>
      </c>
      <c r="U101" s="141" t="s">
        <v>2794</v>
      </c>
      <c r="V101" s="197" t="s">
        <v>2795</v>
      </c>
      <c r="W101" s="180" t="s">
        <v>2796</v>
      </c>
      <c r="X101" s="493" t="s">
        <v>2797</v>
      </c>
      <c r="Y101" s="141" t="s">
        <v>2798</v>
      </c>
      <c r="Z101" s="197" t="s">
        <v>2799</v>
      </c>
      <c r="AA101" s="180" t="s">
        <v>2800</v>
      </c>
      <c r="AB101" s="493" t="s">
        <v>2801</v>
      </c>
      <c r="AC101" s="141" t="s">
        <v>2817</v>
      </c>
      <c r="AD101" s="197" t="s">
        <v>2818</v>
      </c>
      <c r="AE101" s="141" t="s">
        <v>2819</v>
      </c>
      <c r="AF101" s="171" t="s">
        <v>2821</v>
      </c>
      <c r="AG101" s="141" t="s">
        <v>2822</v>
      </c>
      <c r="AH101" s="198" t="s">
        <v>2823</v>
      </c>
      <c r="AI101" s="141" t="s">
        <v>2824</v>
      </c>
      <c r="AJ101" s="198" t="s">
        <v>2825</v>
      </c>
      <c r="AK101" s="141" t="s">
        <v>2826</v>
      </c>
      <c r="AL101" s="198" t="s">
        <v>2827</v>
      </c>
      <c r="AM101" s="180" t="s">
        <v>2831</v>
      </c>
      <c r="AN101" s="498" t="s">
        <v>2832</v>
      </c>
      <c r="AO101" s="180" t="s">
        <v>2833</v>
      </c>
      <c r="AP101" s="163" t="s">
        <v>2834</v>
      </c>
      <c r="AQ101" s="164" t="s">
        <v>3011</v>
      </c>
      <c r="AR101" s="197" t="s">
        <v>3012</v>
      </c>
      <c r="AS101" s="171" t="s">
        <v>3013</v>
      </c>
      <c r="AT101" s="1162" t="e">
        <f t="shared" si="26"/>
        <v>#VALUE!</v>
      </c>
      <c r="AU101" s="1058"/>
      <c r="AV101" s="1058"/>
      <c r="AW101" s="1058"/>
      <c r="AX101" s="1058"/>
      <c r="AY101" s="1058"/>
      <c r="AZ101" s="1058"/>
      <c r="BA101" s="1058"/>
      <c r="BB101" s="1058"/>
      <c r="BC101" s="1058"/>
      <c r="BD101" s="1058"/>
      <c r="BE101" s="884"/>
      <c r="BF101" s="884"/>
      <c r="BY101" s="210"/>
      <c r="CB101" s="1362" t="str">
        <f t="shared" si="27"/>
        <v/>
      </c>
      <c r="CC101" s="1362" t="e">
        <f t="shared" si="28"/>
        <v>#VALUE!</v>
      </c>
      <c r="CH101" s="1363">
        <f t="shared" si="29"/>
        <v>0</v>
      </c>
      <c r="CI101" s="1363" t="e">
        <f t="shared" si="30"/>
        <v>#VALUE!</v>
      </c>
      <c r="CJ101" s="1346"/>
      <c r="CK101" s="1346"/>
      <c r="CL101" s="1346"/>
      <c r="CM101" s="1346"/>
      <c r="CN101" s="1346"/>
      <c r="CO101" s="1346"/>
      <c r="CP101" s="1346"/>
    </row>
    <row r="102" spans="1:94" ht="19.5" customHeight="1" x14ac:dyDescent="0.25">
      <c r="A102" s="2458">
        <v>19160400</v>
      </c>
      <c r="B102" s="5113"/>
      <c r="C102" s="179" t="s">
        <v>2063</v>
      </c>
      <c r="D102" s="1635" t="s">
        <v>2777</v>
      </c>
      <c r="E102" s="1636" t="s">
        <v>2778</v>
      </c>
      <c r="F102" s="200" t="s">
        <v>2779</v>
      </c>
      <c r="G102" s="141" t="s">
        <v>2780</v>
      </c>
      <c r="H102" s="143" t="s">
        <v>2781</v>
      </c>
      <c r="I102" s="141" t="s">
        <v>2782</v>
      </c>
      <c r="J102" s="198" t="s">
        <v>2783</v>
      </c>
      <c r="K102" s="141" t="s">
        <v>2784</v>
      </c>
      <c r="L102" s="143" t="s">
        <v>2785</v>
      </c>
      <c r="M102" s="141" t="s">
        <v>2786</v>
      </c>
      <c r="N102" s="198" t="s">
        <v>2787</v>
      </c>
      <c r="O102" s="180" t="s">
        <v>2788</v>
      </c>
      <c r="P102" s="143" t="s">
        <v>2789</v>
      </c>
      <c r="Q102" s="141" t="s">
        <v>2790</v>
      </c>
      <c r="R102" s="198" t="s">
        <v>2791</v>
      </c>
      <c r="S102" s="180" t="s">
        <v>2792</v>
      </c>
      <c r="T102" s="143" t="s">
        <v>2793</v>
      </c>
      <c r="U102" s="141" t="s">
        <v>2794</v>
      </c>
      <c r="V102" s="198" t="s">
        <v>2795</v>
      </c>
      <c r="W102" s="180" t="s">
        <v>2796</v>
      </c>
      <c r="X102" s="143" t="s">
        <v>2797</v>
      </c>
      <c r="Y102" s="141" t="s">
        <v>2798</v>
      </c>
      <c r="Z102" s="198" t="s">
        <v>2799</v>
      </c>
      <c r="AA102" s="180" t="s">
        <v>2800</v>
      </c>
      <c r="AB102" s="143" t="s">
        <v>2801</v>
      </c>
      <c r="AC102" s="141" t="s">
        <v>2817</v>
      </c>
      <c r="AD102" s="198" t="s">
        <v>2818</v>
      </c>
      <c r="AE102" s="141" t="s">
        <v>2819</v>
      </c>
      <c r="AF102" s="163" t="s">
        <v>2821</v>
      </c>
      <c r="AG102" s="141" t="s">
        <v>2822</v>
      </c>
      <c r="AH102" s="198" t="s">
        <v>2823</v>
      </c>
      <c r="AI102" s="141" t="s">
        <v>2824</v>
      </c>
      <c r="AJ102" s="198" t="s">
        <v>2825</v>
      </c>
      <c r="AK102" s="141" t="s">
        <v>2826</v>
      </c>
      <c r="AL102" s="198" t="s">
        <v>2827</v>
      </c>
      <c r="AM102" s="180" t="s">
        <v>2831</v>
      </c>
      <c r="AN102" s="498" t="s">
        <v>2832</v>
      </c>
      <c r="AO102" s="180" t="s">
        <v>2833</v>
      </c>
      <c r="AP102" s="163" t="s">
        <v>2834</v>
      </c>
      <c r="AQ102" s="164" t="s">
        <v>3011</v>
      </c>
      <c r="AR102" s="198" t="s">
        <v>3012</v>
      </c>
      <c r="AS102" s="163" t="s">
        <v>3013</v>
      </c>
      <c r="AT102" s="1162" t="e">
        <f t="shared" si="26"/>
        <v>#VALUE!</v>
      </c>
      <c r="AU102" s="1058"/>
      <c r="AV102" s="1058"/>
      <c r="AW102" s="1058"/>
      <c r="AX102" s="1058"/>
      <c r="AY102" s="1058"/>
      <c r="AZ102" s="1058"/>
      <c r="BA102" s="1058"/>
      <c r="BB102" s="1058"/>
      <c r="BC102" s="1058"/>
      <c r="BD102" s="1058"/>
      <c r="BE102" s="884"/>
      <c r="BF102" s="884"/>
      <c r="BY102" s="210"/>
      <c r="CB102" s="1362" t="str">
        <f t="shared" si="27"/>
        <v/>
      </c>
      <c r="CC102" s="1362" t="e">
        <f t="shared" si="28"/>
        <v>#VALUE!</v>
      </c>
      <c r="CH102" s="1363">
        <f t="shared" si="29"/>
        <v>0</v>
      </c>
      <c r="CI102" s="1363" t="e">
        <f t="shared" si="30"/>
        <v>#VALUE!</v>
      </c>
      <c r="CJ102" s="1346"/>
      <c r="CK102" s="1346"/>
      <c r="CL102" s="1346"/>
      <c r="CM102" s="1346"/>
      <c r="CN102" s="1346"/>
      <c r="CO102" s="1346"/>
      <c r="CP102" s="1346"/>
    </row>
    <row r="103" spans="1:94" ht="19.5" customHeight="1" x14ac:dyDescent="0.25">
      <c r="A103" s="2458">
        <v>19160500</v>
      </c>
      <c r="B103" s="5113"/>
      <c r="C103" s="179" t="s">
        <v>2064</v>
      </c>
      <c r="D103" s="1635" t="s">
        <v>2777</v>
      </c>
      <c r="E103" s="1636" t="s">
        <v>2778</v>
      </c>
      <c r="F103" s="200" t="s">
        <v>2779</v>
      </c>
      <c r="G103" s="141" t="s">
        <v>2780</v>
      </c>
      <c r="H103" s="143" t="s">
        <v>2781</v>
      </c>
      <c r="I103" s="141" t="s">
        <v>2782</v>
      </c>
      <c r="J103" s="198" t="s">
        <v>2783</v>
      </c>
      <c r="K103" s="141" t="s">
        <v>2784</v>
      </c>
      <c r="L103" s="143" t="s">
        <v>2785</v>
      </c>
      <c r="M103" s="141" t="s">
        <v>2786</v>
      </c>
      <c r="N103" s="198" t="s">
        <v>2787</v>
      </c>
      <c r="O103" s="180" t="s">
        <v>2788</v>
      </c>
      <c r="P103" s="143" t="s">
        <v>2789</v>
      </c>
      <c r="Q103" s="141" t="s">
        <v>2790</v>
      </c>
      <c r="R103" s="198" t="s">
        <v>2791</v>
      </c>
      <c r="S103" s="180" t="s">
        <v>2792</v>
      </c>
      <c r="T103" s="143" t="s">
        <v>2793</v>
      </c>
      <c r="U103" s="141" t="s">
        <v>2794</v>
      </c>
      <c r="V103" s="198" t="s">
        <v>2795</v>
      </c>
      <c r="W103" s="180" t="s">
        <v>2796</v>
      </c>
      <c r="X103" s="143" t="s">
        <v>2797</v>
      </c>
      <c r="Y103" s="141" t="s">
        <v>2798</v>
      </c>
      <c r="Z103" s="198" t="s">
        <v>2799</v>
      </c>
      <c r="AA103" s="180" t="s">
        <v>2800</v>
      </c>
      <c r="AB103" s="143" t="s">
        <v>2801</v>
      </c>
      <c r="AC103" s="141" t="s">
        <v>2817</v>
      </c>
      <c r="AD103" s="198" t="s">
        <v>2818</v>
      </c>
      <c r="AE103" s="141" t="s">
        <v>2819</v>
      </c>
      <c r="AF103" s="163" t="s">
        <v>2821</v>
      </c>
      <c r="AG103" s="141" t="s">
        <v>2822</v>
      </c>
      <c r="AH103" s="198" t="s">
        <v>2823</v>
      </c>
      <c r="AI103" s="141" t="s">
        <v>2824</v>
      </c>
      <c r="AJ103" s="198" t="s">
        <v>2825</v>
      </c>
      <c r="AK103" s="141" t="s">
        <v>2826</v>
      </c>
      <c r="AL103" s="198" t="s">
        <v>2827</v>
      </c>
      <c r="AM103" s="180" t="s">
        <v>2831</v>
      </c>
      <c r="AN103" s="498" t="s">
        <v>2832</v>
      </c>
      <c r="AO103" s="180" t="s">
        <v>2833</v>
      </c>
      <c r="AP103" s="163" t="s">
        <v>2834</v>
      </c>
      <c r="AQ103" s="164" t="s">
        <v>3011</v>
      </c>
      <c r="AR103" s="198" t="s">
        <v>3012</v>
      </c>
      <c r="AS103" s="163" t="s">
        <v>3013</v>
      </c>
      <c r="AT103" s="1162" t="e">
        <f t="shared" si="26"/>
        <v>#VALUE!</v>
      </c>
      <c r="AU103" s="1058"/>
      <c r="AV103" s="1058"/>
      <c r="AW103" s="1058"/>
      <c r="AX103" s="1058"/>
      <c r="AY103" s="1058"/>
      <c r="AZ103" s="1058"/>
      <c r="BA103" s="1058"/>
      <c r="BB103" s="1058"/>
      <c r="BC103" s="1058"/>
      <c r="BD103" s="1058"/>
      <c r="BE103" s="884"/>
      <c r="BF103" s="884"/>
      <c r="BY103" s="210"/>
      <c r="CB103" s="1362" t="str">
        <f t="shared" si="27"/>
        <v/>
      </c>
      <c r="CC103" s="1362" t="e">
        <f t="shared" si="28"/>
        <v>#VALUE!</v>
      </c>
      <c r="CH103" s="1363">
        <f t="shared" si="29"/>
        <v>0</v>
      </c>
      <c r="CI103" s="1363" t="e">
        <f t="shared" si="30"/>
        <v>#VALUE!</v>
      </c>
      <c r="CJ103" s="1346"/>
      <c r="CK103" s="1346"/>
      <c r="CL103" s="1346"/>
      <c r="CM103" s="1346"/>
      <c r="CN103" s="1346"/>
      <c r="CO103" s="1346"/>
      <c r="CP103" s="1346"/>
    </row>
    <row r="104" spans="1:94" ht="19.5" customHeight="1" x14ac:dyDescent="0.25">
      <c r="A104" s="2458">
        <v>19182050</v>
      </c>
      <c r="B104" s="5113"/>
      <c r="C104" s="181" t="s">
        <v>2065</v>
      </c>
      <c r="D104" s="630" t="s">
        <v>2777</v>
      </c>
      <c r="E104" s="704" t="s">
        <v>2778</v>
      </c>
      <c r="F104" s="264" t="s">
        <v>2779</v>
      </c>
      <c r="G104" s="115" t="s">
        <v>2780</v>
      </c>
      <c r="H104" s="1702" t="s">
        <v>2781</v>
      </c>
      <c r="I104" s="770" t="s">
        <v>2782</v>
      </c>
      <c r="J104" s="772" t="s">
        <v>2783</v>
      </c>
      <c r="K104" s="141" t="s">
        <v>2784</v>
      </c>
      <c r="L104" s="143" t="s">
        <v>2785</v>
      </c>
      <c r="M104" s="141" t="s">
        <v>2786</v>
      </c>
      <c r="N104" s="198" t="s">
        <v>2787</v>
      </c>
      <c r="O104" s="180" t="s">
        <v>2788</v>
      </c>
      <c r="P104" s="143" t="s">
        <v>2789</v>
      </c>
      <c r="Q104" s="1705" t="s">
        <v>2790</v>
      </c>
      <c r="R104" s="847" t="s">
        <v>2791</v>
      </c>
      <c r="S104" s="771" t="s">
        <v>2792</v>
      </c>
      <c r="T104" s="1706" t="s">
        <v>2793</v>
      </c>
      <c r="U104" s="770" t="s">
        <v>2794</v>
      </c>
      <c r="V104" s="772" t="s">
        <v>2795</v>
      </c>
      <c r="W104" s="1707" t="s">
        <v>2796</v>
      </c>
      <c r="X104" s="771" t="s">
        <v>2797</v>
      </c>
      <c r="Y104" s="770" t="s">
        <v>2798</v>
      </c>
      <c r="Z104" s="772" t="s">
        <v>2799</v>
      </c>
      <c r="AA104" s="1707" t="s">
        <v>2800</v>
      </c>
      <c r="AB104" s="771" t="s">
        <v>2801</v>
      </c>
      <c r="AC104" s="770" t="s">
        <v>2817</v>
      </c>
      <c r="AD104" s="772" t="s">
        <v>2818</v>
      </c>
      <c r="AE104" s="770" t="s">
        <v>2819</v>
      </c>
      <c r="AF104" s="847" t="s">
        <v>2821</v>
      </c>
      <c r="AG104" s="770" t="s">
        <v>2822</v>
      </c>
      <c r="AH104" s="772" t="s">
        <v>2823</v>
      </c>
      <c r="AI104" s="770" t="s">
        <v>2824</v>
      </c>
      <c r="AJ104" s="772" t="s">
        <v>2825</v>
      </c>
      <c r="AK104" s="770" t="s">
        <v>2826</v>
      </c>
      <c r="AL104" s="772" t="s">
        <v>2827</v>
      </c>
      <c r="AM104" s="771" t="s">
        <v>2831</v>
      </c>
      <c r="AN104" s="1708" t="s">
        <v>2832</v>
      </c>
      <c r="AO104" s="180" t="s">
        <v>2833</v>
      </c>
      <c r="AP104" s="163" t="s">
        <v>2834</v>
      </c>
      <c r="AQ104" s="164" t="s">
        <v>3011</v>
      </c>
      <c r="AR104" s="198" t="s">
        <v>3012</v>
      </c>
      <c r="AS104" s="163" t="s">
        <v>3013</v>
      </c>
      <c r="AT104" s="1162" t="e">
        <f t="shared" si="26"/>
        <v>#VALUE!</v>
      </c>
      <c r="AU104" s="1058"/>
      <c r="AV104" s="1058"/>
      <c r="AW104" s="1058"/>
      <c r="AX104" s="1058"/>
      <c r="AY104" s="1058"/>
      <c r="AZ104" s="1058"/>
      <c r="BA104" s="1058"/>
      <c r="BB104" s="1058"/>
      <c r="BC104" s="1058"/>
      <c r="BD104" s="1058"/>
      <c r="BE104" s="884"/>
      <c r="BF104" s="884"/>
      <c r="BY104" s="210"/>
      <c r="CB104" s="1362" t="str">
        <f t="shared" si="27"/>
        <v/>
      </c>
      <c r="CC104" s="1362" t="e">
        <f t="shared" si="28"/>
        <v>#VALUE!</v>
      </c>
      <c r="CH104" s="1363">
        <f t="shared" si="29"/>
        <v>0</v>
      </c>
      <c r="CI104" s="1363" t="e">
        <f t="shared" si="30"/>
        <v>#VALUE!</v>
      </c>
      <c r="CJ104" s="1346"/>
      <c r="CK104" s="1346"/>
      <c r="CL104" s="1346"/>
      <c r="CM104" s="1346"/>
      <c r="CN104" s="1346"/>
      <c r="CO104" s="1346"/>
      <c r="CP104" s="1346"/>
    </row>
    <row r="105" spans="1:94" ht="19.5" customHeight="1" x14ac:dyDescent="0.25">
      <c r="A105" s="2458">
        <v>19160600</v>
      </c>
      <c r="B105" s="5159"/>
      <c r="C105" s="283" t="s">
        <v>2066</v>
      </c>
      <c r="D105" s="1637" t="s">
        <v>2777</v>
      </c>
      <c r="E105" s="1638" t="s">
        <v>2778</v>
      </c>
      <c r="F105" s="202" t="s">
        <v>2779</v>
      </c>
      <c r="G105" s="166" t="s">
        <v>2780</v>
      </c>
      <c r="H105" s="265" t="s">
        <v>2781</v>
      </c>
      <c r="I105" s="166" t="s">
        <v>2782</v>
      </c>
      <c r="J105" s="168" t="s">
        <v>2783</v>
      </c>
      <c r="K105" s="126" t="s">
        <v>2784</v>
      </c>
      <c r="L105" s="270" t="s">
        <v>2785</v>
      </c>
      <c r="M105" s="166" t="s">
        <v>2786</v>
      </c>
      <c r="N105" s="125" t="s">
        <v>2787</v>
      </c>
      <c r="O105" s="126" t="s">
        <v>2788</v>
      </c>
      <c r="P105" s="270" t="s">
        <v>2789</v>
      </c>
      <c r="Q105" s="227" t="s">
        <v>2790</v>
      </c>
      <c r="R105" s="125" t="s">
        <v>2791</v>
      </c>
      <c r="S105" s="265" t="s">
        <v>2792</v>
      </c>
      <c r="T105" s="270" t="s">
        <v>2793</v>
      </c>
      <c r="U105" s="166" t="s">
        <v>2794</v>
      </c>
      <c r="V105" s="168" t="s">
        <v>2795</v>
      </c>
      <c r="W105" s="126" t="s">
        <v>2796</v>
      </c>
      <c r="X105" s="265" t="s">
        <v>2797</v>
      </c>
      <c r="Y105" s="166" t="s">
        <v>2798</v>
      </c>
      <c r="Z105" s="168" t="s">
        <v>2799</v>
      </c>
      <c r="AA105" s="126" t="s">
        <v>2800</v>
      </c>
      <c r="AB105" s="265" t="s">
        <v>2801</v>
      </c>
      <c r="AC105" s="166" t="s">
        <v>2817</v>
      </c>
      <c r="AD105" s="168" t="s">
        <v>2818</v>
      </c>
      <c r="AE105" s="166" t="s">
        <v>2819</v>
      </c>
      <c r="AF105" s="125" t="s">
        <v>2821</v>
      </c>
      <c r="AG105" s="166" t="s">
        <v>2822</v>
      </c>
      <c r="AH105" s="168" t="s">
        <v>2823</v>
      </c>
      <c r="AI105" s="166" t="s">
        <v>2824</v>
      </c>
      <c r="AJ105" s="168" t="s">
        <v>2825</v>
      </c>
      <c r="AK105" s="166" t="s">
        <v>2826</v>
      </c>
      <c r="AL105" s="168" t="s">
        <v>2827</v>
      </c>
      <c r="AM105" s="265" t="s">
        <v>2831</v>
      </c>
      <c r="AN105" s="319" t="s">
        <v>2832</v>
      </c>
      <c r="AO105" s="126" t="s">
        <v>2833</v>
      </c>
      <c r="AP105" s="125" t="s">
        <v>2834</v>
      </c>
      <c r="AQ105" s="105" t="s">
        <v>3011</v>
      </c>
      <c r="AR105" s="168" t="s">
        <v>3012</v>
      </c>
      <c r="AS105" s="168" t="s">
        <v>3013</v>
      </c>
      <c r="AT105" s="1162" t="e">
        <f t="shared" si="26"/>
        <v>#VALUE!</v>
      </c>
      <c r="AU105" s="1058"/>
      <c r="AV105" s="1058"/>
      <c r="AW105" s="1058"/>
      <c r="AX105" s="1058"/>
      <c r="AY105" s="1058"/>
      <c r="AZ105" s="1058"/>
      <c r="BA105" s="1058"/>
      <c r="BB105" s="1058"/>
      <c r="BC105" s="1058"/>
      <c r="BD105" s="1058"/>
      <c r="BE105" s="884"/>
      <c r="BF105" s="884"/>
      <c r="BY105" s="210"/>
      <c r="CB105" s="1362" t="str">
        <f t="shared" si="27"/>
        <v/>
      </c>
      <c r="CC105" s="1362" t="e">
        <f t="shared" si="28"/>
        <v>#VALUE!</v>
      </c>
      <c r="CH105" s="1363">
        <f t="shared" si="29"/>
        <v>0</v>
      </c>
      <c r="CI105" s="1363" t="e">
        <f t="shared" si="30"/>
        <v>#VALUE!</v>
      </c>
      <c r="CJ105" s="1346"/>
      <c r="CK105" s="1346"/>
      <c r="CL105" s="1346"/>
      <c r="CM105" s="1346"/>
      <c r="CN105" s="1346"/>
      <c r="CO105" s="1346"/>
      <c r="CP105" s="1346"/>
    </row>
    <row r="106" spans="1:94" ht="32.1" customHeight="1" x14ac:dyDescent="0.25">
      <c r="B106" s="767" t="s">
        <v>2068</v>
      </c>
      <c r="C106" s="470"/>
      <c r="D106" s="470"/>
      <c r="E106" s="470"/>
      <c r="F106" s="1693"/>
      <c r="G106" s="1693"/>
      <c r="H106" s="1693"/>
      <c r="I106" s="1693"/>
      <c r="J106" s="1693"/>
      <c r="K106" s="1693"/>
      <c r="L106" s="1693"/>
      <c r="M106" s="881"/>
      <c r="N106" s="884"/>
      <c r="O106" s="884"/>
      <c r="P106" s="884"/>
      <c r="Q106" s="884"/>
      <c r="R106" s="884"/>
      <c r="S106" s="884"/>
      <c r="T106" s="884"/>
      <c r="AS106" s="884"/>
      <c r="AT106" s="884"/>
      <c r="AU106" s="884"/>
      <c r="AV106" s="884"/>
      <c r="AW106" s="884"/>
      <c r="AX106" s="884"/>
      <c r="AY106" s="884"/>
      <c r="AZ106" s="884"/>
      <c r="BA106" s="884"/>
      <c r="BB106" s="884"/>
      <c r="BC106" s="884"/>
      <c r="BD106" s="884"/>
      <c r="BE106" s="884"/>
      <c r="BF106" s="884"/>
      <c r="CH106" s="1346"/>
      <c r="CI106" s="1346"/>
      <c r="CJ106" s="1346"/>
      <c r="CK106" s="1346"/>
      <c r="CL106" s="1346"/>
      <c r="CM106" s="1346"/>
      <c r="CN106" s="1346"/>
      <c r="CO106" s="1346"/>
      <c r="CP106" s="1346"/>
    </row>
    <row r="107" spans="1:94" ht="25.35" customHeight="1" x14ac:dyDescent="0.25">
      <c r="B107" s="6322" t="s">
        <v>2069</v>
      </c>
      <c r="C107" s="1709" t="s">
        <v>658</v>
      </c>
      <c r="D107" s="1629" t="s">
        <v>2070</v>
      </c>
      <c r="E107" s="1629" t="s">
        <v>2071</v>
      </c>
      <c r="F107" s="1693"/>
      <c r="G107" s="1693"/>
      <c r="H107" s="1693"/>
      <c r="I107" s="1693"/>
      <c r="J107" s="1693"/>
      <c r="K107" s="1693"/>
      <c r="L107" s="1693"/>
      <c r="M107" s="881"/>
      <c r="N107" s="884"/>
      <c r="O107" s="884"/>
      <c r="P107" s="884"/>
      <c r="Q107" s="884"/>
      <c r="R107" s="884"/>
      <c r="S107" s="884"/>
      <c r="T107" s="884"/>
      <c r="AS107" s="884"/>
      <c r="AT107" s="884"/>
      <c r="AU107" s="884"/>
      <c r="AV107" s="884"/>
      <c r="AW107" s="884"/>
      <c r="AX107" s="884"/>
      <c r="AY107" s="884"/>
      <c r="AZ107" s="884"/>
      <c r="BA107" s="884"/>
      <c r="BB107" s="884"/>
      <c r="BC107" s="884"/>
      <c r="BD107" s="884"/>
      <c r="BE107" s="884"/>
      <c r="BF107" s="884"/>
      <c r="CH107" s="1346"/>
      <c r="CI107" s="1346"/>
      <c r="CJ107" s="1346"/>
      <c r="CK107" s="1346"/>
      <c r="CL107" s="1346"/>
      <c r="CM107" s="1346"/>
      <c r="CN107" s="1346"/>
      <c r="CO107" s="1346"/>
      <c r="CP107" s="1346"/>
    </row>
    <row r="108" spans="1:94" ht="20.100000000000001" customHeight="1" x14ac:dyDescent="0.25">
      <c r="A108" s="3096">
        <v>19140700</v>
      </c>
      <c r="B108" s="5103"/>
      <c r="C108" s="1631" t="s">
        <v>2072</v>
      </c>
      <c r="D108" s="1604" t="s">
        <v>2777</v>
      </c>
      <c r="E108" s="1604" t="s">
        <v>2778</v>
      </c>
      <c r="F108" s="1162" t="str">
        <f t="shared" ref="F108:F116" si="31">$CB108&amp;$CC108&amp;$CD108&amp;$CE108</f>
        <v xml:space="preserve">* Las consejerías realizadas en Espacios Amigables NO DEBEN ser mayor al Total de Actividades. </v>
      </c>
      <c r="G108" s="1058"/>
      <c r="H108" s="1058"/>
      <c r="I108" s="1058"/>
      <c r="J108" s="1058"/>
      <c r="K108" s="1058"/>
      <c r="L108" s="1058"/>
      <c r="M108" s="1058"/>
      <c r="N108" s="1058"/>
      <c r="O108" s="1058"/>
      <c r="P108" s="1058"/>
      <c r="Q108" s="1058"/>
      <c r="R108" s="884"/>
      <c r="S108" s="884"/>
      <c r="T108" s="884"/>
      <c r="CB108" s="887" t="str">
        <f>IF(E108&lt;=D108,"","* Las consejerías realizadas en Espacios Amigables NO DEBEN ser mayor al Total de Actividades. ")</f>
        <v xml:space="preserve">* Las consejerías realizadas en Espacios Amigables NO DEBEN ser mayor al Total de Actividades. </v>
      </c>
      <c r="CH108" s="1346">
        <f>IF(E108&lt;=D108,0,1)</f>
        <v>1</v>
      </c>
      <c r="CI108" s="1346"/>
      <c r="CJ108" s="1346"/>
      <c r="CK108" s="1346"/>
      <c r="CL108" s="1346"/>
      <c r="CM108" s="1346"/>
      <c r="CN108" s="1346"/>
      <c r="CO108" s="1346"/>
      <c r="CP108" s="1346"/>
    </row>
    <row r="109" spans="1:94" ht="26.25" customHeight="1" x14ac:dyDescent="0.25">
      <c r="A109" s="3096">
        <v>19140800</v>
      </c>
      <c r="B109" s="5103"/>
      <c r="C109" s="1623" t="s">
        <v>2073</v>
      </c>
      <c r="D109" s="164" t="s">
        <v>2777</v>
      </c>
      <c r="E109" s="164" t="s">
        <v>2778</v>
      </c>
      <c r="F109" s="1162" t="str">
        <f t="shared" si="31"/>
        <v xml:space="preserve">* Las consejerías realizadas en Espacios Amigables NO DEBEN ser mayor al Total de Actividades. </v>
      </c>
      <c r="G109" s="1058"/>
      <c r="H109" s="1058"/>
      <c r="I109" s="1058"/>
      <c r="J109" s="1058"/>
      <c r="K109" s="1058"/>
      <c r="L109" s="1058"/>
      <c r="M109" s="1058"/>
      <c r="N109" s="1058"/>
      <c r="O109" s="1058"/>
      <c r="P109" s="1058"/>
      <c r="Q109" s="1058"/>
      <c r="R109" s="884"/>
      <c r="S109" s="884"/>
      <c r="T109" s="884"/>
      <c r="CB109" s="887" t="str">
        <f>IF(E109&lt;=D109,"","* Las consejerías realizadas en Espacios Amigables NO DEBEN ser mayor al Total de Actividades. ")</f>
        <v xml:space="preserve">* Las consejerías realizadas en Espacios Amigables NO DEBEN ser mayor al Total de Actividades. </v>
      </c>
      <c r="CH109" s="1346">
        <f>IF(E109&lt;=D109,0,1)</f>
        <v>1</v>
      </c>
      <c r="CI109" s="1346"/>
      <c r="CJ109" s="1346"/>
      <c r="CK109" s="1346"/>
      <c r="CL109" s="1346"/>
      <c r="CM109" s="1346"/>
      <c r="CN109" s="1346"/>
      <c r="CO109" s="1346"/>
      <c r="CP109" s="1346"/>
    </row>
    <row r="110" spans="1:94" ht="26.25" customHeight="1" x14ac:dyDescent="0.25">
      <c r="A110" s="3096">
        <v>19140900</v>
      </c>
      <c r="B110" s="5103"/>
      <c r="C110" s="1623" t="s">
        <v>2074</v>
      </c>
      <c r="D110" s="164" t="s">
        <v>2777</v>
      </c>
      <c r="E110" s="164" t="s">
        <v>2778</v>
      </c>
      <c r="F110" s="1162" t="str">
        <f t="shared" si="31"/>
        <v xml:space="preserve">* Las consejerías realizadas en Espacios Amigables NO DEBEN ser mayor al Total de Actividades. </v>
      </c>
      <c r="G110" s="1058"/>
      <c r="H110" s="1058"/>
      <c r="I110" s="1058"/>
      <c r="J110" s="1058"/>
      <c r="K110" s="1058"/>
      <c r="L110" s="1058"/>
      <c r="M110" s="1058"/>
      <c r="N110" s="1058"/>
      <c r="O110" s="1058"/>
      <c r="P110" s="1058"/>
      <c r="Q110" s="1058"/>
      <c r="R110" s="884"/>
      <c r="S110" s="884"/>
      <c r="T110" s="884"/>
      <c r="CB110" s="887" t="str">
        <f>IF(E110&lt;=D110,"","* Las consejerías realizadas en Espacios Amigables NO DEBEN ser mayor al Total de Actividades. ")</f>
        <v xml:space="preserve">* Las consejerías realizadas en Espacios Amigables NO DEBEN ser mayor al Total de Actividades. </v>
      </c>
      <c r="CH110" s="1346">
        <f>IF(E110&lt;=D110,0,1)</f>
        <v>1</v>
      </c>
      <c r="CI110" s="1346"/>
      <c r="CJ110" s="1346"/>
      <c r="CK110" s="1346"/>
      <c r="CL110" s="1346"/>
      <c r="CM110" s="1346"/>
      <c r="CN110" s="1346"/>
      <c r="CO110" s="1346"/>
      <c r="CP110" s="1346"/>
    </row>
    <row r="111" spans="1:94" ht="20.100000000000001" customHeight="1" x14ac:dyDescent="0.25">
      <c r="A111" s="3096">
        <v>19150100</v>
      </c>
      <c r="B111" s="5103"/>
      <c r="C111" s="1623" t="s">
        <v>2075</v>
      </c>
      <c r="D111" s="164" t="s">
        <v>2777</v>
      </c>
      <c r="E111" s="149" t="s">
        <v>2778</v>
      </c>
      <c r="F111" s="1162"/>
      <c r="G111" s="1058"/>
      <c r="H111" s="1058"/>
      <c r="I111" s="1058"/>
      <c r="J111" s="1058"/>
      <c r="K111" s="1058"/>
      <c r="L111" s="1058"/>
      <c r="M111" s="1058"/>
      <c r="N111" s="1058"/>
      <c r="O111" s="1058"/>
      <c r="P111" s="1058"/>
      <c r="Q111" s="1058"/>
      <c r="R111" s="884"/>
      <c r="S111" s="884"/>
      <c r="T111" s="884"/>
      <c r="CH111" s="1346"/>
      <c r="CI111" s="1346"/>
      <c r="CJ111" s="1346"/>
      <c r="CK111" s="1346"/>
      <c r="CL111" s="1346"/>
      <c r="CM111" s="1346"/>
      <c r="CN111" s="1346"/>
      <c r="CO111" s="1346"/>
      <c r="CP111" s="1346"/>
    </row>
    <row r="112" spans="1:94" ht="20.100000000000001" customHeight="1" x14ac:dyDescent="0.25">
      <c r="A112" s="3096">
        <v>19150200</v>
      </c>
      <c r="B112" s="5103"/>
      <c r="C112" s="1618" t="s">
        <v>2076</v>
      </c>
      <c r="D112" s="198" t="s">
        <v>2777</v>
      </c>
      <c r="E112" s="149" t="s">
        <v>2778</v>
      </c>
      <c r="F112" s="1162"/>
      <c r="G112" s="1058"/>
      <c r="H112" s="1058"/>
      <c r="I112" s="1058"/>
      <c r="J112" s="1058"/>
      <c r="K112" s="1058"/>
      <c r="L112" s="1058"/>
      <c r="M112" s="1058"/>
      <c r="N112" s="1058"/>
      <c r="O112" s="1058"/>
      <c r="P112" s="1058"/>
      <c r="Q112" s="1058"/>
      <c r="R112" s="884"/>
      <c r="S112" s="884"/>
      <c r="T112" s="884"/>
      <c r="CH112" s="1346"/>
      <c r="CI112" s="1346"/>
      <c r="CJ112" s="1346"/>
      <c r="CK112" s="1346"/>
      <c r="CL112" s="1346"/>
      <c r="CM112" s="1346"/>
      <c r="CN112" s="1346"/>
      <c r="CO112" s="1346"/>
      <c r="CP112" s="1346"/>
    </row>
    <row r="113" spans="1:105" ht="26.25" customHeight="1" x14ac:dyDescent="0.25">
      <c r="A113" s="3096">
        <v>19150300</v>
      </c>
      <c r="B113" s="5103"/>
      <c r="C113" s="1618" t="s">
        <v>2077</v>
      </c>
      <c r="D113" s="198" t="s">
        <v>2777</v>
      </c>
      <c r="E113" s="164" t="s">
        <v>2778</v>
      </c>
      <c r="F113" s="1162" t="str">
        <f t="shared" si="31"/>
        <v xml:space="preserve">* Las consejerías realizadas en Espacios Amigables NO DEBEN ser mayor al Total de Actividades. </v>
      </c>
      <c r="G113" s="1058"/>
      <c r="H113" s="1058"/>
      <c r="I113" s="1058"/>
      <c r="J113" s="1058"/>
      <c r="K113" s="1058"/>
      <c r="L113" s="1058"/>
      <c r="M113" s="1058"/>
      <c r="N113" s="1058"/>
      <c r="O113" s="1058"/>
      <c r="P113" s="1058"/>
      <c r="Q113" s="1058"/>
      <c r="R113" s="884"/>
      <c r="S113" s="884"/>
      <c r="T113" s="884"/>
      <c r="CB113" s="887" t="str">
        <f>IF(E113&lt;=D113,"","* Las consejerías realizadas en Espacios Amigables NO DEBEN ser mayor al Total de Actividades. ")</f>
        <v xml:space="preserve">* Las consejerías realizadas en Espacios Amigables NO DEBEN ser mayor al Total de Actividades. </v>
      </c>
      <c r="CH113" s="1346">
        <f>IF(E113&lt;=D113,0,1)</f>
        <v>1</v>
      </c>
      <c r="CI113" s="1346"/>
      <c r="CJ113" s="1346"/>
      <c r="CK113" s="1346"/>
      <c r="CL113" s="1346"/>
      <c r="CM113" s="1346"/>
      <c r="CN113" s="1346"/>
      <c r="CO113" s="1346"/>
      <c r="CP113" s="1346"/>
    </row>
    <row r="114" spans="1:105" ht="26.25" customHeight="1" x14ac:dyDescent="0.25">
      <c r="A114" s="3096">
        <v>19150400</v>
      </c>
      <c r="B114" s="5103"/>
      <c r="C114" s="1618" t="s">
        <v>2078</v>
      </c>
      <c r="D114" s="198" t="s">
        <v>2777</v>
      </c>
      <c r="E114" s="164" t="s">
        <v>2778</v>
      </c>
      <c r="F114" s="1162" t="str">
        <f t="shared" si="31"/>
        <v xml:space="preserve">* Las consejerías realizadas en Espacios Amigables NO DEBEN ser mayor al Total de Actividades. </v>
      </c>
      <c r="G114" s="1058"/>
      <c r="H114" s="1058"/>
      <c r="I114" s="1058"/>
      <c r="J114" s="1058"/>
      <c r="K114" s="1058"/>
      <c r="L114" s="1058"/>
      <c r="M114" s="1058"/>
      <c r="N114" s="1058"/>
      <c r="O114" s="1058"/>
      <c r="P114" s="1058"/>
      <c r="Q114" s="1058"/>
      <c r="R114" s="884"/>
      <c r="S114" s="884"/>
      <c r="T114" s="884"/>
      <c r="CB114" s="887" t="str">
        <f>IF(E114&lt;=D114,"","* Las consejerías realizadas en Espacios Amigables NO DEBEN ser mayor al Total de Actividades. ")</f>
        <v xml:space="preserve">* Las consejerías realizadas en Espacios Amigables NO DEBEN ser mayor al Total de Actividades. </v>
      </c>
      <c r="CH114" s="1346">
        <f>IF(E114&lt;=D114,0,1)</f>
        <v>1</v>
      </c>
      <c r="CI114" s="1346"/>
      <c r="CJ114" s="1346"/>
      <c r="CK114" s="1346"/>
      <c r="CL114" s="1346"/>
      <c r="CM114" s="1346"/>
      <c r="CN114" s="1346"/>
      <c r="CO114" s="1346"/>
      <c r="CP114" s="1346"/>
    </row>
    <row r="115" spans="1:105" ht="20.100000000000001" customHeight="1" x14ac:dyDescent="0.25">
      <c r="A115" s="3123">
        <v>19150500</v>
      </c>
      <c r="B115" s="5103"/>
      <c r="C115" s="1618" t="s">
        <v>2079</v>
      </c>
      <c r="D115" s="164" t="s">
        <v>2777</v>
      </c>
      <c r="E115" s="164" t="s">
        <v>2778</v>
      </c>
      <c r="F115" s="1162" t="str">
        <f t="shared" si="31"/>
        <v xml:space="preserve">* Las consejerías realizadas en Espacios Amigables NO DEBEN ser mayor al Total de Actividades. </v>
      </c>
      <c r="G115" s="1058"/>
      <c r="H115" s="1058"/>
      <c r="I115" s="1058"/>
      <c r="J115" s="1058"/>
      <c r="K115" s="1058"/>
      <c r="L115" s="1058"/>
      <c r="M115" s="1058"/>
      <c r="N115" s="1058"/>
      <c r="O115" s="1058"/>
      <c r="P115" s="1058"/>
      <c r="Q115" s="1058"/>
      <c r="R115" s="884"/>
      <c r="S115" s="884"/>
      <c r="T115" s="884"/>
      <c r="CB115" s="887" t="str">
        <f>IF(E115&lt;=D115,"","* Las consejerías realizadas en Espacios Amigables NO DEBEN ser mayor al Total de Actividades. ")</f>
        <v xml:space="preserve">* Las consejerías realizadas en Espacios Amigables NO DEBEN ser mayor al Total de Actividades. </v>
      </c>
      <c r="CH115" s="1346">
        <f>IF(E115&lt;=D115,0,1)</f>
        <v>1</v>
      </c>
      <c r="CI115" s="1346"/>
      <c r="CJ115" s="1346"/>
      <c r="CK115" s="1346"/>
      <c r="CL115" s="1346"/>
      <c r="CM115" s="1346"/>
      <c r="CN115" s="1346"/>
      <c r="CO115" s="1346"/>
      <c r="CP115" s="1346"/>
    </row>
    <row r="116" spans="1:105" ht="20.100000000000001" customHeight="1" x14ac:dyDescent="0.25">
      <c r="A116" s="3123">
        <v>19190100</v>
      </c>
      <c r="B116" s="5104"/>
      <c r="C116" s="1710" t="s">
        <v>2080</v>
      </c>
      <c r="D116" s="1711" t="s">
        <v>2777</v>
      </c>
      <c r="E116" s="1711" t="s">
        <v>2778</v>
      </c>
      <c r="F116" s="1162" t="str">
        <f t="shared" si="31"/>
        <v xml:space="preserve">* Las consejerías realizadas en Espacios Amigables NO DEBEN ser mayor al Total de Actividades. </v>
      </c>
      <c r="G116" s="1058"/>
      <c r="H116" s="1058"/>
      <c r="I116" s="1058"/>
      <c r="J116" s="1058"/>
      <c r="K116" s="1058"/>
      <c r="L116" s="1058"/>
      <c r="M116" s="1058"/>
      <c r="N116" s="1058"/>
      <c r="O116" s="1058"/>
      <c r="P116" s="1058"/>
      <c r="Q116" s="1058"/>
      <c r="R116" s="884"/>
      <c r="S116" s="884"/>
      <c r="T116" s="884"/>
      <c r="CB116" s="887" t="str">
        <f>IF(E116&lt;=D116,"","* Las consejerías realizadas en Espacios Amigables NO DEBEN ser mayor al Total de Actividades. ")</f>
        <v xml:space="preserve">* Las consejerías realizadas en Espacios Amigables NO DEBEN ser mayor al Total de Actividades. </v>
      </c>
      <c r="CH116" s="1346">
        <f>IF(E116&lt;=D116,0,1)</f>
        <v>1</v>
      </c>
      <c r="CI116" s="1346"/>
      <c r="CJ116" s="1346"/>
      <c r="CK116" s="1346"/>
      <c r="CL116" s="1346"/>
      <c r="CM116" s="1346"/>
      <c r="CN116" s="1346"/>
      <c r="CO116" s="1346"/>
      <c r="CP116" s="1346"/>
    </row>
    <row r="117" spans="1:105" ht="26.25" customHeight="1" x14ac:dyDescent="0.25">
      <c r="B117" s="1712" t="s">
        <v>2660</v>
      </c>
      <c r="C117" s="1713"/>
      <c r="D117" s="1096"/>
      <c r="E117" s="1096"/>
      <c r="F117" s="1091"/>
      <c r="G117" s="1058"/>
      <c r="H117" s="1058"/>
      <c r="I117" s="1058"/>
      <c r="J117" s="1058"/>
      <c r="K117" s="1058"/>
      <c r="L117" s="1058"/>
      <c r="M117" s="1058"/>
      <c r="N117" s="1058"/>
      <c r="O117" s="1058"/>
      <c r="P117" s="1058"/>
      <c r="Q117" s="1058"/>
      <c r="R117" s="884"/>
      <c r="S117" s="884"/>
      <c r="T117" s="884"/>
      <c r="CH117" s="1346"/>
      <c r="CI117" s="1346"/>
      <c r="CJ117" s="1346"/>
      <c r="CK117" s="1346"/>
      <c r="CL117" s="1346"/>
      <c r="CM117" s="1346"/>
      <c r="CN117" s="1346"/>
      <c r="CO117" s="1346"/>
      <c r="CP117" s="1346"/>
    </row>
    <row r="118" spans="1:105" ht="26.25" customHeight="1" x14ac:dyDescent="0.25">
      <c r="B118" s="6301" t="s">
        <v>177</v>
      </c>
      <c r="C118" s="767"/>
      <c r="D118" s="5447" t="s">
        <v>42</v>
      </c>
      <c r="E118" s="6323"/>
      <c r="F118" s="6249"/>
      <c r="G118" s="6326" t="s">
        <v>406</v>
      </c>
      <c r="H118" s="6327"/>
      <c r="I118" s="6327"/>
      <c r="J118" s="6327"/>
      <c r="K118" s="6327"/>
      <c r="L118" s="6327"/>
      <c r="M118" s="6327"/>
      <c r="N118" s="6327"/>
      <c r="O118" s="6327"/>
      <c r="P118" s="6327"/>
      <c r="Q118" s="6327"/>
      <c r="R118" s="6327"/>
      <c r="S118" s="6327"/>
      <c r="T118" s="6327"/>
      <c r="U118" s="6327"/>
      <c r="V118" s="6327"/>
      <c r="W118" s="6327"/>
      <c r="X118" s="6327"/>
      <c r="Y118" s="6327"/>
      <c r="Z118" s="6327"/>
      <c r="AA118" s="6327"/>
      <c r="AB118" s="6327"/>
      <c r="AC118" s="6327"/>
      <c r="AD118" s="6327"/>
      <c r="AE118" s="6327"/>
      <c r="AF118" s="6327"/>
      <c r="AG118" s="6327"/>
      <c r="AH118" s="6327"/>
      <c r="AI118" s="6327"/>
      <c r="AJ118" s="6327"/>
      <c r="AK118" s="6327"/>
      <c r="AL118" s="6328"/>
      <c r="AU118" s="211"/>
      <c r="AV118" s="211"/>
      <c r="AW118" s="211"/>
      <c r="AX118" s="211"/>
      <c r="AY118" s="211"/>
      <c r="AZ118" s="211"/>
      <c r="BA118" s="211"/>
      <c r="BB118" s="211"/>
      <c r="BC118" s="211"/>
      <c r="BD118" s="211"/>
      <c r="BE118" s="211"/>
      <c r="BF118" s="211"/>
      <c r="BG118" s="211"/>
      <c r="BH118" s="211"/>
      <c r="BI118" s="211"/>
      <c r="BJ118" s="211"/>
      <c r="BK118" s="211"/>
      <c r="BL118" s="211"/>
      <c r="BM118" s="211"/>
      <c r="BN118" s="211"/>
      <c r="BO118" s="211"/>
      <c r="BP118" s="211"/>
      <c r="BQ118" s="211"/>
      <c r="BR118" s="211"/>
      <c r="BS118" s="211"/>
      <c r="BT118" s="211"/>
      <c r="BU118" s="211"/>
      <c r="BV118" s="211"/>
      <c r="BW118" s="211"/>
      <c r="BY118" s="210"/>
      <c r="BZ118" s="210"/>
      <c r="CA118" s="210"/>
      <c r="CB118" s="210"/>
      <c r="CC118" s="210"/>
      <c r="CD118" s="210"/>
      <c r="CE118" s="210"/>
      <c r="CF118" s="210"/>
      <c r="CG118" s="210"/>
      <c r="CH118" s="210"/>
      <c r="CI118" s="210"/>
      <c r="CJ118" s="210"/>
      <c r="CK118" s="210"/>
      <c r="CL118" s="210"/>
      <c r="CM118" s="210"/>
      <c r="CN118" s="210"/>
      <c r="CO118" s="210"/>
      <c r="CP118" s="210"/>
      <c r="CQ118" s="210"/>
      <c r="CR118" s="210"/>
      <c r="CS118" s="210"/>
      <c r="CT118" s="210"/>
      <c r="CU118" s="210"/>
      <c r="CV118" s="210"/>
      <c r="CW118" s="210"/>
      <c r="CX118" s="210"/>
      <c r="CY118" s="210"/>
      <c r="CZ118" s="210"/>
      <c r="DA118" s="210"/>
    </row>
    <row r="119" spans="1:105" ht="26.25" customHeight="1" x14ac:dyDescent="0.25">
      <c r="B119" s="5810"/>
      <c r="C119" s="767"/>
      <c r="D119" s="6250"/>
      <c r="E119" s="6324"/>
      <c r="F119" s="6325"/>
      <c r="G119" s="6251" t="s">
        <v>352</v>
      </c>
      <c r="H119" s="6329"/>
      <c r="I119" s="6251" t="s">
        <v>2030</v>
      </c>
      <c r="J119" s="6329"/>
      <c r="K119" s="5165" t="s">
        <v>2031</v>
      </c>
      <c r="L119" s="5167"/>
      <c r="M119" s="5165" t="s">
        <v>2032</v>
      </c>
      <c r="N119" s="5167"/>
      <c r="O119" s="5165" t="s">
        <v>2033</v>
      </c>
      <c r="P119" s="5167"/>
      <c r="Q119" s="5165" t="s">
        <v>2034</v>
      </c>
      <c r="R119" s="5167"/>
      <c r="S119" s="5165" t="s">
        <v>2035</v>
      </c>
      <c r="T119" s="5167"/>
      <c r="U119" s="5165" t="s">
        <v>2036</v>
      </c>
      <c r="V119" s="5167"/>
      <c r="W119" s="5165" t="s">
        <v>2037</v>
      </c>
      <c r="X119" s="5167"/>
      <c r="Y119" s="5165" t="s">
        <v>2038</v>
      </c>
      <c r="Z119" s="5167"/>
      <c r="AA119" s="5165" t="s">
        <v>2039</v>
      </c>
      <c r="AB119" s="5167"/>
      <c r="AC119" s="5165" t="s">
        <v>2040</v>
      </c>
      <c r="AD119" s="5167"/>
      <c r="AE119" s="5165" t="s">
        <v>2041</v>
      </c>
      <c r="AF119" s="5167"/>
      <c r="AG119" s="5165" t="s">
        <v>2042</v>
      </c>
      <c r="AH119" s="5167"/>
      <c r="AI119" s="5160" t="s">
        <v>22</v>
      </c>
      <c r="AJ119" s="6212"/>
      <c r="AK119" s="6321" t="s">
        <v>2081</v>
      </c>
      <c r="AL119" s="5162"/>
      <c r="AQ119" s="211"/>
      <c r="AR119" s="211"/>
      <c r="AS119" s="211"/>
      <c r="BY119" s="210"/>
      <c r="BZ119" s="210"/>
      <c r="CA119" s="210"/>
      <c r="CB119" s="210"/>
      <c r="CC119" s="210"/>
      <c r="CD119" s="210"/>
      <c r="CE119" s="210"/>
      <c r="CF119" s="210"/>
      <c r="CG119" s="210"/>
      <c r="CH119" s="210"/>
      <c r="CI119" s="210"/>
      <c r="CJ119" s="210"/>
      <c r="CK119" s="210"/>
      <c r="CL119" s="210"/>
      <c r="CM119" s="210"/>
      <c r="CN119" s="210"/>
      <c r="CO119" s="210"/>
      <c r="CP119" s="210"/>
      <c r="CQ119" s="210"/>
      <c r="CR119" s="210"/>
      <c r="CS119" s="210"/>
      <c r="CT119" s="210"/>
      <c r="CU119" s="210"/>
      <c r="CV119" s="210"/>
      <c r="CW119" s="210"/>
      <c r="CX119" s="210"/>
      <c r="CY119" s="210"/>
      <c r="CZ119" s="210"/>
      <c r="DA119" s="210"/>
    </row>
    <row r="120" spans="1:105" ht="27" customHeight="1" x14ac:dyDescent="0.25">
      <c r="B120" s="6300"/>
      <c r="C120" s="767"/>
      <c r="D120" s="1714" t="s">
        <v>2043</v>
      </c>
      <c r="E120" s="1715" t="s">
        <v>65</v>
      </c>
      <c r="F120" s="1622" t="s">
        <v>66</v>
      </c>
      <c r="G120" s="1714" t="s">
        <v>65</v>
      </c>
      <c r="H120" s="1716" t="s">
        <v>66</v>
      </c>
      <c r="I120" s="1714" t="s">
        <v>65</v>
      </c>
      <c r="J120" s="1716" t="s">
        <v>66</v>
      </c>
      <c r="K120" s="1595" t="s">
        <v>65</v>
      </c>
      <c r="L120" s="1666" t="s">
        <v>66</v>
      </c>
      <c r="M120" s="1595" t="s">
        <v>65</v>
      </c>
      <c r="N120" s="1666" t="s">
        <v>66</v>
      </c>
      <c r="O120" s="1595" t="s">
        <v>65</v>
      </c>
      <c r="P120" s="1666" t="s">
        <v>66</v>
      </c>
      <c r="Q120" s="1595" t="s">
        <v>65</v>
      </c>
      <c r="R120" s="1666" t="s">
        <v>66</v>
      </c>
      <c r="S120" s="1595" t="s">
        <v>65</v>
      </c>
      <c r="T120" s="1666" t="s">
        <v>66</v>
      </c>
      <c r="U120" s="1595" t="s">
        <v>65</v>
      </c>
      <c r="V120" s="1666" t="s">
        <v>66</v>
      </c>
      <c r="W120" s="1595" t="s">
        <v>65</v>
      </c>
      <c r="X120" s="1666" t="s">
        <v>66</v>
      </c>
      <c r="Y120" s="1595" t="s">
        <v>65</v>
      </c>
      <c r="Z120" s="1666" t="s">
        <v>66</v>
      </c>
      <c r="AA120" s="1595" t="s">
        <v>65</v>
      </c>
      <c r="AB120" s="1666" t="s">
        <v>66</v>
      </c>
      <c r="AC120" s="1595" t="s">
        <v>65</v>
      </c>
      <c r="AD120" s="1666" t="s">
        <v>66</v>
      </c>
      <c r="AE120" s="1595" t="s">
        <v>65</v>
      </c>
      <c r="AF120" s="1666" t="s">
        <v>66</v>
      </c>
      <c r="AG120" s="1595" t="s">
        <v>65</v>
      </c>
      <c r="AH120" s="1666" t="s">
        <v>66</v>
      </c>
      <c r="AI120" s="1595" t="s">
        <v>65</v>
      </c>
      <c r="AJ120" s="1697" t="s">
        <v>66</v>
      </c>
      <c r="AK120" s="1349" t="s">
        <v>65</v>
      </c>
      <c r="AL120" s="1666" t="s">
        <v>66</v>
      </c>
      <c r="AQ120" s="211"/>
      <c r="AR120" s="211"/>
      <c r="AS120" s="211"/>
      <c r="BY120" s="210"/>
      <c r="BZ120" s="210"/>
      <c r="CA120" s="210"/>
      <c r="CB120" s="210"/>
      <c r="CC120" s="210"/>
      <c r="CD120" s="210"/>
      <c r="CE120" s="210"/>
      <c r="CF120" s="210"/>
      <c r="CG120" s="210"/>
      <c r="CH120" s="210"/>
      <c r="CI120" s="210"/>
      <c r="CJ120" s="210"/>
      <c r="CK120" s="210"/>
      <c r="CL120" s="210"/>
      <c r="CM120" s="210"/>
      <c r="CN120" s="210"/>
      <c r="CO120" s="210"/>
      <c r="CP120" s="210"/>
      <c r="CQ120" s="210"/>
      <c r="CR120" s="210"/>
      <c r="CS120" s="210"/>
      <c r="CT120" s="210"/>
      <c r="CU120" s="210"/>
      <c r="CV120" s="210"/>
      <c r="CW120" s="210"/>
      <c r="CX120" s="210"/>
      <c r="CY120" s="210"/>
      <c r="CZ120" s="210"/>
      <c r="DA120" s="210"/>
    </row>
    <row r="121" spans="1:105" ht="20.25" customHeight="1" x14ac:dyDescent="0.25">
      <c r="A121" s="3123">
        <v>19190101</v>
      </c>
      <c r="B121" s="6330" t="s">
        <v>2661</v>
      </c>
      <c r="C121" s="1717" t="s">
        <v>2082</v>
      </c>
      <c r="D121" s="3124" t="s">
        <v>2777</v>
      </c>
      <c r="E121" s="3125" t="s">
        <v>2778</v>
      </c>
      <c r="F121" s="3126" t="s">
        <v>2779</v>
      </c>
      <c r="G121" s="3127" t="s">
        <v>2780</v>
      </c>
      <c r="H121" s="3128" t="s">
        <v>2781</v>
      </c>
      <c r="I121" s="3127" t="s">
        <v>2782</v>
      </c>
      <c r="J121" s="3128" t="s">
        <v>2783</v>
      </c>
      <c r="K121" s="3129" t="s">
        <v>2784</v>
      </c>
      <c r="L121" s="3130" t="s">
        <v>2785</v>
      </c>
      <c r="M121" s="3129" t="s">
        <v>2786</v>
      </c>
      <c r="N121" s="3130" t="s">
        <v>2787</v>
      </c>
      <c r="O121" s="3129" t="s">
        <v>2788</v>
      </c>
      <c r="P121" s="3130" t="s">
        <v>2789</v>
      </c>
      <c r="Q121" s="3129" t="s">
        <v>2790</v>
      </c>
      <c r="R121" s="3130" t="s">
        <v>2791</v>
      </c>
      <c r="S121" s="3129" t="s">
        <v>2792</v>
      </c>
      <c r="T121" s="3130" t="s">
        <v>2793</v>
      </c>
      <c r="U121" s="3129" t="s">
        <v>2794</v>
      </c>
      <c r="V121" s="3130" t="s">
        <v>2795</v>
      </c>
      <c r="W121" s="3129" t="s">
        <v>2796</v>
      </c>
      <c r="X121" s="3130" t="s">
        <v>2797</v>
      </c>
      <c r="Y121" s="3129" t="s">
        <v>2798</v>
      </c>
      <c r="Z121" s="3130" t="s">
        <v>2799</v>
      </c>
      <c r="AA121" s="3129" t="s">
        <v>2800</v>
      </c>
      <c r="AB121" s="3130" t="s">
        <v>2801</v>
      </c>
      <c r="AC121" s="3129" t="s">
        <v>2817</v>
      </c>
      <c r="AD121" s="3130" t="s">
        <v>2818</v>
      </c>
      <c r="AE121" s="3129" t="s">
        <v>2819</v>
      </c>
      <c r="AF121" s="3130" t="s">
        <v>2821</v>
      </c>
      <c r="AG121" s="3129" t="s">
        <v>2822</v>
      </c>
      <c r="AH121" s="3130" t="s">
        <v>2823</v>
      </c>
      <c r="AI121" s="3131" t="s">
        <v>2824</v>
      </c>
      <c r="AJ121" s="3132" t="s">
        <v>2825</v>
      </c>
      <c r="AK121" s="3133" t="s">
        <v>2826</v>
      </c>
      <c r="AL121" s="3130" t="s">
        <v>2827</v>
      </c>
      <c r="AQ121" s="211"/>
      <c r="AR121" s="211"/>
      <c r="AS121" s="211"/>
      <c r="BY121" s="210"/>
      <c r="BZ121" s="210"/>
      <c r="CA121" s="210"/>
      <c r="CB121" s="210"/>
      <c r="CC121" s="210"/>
      <c r="CD121" s="210"/>
      <c r="CE121" s="210"/>
      <c r="CF121" s="210"/>
      <c r="CG121" s="210"/>
      <c r="CH121" s="210"/>
      <c r="CI121" s="210"/>
      <c r="CJ121" s="210"/>
      <c r="CK121" s="210"/>
      <c r="CL121" s="210"/>
      <c r="CM121" s="210"/>
      <c r="CN121" s="210"/>
      <c r="CO121" s="210"/>
      <c r="CP121" s="210"/>
      <c r="CQ121" s="210"/>
      <c r="CR121" s="210"/>
      <c r="CS121" s="210"/>
      <c r="CT121" s="210"/>
      <c r="CU121" s="210"/>
      <c r="CV121" s="210"/>
      <c r="CW121" s="210"/>
      <c r="CX121" s="210"/>
      <c r="CY121" s="210"/>
      <c r="CZ121" s="210"/>
      <c r="DA121" s="210"/>
    </row>
    <row r="122" spans="1:105" ht="18.75" customHeight="1" x14ac:dyDescent="0.25">
      <c r="A122" s="3123">
        <v>19190102</v>
      </c>
      <c r="B122" s="5647"/>
      <c r="C122" s="879" t="s">
        <v>2083</v>
      </c>
      <c r="D122" s="1223" t="s">
        <v>2777</v>
      </c>
      <c r="E122" s="1224" t="s">
        <v>2778</v>
      </c>
      <c r="F122" s="1718" t="s">
        <v>2779</v>
      </c>
      <c r="G122" s="818" t="s">
        <v>2780</v>
      </c>
      <c r="H122" s="838" t="s">
        <v>2781</v>
      </c>
      <c r="I122" s="818" t="s">
        <v>2782</v>
      </c>
      <c r="J122" s="838" t="s">
        <v>2783</v>
      </c>
      <c r="K122" s="141" t="s">
        <v>2784</v>
      </c>
      <c r="L122" s="163" t="s">
        <v>2785</v>
      </c>
      <c r="M122" s="141" t="s">
        <v>2786</v>
      </c>
      <c r="N122" s="163" t="s">
        <v>2787</v>
      </c>
      <c r="O122" s="141" t="s">
        <v>2788</v>
      </c>
      <c r="P122" s="163" t="s">
        <v>2789</v>
      </c>
      <c r="Q122" s="141" t="s">
        <v>2790</v>
      </c>
      <c r="R122" s="163" t="s">
        <v>2791</v>
      </c>
      <c r="S122" s="141" t="s">
        <v>2792</v>
      </c>
      <c r="T122" s="163" t="s">
        <v>2793</v>
      </c>
      <c r="U122" s="141" t="s">
        <v>2794</v>
      </c>
      <c r="V122" s="163" t="s">
        <v>2795</v>
      </c>
      <c r="W122" s="141" t="s">
        <v>2796</v>
      </c>
      <c r="X122" s="163" t="s">
        <v>2797</v>
      </c>
      <c r="Y122" s="141" t="s">
        <v>2798</v>
      </c>
      <c r="Z122" s="163" t="s">
        <v>2799</v>
      </c>
      <c r="AA122" s="141" t="s">
        <v>2800</v>
      </c>
      <c r="AB122" s="163" t="s">
        <v>2801</v>
      </c>
      <c r="AC122" s="141" t="s">
        <v>2817</v>
      </c>
      <c r="AD122" s="163" t="s">
        <v>2818</v>
      </c>
      <c r="AE122" s="141" t="s">
        <v>2819</v>
      </c>
      <c r="AF122" s="163" t="s">
        <v>2821</v>
      </c>
      <c r="AG122" s="141" t="s">
        <v>2822</v>
      </c>
      <c r="AH122" s="163" t="s">
        <v>2823</v>
      </c>
      <c r="AI122" s="224" t="s">
        <v>2824</v>
      </c>
      <c r="AJ122" s="318" t="s">
        <v>2825</v>
      </c>
      <c r="AK122" s="143" t="s">
        <v>2826</v>
      </c>
      <c r="AL122" s="163" t="s">
        <v>2827</v>
      </c>
      <c r="AQ122" s="211"/>
      <c r="AR122" s="211"/>
      <c r="AS122" s="211"/>
      <c r="BY122" s="210"/>
      <c r="BZ122" s="210"/>
      <c r="CA122" s="210"/>
      <c r="CB122" s="210"/>
      <c r="CC122" s="210"/>
      <c r="CD122" s="210"/>
      <c r="CE122" s="210"/>
      <c r="CF122" s="210"/>
      <c r="CG122" s="210"/>
      <c r="CH122" s="210"/>
      <c r="CI122" s="210"/>
      <c r="CJ122" s="210"/>
      <c r="CK122" s="210"/>
      <c r="CL122" s="210"/>
      <c r="CM122" s="210"/>
      <c r="CN122" s="210"/>
      <c r="CO122" s="210"/>
      <c r="CP122" s="210"/>
      <c r="CQ122" s="210"/>
      <c r="CR122" s="210"/>
      <c r="CS122" s="210"/>
      <c r="CT122" s="210"/>
      <c r="CU122" s="210"/>
      <c r="CV122" s="210"/>
      <c r="CW122" s="210"/>
      <c r="CX122" s="210"/>
      <c r="CY122" s="210"/>
      <c r="CZ122" s="210"/>
      <c r="DA122" s="210"/>
    </row>
    <row r="123" spans="1:105" ht="18.75" customHeight="1" x14ac:dyDescent="0.25">
      <c r="A123" s="3123">
        <v>19190103</v>
      </c>
      <c r="B123" s="6331"/>
      <c r="C123" s="1719" t="s">
        <v>2084</v>
      </c>
      <c r="D123" s="1720" t="s">
        <v>2777</v>
      </c>
      <c r="E123" s="1721" t="s">
        <v>2778</v>
      </c>
      <c r="F123" s="1722" t="s">
        <v>2779</v>
      </c>
      <c r="G123" s="822" t="s">
        <v>2780</v>
      </c>
      <c r="H123" s="813" t="s">
        <v>2781</v>
      </c>
      <c r="I123" s="822" t="s">
        <v>2782</v>
      </c>
      <c r="J123" s="813" t="s">
        <v>2783</v>
      </c>
      <c r="K123" s="166" t="s">
        <v>2784</v>
      </c>
      <c r="L123" s="125" t="s">
        <v>2785</v>
      </c>
      <c r="M123" s="166" t="s">
        <v>2786</v>
      </c>
      <c r="N123" s="125" t="s">
        <v>2787</v>
      </c>
      <c r="O123" s="166" t="s">
        <v>2788</v>
      </c>
      <c r="P123" s="125" t="s">
        <v>2789</v>
      </c>
      <c r="Q123" s="166" t="s">
        <v>2790</v>
      </c>
      <c r="R123" s="125" t="s">
        <v>2791</v>
      </c>
      <c r="S123" s="166" t="s">
        <v>2792</v>
      </c>
      <c r="T123" s="125" t="s">
        <v>2793</v>
      </c>
      <c r="U123" s="166" t="s">
        <v>2794</v>
      </c>
      <c r="V123" s="125" t="s">
        <v>2795</v>
      </c>
      <c r="W123" s="166" t="s">
        <v>2796</v>
      </c>
      <c r="X123" s="125" t="s">
        <v>2797</v>
      </c>
      <c r="Y123" s="166" t="s">
        <v>2798</v>
      </c>
      <c r="Z123" s="125" t="s">
        <v>2799</v>
      </c>
      <c r="AA123" s="166" t="s">
        <v>2800</v>
      </c>
      <c r="AB123" s="125" t="s">
        <v>2801</v>
      </c>
      <c r="AC123" s="166" t="s">
        <v>2817</v>
      </c>
      <c r="AD123" s="125" t="s">
        <v>2818</v>
      </c>
      <c r="AE123" s="166" t="s">
        <v>2819</v>
      </c>
      <c r="AF123" s="125" t="s">
        <v>2821</v>
      </c>
      <c r="AG123" s="166" t="s">
        <v>2822</v>
      </c>
      <c r="AH123" s="125" t="s">
        <v>2823</v>
      </c>
      <c r="AI123" s="227" t="s">
        <v>2824</v>
      </c>
      <c r="AJ123" s="319" t="s">
        <v>2825</v>
      </c>
      <c r="AK123" s="265" t="s">
        <v>2826</v>
      </c>
      <c r="AL123" s="125" t="s">
        <v>2827</v>
      </c>
      <c r="AQ123" s="211"/>
      <c r="AR123" s="211"/>
      <c r="AS123" s="211"/>
      <c r="BY123" s="210"/>
      <c r="BZ123" s="210"/>
      <c r="CA123" s="210"/>
      <c r="CB123" s="210"/>
      <c r="CC123" s="210"/>
      <c r="CD123" s="210"/>
      <c r="CE123" s="210"/>
      <c r="CF123" s="210"/>
      <c r="CG123" s="210"/>
      <c r="CH123" s="210"/>
      <c r="CI123" s="210"/>
      <c r="CJ123" s="210"/>
      <c r="CK123" s="210"/>
      <c r="CL123" s="210"/>
      <c r="CM123" s="210"/>
      <c r="CN123" s="210"/>
      <c r="CO123" s="210"/>
      <c r="CP123" s="210"/>
      <c r="CQ123" s="210"/>
      <c r="CR123" s="210"/>
      <c r="CS123" s="210"/>
      <c r="CT123" s="210"/>
      <c r="CU123" s="210"/>
      <c r="CV123" s="210"/>
      <c r="CW123" s="210"/>
      <c r="CX123" s="210"/>
      <c r="CY123" s="210"/>
      <c r="CZ123" s="210"/>
      <c r="DA123" s="210"/>
    </row>
    <row r="124" spans="1:105" ht="21" customHeight="1" x14ac:dyDescent="0.25">
      <c r="B124" s="324" t="s">
        <v>2085</v>
      </c>
      <c r="C124" s="470"/>
      <c r="D124" s="13"/>
      <c r="E124" s="190"/>
      <c r="F124" s="881"/>
      <c r="G124" s="881"/>
      <c r="H124" s="881"/>
      <c r="I124" s="881"/>
      <c r="J124" s="881"/>
      <c r="K124" s="881"/>
      <c r="L124" s="881"/>
      <c r="M124" s="881"/>
      <c r="N124" s="884"/>
      <c r="O124" s="884"/>
      <c r="P124" s="884"/>
      <c r="CH124" s="1346"/>
      <c r="CI124" s="1346"/>
      <c r="CJ124" s="1346"/>
      <c r="CK124" s="1346"/>
      <c r="CL124" s="1346"/>
      <c r="CM124" s="1346"/>
      <c r="CN124" s="1346"/>
      <c r="CO124" s="1346"/>
      <c r="CP124" s="1346"/>
    </row>
    <row r="125" spans="1:105" ht="21.75" customHeight="1" x14ac:dyDescent="0.25">
      <c r="B125" s="324" t="s">
        <v>2086</v>
      </c>
      <c r="C125" s="190"/>
      <c r="D125" s="190"/>
      <c r="E125" s="190"/>
      <c r="F125" s="190"/>
      <c r="G125" s="190"/>
      <c r="H125" s="190"/>
      <c r="I125" s="190"/>
      <c r="J125" s="190"/>
      <c r="K125" s="190"/>
      <c r="L125" s="190"/>
      <c r="M125" s="190"/>
      <c r="CH125" s="1346"/>
      <c r="CI125" s="1346"/>
      <c r="CJ125" s="1346"/>
      <c r="CK125" s="1346"/>
      <c r="CL125" s="1346"/>
      <c r="CM125" s="1346"/>
      <c r="CN125" s="1346"/>
      <c r="CO125" s="1346"/>
      <c r="CP125" s="1346"/>
    </row>
    <row r="126" spans="1:105" ht="27" customHeight="1" x14ac:dyDescent="0.25">
      <c r="B126" s="5818" t="s">
        <v>148</v>
      </c>
      <c r="C126" s="5818" t="s">
        <v>2087</v>
      </c>
      <c r="D126" s="5818" t="s">
        <v>2070</v>
      </c>
      <c r="E126" s="5165" t="s">
        <v>2088</v>
      </c>
      <c r="F126" s="6332"/>
      <c r="G126" s="6332"/>
      <c r="H126" s="6332"/>
      <c r="I126" s="6332"/>
      <c r="J126" s="6332"/>
      <c r="K126" s="6213"/>
      <c r="L126" s="6219" t="s">
        <v>2089</v>
      </c>
      <c r="M126" s="6219" t="s">
        <v>2662</v>
      </c>
      <c r="CH126" s="1346"/>
      <c r="CI126" s="1346"/>
      <c r="CJ126" s="1346"/>
      <c r="CK126" s="1346"/>
      <c r="CL126" s="1346"/>
      <c r="CM126" s="1346"/>
      <c r="CN126" s="1346"/>
      <c r="CO126" s="1346"/>
      <c r="CP126" s="1346"/>
    </row>
    <row r="127" spans="1:105" ht="55.5" customHeight="1" x14ac:dyDescent="0.25">
      <c r="B127" s="5818"/>
      <c r="C127" s="5818"/>
      <c r="D127" s="5818"/>
      <c r="E127" s="1595" t="s">
        <v>2090</v>
      </c>
      <c r="F127" s="1661" t="s">
        <v>2091</v>
      </c>
      <c r="G127" s="1661" t="s">
        <v>2092</v>
      </c>
      <c r="H127" s="1661" t="s">
        <v>2093</v>
      </c>
      <c r="I127" s="1661" t="s">
        <v>2094</v>
      </c>
      <c r="J127" s="1723" t="s">
        <v>2095</v>
      </c>
      <c r="K127" s="1724" t="s">
        <v>2096</v>
      </c>
      <c r="L127" s="5773"/>
      <c r="M127" s="5773"/>
      <c r="CH127" s="1346"/>
      <c r="CI127" s="1346"/>
      <c r="CJ127" s="1346"/>
      <c r="CK127" s="1346"/>
      <c r="CL127" s="1346"/>
      <c r="CM127" s="1346"/>
      <c r="CN127" s="1346"/>
      <c r="CO127" s="1346"/>
      <c r="CP127" s="1346"/>
    </row>
    <row r="128" spans="1:105" ht="19.5" customHeight="1" x14ac:dyDescent="0.25">
      <c r="A128" s="3097">
        <v>19140101</v>
      </c>
      <c r="B128" s="5818" t="s">
        <v>2097</v>
      </c>
      <c r="C128" s="1630" t="s">
        <v>659</v>
      </c>
      <c r="D128" s="3134" t="s">
        <v>2777</v>
      </c>
      <c r="E128" s="3129" t="s">
        <v>2778</v>
      </c>
      <c r="F128" s="3135" t="s">
        <v>2779</v>
      </c>
      <c r="G128" s="3135" t="s">
        <v>2780</v>
      </c>
      <c r="H128" s="3135" t="s">
        <v>2781</v>
      </c>
      <c r="I128" s="3135" t="s">
        <v>2782</v>
      </c>
      <c r="J128" s="3136" t="s">
        <v>2783</v>
      </c>
      <c r="K128" s="3132" t="s">
        <v>2784</v>
      </c>
      <c r="L128" s="3137" t="s">
        <v>2785</v>
      </c>
      <c r="M128" s="3138" t="s">
        <v>2786</v>
      </c>
      <c r="N128" s="211"/>
      <c r="CH128" s="1346"/>
      <c r="CI128" s="1346"/>
      <c r="CJ128" s="1346"/>
      <c r="CK128" s="1346"/>
      <c r="CL128" s="1346"/>
      <c r="CM128" s="1346"/>
      <c r="CN128" s="1346"/>
      <c r="CO128" s="1346"/>
      <c r="CP128" s="1346"/>
    </row>
    <row r="129" spans="1:94" ht="19.5" customHeight="1" x14ac:dyDescent="0.25">
      <c r="A129" s="2458">
        <v>19170700</v>
      </c>
      <c r="B129" s="5818"/>
      <c r="C129" s="1618" t="s">
        <v>2098</v>
      </c>
      <c r="D129" s="140" t="s">
        <v>2777</v>
      </c>
      <c r="E129" s="141" t="s">
        <v>2778</v>
      </c>
      <c r="F129" s="142" t="s">
        <v>2779</v>
      </c>
      <c r="G129" s="142" t="s">
        <v>2780</v>
      </c>
      <c r="H129" s="142" t="s">
        <v>2781</v>
      </c>
      <c r="I129" s="142" t="s">
        <v>2782</v>
      </c>
      <c r="J129" s="247" t="s">
        <v>2783</v>
      </c>
      <c r="K129" s="318" t="s">
        <v>2784</v>
      </c>
      <c r="L129" s="180" t="s">
        <v>2785</v>
      </c>
      <c r="M129" s="164" t="s">
        <v>2786</v>
      </c>
      <c r="N129" s="211"/>
      <c r="CH129" s="1346"/>
      <c r="CI129" s="1346"/>
      <c r="CJ129" s="1346"/>
      <c r="CK129" s="1346"/>
      <c r="CL129" s="1346"/>
      <c r="CM129" s="1346"/>
      <c r="CN129" s="1346"/>
      <c r="CO129" s="1346"/>
      <c r="CP129" s="1346"/>
    </row>
    <row r="130" spans="1:94" ht="19.5" customHeight="1" x14ac:dyDescent="0.25">
      <c r="A130" s="3097">
        <v>19140102</v>
      </c>
      <c r="B130" s="5818"/>
      <c r="C130" s="1618" t="s">
        <v>2099</v>
      </c>
      <c r="D130" s="140" t="s">
        <v>2777</v>
      </c>
      <c r="E130" s="141" t="s">
        <v>2778</v>
      </c>
      <c r="F130" s="142" t="s">
        <v>2779</v>
      </c>
      <c r="G130" s="142" t="s">
        <v>2780</v>
      </c>
      <c r="H130" s="142" t="s">
        <v>2781</v>
      </c>
      <c r="I130" s="142" t="s">
        <v>2782</v>
      </c>
      <c r="J130" s="247" t="s">
        <v>2783</v>
      </c>
      <c r="K130" s="318" t="s">
        <v>2784</v>
      </c>
      <c r="L130" s="180" t="s">
        <v>2785</v>
      </c>
      <c r="M130" s="164" t="s">
        <v>2786</v>
      </c>
      <c r="N130" s="211"/>
      <c r="CH130" s="1346"/>
      <c r="CI130" s="1346"/>
      <c r="CJ130" s="1346"/>
      <c r="CK130" s="1346"/>
      <c r="CL130" s="1346"/>
      <c r="CM130" s="1346"/>
      <c r="CN130" s="1346"/>
      <c r="CO130" s="1346"/>
      <c r="CP130" s="1346"/>
    </row>
    <row r="131" spans="1:94" ht="19.5" customHeight="1" x14ac:dyDescent="0.25">
      <c r="A131" s="3097">
        <v>19140103</v>
      </c>
      <c r="B131" s="5818"/>
      <c r="C131" s="1625" t="s">
        <v>2100</v>
      </c>
      <c r="D131" s="100" t="s">
        <v>2777</v>
      </c>
      <c r="E131" s="2717" t="s">
        <v>2778</v>
      </c>
      <c r="F131" s="2468" t="s">
        <v>2779</v>
      </c>
      <c r="G131" s="2468" t="s">
        <v>2780</v>
      </c>
      <c r="H131" s="2468" t="s">
        <v>2781</v>
      </c>
      <c r="I131" s="2468" t="s">
        <v>2782</v>
      </c>
      <c r="J131" s="3139" t="s">
        <v>2783</v>
      </c>
      <c r="K131" s="2718" t="s">
        <v>2784</v>
      </c>
      <c r="L131" s="2797" t="s">
        <v>2785</v>
      </c>
      <c r="M131" s="2747" t="s">
        <v>2786</v>
      </c>
      <c r="N131" s="211"/>
      <c r="CH131" s="1346"/>
      <c r="CI131" s="1346"/>
      <c r="CJ131" s="1346"/>
      <c r="CK131" s="1346"/>
      <c r="CL131" s="1346"/>
      <c r="CM131" s="1346"/>
      <c r="CN131" s="1346"/>
      <c r="CO131" s="1346"/>
      <c r="CP131" s="1346"/>
    </row>
    <row r="132" spans="1:94" ht="19.5" customHeight="1" x14ac:dyDescent="0.25">
      <c r="A132" s="3097">
        <v>19140201</v>
      </c>
      <c r="B132" s="5818" t="s">
        <v>2101</v>
      </c>
      <c r="C132" s="1630" t="s">
        <v>659</v>
      </c>
      <c r="D132" s="3140" t="s">
        <v>2777</v>
      </c>
      <c r="E132" s="3119" t="s">
        <v>2778</v>
      </c>
      <c r="F132" s="3141" t="s">
        <v>2779</v>
      </c>
      <c r="G132" s="3141" t="s">
        <v>2780</v>
      </c>
      <c r="H132" s="3141" t="s">
        <v>2781</v>
      </c>
      <c r="I132" s="3141" t="s">
        <v>2782</v>
      </c>
      <c r="J132" s="3121" t="s">
        <v>2783</v>
      </c>
      <c r="K132" s="3142" t="s">
        <v>2784</v>
      </c>
      <c r="L132" s="3120" t="s">
        <v>2785</v>
      </c>
      <c r="M132" s="3122" t="s">
        <v>2786</v>
      </c>
      <c r="N132" s="211"/>
      <c r="CH132" s="1346"/>
      <c r="CI132" s="1346"/>
      <c r="CJ132" s="1346"/>
      <c r="CK132" s="1346"/>
      <c r="CL132" s="1346"/>
      <c r="CM132" s="1346"/>
      <c r="CN132" s="1346"/>
      <c r="CO132" s="1346"/>
      <c r="CP132" s="1346"/>
    </row>
    <row r="133" spans="1:94" ht="19.5" customHeight="1" x14ac:dyDescent="0.25">
      <c r="A133" s="2458">
        <v>19170800</v>
      </c>
      <c r="B133" s="5818"/>
      <c r="C133" s="1618" t="s">
        <v>2098</v>
      </c>
      <c r="D133" s="2460" t="s">
        <v>2777</v>
      </c>
      <c r="E133" s="2249" t="s">
        <v>2778</v>
      </c>
      <c r="F133" s="2467" t="s">
        <v>2779</v>
      </c>
      <c r="G133" s="2467" t="s">
        <v>2780</v>
      </c>
      <c r="H133" s="2467" t="s">
        <v>2781</v>
      </c>
      <c r="I133" s="2467" t="s">
        <v>2782</v>
      </c>
      <c r="J133" s="2368" t="s">
        <v>2783</v>
      </c>
      <c r="K133" s="2403" t="s">
        <v>2784</v>
      </c>
      <c r="L133" s="2346" t="s">
        <v>2785</v>
      </c>
      <c r="M133" s="2397" t="s">
        <v>2786</v>
      </c>
      <c r="N133" s="211"/>
      <c r="CH133" s="1346"/>
      <c r="CI133" s="1346"/>
      <c r="CJ133" s="1346"/>
      <c r="CK133" s="1346"/>
      <c r="CL133" s="1346"/>
      <c r="CM133" s="1346"/>
      <c r="CN133" s="1346"/>
      <c r="CO133" s="1346"/>
      <c r="CP133" s="1346"/>
    </row>
    <row r="134" spans="1:94" ht="19.5" customHeight="1" x14ac:dyDescent="0.25">
      <c r="A134" s="3097">
        <v>19140202</v>
      </c>
      <c r="B134" s="5818"/>
      <c r="C134" s="1618" t="s">
        <v>2099</v>
      </c>
      <c r="D134" s="140" t="s">
        <v>2777</v>
      </c>
      <c r="E134" s="141" t="s">
        <v>2778</v>
      </c>
      <c r="F134" s="142" t="s">
        <v>2779</v>
      </c>
      <c r="G134" s="142" t="s">
        <v>2780</v>
      </c>
      <c r="H134" s="142" t="s">
        <v>2781</v>
      </c>
      <c r="I134" s="142" t="s">
        <v>2782</v>
      </c>
      <c r="J134" s="247" t="s">
        <v>2783</v>
      </c>
      <c r="K134" s="318" t="s">
        <v>2784</v>
      </c>
      <c r="L134" s="180" t="s">
        <v>2785</v>
      </c>
      <c r="M134" s="164" t="s">
        <v>2786</v>
      </c>
      <c r="N134" s="211"/>
      <c r="CH134" s="1346"/>
      <c r="CI134" s="1346"/>
      <c r="CJ134" s="1346"/>
      <c r="CK134" s="1346"/>
      <c r="CL134" s="1346"/>
      <c r="CM134" s="1346"/>
      <c r="CN134" s="1346"/>
      <c r="CO134" s="1346"/>
      <c r="CP134" s="1346"/>
    </row>
    <row r="135" spans="1:94" ht="19.5" customHeight="1" x14ac:dyDescent="0.25">
      <c r="A135" s="3097">
        <v>19140203</v>
      </c>
      <c r="B135" s="5818"/>
      <c r="C135" s="1625" t="s">
        <v>2100</v>
      </c>
      <c r="D135" s="100" t="s">
        <v>2777</v>
      </c>
      <c r="E135" s="166" t="s">
        <v>2778</v>
      </c>
      <c r="F135" s="102" t="s">
        <v>2779</v>
      </c>
      <c r="G135" s="102" t="s">
        <v>2780</v>
      </c>
      <c r="H135" s="102" t="s">
        <v>2781</v>
      </c>
      <c r="I135" s="102" t="s">
        <v>2782</v>
      </c>
      <c r="J135" s="270" t="s">
        <v>2783</v>
      </c>
      <c r="K135" s="319" t="s">
        <v>2784</v>
      </c>
      <c r="L135" s="126" t="s">
        <v>2785</v>
      </c>
      <c r="M135" s="105" t="s">
        <v>2786</v>
      </c>
      <c r="N135" s="211"/>
      <c r="CH135" s="1346"/>
      <c r="CI135" s="1346"/>
      <c r="CJ135" s="1346"/>
      <c r="CK135" s="1346"/>
      <c r="CL135" s="1346"/>
      <c r="CM135" s="1346"/>
      <c r="CN135" s="1346"/>
      <c r="CO135" s="1346"/>
      <c r="CP135" s="1346"/>
    </row>
    <row r="136" spans="1:94" ht="19.5" customHeight="1" x14ac:dyDescent="0.25">
      <c r="A136" s="3097">
        <v>19140301</v>
      </c>
      <c r="B136" s="5818" t="s">
        <v>2102</v>
      </c>
      <c r="C136" s="1630" t="s">
        <v>659</v>
      </c>
      <c r="D136" s="3140" t="s">
        <v>2777</v>
      </c>
      <c r="E136" s="3119" t="s">
        <v>2778</v>
      </c>
      <c r="F136" s="3141" t="s">
        <v>2779</v>
      </c>
      <c r="G136" s="3141" t="s">
        <v>2780</v>
      </c>
      <c r="H136" s="3141" t="s">
        <v>2781</v>
      </c>
      <c r="I136" s="3141" t="s">
        <v>2782</v>
      </c>
      <c r="J136" s="3121" t="s">
        <v>2783</v>
      </c>
      <c r="K136" s="3142" t="s">
        <v>2784</v>
      </c>
      <c r="L136" s="3120" t="s">
        <v>2785</v>
      </c>
      <c r="M136" s="3122" t="s">
        <v>2786</v>
      </c>
      <c r="N136" s="211"/>
      <c r="CH136" s="1346"/>
      <c r="CI136" s="1346"/>
      <c r="CJ136" s="1346"/>
      <c r="CK136" s="1346"/>
      <c r="CL136" s="1346"/>
      <c r="CM136" s="1346"/>
      <c r="CN136" s="1346"/>
      <c r="CO136" s="1346"/>
      <c r="CP136" s="1346"/>
    </row>
    <row r="137" spans="1:94" ht="19.5" customHeight="1" x14ac:dyDescent="0.25">
      <c r="A137" s="2458">
        <v>19170900</v>
      </c>
      <c r="B137" s="5818"/>
      <c r="C137" s="1618" t="s">
        <v>2098</v>
      </c>
      <c r="D137" s="2460" t="s">
        <v>2777</v>
      </c>
      <c r="E137" s="2249" t="s">
        <v>2778</v>
      </c>
      <c r="F137" s="2467" t="s">
        <v>2779</v>
      </c>
      <c r="G137" s="2467" t="s">
        <v>2780</v>
      </c>
      <c r="H137" s="2467" t="s">
        <v>2781</v>
      </c>
      <c r="I137" s="2467" t="s">
        <v>2782</v>
      </c>
      <c r="J137" s="2368" t="s">
        <v>2783</v>
      </c>
      <c r="K137" s="2403" t="s">
        <v>2784</v>
      </c>
      <c r="L137" s="2346" t="s">
        <v>2785</v>
      </c>
      <c r="M137" s="2397" t="s">
        <v>2786</v>
      </c>
      <c r="N137" s="211"/>
      <c r="CH137" s="1346"/>
      <c r="CI137" s="1346"/>
      <c r="CJ137" s="1346"/>
      <c r="CK137" s="1346"/>
      <c r="CL137" s="1346"/>
      <c r="CM137" s="1346"/>
      <c r="CN137" s="1346"/>
      <c r="CO137" s="1346"/>
      <c r="CP137" s="1346"/>
    </row>
    <row r="138" spans="1:94" ht="19.5" customHeight="1" x14ac:dyDescent="0.25">
      <c r="A138" s="3097">
        <v>19140302</v>
      </c>
      <c r="B138" s="5818"/>
      <c r="C138" s="1618" t="s">
        <v>2099</v>
      </c>
      <c r="D138" s="140" t="s">
        <v>2777</v>
      </c>
      <c r="E138" s="141" t="s">
        <v>2778</v>
      </c>
      <c r="F138" s="142" t="s">
        <v>2779</v>
      </c>
      <c r="G138" s="142" t="s">
        <v>2780</v>
      </c>
      <c r="H138" s="142" t="s">
        <v>2781</v>
      </c>
      <c r="I138" s="142" t="s">
        <v>2782</v>
      </c>
      <c r="J138" s="247" t="s">
        <v>2783</v>
      </c>
      <c r="K138" s="318" t="s">
        <v>2784</v>
      </c>
      <c r="L138" s="180" t="s">
        <v>2785</v>
      </c>
      <c r="M138" s="164" t="s">
        <v>2786</v>
      </c>
      <c r="N138" s="211"/>
      <c r="CH138" s="1346"/>
      <c r="CI138" s="1346"/>
      <c r="CJ138" s="1346"/>
      <c r="CK138" s="1346"/>
      <c r="CL138" s="1346"/>
      <c r="CM138" s="1346"/>
      <c r="CN138" s="1346"/>
      <c r="CO138" s="1346"/>
      <c r="CP138" s="1346"/>
    </row>
    <row r="139" spans="1:94" ht="19.5" customHeight="1" x14ac:dyDescent="0.25">
      <c r="A139" s="3097">
        <v>19140303</v>
      </c>
      <c r="B139" s="5818"/>
      <c r="C139" s="1625" t="s">
        <v>2100</v>
      </c>
      <c r="D139" s="100" t="s">
        <v>2777</v>
      </c>
      <c r="E139" s="166" t="s">
        <v>2778</v>
      </c>
      <c r="F139" s="102" t="s">
        <v>2779</v>
      </c>
      <c r="G139" s="102" t="s">
        <v>2780</v>
      </c>
      <c r="H139" s="102" t="s">
        <v>2781</v>
      </c>
      <c r="I139" s="102" t="s">
        <v>2782</v>
      </c>
      <c r="J139" s="270" t="s">
        <v>2783</v>
      </c>
      <c r="K139" s="319" t="s">
        <v>2784</v>
      </c>
      <c r="L139" s="126" t="s">
        <v>2785</v>
      </c>
      <c r="M139" s="105" t="s">
        <v>2786</v>
      </c>
      <c r="N139" s="211"/>
      <c r="CH139" s="1346"/>
      <c r="CI139" s="1346"/>
      <c r="CJ139" s="1346"/>
      <c r="CK139" s="1346"/>
      <c r="CL139" s="1346"/>
      <c r="CM139" s="1346"/>
      <c r="CN139" s="1346"/>
      <c r="CO139" s="1346"/>
      <c r="CP139" s="1346"/>
    </row>
    <row r="140" spans="1:94" ht="19.5" customHeight="1" x14ac:dyDescent="0.25">
      <c r="A140" s="3097">
        <v>19140401</v>
      </c>
      <c r="B140" s="5818" t="s">
        <v>2103</v>
      </c>
      <c r="C140" s="1630" t="s">
        <v>659</v>
      </c>
      <c r="D140" s="3140" t="s">
        <v>2777</v>
      </c>
      <c r="E140" s="3119" t="s">
        <v>2778</v>
      </c>
      <c r="F140" s="3141" t="s">
        <v>2779</v>
      </c>
      <c r="G140" s="3141" t="s">
        <v>2780</v>
      </c>
      <c r="H140" s="3141" t="s">
        <v>2781</v>
      </c>
      <c r="I140" s="3141" t="s">
        <v>2782</v>
      </c>
      <c r="J140" s="3121" t="s">
        <v>2783</v>
      </c>
      <c r="K140" s="3142" t="s">
        <v>2784</v>
      </c>
      <c r="L140" s="3120" t="s">
        <v>2785</v>
      </c>
      <c r="M140" s="3122" t="s">
        <v>2786</v>
      </c>
      <c r="N140" s="211"/>
      <c r="CH140" s="1346"/>
      <c r="CI140" s="1346"/>
      <c r="CJ140" s="1346"/>
      <c r="CK140" s="1346"/>
      <c r="CL140" s="1346"/>
      <c r="CM140" s="1346"/>
      <c r="CN140" s="1346"/>
      <c r="CO140" s="1346"/>
      <c r="CP140" s="1346"/>
    </row>
    <row r="141" spans="1:94" ht="19.5" customHeight="1" x14ac:dyDescent="0.25">
      <c r="A141" s="2458">
        <v>19180000</v>
      </c>
      <c r="B141" s="5818"/>
      <c r="C141" s="1618" t="s">
        <v>2098</v>
      </c>
      <c r="D141" s="2460" t="s">
        <v>2777</v>
      </c>
      <c r="E141" s="2249" t="s">
        <v>2778</v>
      </c>
      <c r="F141" s="2467" t="s">
        <v>2779</v>
      </c>
      <c r="G141" s="2467" t="s">
        <v>2780</v>
      </c>
      <c r="H141" s="2467" t="s">
        <v>2781</v>
      </c>
      <c r="I141" s="2467" t="s">
        <v>2782</v>
      </c>
      <c r="J141" s="2368" t="s">
        <v>2783</v>
      </c>
      <c r="K141" s="2403" t="s">
        <v>2784</v>
      </c>
      <c r="L141" s="2346" t="s">
        <v>2785</v>
      </c>
      <c r="M141" s="2397" t="s">
        <v>2786</v>
      </c>
      <c r="N141" s="211"/>
      <c r="CH141" s="1346"/>
      <c r="CI141" s="1346"/>
      <c r="CJ141" s="1346"/>
      <c r="CK141" s="1346"/>
      <c r="CL141" s="1346"/>
      <c r="CM141" s="1346"/>
      <c r="CN141" s="1346"/>
      <c r="CO141" s="1346"/>
      <c r="CP141" s="1346"/>
    </row>
    <row r="142" spans="1:94" ht="19.5" customHeight="1" x14ac:dyDescent="0.25">
      <c r="A142" s="3097">
        <v>19140402</v>
      </c>
      <c r="B142" s="5818"/>
      <c r="C142" s="1618" t="s">
        <v>2099</v>
      </c>
      <c r="D142" s="140" t="s">
        <v>2777</v>
      </c>
      <c r="E142" s="141" t="s">
        <v>2778</v>
      </c>
      <c r="F142" s="142" t="s">
        <v>2779</v>
      </c>
      <c r="G142" s="142" t="s">
        <v>2780</v>
      </c>
      <c r="H142" s="142" t="s">
        <v>2781</v>
      </c>
      <c r="I142" s="142" t="s">
        <v>2782</v>
      </c>
      <c r="J142" s="247" t="s">
        <v>2783</v>
      </c>
      <c r="K142" s="318" t="s">
        <v>2784</v>
      </c>
      <c r="L142" s="180" t="s">
        <v>2785</v>
      </c>
      <c r="M142" s="164" t="s">
        <v>2786</v>
      </c>
      <c r="N142" s="211"/>
      <c r="CH142" s="1346"/>
      <c r="CI142" s="1346"/>
      <c r="CJ142" s="1346"/>
      <c r="CK142" s="1346"/>
      <c r="CL142" s="1346"/>
      <c r="CM142" s="1346"/>
      <c r="CN142" s="1346"/>
      <c r="CO142" s="1346"/>
      <c r="CP142" s="1346"/>
    </row>
    <row r="143" spans="1:94" ht="19.5" customHeight="1" x14ac:dyDescent="0.25">
      <c r="A143" s="3097">
        <v>19140403</v>
      </c>
      <c r="B143" s="5818"/>
      <c r="C143" s="1625" t="s">
        <v>2100</v>
      </c>
      <c r="D143" s="100" t="s">
        <v>2777</v>
      </c>
      <c r="E143" s="166" t="s">
        <v>2778</v>
      </c>
      <c r="F143" s="102" t="s">
        <v>2779</v>
      </c>
      <c r="G143" s="102" t="s">
        <v>2780</v>
      </c>
      <c r="H143" s="102" t="s">
        <v>2781</v>
      </c>
      <c r="I143" s="102" t="s">
        <v>2782</v>
      </c>
      <c r="J143" s="270" t="s">
        <v>2783</v>
      </c>
      <c r="K143" s="319" t="s">
        <v>2784</v>
      </c>
      <c r="L143" s="126" t="s">
        <v>2785</v>
      </c>
      <c r="M143" s="105" t="s">
        <v>2786</v>
      </c>
      <c r="N143" s="211"/>
      <c r="CH143" s="1346"/>
      <c r="CI143" s="1346"/>
      <c r="CJ143" s="1346"/>
      <c r="CK143" s="1346"/>
      <c r="CL143" s="1346"/>
      <c r="CM143" s="1346"/>
      <c r="CN143" s="1346"/>
      <c r="CO143" s="1346"/>
      <c r="CP143" s="1346"/>
    </row>
    <row r="144" spans="1:94" ht="37.35" customHeight="1" x14ac:dyDescent="0.25">
      <c r="B144" s="324" t="s">
        <v>2104</v>
      </c>
      <c r="C144" s="190"/>
      <c r="D144" s="190"/>
      <c r="E144" s="190"/>
      <c r="F144" s="190"/>
      <c r="G144" s="190"/>
      <c r="H144" s="190"/>
      <c r="I144" s="190"/>
      <c r="J144" s="190"/>
      <c r="K144" s="190"/>
      <c r="L144" s="190"/>
      <c r="M144" s="190"/>
      <c r="CH144" s="1346"/>
      <c r="CI144" s="1346"/>
      <c r="CJ144" s="1346"/>
      <c r="CK144" s="1346"/>
      <c r="CL144" s="1346"/>
      <c r="CM144" s="1346"/>
      <c r="CN144" s="1346"/>
      <c r="CO144" s="1346"/>
      <c r="CP144" s="1346"/>
    </row>
    <row r="145" spans="1:94" ht="42.75" customHeight="1" x14ac:dyDescent="0.25">
      <c r="B145" s="1709" t="s">
        <v>2105</v>
      </c>
      <c r="C145" s="1726" t="s">
        <v>2665</v>
      </c>
      <c r="D145" s="1597" t="s">
        <v>2106</v>
      </c>
      <c r="E145" s="1695" t="s">
        <v>2107</v>
      </c>
      <c r="F145" s="1695" t="s">
        <v>2666</v>
      </c>
      <c r="G145" s="1695" t="s">
        <v>2108</v>
      </c>
      <c r="H145" s="1695" t="s">
        <v>2667</v>
      </c>
      <c r="I145" s="1621" t="s">
        <v>2668</v>
      </c>
      <c r="J145" s="325"/>
      <c r="K145" s="1727"/>
      <c r="L145" s="1727"/>
      <c r="M145" s="1727"/>
      <c r="CH145" s="1346"/>
      <c r="CI145" s="1346"/>
      <c r="CJ145" s="1346"/>
      <c r="CK145" s="1346"/>
      <c r="CL145" s="1346"/>
      <c r="CM145" s="1346"/>
      <c r="CN145" s="1346"/>
      <c r="CO145" s="1346"/>
      <c r="CP145" s="1346"/>
    </row>
    <row r="146" spans="1:94" ht="20.100000000000001" customHeight="1" x14ac:dyDescent="0.25">
      <c r="A146" s="3097">
        <v>19140501</v>
      </c>
      <c r="B146" s="1630" t="s">
        <v>660</v>
      </c>
      <c r="C146" s="137" t="s">
        <v>2777</v>
      </c>
      <c r="D146" s="137" t="s">
        <v>2778</v>
      </c>
      <c r="E146" s="1728" t="s">
        <v>2779</v>
      </c>
      <c r="F146" s="1728" t="s">
        <v>2780</v>
      </c>
      <c r="G146" s="1728" t="s">
        <v>2781</v>
      </c>
      <c r="H146" s="1728" t="s">
        <v>2782</v>
      </c>
      <c r="I146" s="1729" t="s">
        <v>2783</v>
      </c>
      <c r="J146" s="136"/>
      <c r="K146" s="190"/>
      <c r="L146" s="190"/>
      <c r="M146" s="190"/>
      <c r="CH146" s="1346"/>
      <c r="CI146" s="1346"/>
      <c r="CJ146" s="1346"/>
      <c r="CK146" s="1346"/>
      <c r="CL146" s="1346"/>
      <c r="CM146" s="1346"/>
      <c r="CN146" s="1346"/>
      <c r="CO146" s="1346"/>
      <c r="CP146" s="1346"/>
    </row>
    <row r="147" spans="1:94" ht="20.100000000000001" customHeight="1" x14ac:dyDescent="0.25">
      <c r="A147" s="2458">
        <v>19180100</v>
      </c>
      <c r="B147" s="1618" t="s">
        <v>2098</v>
      </c>
      <c r="C147" s="273" t="s">
        <v>2777</v>
      </c>
      <c r="D147" s="273" t="s">
        <v>2778</v>
      </c>
      <c r="E147" s="116" t="s">
        <v>2779</v>
      </c>
      <c r="F147" s="116" t="s">
        <v>2780</v>
      </c>
      <c r="G147" s="116" t="s">
        <v>2781</v>
      </c>
      <c r="H147" s="116" t="s">
        <v>2782</v>
      </c>
      <c r="I147" s="276" t="s">
        <v>2783</v>
      </c>
      <c r="J147" s="136"/>
      <c r="K147" s="190"/>
      <c r="L147" s="190"/>
      <c r="M147" s="190"/>
      <c r="CH147" s="1346"/>
      <c r="CI147" s="1346"/>
      <c r="CJ147" s="1346"/>
      <c r="CK147" s="1346"/>
      <c r="CL147" s="1346"/>
      <c r="CM147" s="1346"/>
      <c r="CN147" s="1346"/>
      <c r="CO147" s="1346"/>
      <c r="CP147" s="1346"/>
    </row>
    <row r="148" spans="1:94" ht="20.100000000000001" customHeight="1" x14ac:dyDescent="0.25">
      <c r="A148" s="3097">
        <v>19140502</v>
      </c>
      <c r="B148" s="1618" t="s">
        <v>2099</v>
      </c>
      <c r="C148" s="141" t="s">
        <v>2777</v>
      </c>
      <c r="D148" s="141" t="s">
        <v>2778</v>
      </c>
      <c r="E148" s="142" t="s">
        <v>2779</v>
      </c>
      <c r="F148" s="142" t="s">
        <v>2780</v>
      </c>
      <c r="G148" s="142" t="s">
        <v>2781</v>
      </c>
      <c r="H148" s="142" t="s">
        <v>2782</v>
      </c>
      <c r="I148" s="163" t="s">
        <v>2783</v>
      </c>
      <c r="J148" s="136"/>
      <c r="K148" s="190"/>
      <c r="L148" s="190"/>
      <c r="M148" s="190"/>
      <c r="CH148" s="1346"/>
      <c r="CI148" s="1346"/>
      <c r="CJ148" s="1346"/>
      <c r="CK148" s="1346"/>
      <c r="CL148" s="1346"/>
      <c r="CM148" s="1346"/>
      <c r="CN148" s="1346"/>
      <c r="CO148" s="1346"/>
      <c r="CP148" s="1346"/>
    </row>
    <row r="149" spans="1:94" ht="20.100000000000001" customHeight="1" x14ac:dyDescent="0.25">
      <c r="A149" s="3097">
        <v>19140503</v>
      </c>
      <c r="B149" s="1625" t="s">
        <v>661</v>
      </c>
      <c r="C149" s="166" t="s">
        <v>2777</v>
      </c>
      <c r="D149" s="166" t="s">
        <v>2778</v>
      </c>
      <c r="E149" s="102" t="s">
        <v>2779</v>
      </c>
      <c r="F149" s="102" t="s">
        <v>2780</v>
      </c>
      <c r="G149" s="102" t="s">
        <v>2781</v>
      </c>
      <c r="H149" s="102" t="s">
        <v>2782</v>
      </c>
      <c r="I149" s="125" t="s">
        <v>2783</v>
      </c>
      <c r="J149" s="136"/>
      <c r="K149" s="190"/>
      <c r="L149" s="190"/>
      <c r="M149" s="190"/>
      <c r="CH149" s="1346"/>
      <c r="CI149" s="1346"/>
      <c r="CJ149" s="1346"/>
      <c r="CK149" s="1346"/>
      <c r="CL149" s="1346"/>
      <c r="CM149" s="1346"/>
      <c r="CN149" s="1346"/>
      <c r="CO149" s="1346"/>
      <c r="CP149" s="1346"/>
    </row>
    <row r="150" spans="1:94" ht="16.350000000000001" customHeight="1" x14ac:dyDescent="0.25">
      <c r="B150" s="324" t="s">
        <v>2109</v>
      </c>
      <c r="C150" s="190"/>
      <c r="D150" s="190"/>
      <c r="E150" s="190"/>
      <c r="F150" s="190"/>
      <c r="G150" s="190"/>
      <c r="H150" s="190"/>
      <c r="I150" s="190"/>
      <c r="J150" s="190"/>
      <c r="K150" s="190"/>
      <c r="L150" s="190"/>
      <c r="M150" s="190"/>
      <c r="CH150" s="1346"/>
      <c r="CI150" s="1346"/>
      <c r="CJ150" s="1346"/>
      <c r="CK150" s="1346"/>
      <c r="CL150" s="1346"/>
      <c r="CM150" s="1346"/>
      <c r="CN150" s="1346"/>
      <c r="CO150" s="1346"/>
      <c r="CP150" s="1346"/>
    </row>
    <row r="151" spans="1:94" ht="50.25" customHeight="1" x14ac:dyDescent="0.25">
      <c r="B151" s="1709" t="s">
        <v>2105</v>
      </c>
      <c r="C151" s="1726" t="s">
        <v>2070</v>
      </c>
      <c r="D151" s="1597" t="s">
        <v>2669</v>
      </c>
      <c r="E151" s="1695" t="s">
        <v>2670</v>
      </c>
      <c r="F151" s="1695" t="s">
        <v>2671</v>
      </c>
      <c r="G151" s="1695" t="s">
        <v>2672</v>
      </c>
      <c r="H151" s="1695" t="s">
        <v>662</v>
      </c>
      <c r="I151" s="1621" t="s">
        <v>2110</v>
      </c>
      <c r="J151" s="325"/>
      <c r="K151" s="1727"/>
      <c r="L151" s="1727"/>
      <c r="M151" s="1727"/>
      <c r="CH151" s="1346"/>
      <c r="CI151" s="1346"/>
      <c r="CJ151" s="1346"/>
      <c r="CK151" s="1346"/>
      <c r="CL151" s="1346"/>
      <c r="CM151" s="1346"/>
      <c r="CN151" s="1346"/>
      <c r="CO151" s="1346"/>
      <c r="CP151" s="1346"/>
    </row>
    <row r="152" spans="1:94" ht="20.100000000000001" customHeight="1" x14ac:dyDescent="0.25">
      <c r="A152" s="2458">
        <v>19140601</v>
      </c>
      <c r="B152" s="1630" t="s">
        <v>660</v>
      </c>
      <c r="C152" s="1615" t="s">
        <v>2777</v>
      </c>
      <c r="D152" s="137" t="s">
        <v>2778</v>
      </c>
      <c r="E152" s="1728" t="s">
        <v>2779</v>
      </c>
      <c r="F152" s="1728" t="s">
        <v>2780</v>
      </c>
      <c r="G152" s="1728" t="s">
        <v>2781</v>
      </c>
      <c r="H152" s="1728" t="s">
        <v>2782</v>
      </c>
      <c r="I152" s="1729" t="s">
        <v>2783</v>
      </c>
      <c r="J152" s="136"/>
      <c r="K152" s="190"/>
      <c r="L152" s="190"/>
      <c r="M152" s="190"/>
      <c r="BY152" s="210"/>
      <c r="CB152" s="211"/>
    </row>
    <row r="153" spans="1:94" ht="20.100000000000001" customHeight="1" x14ac:dyDescent="0.25">
      <c r="A153" s="2458">
        <v>19180200</v>
      </c>
      <c r="B153" s="1618" t="s">
        <v>2098</v>
      </c>
      <c r="C153" s="140" t="s">
        <v>2777</v>
      </c>
      <c r="D153" s="141" t="s">
        <v>2778</v>
      </c>
      <c r="E153" s="142" t="s">
        <v>2779</v>
      </c>
      <c r="F153" s="142" t="s">
        <v>2780</v>
      </c>
      <c r="G153" s="142" t="s">
        <v>2781</v>
      </c>
      <c r="H153" s="142" t="s">
        <v>2782</v>
      </c>
      <c r="I153" s="163" t="s">
        <v>2783</v>
      </c>
      <c r="J153" s="136"/>
      <c r="K153" s="190"/>
      <c r="L153" s="190"/>
      <c r="M153" s="190"/>
      <c r="BY153" s="210"/>
      <c r="CB153" s="211"/>
    </row>
    <row r="154" spans="1:94" ht="20.100000000000001" customHeight="1" x14ac:dyDescent="0.25">
      <c r="A154" s="2458">
        <v>19140602</v>
      </c>
      <c r="B154" s="1618" t="s">
        <v>2099</v>
      </c>
      <c r="C154" s="140" t="s">
        <v>2777</v>
      </c>
      <c r="D154" s="141" t="s">
        <v>2778</v>
      </c>
      <c r="E154" s="142" t="s">
        <v>2779</v>
      </c>
      <c r="F154" s="142" t="s">
        <v>2780</v>
      </c>
      <c r="G154" s="142" t="s">
        <v>2781</v>
      </c>
      <c r="H154" s="142" t="s">
        <v>2782</v>
      </c>
      <c r="I154" s="163" t="s">
        <v>2783</v>
      </c>
      <c r="J154" s="136"/>
      <c r="K154" s="190"/>
      <c r="L154" s="190"/>
      <c r="M154" s="190"/>
      <c r="BY154" s="210"/>
      <c r="CB154" s="211"/>
    </row>
    <row r="155" spans="1:94" ht="20.100000000000001" customHeight="1" x14ac:dyDescent="0.25">
      <c r="A155" s="2458">
        <v>19140603</v>
      </c>
      <c r="B155" s="1624" t="s">
        <v>2111</v>
      </c>
      <c r="C155" s="140" t="s">
        <v>2777</v>
      </c>
      <c r="D155" s="141" t="s">
        <v>2778</v>
      </c>
      <c r="E155" s="142" t="s">
        <v>2779</v>
      </c>
      <c r="F155" s="142" t="s">
        <v>2780</v>
      </c>
      <c r="G155" s="142" t="s">
        <v>2781</v>
      </c>
      <c r="H155" s="142" t="s">
        <v>2782</v>
      </c>
      <c r="I155" s="163" t="s">
        <v>2783</v>
      </c>
      <c r="J155" s="136"/>
      <c r="K155" s="190"/>
      <c r="L155" s="190"/>
      <c r="M155" s="190"/>
      <c r="BY155" s="210"/>
      <c r="CB155" s="211"/>
    </row>
    <row r="156" spans="1:94" ht="20.100000000000001" customHeight="1" x14ac:dyDescent="0.25">
      <c r="A156" s="2458">
        <v>19182060</v>
      </c>
      <c r="B156" s="1619" t="s">
        <v>2112</v>
      </c>
      <c r="C156" s="113" t="s">
        <v>2777</v>
      </c>
      <c r="D156" s="182" t="s">
        <v>2778</v>
      </c>
      <c r="E156" s="146" t="s">
        <v>2779</v>
      </c>
      <c r="F156" s="146" t="s">
        <v>2780</v>
      </c>
      <c r="G156" s="146" t="s">
        <v>2781</v>
      </c>
      <c r="H156" s="146" t="s">
        <v>2782</v>
      </c>
      <c r="I156" s="183" t="s">
        <v>2783</v>
      </c>
      <c r="J156" s="136"/>
      <c r="K156" s="190"/>
      <c r="L156" s="190"/>
      <c r="M156" s="190"/>
    </row>
    <row r="157" spans="1:94" ht="20.100000000000001" customHeight="1" x14ac:dyDescent="0.25">
      <c r="A157" s="2458">
        <v>19140610</v>
      </c>
      <c r="B157" s="100" t="s">
        <v>318</v>
      </c>
      <c r="C157" s="100" t="s">
        <v>2777</v>
      </c>
      <c r="D157" s="166" t="s">
        <v>2778</v>
      </c>
      <c r="E157" s="102" t="s">
        <v>2779</v>
      </c>
      <c r="F157" s="102" t="s">
        <v>2780</v>
      </c>
      <c r="G157" s="102" t="s">
        <v>2781</v>
      </c>
      <c r="H157" s="102" t="s">
        <v>2782</v>
      </c>
      <c r="I157" s="125" t="s">
        <v>2783</v>
      </c>
      <c r="J157" s="136"/>
      <c r="K157" s="190"/>
      <c r="L157" s="190"/>
      <c r="M157" s="190"/>
    </row>
    <row r="158" spans="1:94" ht="21.75" customHeight="1" x14ac:dyDescent="0.25">
      <c r="B158" s="767" t="s">
        <v>2663</v>
      </c>
      <c r="C158" s="208"/>
      <c r="D158" s="208"/>
      <c r="E158" s="208"/>
      <c r="F158" s="208"/>
      <c r="G158" s="208"/>
      <c r="H158" s="208"/>
      <c r="I158" s="208"/>
    </row>
    <row r="159" spans="1:94" ht="57.75" customHeight="1" x14ac:dyDescent="0.25">
      <c r="B159" s="1730" t="s">
        <v>2105</v>
      </c>
      <c r="C159" s="1731" t="s">
        <v>2113</v>
      </c>
      <c r="D159" s="1732" t="s">
        <v>2114</v>
      </c>
      <c r="E159" s="1732" t="s">
        <v>2044</v>
      </c>
      <c r="F159" s="1733" t="s">
        <v>2115</v>
      </c>
      <c r="G159" s="1733" t="s">
        <v>2116</v>
      </c>
      <c r="H159" s="1733" t="s">
        <v>2117</v>
      </c>
      <c r="I159" s="1733" t="s">
        <v>2118</v>
      </c>
      <c r="J159" s="1733" t="s">
        <v>2119</v>
      </c>
      <c r="K159" s="1734" t="s">
        <v>2120</v>
      </c>
    </row>
    <row r="160" spans="1:94" ht="18" customHeight="1" x14ac:dyDescent="0.25">
      <c r="A160" s="2458">
        <v>19190104</v>
      </c>
      <c r="B160" s="1735" t="s">
        <v>2121</v>
      </c>
      <c r="C160" s="837" t="s">
        <v>2777</v>
      </c>
      <c r="D160" s="1736" t="s">
        <v>2778</v>
      </c>
      <c r="E160" s="1736" t="s">
        <v>2779</v>
      </c>
      <c r="F160" s="1737" t="s">
        <v>2780</v>
      </c>
      <c r="G160" s="1737" t="s">
        <v>2781</v>
      </c>
      <c r="H160" s="1737" t="s">
        <v>2782</v>
      </c>
      <c r="I160" s="1737" t="s">
        <v>2783</v>
      </c>
      <c r="J160" s="1737" t="s">
        <v>2784</v>
      </c>
      <c r="K160" s="1738" t="s">
        <v>2785</v>
      </c>
    </row>
    <row r="161" spans="1:11" ht="18" customHeight="1" x14ac:dyDescent="0.25">
      <c r="A161" s="2458">
        <v>19190105</v>
      </c>
      <c r="B161" s="788" t="s">
        <v>661</v>
      </c>
      <c r="C161" s="818" t="s">
        <v>2777</v>
      </c>
      <c r="D161" s="820" t="s">
        <v>2778</v>
      </c>
      <c r="E161" s="820" t="s">
        <v>2779</v>
      </c>
      <c r="F161" s="819" t="s">
        <v>2780</v>
      </c>
      <c r="G161" s="819" t="s">
        <v>2781</v>
      </c>
      <c r="H161" s="819" t="s">
        <v>2782</v>
      </c>
      <c r="I161" s="819" t="s">
        <v>2783</v>
      </c>
      <c r="J161" s="819" t="s">
        <v>2784</v>
      </c>
      <c r="K161" s="821" t="s">
        <v>2785</v>
      </c>
    </row>
    <row r="162" spans="1:11" ht="18" customHeight="1" x14ac:dyDescent="0.25">
      <c r="A162" s="2458">
        <v>19190106</v>
      </c>
      <c r="B162" s="1195" t="s">
        <v>2122</v>
      </c>
      <c r="C162" s="822" t="s">
        <v>2777</v>
      </c>
      <c r="D162" s="812" t="s">
        <v>2778</v>
      </c>
      <c r="E162" s="812" t="s">
        <v>2779</v>
      </c>
      <c r="F162" s="823" t="s">
        <v>2780</v>
      </c>
      <c r="G162" s="823" t="s">
        <v>2781</v>
      </c>
      <c r="H162" s="823" t="s">
        <v>2782</v>
      </c>
      <c r="I162" s="823" t="s">
        <v>2783</v>
      </c>
      <c r="J162" s="823" t="s">
        <v>2784</v>
      </c>
      <c r="K162" s="814" t="s">
        <v>2785</v>
      </c>
    </row>
    <row r="165" spans="1:11" x14ac:dyDescent="0.25">
      <c r="A165" s="210" t="s">
        <v>3742</v>
      </c>
    </row>
    <row r="166" spans="1:11" x14ac:dyDescent="0.25">
      <c r="A166" s="4665">
        <v>19190107</v>
      </c>
    </row>
    <row r="186" spans="2:105" ht="12.75" customHeight="1" x14ac:dyDescent="0.25"/>
    <row r="187" spans="2:105" s="1739" customFormat="1" hidden="1" x14ac:dyDescent="0.25">
      <c r="B187" s="210"/>
      <c r="C187" s="210"/>
      <c r="D187" s="210"/>
      <c r="E187" s="210"/>
      <c r="F187" s="210"/>
      <c r="G187" s="210"/>
      <c r="H187" s="210"/>
      <c r="I187" s="210"/>
      <c r="J187" s="210"/>
      <c r="K187" s="210"/>
      <c r="L187" s="210"/>
      <c r="M187" s="210"/>
      <c r="N187" s="210"/>
      <c r="O187" s="210"/>
      <c r="P187" s="210"/>
      <c r="BY187" s="1740"/>
      <c r="BZ187" s="1740"/>
      <c r="CA187" s="1740"/>
      <c r="CB187" s="1740"/>
      <c r="CC187" s="1740"/>
      <c r="CD187" s="1740"/>
      <c r="CE187" s="1740"/>
      <c r="CF187" s="1740"/>
      <c r="CG187" s="1740"/>
      <c r="CH187" s="1740"/>
      <c r="CI187" s="1740"/>
      <c r="CJ187" s="1740"/>
      <c r="CK187" s="1740"/>
      <c r="CL187" s="1740"/>
      <c r="CM187" s="1740"/>
      <c r="CN187" s="1740"/>
      <c r="CO187" s="1740"/>
      <c r="CP187" s="1740"/>
      <c r="CQ187" s="1740"/>
      <c r="CR187" s="1740"/>
      <c r="CS187" s="1740"/>
      <c r="CT187" s="1740"/>
      <c r="CU187" s="1740"/>
      <c r="CV187" s="1740"/>
      <c r="CW187" s="1740"/>
      <c r="CX187" s="1740"/>
      <c r="CY187" s="1740"/>
      <c r="CZ187" s="1740"/>
      <c r="DA187" s="1740"/>
    </row>
    <row r="194" spans="2:16" hidden="1" x14ac:dyDescent="0.25">
      <c r="B194" s="1739">
        <f>SUM(D14:D89,D94:D105,D128:D143,C146:C149,C152:C157,D108:D115)</f>
        <v>0</v>
      </c>
      <c r="C194" s="1739" t="e">
        <f>SUM(CH11:CP151)</f>
        <v>#VALUE!</v>
      </c>
      <c r="D194" s="1739"/>
      <c r="E194" s="1739"/>
      <c r="F194" s="1739"/>
      <c r="G194" s="1739"/>
      <c r="H194" s="1739"/>
      <c r="I194" s="1739"/>
      <c r="J194" s="1739"/>
      <c r="K194" s="1739"/>
      <c r="L194" s="1739"/>
      <c r="M194" s="1739"/>
      <c r="N194" s="1739"/>
      <c r="O194" s="1739"/>
      <c r="P194" s="1739"/>
    </row>
  </sheetData>
  <mergeCells count="97">
    <mergeCell ref="A10:A13"/>
    <mergeCell ref="B140:B143"/>
    <mergeCell ref="AK119:AL119"/>
    <mergeCell ref="B121:B123"/>
    <mergeCell ref="B126:B127"/>
    <mergeCell ref="C126:C127"/>
    <mergeCell ref="D126:D127"/>
    <mergeCell ref="E126:K126"/>
    <mergeCell ref="L126:L127"/>
    <mergeCell ref="M126:M127"/>
    <mergeCell ref="Y119:Z119"/>
    <mergeCell ref="AA119:AB119"/>
    <mergeCell ref="AC119:AD119"/>
    <mergeCell ref="AE119:AF119"/>
    <mergeCell ref="U119:V119"/>
    <mergeCell ref="W119:X119"/>
    <mergeCell ref="B128:B131"/>
    <mergeCell ref="B132:B135"/>
    <mergeCell ref="B136:B139"/>
    <mergeCell ref="G118:AL118"/>
    <mergeCell ref="G119:H119"/>
    <mergeCell ref="I119:J119"/>
    <mergeCell ref="K119:L119"/>
    <mergeCell ref="AG119:AH119"/>
    <mergeCell ref="AI119:AJ119"/>
    <mergeCell ref="M119:N119"/>
    <mergeCell ref="O119:P119"/>
    <mergeCell ref="Q119:R119"/>
    <mergeCell ref="S119:T119"/>
    <mergeCell ref="AA92:AB92"/>
    <mergeCell ref="AC92:AD92"/>
    <mergeCell ref="AE92:AF92"/>
    <mergeCell ref="AG92:AH92"/>
    <mergeCell ref="AI92:AJ92"/>
    <mergeCell ref="B94:B99"/>
    <mergeCell ref="B100:B105"/>
    <mergeCell ref="B107:B116"/>
    <mergeCell ref="B118:B120"/>
    <mergeCell ref="D118:F119"/>
    <mergeCell ref="AR91:AR93"/>
    <mergeCell ref="AS91:AS93"/>
    <mergeCell ref="G92:H92"/>
    <mergeCell ref="I92:J92"/>
    <mergeCell ref="K92:L92"/>
    <mergeCell ref="M92:N92"/>
    <mergeCell ref="Y92:Z92"/>
    <mergeCell ref="G91:AN91"/>
    <mergeCell ref="AO91:AP92"/>
    <mergeCell ref="AQ91:AQ93"/>
    <mergeCell ref="O92:P92"/>
    <mergeCell ref="Q92:R92"/>
    <mergeCell ref="S92:T92"/>
    <mergeCell ref="U92:V92"/>
    <mergeCell ref="W92:X92"/>
    <mergeCell ref="AM92:AN92"/>
    <mergeCell ref="B65:B68"/>
    <mergeCell ref="B69:B75"/>
    <mergeCell ref="B76:B80"/>
    <mergeCell ref="B82:B89"/>
    <mergeCell ref="B91:B93"/>
    <mergeCell ref="B14:B24"/>
    <mergeCell ref="B25:B35"/>
    <mergeCell ref="B36:B46"/>
    <mergeCell ref="B47:B57"/>
    <mergeCell ref="B58:B64"/>
    <mergeCell ref="Y12:Z12"/>
    <mergeCell ref="AO10:AO13"/>
    <mergeCell ref="AP10:AQ12"/>
    <mergeCell ref="C91:C93"/>
    <mergeCell ref="AM12:AN12"/>
    <mergeCell ref="AA12:AB12"/>
    <mergeCell ref="AC12:AD12"/>
    <mergeCell ref="AE12:AF12"/>
    <mergeCell ref="AG12:AH12"/>
    <mergeCell ref="AI12:AJ12"/>
    <mergeCell ref="AK12:AL12"/>
    <mergeCell ref="O12:P12"/>
    <mergeCell ref="Q12:R12"/>
    <mergeCell ref="S12:T12"/>
    <mergeCell ref="D91:F92"/>
    <mergeCell ref="AK92:AL92"/>
    <mergeCell ref="AR10:AR13"/>
    <mergeCell ref="AS10:AS13"/>
    <mergeCell ref="AT10:AT13"/>
    <mergeCell ref="AU10:AU13"/>
    <mergeCell ref="B6:U6"/>
    <mergeCell ref="B8:C8"/>
    <mergeCell ref="B10:B13"/>
    <mergeCell ref="C10:C13"/>
    <mergeCell ref="D10:F12"/>
    <mergeCell ref="G10:AN11"/>
    <mergeCell ref="G12:H12"/>
    <mergeCell ref="I12:J12"/>
    <mergeCell ref="K12:L12"/>
    <mergeCell ref="M12:N12"/>
    <mergeCell ref="U12:V12"/>
    <mergeCell ref="W12:X12"/>
  </mergeCells>
  <dataValidations count="1">
    <dataValidation operator="greaterThanOrEqual" allowBlank="1" showInputMessage="1" showErrorMessage="1" error="Valor no Permitido" sqref="B1:B5" xr:uid="{00000000-0002-0000-0B00-000000000000}"/>
  </dataValidations>
  <pageMargins left="0.7" right="0.7" top="0.75" bottom="0.75" header="0.3" footer="0.3"/>
  <pageSetup orientation="portrait" r:id="rId1"/>
  <extLst>
    <ext xmlns:mx="http://schemas.microsoft.com/office/mac/excel/2008/main" uri="{64002731-A6B0-56B0-2670-7721B7C09600}">
      <mx:PLV Mode="0" OnePage="0" WScale="0"/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Hoja15">
    <tabColor theme="0"/>
  </sheetPr>
  <dimension ref="A1:DA195"/>
  <sheetViews>
    <sheetView zoomScale="90" zoomScaleNormal="90" workbookViewId="0"/>
  </sheetViews>
  <sheetFormatPr baseColWidth="10" defaultColWidth="11.42578125" defaultRowHeight="14.25" x14ac:dyDescent="0.2"/>
  <cols>
    <col min="1" max="1" width="13.28515625" style="80" customWidth="1"/>
    <col min="2" max="2" width="55.42578125" style="80" customWidth="1"/>
    <col min="3" max="3" width="14.42578125" style="80" customWidth="1"/>
    <col min="4" max="4" width="15.7109375" style="80" customWidth="1"/>
    <col min="5" max="5" width="16.28515625" style="80" customWidth="1"/>
    <col min="6" max="8" width="16.140625" style="80" customWidth="1"/>
    <col min="9" max="9" width="16.7109375" style="80" customWidth="1"/>
    <col min="10" max="10" width="15.42578125" style="80" customWidth="1"/>
    <col min="11" max="11" width="18.28515625" style="80" customWidth="1"/>
    <col min="12" max="14" width="14.28515625" style="80" customWidth="1"/>
    <col min="15" max="77" width="11.42578125" style="80"/>
    <col min="78" max="78" width="12.28515625" style="79" customWidth="1"/>
    <col min="79" max="79" width="11.140625" style="79" customWidth="1"/>
    <col min="80" max="93" width="11.140625" style="889" hidden="1" customWidth="1"/>
    <col min="94" max="105" width="11.140625" style="1031" hidden="1" customWidth="1"/>
    <col min="106" max="106" width="11.140625" style="80" customWidth="1"/>
    <col min="107" max="16384" width="11.42578125" style="80"/>
  </cols>
  <sheetData>
    <row r="1" spans="1:92" ht="16.350000000000001" customHeight="1" x14ac:dyDescent="0.2">
      <c r="B1" s="78" t="s">
        <v>910</v>
      </c>
    </row>
    <row r="2" spans="1:92" ht="16.350000000000001" customHeight="1" x14ac:dyDescent="0.2">
      <c r="B2" s="78" t="str">
        <f>CONCATENATE("COMUNA: ",NOMBRE!B2," - ","( ",NOMBRE!C2,NOMBRE!D2,NOMBRE!E2,NOMBRE!F2,NOMBRE!G2," )")</f>
        <v>COMUNA:  - (  )</v>
      </c>
    </row>
    <row r="3" spans="1:92" ht="16.350000000000001" customHeight="1" x14ac:dyDescent="0.2">
      <c r="B3" s="78" t="str">
        <f>CONCATENATE("ESTABLECIMIENTO/ESTRATEGIA: ",NOMBRE!B3," - ","( ",NOMBRE!C3,NOMBRE!D3,NOMBRE!E3,NOMBRE!F3,NOMBRE!G3,NOMBRE!H3," )")</f>
        <v>ESTABLECIMIENTO/ESTRATEGIA:  - (  )</v>
      </c>
    </row>
    <row r="4" spans="1:92" ht="16.350000000000001" customHeight="1" x14ac:dyDescent="0.2">
      <c r="B4" s="78" t="str">
        <f>CONCATENATE("MES: ",NOMBRE!B6," - ","( ",NOMBRE!C6,NOMBRE!D6," )")</f>
        <v>MES:  - (  )</v>
      </c>
    </row>
    <row r="5" spans="1:92" ht="16.350000000000001" customHeight="1" x14ac:dyDescent="0.2">
      <c r="B5" s="78" t="str">
        <f>CONCATENATE("AÑO: ",NOMBRE!B7)</f>
        <v>AÑO: 2020</v>
      </c>
    </row>
    <row r="6" spans="1:92" ht="15" x14ac:dyDescent="0.2">
      <c r="B6" s="5148" t="s">
        <v>2344</v>
      </c>
      <c r="C6" s="5148"/>
      <c r="D6" s="5148"/>
      <c r="E6" s="5148"/>
      <c r="F6" s="5148"/>
      <c r="G6" s="5148"/>
      <c r="H6" s="5148"/>
      <c r="I6" s="5148"/>
      <c r="J6" s="5148"/>
      <c r="K6" s="5148"/>
      <c r="L6" s="5148"/>
      <c r="M6" s="5148"/>
      <c r="N6" s="5148"/>
      <c r="O6" s="5148"/>
      <c r="P6" s="5148"/>
      <c r="Q6" s="5148"/>
      <c r="CH6" s="1020"/>
      <c r="CI6" s="1020"/>
      <c r="CJ6" s="1020"/>
      <c r="CK6" s="1020"/>
      <c r="CL6" s="1020"/>
      <c r="CM6" s="1020"/>
      <c r="CN6" s="1020"/>
    </row>
    <row r="7" spans="1:92" ht="15" x14ac:dyDescent="0.2">
      <c r="B7" s="1892"/>
      <c r="C7" s="1892"/>
      <c r="D7" s="1892"/>
      <c r="E7" s="1892"/>
      <c r="F7" s="1892"/>
      <c r="G7" s="1892"/>
      <c r="H7" s="1892"/>
      <c r="I7" s="1892"/>
      <c r="J7" s="1892"/>
      <c r="K7" s="1892"/>
      <c r="L7" s="1892"/>
      <c r="M7" s="1892"/>
      <c r="N7" s="1892"/>
      <c r="O7" s="1892"/>
      <c r="P7" s="1892"/>
      <c r="Q7" s="1892"/>
      <c r="CH7" s="1020"/>
      <c r="CI7" s="1020"/>
      <c r="CJ7" s="1020"/>
      <c r="CK7" s="1020"/>
      <c r="CL7" s="1020"/>
      <c r="CM7" s="1020"/>
      <c r="CN7" s="1020"/>
    </row>
    <row r="8" spans="1:92" ht="32.1" customHeight="1" x14ac:dyDescent="0.2">
      <c r="B8" s="324" t="s">
        <v>2345</v>
      </c>
      <c r="C8" s="470"/>
      <c r="D8" s="470"/>
      <c r="E8" s="470"/>
      <c r="F8" s="470"/>
      <c r="G8" s="470"/>
      <c r="H8" s="470"/>
      <c r="I8" s="470"/>
      <c r="J8" s="470"/>
      <c r="K8" s="190"/>
      <c r="L8" s="190"/>
      <c r="M8" s="190"/>
      <c r="N8" s="190"/>
      <c r="O8" s="190"/>
      <c r="P8" s="190"/>
      <c r="Q8" s="190"/>
      <c r="CH8" s="1020"/>
      <c r="CI8" s="1020"/>
      <c r="CJ8" s="1020"/>
      <c r="CK8" s="1020"/>
      <c r="CL8" s="1020"/>
      <c r="CM8" s="1020"/>
      <c r="CN8" s="1020"/>
    </row>
    <row r="9" spans="1:92" ht="25.35" customHeight="1" x14ac:dyDescent="0.2">
      <c r="A9" s="5168" t="s">
        <v>2775</v>
      </c>
      <c r="B9" s="5396" t="s">
        <v>510</v>
      </c>
      <c r="C9" s="5160" t="s">
        <v>2346</v>
      </c>
      <c r="D9" s="5161"/>
      <c r="E9" s="5162"/>
      <c r="F9" s="5165" t="s">
        <v>2673</v>
      </c>
      <c r="G9" s="5167"/>
      <c r="H9" s="6219" t="s">
        <v>2347</v>
      </c>
      <c r="I9" s="5160" t="s">
        <v>2348</v>
      </c>
      <c r="J9" s="5162"/>
      <c r="N9" s="190"/>
      <c r="O9" s="190"/>
      <c r="P9" s="190"/>
      <c r="Q9" s="190"/>
      <c r="CH9" s="1020"/>
      <c r="CI9" s="1020"/>
      <c r="CJ9" s="1020"/>
      <c r="CK9" s="1020"/>
      <c r="CL9" s="1020"/>
      <c r="CM9" s="1020"/>
      <c r="CN9" s="1020"/>
    </row>
    <row r="10" spans="1:92" ht="37.35" customHeight="1" x14ac:dyDescent="0.2">
      <c r="A10" s="5168"/>
      <c r="B10" s="5135"/>
      <c r="C10" s="1902" t="s">
        <v>210</v>
      </c>
      <c r="D10" s="2066" t="s">
        <v>24</v>
      </c>
      <c r="E10" s="1935" t="s">
        <v>25</v>
      </c>
      <c r="F10" s="1597" t="s">
        <v>2349</v>
      </c>
      <c r="G10" s="1924" t="s">
        <v>2350</v>
      </c>
      <c r="H10" s="5123"/>
      <c r="I10" s="1597" t="s">
        <v>2351</v>
      </c>
      <c r="J10" s="1924" t="s">
        <v>2352</v>
      </c>
      <c r="N10" s="190"/>
      <c r="O10" s="190"/>
      <c r="P10" s="190"/>
      <c r="Q10" s="190"/>
      <c r="CH10" s="1020"/>
      <c r="CI10" s="1020"/>
      <c r="CJ10" s="1020"/>
      <c r="CK10" s="1020"/>
      <c r="CL10" s="1020"/>
      <c r="CM10" s="1020"/>
      <c r="CN10" s="1020"/>
    </row>
    <row r="11" spans="1:92" ht="16.350000000000001" customHeight="1" x14ac:dyDescent="0.2">
      <c r="A11" s="2527"/>
      <c r="B11" s="2067" t="s">
        <v>2353</v>
      </c>
      <c r="C11" s="2068">
        <f>SUM(D11+E11)</f>
        <v>0</v>
      </c>
      <c r="D11" s="1837">
        <f>SUM(D12:D24)</f>
        <v>0</v>
      </c>
      <c r="E11" s="1835">
        <f>SUM(E12:E24)</f>
        <v>0</v>
      </c>
      <c r="F11" s="1837">
        <f t="shared" ref="F11:J11" si="0">SUM(F12:F24)</f>
        <v>0</v>
      </c>
      <c r="G11" s="2069">
        <f t="shared" si="0"/>
        <v>0</v>
      </c>
      <c r="H11" s="1835">
        <f t="shared" si="0"/>
        <v>0</v>
      </c>
      <c r="I11" s="1836">
        <f t="shared" si="0"/>
        <v>0</v>
      </c>
      <c r="J11" s="2069">
        <f t="shared" si="0"/>
        <v>0</v>
      </c>
      <c r="N11" s="190"/>
      <c r="O11" s="190"/>
      <c r="P11" s="190"/>
      <c r="Q11" s="190"/>
      <c r="CH11" s="1020"/>
      <c r="CI11" s="1020"/>
      <c r="CJ11" s="1020"/>
      <c r="CK11" s="1020"/>
      <c r="CL11" s="1020"/>
      <c r="CM11" s="1020"/>
      <c r="CN11" s="1020"/>
    </row>
    <row r="12" spans="1:92" ht="16.350000000000001" customHeight="1" x14ac:dyDescent="0.2">
      <c r="A12" s="2529">
        <v>19180400</v>
      </c>
      <c r="B12" s="3144" t="s">
        <v>2354</v>
      </c>
      <c r="C12" s="120" t="s">
        <v>2777</v>
      </c>
      <c r="D12" s="170" t="s">
        <v>2778</v>
      </c>
      <c r="E12" s="197" t="s">
        <v>2779</v>
      </c>
      <c r="F12" s="170" t="s">
        <v>2780</v>
      </c>
      <c r="G12" s="171" t="s">
        <v>2781</v>
      </c>
      <c r="H12" s="197" t="s">
        <v>2782</v>
      </c>
      <c r="I12" s="97" t="s">
        <v>2783</v>
      </c>
      <c r="J12" s="171" t="s">
        <v>2784</v>
      </c>
      <c r="N12" s="190"/>
      <c r="O12" s="190"/>
      <c r="P12" s="190"/>
      <c r="Q12" s="190"/>
      <c r="CH12" s="1020"/>
      <c r="CI12" s="1020"/>
      <c r="CJ12" s="1020"/>
      <c r="CK12" s="1020"/>
      <c r="CL12" s="1020"/>
      <c r="CM12" s="1020"/>
      <c r="CN12" s="1020"/>
    </row>
    <row r="13" spans="1:92" ht="16.350000000000001" customHeight="1" x14ac:dyDescent="0.2">
      <c r="A13" s="2529">
        <v>19180500</v>
      </c>
      <c r="B13" s="3026" t="s">
        <v>2355</v>
      </c>
      <c r="C13" s="179" t="s">
        <v>2777</v>
      </c>
      <c r="D13" s="141" t="s">
        <v>2778</v>
      </c>
      <c r="E13" s="198" t="s">
        <v>2779</v>
      </c>
      <c r="F13" s="141" t="s">
        <v>2780</v>
      </c>
      <c r="G13" s="163" t="s">
        <v>2781</v>
      </c>
      <c r="H13" s="198" t="s">
        <v>2782</v>
      </c>
      <c r="I13" s="142" t="s">
        <v>2783</v>
      </c>
      <c r="J13" s="163" t="s">
        <v>2784</v>
      </c>
      <c r="N13" s="190"/>
      <c r="O13" s="190"/>
      <c r="P13" s="190"/>
      <c r="Q13" s="190"/>
      <c r="CH13" s="1020"/>
      <c r="CI13" s="1020"/>
      <c r="CJ13" s="1020"/>
      <c r="CK13" s="1020"/>
      <c r="CL13" s="1020"/>
      <c r="CM13" s="1020"/>
      <c r="CN13" s="1020"/>
    </row>
    <row r="14" spans="1:92" ht="16.350000000000001" customHeight="1" x14ac:dyDescent="0.2">
      <c r="A14" s="2529">
        <v>19180600</v>
      </c>
      <c r="B14" s="3026" t="s">
        <v>146</v>
      </c>
      <c r="C14" s="179" t="s">
        <v>2777</v>
      </c>
      <c r="D14" s="141" t="s">
        <v>2778</v>
      </c>
      <c r="E14" s="198" t="s">
        <v>2779</v>
      </c>
      <c r="F14" s="141" t="s">
        <v>2780</v>
      </c>
      <c r="G14" s="198" t="s">
        <v>2781</v>
      </c>
      <c r="H14" s="198" t="s">
        <v>2782</v>
      </c>
      <c r="I14" s="180" t="s">
        <v>2783</v>
      </c>
      <c r="J14" s="198" t="s">
        <v>2784</v>
      </c>
      <c r="N14" s="190"/>
      <c r="O14" s="190"/>
      <c r="P14" s="190"/>
      <c r="Q14" s="190"/>
      <c r="CH14" s="1020"/>
      <c r="CI14" s="1020"/>
      <c r="CJ14" s="1020"/>
      <c r="CK14" s="1020"/>
      <c r="CL14" s="1020"/>
      <c r="CM14" s="1020"/>
      <c r="CN14" s="1020"/>
    </row>
    <row r="15" spans="1:92" ht="16.350000000000001" customHeight="1" x14ac:dyDescent="0.2">
      <c r="A15" s="2529">
        <v>19180700</v>
      </c>
      <c r="B15" s="3026" t="s">
        <v>2356</v>
      </c>
      <c r="C15" s="179" t="s">
        <v>2777</v>
      </c>
      <c r="D15" s="141" t="s">
        <v>2778</v>
      </c>
      <c r="E15" s="198" t="s">
        <v>2779</v>
      </c>
      <c r="F15" s="141" t="s">
        <v>2780</v>
      </c>
      <c r="G15" s="198" t="s">
        <v>2781</v>
      </c>
      <c r="H15" s="198" t="s">
        <v>2782</v>
      </c>
      <c r="I15" s="180" t="s">
        <v>2783</v>
      </c>
      <c r="J15" s="198" t="s">
        <v>2784</v>
      </c>
      <c r="N15" s="190"/>
      <c r="O15" s="190"/>
      <c r="P15" s="190"/>
      <c r="Q15" s="190"/>
      <c r="CH15" s="1020"/>
      <c r="CI15" s="1020"/>
      <c r="CJ15" s="1020"/>
      <c r="CK15" s="1020"/>
      <c r="CL15" s="1020"/>
      <c r="CM15" s="1020"/>
      <c r="CN15" s="1020"/>
    </row>
    <row r="16" spans="1:92" ht="25.35" customHeight="1" x14ac:dyDescent="0.2">
      <c r="A16" s="2529">
        <v>19182070</v>
      </c>
      <c r="B16" s="3026" t="s">
        <v>2357</v>
      </c>
      <c r="C16" s="179" t="s">
        <v>2777</v>
      </c>
      <c r="D16" s="141" t="s">
        <v>2778</v>
      </c>
      <c r="E16" s="198" t="s">
        <v>2779</v>
      </c>
      <c r="F16" s="141" t="s">
        <v>2780</v>
      </c>
      <c r="G16" s="198" t="s">
        <v>2781</v>
      </c>
      <c r="H16" s="164" t="s">
        <v>2782</v>
      </c>
      <c r="I16" s="180" t="s">
        <v>2783</v>
      </c>
      <c r="J16" s="198" t="s">
        <v>2784</v>
      </c>
      <c r="N16" s="190"/>
      <c r="O16" s="190"/>
      <c r="P16" s="190"/>
      <c r="Q16" s="190"/>
      <c r="CH16" s="1020"/>
      <c r="CI16" s="1020"/>
      <c r="CJ16" s="1020"/>
      <c r="CK16" s="1020"/>
      <c r="CL16" s="1020"/>
      <c r="CM16" s="1020"/>
      <c r="CN16" s="1020"/>
    </row>
    <row r="17" spans="1:94" ht="16.350000000000001" customHeight="1" x14ac:dyDescent="0.2">
      <c r="A17" s="2529">
        <v>19191010</v>
      </c>
      <c r="B17" s="3026" t="s">
        <v>2358</v>
      </c>
      <c r="C17" s="179" t="s">
        <v>2777</v>
      </c>
      <c r="D17" s="141" t="s">
        <v>2778</v>
      </c>
      <c r="E17" s="198" t="s">
        <v>2779</v>
      </c>
      <c r="F17" s="141" t="s">
        <v>2780</v>
      </c>
      <c r="G17" s="198" t="s">
        <v>2781</v>
      </c>
      <c r="H17" s="164" t="s">
        <v>2782</v>
      </c>
      <c r="I17" s="180" t="s">
        <v>2783</v>
      </c>
      <c r="J17" s="198" t="s">
        <v>2784</v>
      </c>
      <c r="N17" s="190"/>
      <c r="O17" s="190"/>
      <c r="P17" s="190"/>
      <c r="Q17" s="190"/>
      <c r="CH17" s="1020"/>
      <c r="CI17" s="1020"/>
      <c r="CJ17" s="1020"/>
      <c r="CK17" s="1020"/>
      <c r="CL17" s="1020"/>
      <c r="CM17" s="1020"/>
      <c r="CN17" s="1020"/>
    </row>
    <row r="18" spans="1:94" ht="16.350000000000001" customHeight="1" x14ac:dyDescent="0.2">
      <c r="A18" s="2529">
        <v>19191020</v>
      </c>
      <c r="B18" s="3026" t="s">
        <v>2359</v>
      </c>
      <c r="C18" s="179" t="s">
        <v>2777</v>
      </c>
      <c r="D18" s="141" t="s">
        <v>2778</v>
      </c>
      <c r="E18" s="198" t="s">
        <v>2779</v>
      </c>
      <c r="F18" s="141" t="s">
        <v>2780</v>
      </c>
      <c r="G18" s="198" t="s">
        <v>2781</v>
      </c>
      <c r="H18" s="164" t="s">
        <v>2782</v>
      </c>
      <c r="I18" s="180" t="s">
        <v>2783</v>
      </c>
      <c r="J18" s="198" t="s">
        <v>2784</v>
      </c>
      <c r="N18" s="190"/>
      <c r="O18" s="190"/>
      <c r="P18" s="190"/>
      <c r="Q18" s="190"/>
      <c r="CH18" s="1020"/>
      <c r="CI18" s="1020"/>
      <c r="CJ18" s="1020"/>
      <c r="CK18" s="1020"/>
      <c r="CL18" s="1020"/>
      <c r="CM18" s="1020"/>
      <c r="CN18" s="1020"/>
    </row>
    <row r="19" spans="1:94" ht="16.350000000000001" customHeight="1" x14ac:dyDescent="0.2">
      <c r="A19" s="2529">
        <v>19180800</v>
      </c>
      <c r="B19" s="3026" t="s">
        <v>2360</v>
      </c>
      <c r="C19" s="179" t="s">
        <v>2777</v>
      </c>
      <c r="D19" s="141" t="s">
        <v>2778</v>
      </c>
      <c r="E19" s="198" t="s">
        <v>2779</v>
      </c>
      <c r="F19" s="141" t="s">
        <v>2780</v>
      </c>
      <c r="G19" s="198" t="s">
        <v>2781</v>
      </c>
      <c r="H19" s="198" t="s">
        <v>2782</v>
      </c>
      <c r="I19" s="180" t="s">
        <v>2783</v>
      </c>
      <c r="J19" s="198" t="s">
        <v>2784</v>
      </c>
      <c r="N19" s="190"/>
      <c r="O19" s="190"/>
      <c r="P19" s="190"/>
      <c r="Q19" s="190"/>
      <c r="CH19" s="1020"/>
      <c r="CI19" s="1020"/>
      <c r="CJ19" s="1020"/>
      <c r="CK19" s="1020"/>
      <c r="CL19" s="1020"/>
      <c r="CM19" s="1020"/>
      <c r="CN19" s="1020"/>
    </row>
    <row r="20" spans="1:94" ht="16.350000000000001" customHeight="1" x14ac:dyDescent="0.2">
      <c r="A20" s="2529">
        <v>19180900</v>
      </c>
      <c r="B20" s="3026" t="s">
        <v>2361</v>
      </c>
      <c r="C20" s="179" t="s">
        <v>2777</v>
      </c>
      <c r="D20" s="141" t="s">
        <v>2778</v>
      </c>
      <c r="E20" s="198" t="s">
        <v>2779</v>
      </c>
      <c r="F20" s="141" t="s">
        <v>2780</v>
      </c>
      <c r="G20" s="198" t="s">
        <v>2781</v>
      </c>
      <c r="H20" s="198" t="s">
        <v>2782</v>
      </c>
      <c r="I20" s="180" t="s">
        <v>2783</v>
      </c>
      <c r="J20" s="198" t="s">
        <v>2784</v>
      </c>
      <c r="N20" s="190"/>
      <c r="O20" s="190"/>
      <c r="P20" s="190"/>
      <c r="Q20" s="190"/>
      <c r="CH20" s="1020"/>
      <c r="CI20" s="1020"/>
      <c r="CJ20" s="1020"/>
      <c r="CK20" s="1020"/>
      <c r="CL20" s="1020"/>
      <c r="CM20" s="1020"/>
      <c r="CN20" s="1020"/>
    </row>
    <row r="21" spans="1:94" ht="16.350000000000001" customHeight="1" x14ac:dyDescent="0.2">
      <c r="A21" s="2529">
        <v>19181000</v>
      </c>
      <c r="B21" s="3026" t="s">
        <v>2362</v>
      </c>
      <c r="C21" s="179" t="s">
        <v>2777</v>
      </c>
      <c r="D21" s="141" t="s">
        <v>2778</v>
      </c>
      <c r="E21" s="198" t="s">
        <v>2779</v>
      </c>
      <c r="F21" s="141" t="s">
        <v>2780</v>
      </c>
      <c r="G21" s="198" t="s">
        <v>2781</v>
      </c>
      <c r="H21" s="198" t="s">
        <v>2782</v>
      </c>
      <c r="I21" s="180" t="s">
        <v>2783</v>
      </c>
      <c r="J21" s="198" t="s">
        <v>2784</v>
      </c>
      <c r="N21" s="190"/>
      <c r="O21" s="190"/>
      <c r="P21" s="190"/>
      <c r="Q21" s="190"/>
      <c r="CH21" s="1020"/>
      <c r="CI21" s="1020"/>
      <c r="CJ21" s="1020"/>
      <c r="CK21" s="1020"/>
      <c r="CL21" s="1020"/>
      <c r="CM21" s="1020"/>
      <c r="CN21" s="1020"/>
    </row>
    <row r="22" spans="1:94" ht="16.350000000000001" customHeight="1" x14ac:dyDescent="0.2">
      <c r="A22" s="3147">
        <v>19181001</v>
      </c>
      <c r="B22" s="2703" t="s">
        <v>2363</v>
      </c>
      <c r="C22" s="1922" t="s">
        <v>2777</v>
      </c>
      <c r="D22" s="141" t="s">
        <v>2778</v>
      </c>
      <c r="E22" s="198" t="s">
        <v>2779</v>
      </c>
      <c r="F22" s="141" t="s">
        <v>2780</v>
      </c>
      <c r="G22" s="198" t="s">
        <v>2781</v>
      </c>
      <c r="H22" s="198" t="s">
        <v>2782</v>
      </c>
      <c r="I22" s="180" t="s">
        <v>2783</v>
      </c>
      <c r="J22" s="163" t="s">
        <v>2784</v>
      </c>
      <c r="N22" s="190"/>
      <c r="O22" s="190"/>
      <c r="P22" s="190"/>
      <c r="Q22" s="190"/>
      <c r="CH22" s="1020"/>
      <c r="CI22" s="1020"/>
      <c r="CJ22" s="1020"/>
      <c r="CK22" s="1020"/>
      <c r="CL22" s="1020"/>
      <c r="CM22" s="1020"/>
      <c r="CN22" s="1020"/>
    </row>
    <row r="23" spans="1:94" ht="16.350000000000001" customHeight="1" x14ac:dyDescent="0.2">
      <c r="A23" s="3147">
        <v>19181002</v>
      </c>
      <c r="B23" s="3145" t="s">
        <v>2364</v>
      </c>
      <c r="C23" s="1922" t="s">
        <v>2777</v>
      </c>
      <c r="D23" s="141" t="s">
        <v>2778</v>
      </c>
      <c r="E23" s="198" t="s">
        <v>2779</v>
      </c>
      <c r="F23" s="141" t="s">
        <v>2780</v>
      </c>
      <c r="G23" s="198" t="s">
        <v>2781</v>
      </c>
      <c r="H23" s="198" t="s">
        <v>2782</v>
      </c>
      <c r="I23" s="180" t="s">
        <v>2783</v>
      </c>
      <c r="J23" s="163" t="s">
        <v>2784</v>
      </c>
      <c r="O23" s="190"/>
      <c r="P23" s="190"/>
      <c r="Q23" s="190"/>
      <c r="CH23" s="1020"/>
      <c r="CI23" s="1020"/>
      <c r="CJ23" s="1020"/>
      <c r="CK23" s="1020"/>
      <c r="CL23" s="1020"/>
      <c r="CM23" s="1020"/>
      <c r="CN23" s="1020"/>
    </row>
    <row r="24" spans="1:94" ht="16.350000000000001" customHeight="1" thickBot="1" x14ac:dyDescent="0.25">
      <c r="A24" s="3147">
        <v>19181003</v>
      </c>
      <c r="B24" s="3146" t="s">
        <v>2365</v>
      </c>
      <c r="C24" s="2070" t="s">
        <v>2777</v>
      </c>
      <c r="D24" s="536" t="s">
        <v>2778</v>
      </c>
      <c r="E24" s="2071" t="s">
        <v>2779</v>
      </c>
      <c r="F24" s="536" t="s">
        <v>2780</v>
      </c>
      <c r="G24" s="2071" t="s">
        <v>2781</v>
      </c>
      <c r="H24" s="2071" t="s">
        <v>2782</v>
      </c>
      <c r="I24" s="537" t="s">
        <v>2783</v>
      </c>
      <c r="J24" s="538" t="s">
        <v>2784</v>
      </c>
      <c r="O24" s="190"/>
      <c r="P24" s="190"/>
      <c r="Q24" s="190"/>
      <c r="CH24" s="1020"/>
      <c r="CI24" s="1020"/>
      <c r="CJ24" s="1020"/>
      <c r="CK24" s="1020"/>
      <c r="CL24" s="1020"/>
      <c r="CM24" s="1020"/>
      <c r="CN24" s="1020"/>
    </row>
    <row r="25" spans="1:94" ht="16.350000000000001" customHeight="1" thickTop="1" x14ac:dyDescent="0.2">
      <c r="A25" s="3148">
        <v>19140612</v>
      </c>
      <c r="B25" s="3143" t="s">
        <v>646</v>
      </c>
      <c r="C25" s="120" t="s">
        <v>2777</v>
      </c>
      <c r="D25" s="170" t="s">
        <v>2778</v>
      </c>
      <c r="E25" s="197" t="s">
        <v>2779</v>
      </c>
      <c r="F25" s="109" t="s">
        <v>2780</v>
      </c>
      <c r="G25" s="111" t="s">
        <v>2781</v>
      </c>
      <c r="H25" s="172" t="s">
        <v>2782</v>
      </c>
      <c r="I25" s="165" t="s">
        <v>2783</v>
      </c>
      <c r="J25" s="111" t="s">
        <v>2784</v>
      </c>
      <c r="N25" s="190"/>
      <c r="O25" s="190"/>
      <c r="P25" s="190"/>
      <c r="Q25" s="190"/>
      <c r="CH25" s="1020"/>
      <c r="CI25" s="1020"/>
      <c r="CJ25" s="1020"/>
      <c r="CK25" s="1020"/>
      <c r="CL25" s="1020"/>
      <c r="CM25" s="1020"/>
      <c r="CN25" s="1020"/>
    </row>
    <row r="26" spans="1:94" ht="16.350000000000001" customHeight="1" x14ac:dyDescent="0.2">
      <c r="A26" s="3148">
        <v>19140613</v>
      </c>
      <c r="B26" s="1895" t="s">
        <v>2366</v>
      </c>
      <c r="C26" s="179" t="s">
        <v>2777</v>
      </c>
      <c r="D26" s="141" t="s">
        <v>2778</v>
      </c>
      <c r="E26" s="198" t="s">
        <v>2779</v>
      </c>
      <c r="F26" s="173" t="s">
        <v>2780</v>
      </c>
      <c r="G26" s="162" t="s">
        <v>2781</v>
      </c>
      <c r="H26" s="174" t="s">
        <v>2782</v>
      </c>
      <c r="I26" s="145" t="s">
        <v>2783</v>
      </c>
      <c r="J26" s="162" t="s">
        <v>2784</v>
      </c>
      <c r="N26" s="190"/>
      <c r="O26" s="190"/>
      <c r="P26" s="190"/>
      <c r="Q26" s="190"/>
      <c r="CH26" s="1020"/>
      <c r="CI26" s="1020"/>
      <c r="CJ26" s="1020"/>
      <c r="CK26" s="1020"/>
      <c r="CL26" s="1020"/>
      <c r="CM26" s="1020"/>
      <c r="CN26" s="1020"/>
    </row>
    <row r="27" spans="1:94" ht="16.350000000000001" customHeight="1" x14ac:dyDescent="0.2">
      <c r="A27" s="3148">
        <v>19140615</v>
      </c>
      <c r="B27" s="1895" t="s">
        <v>2367</v>
      </c>
      <c r="C27" s="179" t="s">
        <v>2777</v>
      </c>
      <c r="D27" s="141" t="s">
        <v>2778</v>
      </c>
      <c r="E27" s="198" t="s">
        <v>2779</v>
      </c>
      <c r="F27" s="173" t="s">
        <v>2780</v>
      </c>
      <c r="G27" s="162" t="s">
        <v>2781</v>
      </c>
      <c r="H27" s="174" t="s">
        <v>2782</v>
      </c>
      <c r="I27" s="145" t="s">
        <v>2783</v>
      </c>
      <c r="J27" s="162" t="s">
        <v>2784</v>
      </c>
      <c r="N27" s="190"/>
      <c r="O27" s="190"/>
      <c r="P27" s="190"/>
      <c r="Q27" s="190"/>
      <c r="CH27" s="1020"/>
      <c r="CI27" s="1020"/>
      <c r="CJ27" s="1020"/>
      <c r="CK27" s="1020"/>
      <c r="CL27" s="1020"/>
      <c r="CM27" s="1020"/>
      <c r="CN27" s="1020"/>
    </row>
    <row r="28" spans="1:94" ht="16.350000000000001" customHeight="1" x14ac:dyDescent="0.2">
      <c r="A28" s="2529">
        <v>19182100</v>
      </c>
      <c r="B28" s="1895" t="s">
        <v>2368</v>
      </c>
      <c r="C28" s="179" t="s">
        <v>2777</v>
      </c>
      <c r="D28" s="141" t="s">
        <v>2778</v>
      </c>
      <c r="E28" s="198" t="s">
        <v>2779</v>
      </c>
      <c r="F28" s="109" t="s">
        <v>2780</v>
      </c>
      <c r="G28" s="111" t="s">
        <v>2781</v>
      </c>
      <c r="H28" s="172" t="s">
        <v>2782</v>
      </c>
      <c r="I28" s="165" t="s">
        <v>2783</v>
      </c>
      <c r="J28" s="111" t="s">
        <v>2784</v>
      </c>
      <c r="N28" s="190"/>
      <c r="O28" s="190"/>
      <c r="P28" s="190"/>
      <c r="Q28" s="190"/>
      <c r="CH28" s="1020"/>
      <c r="CI28" s="1020"/>
      <c r="CJ28" s="1020"/>
      <c r="CK28" s="1020"/>
      <c r="CL28" s="1020"/>
      <c r="CM28" s="1020"/>
      <c r="CN28" s="1020"/>
    </row>
    <row r="29" spans="1:94" ht="16.350000000000001" customHeight="1" x14ac:dyDescent="0.2">
      <c r="A29" s="2529">
        <v>19182110</v>
      </c>
      <c r="B29" s="1897" t="s">
        <v>2369</v>
      </c>
      <c r="C29" s="283" t="s">
        <v>2777</v>
      </c>
      <c r="D29" s="166" t="s">
        <v>2778</v>
      </c>
      <c r="E29" s="168" t="s">
        <v>2779</v>
      </c>
      <c r="F29" s="101" t="s">
        <v>2780</v>
      </c>
      <c r="G29" s="104" t="s">
        <v>2781</v>
      </c>
      <c r="H29" s="169" t="s">
        <v>2782</v>
      </c>
      <c r="I29" s="103" t="s">
        <v>2783</v>
      </c>
      <c r="J29" s="104" t="s">
        <v>2784</v>
      </c>
      <c r="N29" s="190"/>
      <c r="O29" s="190"/>
      <c r="P29" s="190"/>
      <c r="Q29" s="190"/>
      <c r="CH29" s="1020"/>
      <c r="CI29" s="1020"/>
      <c r="CJ29" s="1020"/>
      <c r="CK29" s="1020"/>
      <c r="CL29" s="1020"/>
      <c r="CM29" s="1020"/>
      <c r="CN29" s="1020"/>
    </row>
    <row r="30" spans="1:94" ht="32.1" customHeight="1" x14ac:dyDescent="0.2">
      <c r="B30" s="961" t="s">
        <v>2370</v>
      </c>
      <c r="C30" s="190"/>
      <c r="D30" s="190"/>
      <c r="E30" s="190"/>
      <c r="F30" s="190"/>
      <c r="G30" s="190"/>
      <c r="H30" s="190"/>
      <c r="I30" s="190"/>
      <c r="J30" s="190"/>
      <c r="K30" s="190"/>
      <c r="L30" s="190"/>
      <c r="M30" s="190"/>
      <c r="N30" s="190"/>
      <c r="O30" s="190"/>
      <c r="P30" s="190"/>
      <c r="Q30" s="190"/>
      <c r="CH30" s="1020"/>
      <c r="CI30" s="1020"/>
      <c r="CJ30" s="1020"/>
      <c r="CK30" s="1020"/>
      <c r="CL30" s="1020"/>
      <c r="CM30" s="1020"/>
      <c r="CN30" s="1020"/>
    </row>
    <row r="31" spans="1:94" ht="16.350000000000001" customHeight="1" x14ac:dyDescent="0.2">
      <c r="B31" s="6218" t="s">
        <v>2371</v>
      </c>
      <c r="C31" s="6219"/>
      <c r="D31" s="5165" t="s">
        <v>2372</v>
      </c>
      <c r="E31" s="5540"/>
      <c r="F31" s="5540"/>
      <c r="G31" s="6333"/>
      <c r="H31" s="5540" t="s">
        <v>2373</v>
      </c>
      <c r="I31" s="5540"/>
      <c r="J31" s="5540"/>
      <c r="K31" s="5540"/>
      <c r="L31" s="5540" t="s">
        <v>821</v>
      </c>
      <c r="M31" s="5540"/>
      <c r="N31" s="5540"/>
      <c r="O31" s="471"/>
      <c r="P31" s="190"/>
      <c r="Q31" s="190"/>
      <c r="R31" s="190"/>
      <c r="BZ31" s="80"/>
      <c r="CB31" s="79"/>
      <c r="CI31" s="1020"/>
      <c r="CJ31" s="1020"/>
      <c r="CK31" s="1020"/>
      <c r="CL31" s="1020"/>
      <c r="CM31" s="1020"/>
      <c r="CN31" s="1020"/>
      <c r="CO31" s="1020"/>
      <c r="CP31" s="889"/>
    </row>
    <row r="32" spans="1:94" ht="77.25" customHeight="1" x14ac:dyDescent="0.2">
      <c r="B32" s="5799"/>
      <c r="C32" s="5403"/>
      <c r="D32" s="1597" t="s">
        <v>2374</v>
      </c>
      <c r="E32" s="1733" t="s">
        <v>2400</v>
      </c>
      <c r="F32" s="1733" t="s">
        <v>2375</v>
      </c>
      <c r="G32" s="1239" t="s">
        <v>2376</v>
      </c>
      <c r="H32" s="1749" t="s">
        <v>2377</v>
      </c>
      <c r="I32" s="2072" t="s">
        <v>2378</v>
      </c>
      <c r="J32" s="1239" t="s">
        <v>2379</v>
      </c>
      <c r="K32" s="1921" t="s">
        <v>2380</v>
      </c>
      <c r="L32" s="1923" t="s">
        <v>2381</v>
      </c>
      <c r="M32" s="1597" t="s">
        <v>2382</v>
      </c>
      <c r="N32" s="1918" t="s">
        <v>2383</v>
      </c>
      <c r="O32" s="138"/>
      <c r="P32" s="190"/>
      <c r="Q32" s="190"/>
      <c r="BZ32" s="80"/>
      <c r="CB32" s="79"/>
      <c r="CI32" s="1020"/>
      <c r="CJ32" s="1020"/>
      <c r="CK32" s="1020"/>
      <c r="CL32" s="1020"/>
      <c r="CM32" s="1020"/>
      <c r="CN32" s="1020"/>
      <c r="CO32" s="1020"/>
      <c r="CP32" s="889"/>
    </row>
    <row r="33" spans="1:94" ht="16.350000000000001" customHeight="1" x14ac:dyDescent="0.2">
      <c r="A33" s="2458">
        <v>19150600</v>
      </c>
      <c r="B33" s="6334" t="s">
        <v>2384</v>
      </c>
      <c r="C33" s="6335"/>
      <c r="D33" s="137" t="s">
        <v>2777</v>
      </c>
      <c r="E33" s="110" t="s">
        <v>2778</v>
      </c>
      <c r="F33" s="110" t="s">
        <v>2779</v>
      </c>
      <c r="G33" s="110" t="s">
        <v>2780</v>
      </c>
      <c r="H33" s="1601" t="s">
        <v>2781</v>
      </c>
      <c r="I33" s="110" t="s">
        <v>2782</v>
      </c>
      <c r="J33" s="110" t="s">
        <v>2783</v>
      </c>
      <c r="K33" s="123" t="s">
        <v>2784</v>
      </c>
      <c r="L33" s="1615" t="s">
        <v>2785</v>
      </c>
      <c r="M33" s="137" t="s">
        <v>2786</v>
      </c>
      <c r="N33" s="1603" t="s">
        <v>2787</v>
      </c>
      <c r="O33" s="888"/>
      <c r="P33" s="190"/>
      <c r="Q33" s="190"/>
      <c r="BZ33" s="80"/>
      <c r="CB33" s="79"/>
      <c r="CI33" s="1020"/>
      <c r="CJ33" s="1020"/>
      <c r="CK33" s="1020"/>
      <c r="CL33" s="1020"/>
      <c r="CM33" s="1020"/>
      <c r="CN33" s="1020"/>
      <c r="CO33" s="1020"/>
      <c r="CP33" s="889"/>
    </row>
    <row r="34" spans="1:94" ht="16.350000000000001" customHeight="1" x14ac:dyDescent="0.2">
      <c r="A34" s="2458">
        <v>19140616</v>
      </c>
      <c r="B34" s="5556" t="s">
        <v>662</v>
      </c>
      <c r="C34" s="5557"/>
      <c r="D34" s="141" t="s">
        <v>2777</v>
      </c>
      <c r="E34" s="142" t="s">
        <v>2778</v>
      </c>
      <c r="F34" s="142" t="s">
        <v>2779</v>
      </c>
      <c r="G34" s="142" t="s">
        <v>2780</v>
      </c>
      <c r="H34" s="180" t="s">
        <v>2781</v>
      </c>
      <c r="I34" s="142" t="s">
        <v>2782</v>
      </c>
      <c r="J34" s="142" t="s">
        <v>2783</v>
      </c>
      <c r="K34" s="163" t="s">
        <v>2784</v>
      </c>
      <c r="L34" s="140" t="s">
        <v>2785</v>
      </c>
      <c r="M34" s="141" t="s">
        <v>2786</v>
      </c>
      <c r="N34" s="198" t="s">
        <v>2787</v>
      </c>
      <c r="O34" s="888"/>
      <c r="P34" s="190"/>
      <c r="Q34" s="190"/>
      <c r="BZ34" s="80"/>
      <c r="CB34" s="79"/>
      <c r="CI34" s="1020"/>
      <c r="CJ34" s="1020"/>
      <c r="CK34" s="1020"/>
      <c r="CL34" s="1020"/>
      <c r="CM34" s="1020"/>
      <c r="CN34" s="1020"/>
      <c r="CO34" s="1020"/>
      <c r="CP34" s="889"/>
    </row>
    <row r="35" spans="1:94" ht="16.350000000000001" customHeight="1" x14ac:dyDescent="0.2">
      <c r="A35" s="2458">
        <v>19140617</v>
      </c>
      <c r="B35" s="5556" t="s">
        <v>2385</v>
      </c>
      <c r="C35" s="5557"/>
      <c r="D35" s="141" t="s">
        <v>2777</v>
      </c>
      <c r="E35" s="142" t="s">
        <v>2778</v>
      </c>
      <c r="F35" s="142" t="s">
        <v>2779</v>
      </c>
      <c r="G35" s="142" t="s">
        <v>2780</v>
      </c>
      <c r="H35" s="180" t="s">
        <v>2781</v>
      </c>
      <c r="I35" s="142" t="s">
        <v>2782</v>
      </c>
      <c r="J35" s="142" t="s">
        <v>2783</v>
      </c>
      <c r="K35" s="163" t="s">
        <v>2784</v>
      </c>
      <c r="L35" s="140" t="s">
        <v>2785</v>
      </c>
      <c r="M35" s="141" t="s">
        <v>2786</v>
      </c>
      <c r="N35" s="198" t="s">
        <v>2787</v>
      </c>
      <c r="O35" s="888"/>
      <c r="P35" s="190"/>
      <c r="Q35" s="190"/>
      <c r="BZ35" s="80"/>
      <c r="CB35" s="79"/>
      <c r="CI35" s="1020"/>
      <c r="CJ35" s="1020"/>
      <c r="CK35" s="1020"/>
      <c r="CL35" s="1020"/>
      <c r="CM35" s="1020"/>
      <c r="CN35" s="1020"/>
      <c r="CO35" s="1020"/>
      <c r="CP35" s="889"/>
    </row>
    <row r="36" spans="1:94" ht="16.350000000000001" customHeight="1" x14ac:dyDescent="0.2">
      <c r="A36" s="2458">
        <v>19140618</v>
      </c>
      <c r="B36" s="5556" t="s">
        <v>2386</v>
      </c>
      <c r="C36" s="5557"/>
      <c r="D36" s="141" t="s">
        <v>2777</v>
      </c>
      <c r="E36" s="142" t="s">
        <v>2778</v>
      </c>
      <c r="F36" s="142" t="s">
        <v>2779</v>
      </c>
      <c r="G36" s="142" t="s">
        <v>2780</v>
      </c>
      <c r="H36" s="180" t="s">
        <v>2781</v>
      </c>
      <c r="I36" s="142" t="s">
        <v>2782</v>
      </c>
      <c r="J36" s="142" t="s">
        <v>2783</v>
      </c>
      <c r="K36" s="163" t="s">
        <v>2784</v>
      </c>
      <c r="L36" s="140" t="s">
        <v>2785</v>
      </c>
      <c r="M36" s="141" t="s">
        <v>2786</v>
      </c>
      <c r="N36" s="198" t="s">
        <v>2787</v>
      </c>
      <c r="O36" s="888"/>
      <c r="P36" s="190"/>
      <c r="Q36" s="190"/>
      <c r="BZ36" s="80"/>
      <c r="CB36" s="79"/>
      <c r="CI36" s="1020"/>
      <c r="CJ36" s="1020"/>
      <c r="CK36" s="1020"/>
      <c r="CL36" s="1020"/>
      <c r="CM36" s="1020"/>
      <c r="CN36" s="1020"/>
      <c r="CO36" s="1020"/>
      <c r="CP36" s="889"/>
    </row>
    <row r="37" spans="1:94" ht="16.350000000000001" customHeight="1" x14ac:dyDescent="0.2">
      <c r="A37" s="2458">
        <v>19150700</v>
      </c>
      <c r="B37" s="5556" t="s">
        <v>2387</v>
      </c>
      <c r="C37" s="5557"/>
      <c r="D37" s="141" t="s">
        <v>2777</v>
      </c>
      <c r="E37" s="142" t="s">
        <v>2778</v>
      </c>
      <c r="F37" s="142" t="s">
        <v>2779</v>
      </c>
      <c r="G37" s="142" t="s">
        <v>2780</v>
      </c>
      <c r="H37" s="180" t="s">
        <v>2781</v>
      </c>
      <c r="I37" s="142" t="s">
        <v>2782</v>
      </c>
      <c r="J37" s="142" t="s">
        <v>2783</v>
      </c>
      <c r="K37" s="163" t="s">
        <v>2784</v>
      </c>
      <c r="L37" s="149" t="s">
        <v>2785</v>
      </c>
      <c r="M37" s="173" t="s">
        <v>2786</v>
      </c>
      <c r="N37" s="174" t="s">
        <v>2787</v>
      </c>
      <c r="O37" s="888"/>
      <c r="P37" s="190"/>
      <c r="Q37" s="190"/>
      <c r="BZ37" s="80"/>
      <c r="CB37" s="79"/>
      <c r="CI37" s="1020"/>
      <c r="CJ37" s="1020"/>
      <c r="CK37" s="1020"/>
      <c r="CL37" s="1020"/>
      <c r="CM37" s="1020"/>
      <c r="CN37" s="1020"/>
      <c r="CO37" s="1020"/>
      <c r="CP37" s="889"/>
    </row>
    <row r="38" spans="1:94" ht="16.350000000000001" customHeight="1" x14ac:dyDescent="0.2">
      <c r="A38" s="2458">
        <v>19140620</v>
      </c>
      <c r="B38" s="5556" t="s">
        <v>2388</v>
      </c>
      <c r="C38" s="5557"/>
      <c r="D38" s="141" t="s">
        <v>2777</v>
      </c>
      <c r="E38" s="142" t="s">
        <v>2778</v>
      </c>
      <c r="F38" s="142" t="s">
        <v>2779</v>
      </c>
      <c r="G38" s="142" t="s">
        <v>2780</v>
      </c>
      <c r="H38" s="180" t="s">
        <v>2781</v>
      </c>
      <c r="I38" s="142" t="s">
        <v>2782</v>
      </c>
      <c r="J38" s="142" t="s">
        <v>2783</v>
      </c>
      <c r="K38" s="163" t="s">
        <v>2784</v>
      </c>
      <c r="L38" s="149" t="s">
        <v>2785</v>
      </c>
      <c r="M38" s="173" t="s">
        <v>2786</v>
      </c>
      <c r="N38" s="174" t="s">
        <v>2787</v>
      </c>
      <c r="O38" s="888"/>
      <c r="P38" s="190"/>
      <c r="Q38" s="190"/>
      <c r="BZ38" s="80"/>
      <c r="CB38" s="79"/>
      <c r="CI38" s="1020"/>
      <c r="CJ38" s="1020"/>
      <c r="CK38" s="1020"/>
      <c r="CL38" s="1020"/>
      <c r="CM38" s="1020"/>
      <c r="CN38" s="1020"/>
      <c r="CO38" s="1020"/>
      <c r="CP38" s="889"/>
    </row>
    <row r="39" spans="1:94" ht="16.350000000000001" customHeight="1" x14ac:dyDescent="0.2">
      <c r="A39" s="2458">
        <v>19150860</v>
      </c>
      <c r="B39" s="5556" t="s">
        <v>2389</v>
      </c>
      <c r="C39" s="5557"/>
      <c r="D39" s="141" t="s">
        <v>2777</v>
      </c>
      <c r="E39" s="142" t="s">
        <v>2778</v>
      </c>
      <c r="F39" s="142" t="s">
        <v>2779</v>
      </c>
      <c r="G39" s="142" t="s">
        <v>2780</v>
      </c>
      <c r="H39" s="180" t="s">
        <v>2781</v>
      </c>
      <c r="I39" s="142" t="s">
        <v>2782</v>
      </c>
      <c r="J39" s="142" t="s">
        <v>2783</v>
      </c>
      <c r="K39" s="163" t="s">
        <v>2784</v>
      </c>
      <c r="L39" s="164" t="s">
        <v>2785</v>
      </c>
      <c r="M39" s="173" t="s">
        <v>2786</v>
      </c>
      <c r="N39" s="174" t="s">
        <v>2787</v>
      </c>
      <c r="O39" s="888"/>
      <c r="P39" s="190"/>
      <c r="Q39" s="190"/>
      <c r="BZ39" s="80"/>
      <c r="CB39" s="79"/>
      <c r="CI39" s="1020"/>
      <c r="CJ39" s="1020"/>
      <c r="CK39" s="1020"/>
      <c r="CL39" s="1020"/>
      <c r="CM39" s="1020"/>
      <c r="CN39" s="1020"/>
      <c r="CO39" s="1020"/>
      <c r="CP39" s="889"/>
    </row>
    <row r="40" spans="1:94" ht="16.350000000000001" customHeight="1" x14ac:dyDescent="0.2">
      <c r="A40" s="2458">
        <v>19140621</v>
      </c>
      <c r="B40" s="5556" t="s">
        <v>2390</v>
      </c>
      <c r="C40" s="5557"/>
      <c r="D40" s="141" t="s">
        <v>2777</v>
      </c>
      <c r="E40" s="142" t="s">
        <v>2778</v>
      </c>
      <c r="F40" s="142" t="s">
        <v>2779</v>
      </c>
      <c r="G40" s="142" t="s">
        <v>2780</v>
      </c>
      <c r="H40" s="180" t="s">
        <v>2781</v>
      </c>
      <c r="I40" s="142" t="s">
        <v>2782</v>
      </c>
      <c r="J40" s="142" t="s">
        <v>2783</v>
      </c>
      <c r="K40" s="163" t="s">
        <v>2784</v>
      </c>
      <c r="L40" s="164" t="s">
        <v>2785</v>
      </c>
      <c r="M40" s="173" t="s">
        <v>2786</v>
      </c>
      <c r="N40" s="174" t="s">
        <v>2787</v>
      </c>
      <c r="O40" s="888"/>
      <c r="P40" s="190"/>
      <c r="Q40" s="190"/>
      <c r="BZ40" s="80"/>
      <c r="CB40" s="79"/>
      <c r="CI40" s="1020"/>
      <c r="CJ40" s="1020"/>
      <c r="CK40" s="1020"/>
      <c r="CL40" s="1020"/>
      <c r="CM40" s="1020"/>
      <c r="CN40" s="1020"/>
      <c r="CO40" s="1020"/>
      <c r="CP40" s="889"/>
    </row>
    <row r="41" spans="1:94" ht="16.350000000000001" customHeight="1" x14ac:dyDescent="0.2">
      <c r="A41" s="2458">
        <v>19140622</v>
      </c>
      <c r="B41" s="5556" t="s">
        <v>2391</v>
      </c>
      <c r="C41" s="5557"/>
      <c r="D41" s="141" t="s">
        <v>2777</v>
      </c>
      <c r="E41" s="142" t="s">
        <v>2778</v>
      </c>
      <c r="F41" s="142" t="s">
        <v>2779</v>
      </c>
      <c r="G41" s="142" t="s">
        <v>2780</v>
      </c>
      <c r="H41" s="180" t="s">
        <v>2781</v>
      </c>
      <c r="I41" s="142" t="s">
        <v>2782</v>
      </c>
      <c r="J41" s="142" t="s">
        <v>2783</v>
      </c>
      <c r="K41" s="163" t="s">
        <v>2784</v>
      </c>
      <c r="L41" s="140" t="s">
        <v>2785</v>
      </c>
      <c r="M41" s="141" t="s">
        <v>2786</v>
      </c>
      <c r="N41" s="198" t="s">
        <v>2787</v>
      </c>
      <c r="O41" s="888"/>
      <c r="P41" s="190"/>
      <c r="Q41" s="190"/>
      <c r="BZ41" s="80"/>
      <c r="CB41" s="79"/>
      <c r="CI41" s="1020"/>
      <c r="CJ41" s="1020"/>
      <c r="CK41" s="1020"/>
      <c r="CL41" s="1020"/>
      <c r="CM41" s="1020"/>
      <c r="CN41" s="1020"/>
      <c r="CO41" s="1020"/>
      <c r="CP41" s="889"/>
    </row>
    <row r="42" spans="1:94" ht="16.350000000000001" customHeight="1" x14ac:dyDescent="0.2">
      <c r="A42" s="2458">
        <v>19140623</v>
      </c>
      <c r="B42" s="5589" t="s">
        <v>2392</v>
      </c>
      <c r="C42" s="5590"/>
      <c r="D42" s="182" t="s">
        <v>2777</v>
      </c>
      <c r="E42" s="146" t="s">
        <v>2778</v>
      </c>
      <c r="F42" s="146" t="s">
        <v>2779</v>
      </c>
      <c r="G42" s="146" t="s">
        <v>2780</v>
      </c>
      <c r="H42" s="144" t="s">
        <v>2781</v>
      </c>
      <c r="I42" s="146" t="s">
        <v>2782</v>
      </c>
      <c r="J42" s="146" t="s">
        <v>2783</v>
      </c>
      <c r="K42" s="183" t="s">
        <v>2784</v>
      </c>
      <c r="L42" s="2073" t="s">
        <v>2785</v>
      </c>
      <c r="M42" s="115" t="s">
        <v>2786</v>
      </c>
      <c r="N42" s="258" t="s">
        <v>2787</v>
      </c>
      <c r="O42" s="888"/>
      <c r="P42" s="190"/>
      <c r="Q42" s="190"/>
      <c r="BZ42" s="80"/>
      <c r="CB42" s="79"/>
      <c r="CI42" s="1020"/>
      <c r="CJ42" s="1020"/>
      <c r="CK42" s="1020"/>
      <c r="CL42" s="1020"/>
      <c r="CM42" s="1020"/>
      <c r="CN42" s="1020"/>
      <c r="CO42" s="1020"/>
      <c r="CP42" s="889"/>
    </row>
    <row r="43" spans="1:94" ht="16.350000000000001" customHeight="1" x14ac:dyDescent="0.2">
      <c r="A43" s="2458">
        <v>19181100</v>
      </c>
      <c r="B43" s="5538" t="s">
        <v>2393</v>
      </c>
      <c r="C43" s="5539"/>
      <c r="D43" s="182" t="s">
        <v>2777</v>
      </c>
      <c r="E43" s="146" t="s">
        <v>2778</v>
      </c>
      <c r="F43" s="146" t="s">
        <v>2779</v>
      </c>
      <c r="G43" s="146" t="s">
        <v>2780</v>
      </c>
      <c r="H43" s="599" t="s">
        <v>2781</v>
      </c>
      <c r="I43" s="144" t="s">
        <v>2782</v>
      </c>
      <c r="J43" s="146" t="s">
        <v>2783</v>
      </c>
      <c r="K43" s="183" t="s">
        <v>2784</v>
      </c>
      <c r="L43" s="140" t="s">
        <v>2785</v>
      </c>
      <c r="M43" s="182" t="s">
        <v>2786</v>
      </c>
      <c r="N43" s="240" t="s">
        <v>2787</v>
      </c>
      <c r="O43" s="888"/>
      <c r="P43" s="190"/>
      <c r="Q43" s="190"/>
      <c r="BZ43" s="80"/>
      <c r="CB43" s="79"/>
      <c r="CI43" s="1020"/>
      <c r="CJ43" s="1020"/>
      <c r="CK43" s="1020"/>
      <c r="CL43" s="1020"/>
      <c r="CM43" s="1020"/>
      <c r="CN43" s="1020"/>
      <c r="CO43" s="1020"/>
      <c r="CP43" s="889"/>
    </row>
    <row r="44" spans="1:94" ht="16.350000000000001" customHeight="1" x14ac:dyDescent="0.2">
      <c r="A44" s="2518"/>
      <c r="B44" s="6338" t="s">
        <v>2394</v>
      </c>
      <c r="C44" s="6339"/>
      <c r="D44" s="1810">
        <f t="shared" ref="D44:K44" si="1">SUM(D33:D43)</f>
        <v>0</v>
      </c>
      <c r="E44" s="1856">
        <f>SUM(E33:E43)</f>
        <v>0</v>
      </c>
      <c r="F44" s="1856">
        <f>SUM(F33:F43)</f>
        <v>0</v>
      </c>
      <c r="G44" s="1856">
        <f t="shared" si="1"/>
        <v>0</v>
      </c>
      <c r="H44" s="1857">
        <f>SUM(H33:H42)</f>
        <v>0</v>
      </c>
      <c r="I44" s="1856">
        <f t="shared" si="1"/>
        <v>0</v>
      </c>
      <c r="J44" s="1856">
        <f t="shared" si="1"/>
        <v>0</v>
      </c>
      <c r="K44" s="2018">
        <f t="shared" si="1"/>
        <v>0</v>
      </c>
      <c r="L44" s="1808" t="e">
        <f>SUM(L33+L34+L35+L36+L39+L40+L41+L43)</f>
        <v>#VALUE!</v>
      </c>
      <c r="M44" s="1810" t="e">
        <f>SUM(M33+M34+M35+M36+M41+M43)</f>
        <v>#VALUE!</v>
      </c>
      <c r="N44" s="1807" t="e">
        <f>SUM(N33+N34+N35+N36+N41+N43)</f>
        <v>#VALUE!</v>
      </c>
      <c r="O44" s="888"/>
      <c r="P44" s="190"/>
      <c r="Q44" s="190"/>
      <c r="BZ44" s="80"/>
      <c r="CB44" s="79"/>
      <c r="CI44" s="1020"/>
      <c r="CJ44" s="1020"/>
      <c r="CK44" s="1020"/>
      <c r="CL44" s="1020"/>
      <c r="CM44" s="1020"/>
      <c r="CN44" s="1020"/>
      <c r="CO44" s="1020"/>
      <c r="CP44" s="889"/>
    </row>
    <row r="45" spans="1:94" ht="16.350000000000001" customHeight="1" x14ac:dyDescent="0.2">
      <c r="A45" s="2458">
        <v>19180300</v>
      </c>
      <c r="B45" s="6340" t="s">
        <v>2395</v>
      </c>
      <c r="C45" s="6341"/>
      <c r="D45" s="1751" t="s">
        <v>2777</v>
      </c>
      <c r="E45" s="1860" t="s">
        <v>2778</v>
      </c>
      <c r="F45" s="1860" t="s">
        <v>2779</v>
      </c>
      <c r="G45" s="1860" t="s">
        <v>2780</v>
      </c>
      <c r="H45" s="1752" t="s">
        <v>2781</v>
      </c>
      <c r="I45" s="1860" t="s">
        <v>2782</v>
      </c>
      <c r="J45" s="1860" t="s">
        <v>2783</v>
      </c>
      <c r="K45" s="2074" t="s">
        <v>2784</v>
      </c>
      <c r="L45" s="1808" t="s">
        <v>2785</v>
      </c>
      <c r="M45" s="1751" t="s">
        <v>2786</v>
      </c>
      <c r="N45" s="1753" t="s">
        <v>2787</v>
      </c>
      <c r="O45" s="888"/>
      <c r="P45" s="190"/>
      <c r="Q45" s="190"/>
      <c r="BZ45" s="80"/>
      <c r="CB45" s="79"/>
      <c r="CI45" s="1020"/>
      <c r="CJ45" s="1020"/>
      <c r="CK45" s="1020"/>
      <c r="CL45" s="1020"/>
      <c r="CM45" s="1020"/>
      <c r="CN45" s="1020"/>
      <c r="CO45" s="1020"/>
      <c r="CP45" s="889"/>
    </row>
    <row r="46" spans="1:94" ht="32.1" customHeight="1" x14ac:dyDescent="0.2">
      <c r="B46" s="324" t="s">
        <v>2396</v>
      </c>
      <c r="C46" s="2075"/>
      <c r="D46" s="85"/>
      <c r="E46" s="243"/>
      <c r="F46" s="190"/>
      <c r="G46" s="190"/>
      <c r="H46" s="190"/>
      <c r="I46" s="190"/>
      <c r="J46" s="190"/>
      <c r="K46" s="190"/>
      <c r="L46" s="190"/>
      <c r="M46" s="190"/>
      <c r="N46" s="190"/>
      <c r="O46" s="190"/>
      <c r="P46" s="190"/>
      <c r="Q46" s="190"/>
      <c r="CH46" s="1020"/>
      <c r="CI46" s="1020"/>
      <c r="CJ46" s="1020"/>
      <c r="CK46" s="1020"/>
      <c r="CL46" s="1020"/>
      <c r="CM46" s="1020"/>
      <c r="CN46" s="1020"/>
    </row>
    <row r="47" spans="1:94" ht="32.25" customHeight="1" x14ac:dyDescent="0.2">
      <c r="B47" s="5165" t="s">
        <v>2397</v>
      </c>
      <c r="C47" s="5167"/>
      <c r="D47" s="1923" t="s">
        <v>42</v>
      </c>
      <c r="E47" s="2237" t="s">
        <v>2756</v>
      </c>
      <c r="F47" s="190"/>
      <c r="G47" s="190"/>
      <c r="H47" s="190"/>
      <c r="I47" s="190"/>
      <c r="J47" s="190"/>
      <c r="K47" s="190"/>
      <c r="L47" s="190"/>
      <c r="M47" s="190"/>
      <c r="N47" s="190"/>
      <c r="O47" s="190"/>
      <c r="P47" s="190"/>
      <c r="Q47" s="190"/>
      <c r="CH47" s="1020"/>
      <c r="CI47" s="1020"/>
      <c r="CJ47" s="1020"/>
      <c r="CK47" s="1020"/>
      <c r="CL47" s="1020"/>
      <c r="CM47" s="1020"/>
      <c r="CN47" s="1020"/>
    </row>
    <row r="48" spans="1:94" ht="16.350000000000001" customHeight="1" x14ac:dyDescent="0.2">
      <c r="A48" s="2458">
        <v>19160800</v>
      </c>
      <c r="B48" s="6336" t="s">
        <v>2398</v>
      </c>
      <c r="C48" s="6337"/>
      <c r="D48" s="119" t="s">
        <v>2777</v>
      </c>
      <c r="E48" s="240" t="s">
        <v>2778</v>
      </c>
      <c r="F48" s="138"/>
      <c r="G48" s="190"/>
      <c r="H48" s="190"/>
      <c r="I48" s="190"/>
      <c r="J48" s="190"/>
      <c r="K48" s="190"/>
      <c r="L48" s="190"/>
      <c r="M48" s="190"/>
      <c r="N48" s="190"/>
      <c r="O48" s="190"/>
      <c r="P48" s="190"/>
      <c r="Q48" s="190"/>
      <c r="CB48" s="889" t="str">
        <f>IF(E48&gt;D48,"Casos/Instituciones deben ser menor o iguales al total Reuniones A. Mayor","")</f>
        <v>Casos/Instituciones deben ser menor o iguales al total Reuniones A. Mayor</v>
      </c>
      <c r="CH48" s="1020"/>
      <c r="CI48" s="1020"/>
      <c r="CJ48" s="1020"/>
      <c r="CK48" s="1020"/>
      <c r="CL48" s="1020"/>
      <c r="CM48" s="1020"/>
      <c r="CN48" s="1020"/>
    </row>
    <row r="49" spans="1:92" ht="16.350000000000001" customHeight="1" x14ac:dyDescent="0.2">
      <c r="A49" s="2458">
        <v>19160900</v>
      </c>
      <c r="B49" s="5314" t="s">
        <v>2399</v>
      </c>
      <c r="C49" s="5315"/>
      <c r="D49" s="105" t="s">
        <v>2777</v>
      </c>
      <c r="E49" s="169" t="s">
        <v>2778</v>
      </c>
      <c r="F49" s="190"/>
      <c r="G49" s="190"/>
      <c r="H49" s="190"/>
      <c r="I49" s="190"/>
      <c r="J49" s="190"/>
      <c r="K49" s="190"/>
      <c r="L49" s="190"/>
      <c r="M49" s="190"/>
      <c r="N49" s="190"/>
      <c r="O49" s="190"/>
      <c r="P49" s="190"/>
      <c r="Q49" s="190"/>
      <c r="CH49" s="1020"/>
      <c r="CI49" s="1020"/>
      <c r="CJ49" s="1020"/>
      <c r="CK49" s="1020"/>
      <c r="CL49" s="1020"/>
      <c r="CM49" s="1020"/>
      <c r="CN49" s="1020"/>
    </row>
    <row r="50" spans="1:92" x14ac:dyDescent="0.2">
      <c r="CH50" s="1020"/>
      <c r="CI50" s="1020"/>
      <c r="CJ50" s="1020"/>
      <c r="CK50" s="1020"/>
      <c r="CL50" s="1020"/>
      <c r="CM50" s="1020"/>
      <c r="CN50" s="1020"/>
    </row>
    <row r="194" spans="2:105" ht="11.25" customHeight="1" x14ac:dyDescent="0.2"/>
    <row r="195" spans="2:105" s="1029" customFormat="1" hidden="1" x14ac:dyDescent="0.2">
      <c r="B195" s="1029" t="e">
        <f>SUM(C11,C25:C29,D44:N44,D48:D49)</f>
        <v>#VALUE!</v>
      </c>
      <c r="C195" s="1029">
        <f>SUM(CH6:CN50)</f>
        <v>0</v>
      </c>
      <c r="BZ195" s="1030"/>
      <c r="CA195" s="1030"/>
      <c r="CB195" s="889"/>
      <c r="CC195" s="889"/>
      <c r="CD195" s="889"/>
      <c r="CE195" s="889"/>
      <c r="CF195" s="889"/>
      <c r="CG195" s="889"/>
      <c r="CH195" s="889"/>
      <c r="CI195" s="889"/>
      <c r="CJ195" s="889"/>
      <c r="CK195" s="889"/>
      <c r="CL195" s="889"/>
      <c r="CM195" s="889"/>
      <c r="CN195" s="889"/>
      <c r="CO195" s="889"/>
      <c r="CP195" s="1031"/>
      <c r="CQ195" s="1031"/>
      <c r="CR195" s="1031"/>
      <c r="CS195" s="1031"/>
      <c r="CT195" s="1031"/>
      <c r="CU195" s="1031"/>
      <c r="CV195" s="1031"/>
      <c r="CW195" s="1031"/>
      <c r="CX195" s="1031"/>
      <c r="CY195" s="1031"/>
      <c r="CZ195" s="1031"/>
      <c r="DA195" s="1031"/>
    </row>
  </sheetData>
  <mergeCells count="27">
    <mergeCell ref="B48:C48"/>
    <mergeCell ref="B49:C49"/>
    <mergeCell ref="B41:C41"/>
    <mergeCell ref="B42:C42"/>
    <mergeCell ref="B43:C43"/>
    <mergeCell ref="B44:C44"/>
    <mergeCell ref="B45:C45"/>
    <mergeCell ref="B47:C47"/>
    <mergeCell ref="B40:C40"/>
    <mergeCell ref="B31:C32"/>
    <mergeCell ref="D31:G31"/>
    <mergeCell ref="H31:K31"/>
    <mergeCell ref="L31:N31"/>
    <mergeCell ref="B33:C33"/>
    <mergeCell ref="B34:C34"/>
    <mergeCell ref="B35:C35"/>
    <mergeCell ref="B36:C36"/>
    <mergeCell ref="B37:C37"/>
    <mergeCell ref="B38:C38"/>
    <mergeCell ref="B39:C39"/>
    <mergeCell ref="A9:A10"/>
    <mergeCell ref="B6:Q6"/>
    <mergeCell ref="B9:B10"/>
    <mergeCell ref="C9:E9"/>
    <mergeCell ref="F9:G9"/>
    <mergeCell ref="H9:H10"/>
    <mergeCell ref="I9:J9"/>
  </mergeCells>
  <dataValidations count="3">
    <dataValidation type="whole" operator="greaterThanOrEqual" allowBlank="1" showInputMessage="1" showErrorMessage="1" error="Valor no Permitido" sqref="B9:D49 F9:N49 E9:E46 E48:E49" xr:uid="{00000000-0002-0000-0C00-000000000000}">
      <formula1>0</formula1>
    </dataValidation>
    <dataValidation operator="greaterThanOrEqual" allowBlank="1" showInputMessage="1" showErrorMessage="1" error="Valor no Permitido" sqref="E47 B1:B5" xr:uid="{00000000-0002-0000-0C00-000001000000}"/>
    <dataValidation allowBlank="1" showInputMessage="1" showErrorMessage="1" errorTitle="Error" error="Por favor ingrese números enteros" sqref="A12:A29 A48:A49 A33:A43 A45" xr:uid="{00000000-0002-0000-0C00-000002000000}"/>
  </dataValidations>
  <pageMargins left="0.7" right="0.7" top="0.75" bottom="0.75" header="0.3" footer="0.3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Hoja14">
    <tabColor theme="0"/>
  </sheetPr>
  <dimension ref="A1:DA198"/>
  <sheetViews>
    <sheetView showGridLines="0" zoomScaleNormal="100" workbookViewId="0"/>
  </sheetViews>
  <sheetFormatPr baseColWidth="10" defaultColWidth="11.42578125" defaultRowHeight="14.25" x14ac:dyDescent="0.25"/>
  <cols>
    <col min="1" max="1" width="13.42578125" style="3157" customWidth="1"/>
    <col min="2" max="2" width="72.140625" style="3157" customWidth="1"/>
    <col min="3" max="3" width="26.7109375" style="3157" customWidth="1"/>
    <col min="4" max="4" width="18.140625" style="3157" customWidth="1"/>
    <col min="5" max="5" width="17.42578125" style="3157" customWidth="1"/>
    <col min="6" max="6" width="18.28515625" style="3157" customWidth="1"/>
    <col min="7" max="7" width="16.42578125" style="3157" customWidth="1"/>
    <col min="8" max="8" width="17.85546875" style="3157" customWidth="1"/>
    <col min="9" max="9" width="18.42578125" style="3157" customWidth="1"/>
    <col min="10" max="10" width="14.85546875" style="3157" customWidth="1"/>
    <col min="11" max="11" width="13.42578125" style="3157" customWidth="1"/>
    <col min="12" max="12" width="14.28515625" style="3157" customWidth="1"/>
    <col min="13" max="13" width="11.42578125" style="3157"/>
    <col min="14" max="14" width="13" style="3157" customWidth="1"/>
    <col min="15" max="15" width="10" style="3157" customWidth="1"/>
    <col min="16" max="28" width="11.42578125" style="3157"/>
    <col min="29" max="29" width="15.7109375" style="3157" customWidth="1"/>
    <col min="30" max="76" width="11.42578125" style="3157"/>
    <col min="77" max="77" width="11.42578125" style="3159" customWidth="1"/>
    <col min="78" max="78" width="11.7109375" style="3160" customWidth="1"/>
    <col min="79" max="79" width="12.28515625" style="3160" customWidth="1"/>
    <col min="80" max="105" width="12.28515625" style="3161" customWidth="1"/>
    <col min="106" max="16384" width="11.42578125" style="3157"/>
  </cols>
  <sheetData>
    <row r="1" spans="1:93" ht="16.350000000000001" customHeight="1" x14ac:dyDescent="0.25">
      <c r="B1" s="3158" t="s">
        <v>910</v>
      </c>
    </row>
    <row r="2" spans="1:93" ht="16.350000000000001" customHeight="1" x14ac:dyDescent="0.25">
      <c r="B2" s="3158" t="str">
        <f>CONCATENATE("COMUNA: ",NOMBRE!B2," - ","( ",NOMBRE!C2,NOMBRE!D2,NOMBRE!E2,NOMBRE!F2,NOMBRE!G2," )")</f>
        <v>COMUNA:  - (  )</v>
      </c>
    </row>
    <row r="3" spans="1:93" ht="16.350000000000001" customHeight="1" x14ac:dyDescent="0.25">
      <c r="B3" s="3158" t="str">
        <f>CONCATENATE("ESTABLECIMIENTO/ESTRATEGIA: ",NOMBRE!B3," - ","( ",NOMBRE!C3,NOMBRE!D3,NOMBRE!E3,NOMBRE!F3,NOMBRE!G3,NOMBRE!H3," )")</f>
        <v>ESTABLECIMIENTO/ESTRATEGIA:  - (  )</v>
      </c>
      <c r="CH3" s="3162"/>
      <c r="CI3" s="3162"/>
      <c r="CJ3" s="3162"/>
      <c r="CK3" s="3162"/>
      <c r="CL3" s="3162"/>
      <c r="CM3" s="3162"/>
      <c r="CN3" s="3162"/>
      <c r="CO3" s="3162"/>
    </row>
    <row r="4" spans="1:93" ht="16.350000000000001" customHeight="1" x14ac:dyDescent="0.25">
      <c r="B4" s="3158" t="str">
        <f>CONCATENATE("MES: ",NOMBRE!B6," - ","( ",NOMBRE!C6,NOMBRE!D6," )")</f>
        <v>MES:  - (  )</v>
      </c>
      <c r="CH4" s="3162"/>
      <c r="CI4" s="3162"/>
      <c r="CJ4" s="3162"/>
      <c r="CK4" s="3162"/>
      <c r="CL4" s="3162"/>
      <c r="CM4" s="3162"/>
      <c r="CN4" s="3162"/>
      <c r="CO4" s="3162"/>
    </row>
    <row r="5" spans="1:93" ht="16.350000000000001" customHeight="1" x14ac:dyDescent="0.25">
      <c r="B5" s="3158" t="str">
        <f>CONCATENATE("AÑO: ",NOMBRE!B7)</f>
        <v>AÑO: 2020</v>
      </c>
      <c r="CH5" s="3162"/>
      <c r="CI5" s="3162"/>
      <c r="CJ5" s="3162"/>
      <c r="CK5" s="3162"/>
      <c r="CL5" s="3162"/>
      <c r="CM5" s="3162"/>
      <c r="CN5" s="3162"/>
      <c r="CO5" s="3162"/>
    </row>
    <row r="6" spans="1:93" ht="15" x14ac:dyDescent="0.25">
      <c r="G6" s="3163" t="s">
        <v>2685</v>
      </c>
      <c r="CH6" s="3162"/>
      <c r="CI6" s="3162"/>
      <c r="CJ6" s="3162"/>
      <c r="CK6" s="3162"/>
      <c r="CL6" s="3162"/>
      <c r="CM6" s="3162"/>
      <c r="CN6" s="3162"/>
      <c r="CO6" s="3162"/>
    </row>
    <row r="7" spans="1:93" ht="15" customHeight="1" x14ac:dyDescent="0.25">
      <c r="B7" s="540"/>
      <c r="C7" s="540"/>
      <c r="D7" s="540"/>
      <c r="E7" s="540"/>
      <c r="F7" s="540"/>
      <c r="G7" s="540"/>
      <c r="H7" s="540"/>
      <c r="I7" s="540"/>
      <c r="J7" s="540"/>
      <c r="K7" s="540"/>
      <c r="L7" s="3164"/>
      <c r="M7" s="3165"/>
      <c r="CH7" s="3162"/>
      <c r="CI7" s="3162"/>
      <c r="CJ7" s="3162"/>
      <c r="CK7" s="3162"/>
      <c r="CL7" s="3162"/>
      <c r="CM7" s="3162"/>
      <c r="CN7" s="3162"/>
      <c r="CO7" s="3162"/>
    </row>
    <row r="8" spans="1:93" ht="32.1" customHeight="1" x14ac:dyDescent="0.25">
      <c r="B8" s="3156" t="s">
        <v>96</v>
      </c>
      <c r="C8" s="3166"/>
      <c r="D8" s="3166"/>
      <c r="E8" s="3166"/>
      <c r="F8" s="3166"/>
      <c r="G8" s="3166"/>
      <c r="H8" s="3166"/>
      <c r="I8" s="3166"/>
      <c r="J8" s="3166"/>
      <c r="K8" s="3166"/>
      <c r="L8" s="3166"/>
      <c r="M8" s="3166"/>
      <c r="N8" s="3166"/>
      <c r="O8" s="3166"/>
      <c r="P8" s="3166"/>
      <c r="CH8" s="3162"/>
      <c r="CI8" s="3162"/>
      <c r="CJ8" s="3162"/>
      <c r="CK8" s="3162"/>
      <c r="CL8" s="3162"/>
      <c r="CM8" s="3162"/>
      <c r="CN8" s="3162"/>
      <c r="CO8" s="3162"/>
    </row>
    <row r="9" spans="1:93" ht="14.25" customHeight="1" x14ac:dyDescent="0.25">
      <c r="B9" s="6383" t="s">
        <v>97</v>
      </c>
      <c r="C9" s="6384" t="s">
        <v>98</v>
      </c>
      <c r="D9" s="6385" t="s">
        <v>1237</v>
      </c>
      <c r="E9" s="6352" t="s">
        <v>1238</v>
      </c>
      <c r="F9" s="6352" t="s">
        <v>2674</v>
      </c>
      <c r="G9" s="6388" t="s">
        <v>1341</v>
      </c>
      <c r="H9" s="6364" t="s">
        <v>2675</v>
      </c>
      <c r="I9" s="6365"/>
      <c r="J9" s="6365"/>
      <c r="K9" s="6366"/>
      <c r="L9" s="6364" t="s">
        <v>2676</v>
      </c>
      <c r="M9" s="6365"/>
      <c r="N9" s="6365"/>
      <c r="O9" s="6365"/>
      <c r="P9" s="6366"/>
      <c r="Q9" s="6364" t="s">
        <v>2677</v>
      </c>
      <c r="R9" s="6365"/>
      <c r="S9" s="6365"/>
      <c r="T9" s="6365"/>
      <c r="U9" s="6366"/>
      <c r="V9" s="6364" t="s">
        <v>2678</v>
      </c>
      <c r="W9" s="6365"/>
      <c r="X9" s="6365"/>
      <c r="Y9" s="6365"/>
      <c r="Z9" s="6366"/>
      <c r="AA9" s="6346" t="s">
        <v>2232</v>
      </c>
      <c r="AB9" s="6347"/>
      <c r="AC9" s="6348"/>
      <c r="BY9" s="3157"/>
      <c r="BZ9" s="3167"/>
      <c r="CH9" s="3162"/>
      <c r="CI9" s="3162"/>
      <c r="CJ9" s="3162"/>
      <c r="CK9" s="3162"/>
      <c r="CL9" s="3162"/>
      <c r="CM9" s="3162"/>
      <c r="CN9" s="3162"/>
      <c r="CO9" s="3162"/>
    </row>
    <row r="10" spans="1:93" ht="21.75" customHeight="1" x14ac:dyDescent="0.25">
      <c r="A10" s="5168" t="s">
        <v>2775</v>
      </c>
      <c r="B10" s="6383"/>
      <c r="C10" s="6384"/>
      <c r="D10" s="6385"/>
      <c r="E10" s="6353"/>
      <c r="F10" s="6353"/>
      <c r="G10" s="6388"/>
      <c r="H10" s="6367"/>
      <c r="I10" s="6368"/>
      <c r="J10" s="6368"/>
      <c r="K10" s="6369"/>
      <c r="L10" s="6367"/>
      <c r="M10" s="6368"/>
      <c r="N10" s="6368"/>
      <c r="O10" s="6368"/>
      <c r="P10" s="6369"/>
      <c r="Q10" s="6367"/>
      <c r="R10" s="6368"/>
      <c r="S10" s="6368"/>
      <c r="T10" s="6368"/>
      <c r="U10" s="6369"/>
      <c r="V10" s="6367"/>
      <c r="W10" s="6368"/>
      <c r="X10" s="6368"/>
      <c r="Y10" s="6368"/>
      <c r="Z10" s="6369"/>
      <c r="AA10" s="6349"/>
      <c r="AB10" s="6350"/>
      <c r="AC10" s="6351"/>
      <c r="BY10" s="3157"/>
      <c r="BZ10" s="3167"/>
      <c r="CH10" s="3162"/>
      <c r="CI10" s="3162"/>
      <c r="CJ10" s="3162"/>
      <c r="CK10" s="3162"/>
      <c r="CL10" s="3162"/>
      <c r="CM10" s="3162"/>
      <c r="CN10" s="3162"/>
      <c r="CO10" s="3162"/>
    </row>
    <row r="11" spans="1:93" ht="31.5" customHeight="1" x14ac:dyDescent="0.25">
      <c r="A11" s="5168"/>
      <c r="B11" s="6383"/>
      <c r="C11" s="6384"/>
      <c r="D11" s="6385"/>
      <c r="E11" s="6354"/>
      <c r="F11" s="6354"/>
      <c r="G11" s="6388"/>
      <c r="H11" s="774" t="s">
        <v>1142</v>
      </c>
      <c r="I11" s="775" t="s">
        <v>1143</v>
      </c>
      <c r="J11" s="775" t="s">
        <v>1144</v>
      </c>
      <c r="K11" s="3040" t="s">
        <v>727</v>
      </c>
      <c r="L11" s="774" t="s">
        <v>1142</v>
      </c>
      <c r="M11" s="775" t="s">
        <v>1143</v>
      </c>
      <c r="N11" s="775" t="s">
        <v>1144</v>
      </c>
      <c r="O11" s="775" t="s">
        <v>727</v>
      </c>
      <c r="P11" s="3040" t="s">
        <v>1145</v>
      </c>
      <c r="Q11" s="774" t="s">
        <v>1142</v>
      </c>
      <c r="R11" s="775" t="s">
        <v>1143</v>
      </c>
      <c r="S11" s="775" t="s">
        <v>2679</v>
      </c>
      <c r="T11" s="775" t="s">
        <v>727</v>
      </c>
      <c r="U11" s="3040" t="s">
        <v>1145</v>
      </c>
      <c r="V11" s="774" t="s">
        <v>1142</v>
      </c>
      <c r="W11" s="775" t="s">
        <v>1143</v>
      </c>
      <c r="X11" s="775" t="s">
        <v>1144</v>
      </c>
      <c r="Y11" s="775" t="s">
        <v>727</v>
      </c>
      <c r="Z11" s="3040" t="s">
        <v>1145</v>
      </c>
      <c r="AA11" s="1338" t="s">
        <v>1142</v>
      </c>
      <c r="AB11" s="1339" t="s">
        <v>2680</v>
      </c>
      <c r="AC11" s="1340" t="s">
        <v>2231</v>
      </c>
      <c r="BY11" s="3157"/>
      <c r="BZ11" s="3167"/>
      <c r="CH11" s="3162"/>
      <c r="CI11" s="3162"/>
      <c r="CJ11" s="3162"/>
      <c r="CK11" s="3162"/>
      <c r="CL11" s="3162"/>
      <c r="CM11" s="3162"/>
      <c r="CN11" s="3162"/>
      <c r="CO11" s="3162"/>
    </row>
    <row r="12" spans="1:93" ht="20.25" customHeight="1" x14ac:dyDescent="0.25">
      <c r="A12" s="3168"/>
      <c r="B12" s="3039" t="s">
        <v>100</v>
      </c>
      <c r="C12" s="134">
        <f t="shared" ref="C12:P12" si="0">SUM(C13:C16)</f>
        <v>0</v>
      </c>
      <c r="D12" s="1041">
        <f>SUM(D13:D16)</f>
        <v>0</v>
      </c>
      <c r="E12" s="1042">
        <f t="shared" si="0"/>
        <v>0</v>
      </c>
      <c r="F12" s="1042">
        <f t="shared" si="0"/>
        <v>0</v>
      </c>
      <c r="G12" s="1043">
        <f t="shared" si="0"/>
        <v>0</v>
      </c>
      <c r="H12" s="1044">
        <f t="shared" si="0"/>
        <v>0</v>
      </c>
      <c r="I12" s="1042">
        <f t="shared" si="0"/>
        <v>0</v>
      </c>
      <c r="J12" s="1042">
        <f t="shared" si="0"/>
        <v>0</v>
      </c>
      <c r="K12" s="1043">
        <f t="shared" si="0"/>
        <v>0</v>
      </c>
      <c r="L12" s="1044">
        <f t="shared" si="0"/>
        <v>0</v>
      </c>
      <c r="M12" s="1042">
        <f t="shared" si="0"/>
        <v>0</v>
      </c>
      <c r="N12" s="1042">
        <f t="shared" si="0"/>
        <v>0</v>
      </c>
      <c r="O12" s="1042">
        <f t="shared" si="0"/>
        <v>0</v>
      </c>
      <c r="P12" s="1043">
        <f t="shared" si="0"/>
        <v>0</v>
      </c>
      <c r="Q12" s="1204">
        <f t="shared" ref="Q12:U12" si="1">SUM(Q13:Q16)</f>
        <v>0</v>
      </c>
      <c r="R12" s="1205">
        <f t="shared" si="1"/>
        <v>0</v>
      </c>
      <c r="S12" s="1205">
        <f t="shared" si="1"/>
        <v>0</v>
      </c>
      <c r="T12" s="1205">
        <f t="shared" si="1"/>
        <v>0</v>
      </c>
      <c r="U12" s="1206">
        <f t="shared" si="1"/>
        <v>0</v>
      </c>
      <c r="V12" s="1204">
        <f t="shared" ref="V12:Z12" si="2">SUM(V13:V16)</f>
        <v>0</v>
      </c>
      <c r="W12" s="1205">
        <f>SUM(W13:W16)</f>
        <v>0</v>
      </c>
      <c r="X12" s="1205">
        <f t="shared" si="2"/>
        <v>0</v>
      </c>
      <c r="Y12" s="1205">
        <f t="shared" si="2"/>
        <v>0</v>
      </c>
      <c r="Z12" s="1206">
        <f t="shared" si="2"/>
        <v>0</v>
      </c>
      <c r="AA12" s="1341">
        <f>SUM(AB12:AC12)</f>
        <v>0</v>
      </c>
      <c r="AB12" s="1341"/>
      <c r="AC12" s="1341"/>
      <c r="BY12" s="3157"/>
      <c r="BZ12" s="3167"/>
      <c r="CH12" s="3162"/>
      <c r="CI12" s="3162"/>
      <c r="CJ12" s="3162"/>
      <c r="CK12" s="3162"/>
      <c r="CL12" s="3162"/>
      <c r="CM12" s="3162"/>
      <c r="CN12" s="3162"/>
      <c r="CO12" s="3162"/>
    </row>
    <row r="13" spans="1:93" ht="20.25" customHeight="1" x14ac:dyDescent="0.25">
      <c r="A13" s="2948">
        <v>21220100</v>
      </c>
      <c r="B13" s="1045" t="s">
        <v>101</v>
      </c>
      <c r="C13" s="1046" t="s">
        <v>2777</v>
      </c>
      <c r="D13" s="865" t="s">
        <v>2778</v>
      </c>
      <c r="E13" s="865" t="s">
        <v>2779</v>
      </c>
      <c r="F13" s="865" t="s">
        <v>2780</v>
      </c>
      <c r="G13" s="865" t="s">
        <v>2781</v>
      </c>
      <c r="H13" s="1047" t="s">
        <v>2782</v>
      </c>
      <c r="I13" s="869" t="s">
        <v>2783</v>
      </c>
      <c r="J13" s="865" t="s">
        <v>2784</v>
      </c>
      <c r="K13" s="865" t="s">
        <v>2785</v>
      </c>
      <c r="L13" s="1048" t="s">
        <v>2786</v>
      </c>
      <c r="M13" s="869" t="s">
        <v>2787</v>
      </c>
      <c r="N13" s="865" t="s">
        <v>2788</v>
      </c>
      <c r="O13" s="873" t="s">
        <v>2789</v>
      </c>
      <c r="P13" s="874" t="s">
        <v>2790</v>
      </c>
      <c r="Q13" s="1207" t="s">
        <v>2791</v>
      </c>
      <c r="R13" s="1208" t="s">
        <v>2792</v>
      </c>
      <c r="S13" s="1209" t="s">
        <v>2793</v>
      </c>
      <c r="T13" s="1210" t="s">
        <v>2794</v>
      </c>
      <c r="U13" s="1211" t="s">
        <v>2795</v>
      </c>
      <c r="V13" s="1207" t="s">
        <v>2796</v>
      </c>
      <c r="W13" s="1208" t="s">
        <v>2797</v>
      </c>
      <c r="X13" s="1209" t="s">
        <v>2798</v>
      </c>
      <c r="Y13" s="1210" t="s">
        <v>2799</v>
      </c>
      <c r="Z13" s="1211" t="s">
        <v>2800</v>
      </c>
      <c r="AA13" s="2235" t="s">
        <v>2801</v>
      </c>
      <c r="AB13" s="3150" t="s">
        <v>2817</v>
      </c>
      <c r="AC13" s="3151" t="s">
        <v>2818</v>
      </c>
      <c r="BY13" s="3157"/>
      <c r="BZ13" s="3167"/>
      <c r="CH13" s="3162"/>
      <c r="CI13" s="3162"/>
      <c r="CJ13" s="3162"/>
      <c r="CK13" s="3162"/>
      <c r="CL13" s="3162"/>
      <c r="CM13" s="3162"/>
      <c r="CN13" s="3162"/>
      <c r="CO13" s="3162"/>
    </row>
    <row r="14" spans="1:93" ht="20.25" customHeight="1" x14ac:dyDescent="0.25">
      <c r="A14" s="2948">
        <v>21220200</v>
      </c>
      <c r="B14" s="1049" t="s">
        <v>102</v>
      </c>
      <c r="C14" s="1050" t="s">
        <v>2777</v>
      </c>
      <c r="D14" s="866" t="s">
        <v>2778</v>
      </c>
      <c r="E14" s="866" t="s">
        <v>2779</v>
      </c>
      <c r="F14" s="866" t="s">
        <v>2780</v>
      </c>
      <c r="G14" s="866" t="s">
        <v>2781</v>
      </c>
      <c r="H14" s="1051" t="s">
        <v>2782</v>
      </c>
      <c r="I14" s="870" t="s">
        <v>2783</v>
      </c>
      <c r="J14" s="866" t="s">
        <v>2784</v>
      </c>
      <c r="K14" s="866" t="s">
        <v>2785</v>
      </c>
      <c r="L14" s="1052" t="s">
        <v>2786</v>
      </c>
      <c r="M14" s="870" t="s">
        <v>2787</v>
      </c>
      <c r="N14" s="866" t="s">
        <v>2788</v>
      </c>
      <c r="O14" s="875" t="s">
        <v>2789</v>
      </c>
      <c r="P14" s="876" t="s">
        <v>2790</v>
      </c>
      <c r="Q14" s="1212" t="s">
        <v>2791</v>
      </c>
      <c r="R14" s="1213" t="s">
        <v>2792</v>
      </c>
      <c r="S14" s="1214" t="s">
        <v>2793</v>
      </c>
      <c r="T14" s="1215" t="s">
        <v>2794</v>
      </c>
      <c r="U14" s="1216" t="s">
        <v>2795</v>
      </c>
      <c r="V14" s="1212" t="s">
        <v>2796</v>
      </c>
      <c r="W14" s="1213" t="s">
        <v>2797</v>
      </c>
      <c r="X14" s="1214" t="s">
        <v>2798</v>
      </c>
      <c r="Y14" s="1215" t="s">
        <v>2799</v>
      </c>
      <c r="Z14" s="1216" t="s">
        <v>2800</v>
      </c>
      <c r="AA14" s="2235" t="s">
        <v>2801</v>
      </c>
      <c r="AB14" s="3152" t="s">
        <v>2817</v>
      </c>
      <c r="AC14" s="3153" t="s">
        <v>2818</v>
      </c>
      <c r="BY14" s="3157"/>
      <c r="BZ14" s="3167"/>
      <c r="CH14" s="3162"/>
      <c r="CI14" s="3162"/>
      <c r="CJ14" s="3162"/>
      <c r="CK14" s="3162"/>
      <c r="CL14" s="3162"/>
      <c r="CM14" s="3162"/>
      <c r="CN14" s="3162"/>
      <c r="CO14" s="3162"/>
    </row>
    <row r="15" spans="1:93" ht="20.25" customHeight="1" x14ac:dyDescent="0.25">
      <c r="A15" s="2948">
        <v>21220700</v>
      </c>
      <c r="B15" s="3046" t="s">
        <v>103</v>
      </c>
      <c r="C15" s="1050" t="s">
        <v>2777</v>
      </c>
      <c r="D15" s="866" t="s">
        <v>2778</v>
      </c>
      <c r="E15" s="866" t="s">
        <v>2779</v>
      </c>
      <c r="F15" s="866" t="s">
        <v>2780</v>
      </c>
      <c r="G15" s="866" t="s">
        <v>2781</v>
      </c>
      <c r="H15" s="1052" t="s">
        <v>2782</v>
      </c>
      <c r="I15" s="870" t="s">
        <v>2783</v>
      </c>
      <c r="J15" s="866" t="s">
        <v>2784</v>
      </c>
      <c r="K15" s="866" t="s">
        <v>2785</v>
      </c>
      <c r="L15" s="1052" t="s">
        <v>2786</v>
      </c>
      <c r="M15" s="870" t="s">
        <v>2787</v>
      </c>
      <c r="N15" s="866" t="s">
        <v>2788</v>
      </c>
      <c r="O15" s="875" t="s">
        <v>2789</v>
      </c>
      <c r="P15" s="876" t="s">
        <v>2790</v>
      </c>
      <c r="Q15" s="1212" t="s">
        <v>2791</v>
      </c>
      <c r="R15" s="1213" t="s">
        <v>2792</v>
      </c>
      <c r="S15" s="1214" t="s">
        <v>2793</v>
      </c>
      <c r="T15" s="1215" t="s">
        <v>2794</v>
      </c>
      <c r="U15" s="1216" t="s">
        <v>2795</v>
      </c>
      <c r="V15" s="1212" t="s">
        <v>2796</v>
      </c>
      <c r="W15" s="1213" t="s">
        <v>2797</v>
      </c>
      <c r="X15" s="1214" t="s">
        <v>2798</v>
      </c>
      <c r="Y15" s="1215" t="s">
        <v>2799</v>
      </c>
      <c r="Z15" s="1216" t="s">
        <v>2800</v>
      </c>
      <c r="AA15" s="2235" t="s">
        <v>2801</v>
      </c>
      <c r="AB15" s="3152" t="s">
        <v>2817</v>
      </c>
      <c r="AC15" s="3153" t="s">
        <v>2818</v>
      </c>
      <c r="BY15" s="3157"/>
      <c r="BZ15" s="3167"/>
      <c r="CH15" s="3162"/>
      <c r="CI15" s="3162"/>
      <c r="CJ15" s="3162"/>
      <c r="CK15" s="3162"/>
      <c r="CL15" s="3162"/>
      <c r="CM15" s="3162"/>
      <c r="CN15" s="3162"/>
      <c r="CO15" s="3162"/>
    </row>
    <row r="16" spans="1:93" ht="20.25" customHeight="1" x14ac:dyDescent="0.25">
      <c r="A16" s="2948">
        <v>21220600</v>
      </c>
      <c r="B16" s="542" t="s">
        <v>104</v>
      </c>
      <c r="C16" s="1053" t="s">
        <v>2777</v>
      </c>
      <c r="D16" s="872" t="s">
        <v>2778</v>
      </c>
      <c r="E16" s="867" t="s">
        <v>2779</v>
      </c>
      <c r="F16" s="867" t="s">
        <v>2780</v>
      </c>
      <c r="G16" s="868" t="s">
        <v>2781</v>
      </c>
      <c r="H16" s="1054" t="s">
        <v>2782</v>
      </c>
      <c r="I16" s="871" t="s">
        <v>2783</v>
      </c>
      <c r="J16" s="872" t="s">
        <v>2784</v>
      </c>
      <c r="K16" s="872" t="s">
        <v>2785</v>
      </c>
      <c r="L16" s="1055" t="s">
        <v>2786</v>
      </c>
      <c r="M16" s="871" t="s">
        <v>2787</v>
      </c>
      <c r="N16" s="872" t="s">
        <v>2788</v>
      </c>
      <c r="O16" s="877" t="s">
        <v>2789</v>
      </c>
      <c r="P16" s="878" t="s">
        <v>2790</v>
      </c>
      <c r="Q16" s="1217" t="s">
        <v>2791</v>
      </c>
      <c r="R16" s="1218" t="s">
        <v>2792</v>
      </c>
      <c r="S16" s="1219" t="s">
        <v>2793</v>
      </c>
      <c r="T16" s="1220" t="s">
        <v>2794</v>
      </c>
      <c r="U16" s="1221" t="s">
        <v>2795</v>
      </c>
      <c r="V16" s="1217" t="s">
        <v>2796</v>
      </c>
      <c r="W16" s="1218" t="s">
        <v>2797</v>
      </c>
      <c r="X16" s="1219" t="s">
        <v>2798</v>
      </c>
      <c r="Y16" s="1220" t="s">
        <v>2799</v>
      </c>
      <c r="Z16" s="1221" t="s">
        <v>2800</v>
      </c>
      <c r="AA16" s="2235" t="s">
        <v>2801</v>
      </c>
      <c r="AB16" s="3154" t="s">
        <v>2817</v>
      </c>
      <c r="AC16" s="3155" t="s">
        <v>2818</v>
      </c>
      <c r="BY16" s="3157"/>
      <c r="BZ16" s="3167"/>
      <c r="CH16" s="3162"/>
      <c r="CI16" s="3162"/>
      <c r="CJ16" s="3162"/>
      <c r="CK16" s="3162"/>
      <c r="CL16" s="3162"/>
      <c r="CM16" s="3162"/>
      <c r="CN16" s="3162"/>
      <c r="CO16" s="3162"/>
    </row>
    <row r="17" spans="1:93" ht="32.1" customHeight="1" x14ac:dyDescent="0.25">
      <c r="B17" s="3156" t="s">
        <v>105</v>
      </c>
      <c r="C17" s="3169"/>
      <c r="D17" s="3169"/>
      <c r="E17" s="3169"/>
      <c r="F17" s="3169"/>
      <c r="G17" s="3169"/>
      <c r="H17" s="3169"/>
      <c r="I17" s="3170"/>
      <c r="J17" s="3171"/>
      <c r="K17" s="3172"/>
      <c r="L17" s="3173"/>
      <c r="M17" s="3173"/>
      <c r="N17" s="3174"/>
      <c r="O17" s="3174"/>
      <c r="P17" s="3174"/>
      <c r="Q17" s="3174"/>
      <c r="CH17" s="3162"/>
      <c r="CI17" s="3162"/>
      <c r="CJ17" s="3162"/>
      <c r="CK17" s="3162"/>
      <c r="CL17" s="3162"/>
      <c r="CM17" s="3162"/>
      <c r="CN17" s="3162"/>
      <c r="CO17" s="3162"/>
    </row>
    <row r="18" spans="1:93" ht="31.5" x14ac:dyDescent="0.25">
      <c r="B18" s="3038" t="s">
        <v>106</v>
      </c>
      <c r="C18" s="543" t="s">
        <v>42</v>
      </c>
      <c r="D18" s="544" t="s">
        <v>1239</v>
      </c>
      <c r="E18" s="545" t="s">
        <v>107</v>
      </c>
      <c r="F18" s="545" t="s">
        <v>108</v>
      </c>
      <c r="G18" s="545" t="s">
        <v>2757</v>
      </c>
      <c r="H18" s="546" t="s">
        <v>109</v>
      </c>
      <c r="I18" s="942"/>
      <c r="J18" s="3175"/>
      <c r="K18" s="3175"/>
      <c r="L18" s="3176"/>
      <c r="M18" s="3176"/>
      <c r="N18" s="3174"/>
      <c r="O18" s="3174"/>
      <c r="P18" s="3174"/>
      <c r="Q18" s="3174"/>
      <c r="CH18" s="3162"/>
      <c r="CI18" s="3162"/>
      <c r="CJ18" s="3162"/>
      <c r="CK18" s="3162"/>
      <c r="CL18" s="3162"/>
      <c r="CM18" s="3162"/>
      <c r="CN18" s="3162"/>
      <c r="CO18" s="3162"/>
    </row>
    <row r="19" spans="1:93" ht="21" customHeight="1" x14ac:dyDescent="0.25">
      <c r="A19" s="3177">
        <v>21220800</v>
      </c>
      <c r="B19" s="3178" t="s">
        <v>110</v>
      </c>
      <c r="C19" s="3179" t="s">
        <v>2777</v>
      </c>
      <c r="D19" s="3180" t="s">
        <v>2778</v>
      </c>
      <c r="E19" s="3181" t="s">
        <v>2779</v>
      </c>
      <c r="F19" s="3181" t="s">
        <v>2780</v>
      </c>
      <c r="G19" s="3181" t="s">
        <v>2781</v>
      </c>
      <c r="H19" s="3182" t="s">
        <v>2782</v>
      </c>
      <c r="I19" s="3183"/>
      <c r="J19" s="3175"/>
      <c r="K19" s="3175"/>
      <c r="L19" s="3176"/>
      <c r="M19" s="3176"/>
      <c r="N19" s="3174"/>
      <c r="O19" s="3174"/>
      <c r="P19" s="3174"/>
      <c r="Q19" s="3174"/>
      <c r="CH19" s="3162"/>
      <c r="CI19" s="3162"/>
      <c r="CJ19" s="3162"/>
      <c r="CK19" s="3162"/>
      <c r="CL19" s="3162"/>
      <c r="CM19" s="3162"/>
      <c r="CN19" s="3162"/>
      <c r="CO19" s="3162"/>
    </row>
    <row r="20" spans="1:93" ht="21" customHeight="1" x14ac:dyDescent="0.25">
      <c r="A20" s="3177">
        <v>21400300</v>
      </c>
      <c r="B20" s="3184" t="s">
        <v>111</v>
      </c>
      <c r="C20" s="3185" t="s">
        <v>2777</v>
      </c>
      <c r="D20" s="3186" t="s">
        <v>2778</v>
      </c>
      <c r="E20" s="3187" t="s">
        <v>2779</v>
      </c>
      <c r="F20" s="3187" t="s">
        <v>2780</v>
      </c>
      <c r="G20" s="3187" t="s">
        <v>2781</v>
      </c>
      <c r="H20" s="3188" t="s">
        <v>2782</v>
      </c>
      <c r="I20" s="3183"/>
      <c r="J20" s="3175"/>
      <c r="K20" s="3175"/>
      <c r="L20" s="3176"/>
      <c r="M20" s="3176"/>
      <c r="N20" s="3174"/>
      <c r="O20" s="3174"/>
      <c r="P20" s="3174"/>
      <c r="Q20" s="3174"/>
      <c r="CH20" s="3162"/>
      <c r="CI20" s="3162"/>
      <c r="CJ20" s="3162"/>
      <c r="CK20" s="3162"/>
      <c r="CL20" s="3162"/>
      <c r="CM20" s="3162"/>
      <c r="CN20" s="3162"/>
      <c r="CO20" s="3162"/>
    </row>
    <row r="21" spans="1:93" ht="21" customHeight="1" x14ac:dyDescent="0.25">
      <c r="A21" s="3177">
        <v>21220900</v>
      </c>
      <c r="B21" s="3184" t="s">
        <v>112</v>
      </c>
      <c r="C21" s="3185" t="s">
        <v>2777</v>
      </c>
      <c r="D21" s="3186" t="s">
        <v>2778</v>
      </c>
      <c r="E21" s="3187" t="s">
        <v>2779</v>
      </c>
      <c r="F21" s="3187" t="s">
        <v>2780</v>
      </c>
      <c r="G21" s="3187" t="s">
        <v>2781</v>
      </c>
      <c r="H21" s="3188" t="s">
        <v>2782</v>
      </c>
      <c r="I21" s="3183"/>
      <c r="J21" s="3175"/>
      <c r="K21" s="3175"/>
      <c r="L21" s="3176"/>
      <c r="M21" s="3176"/>
      <c r="N21" s="3174"/>
      <c r="O21" s="3174"/>
      <c r="P21" s="3174"/>
      <c r="Q21" s="3174"/>
      <c r="CH21" s="3162"/>
      <c r="CI21" s="3162"/>
      <c r="CJ21" s="3162"/>
      <c r="CK21" s="3162"/>
      <c r="CL21" s="3162"/>
      <c r="CM21" s="3162"/>
      <c r="CN21" s="3162"/>
      <c r="CO21" s="3162"/>
    </row>
    <row r="22" spans="1:93" ht="21" customHeight="1" x14ac:dyDescent="0.25">
      <c r="A22" s="3177">
        <v>21300100</v>
      </c>
      <c r="B22" s="3184" t="s">
        <v>1141</v>
      </c>
      <c r="C22" s="3185" t="s">
        <v>2777</v>
      </c>
      <c r="D22" s="3186" t="s">
        <v>2778</v>
      </c>
      <c r="E22" s="3187" t="s">
        <v>2779</v>
      </c>
      <c r="F22" s="3187" t="s">
        <v>2780</v>
      </c>
      <c r="G22" s="3187" t="s">
        <v>2781</v>
      </c>
      <c r="H22" s="3188" t="s">
        <v>2782</v>
      </c>
      <c r="I22" s="3183"/>
      <c r="J22" s="3175"/>
      <c r="K22" s="3189"/>
      <c r="L22" s="3176"/>
      <c r="M22" s="3176"/>
      <c r="N22" s="3174"/>
      <c r="O22" s="3174"/>
      <c r="P22" s="3174"/>
      <c r="Q22" s="3174"/>
      <c r="CH22" s="3162"/>
      <c r="CI22" s="3162"/>
      <c r="CJ22" s="3162"/>
      <c r="CK22" s="3162"/>
      <c r="CL22" s="3162"/>
      <c r="CM22" s="3162"/>
      <c r="CN22" s="3162"/>
      <c r="CO22" s="3162"/>
    </row>
    <row r="23" spans="1:93" ht="21" customHeight="1" x14ac:dyDescent="0.25">
      <c r="A23" s="3177">
        <v>21400400</v>
      </c>
      <c r="B23" s="3190" t="s">
        <v>113</v>
      </c>
      <c r="C23" s="3191" t="s">
        <v>2777</v>
      </c>
      <c r="D23" s="3192" t="s">
        <v>2778</v>
      </c>
      <c r="E23" s="3193" t="s">
        <v>2779</v>
      </c>
      <c r="F23" s="3193" t="s">
        <v>2780</v>
      </c>
      <c r="G23" s="3193" t="s">
        <v>2781</v>
      </c>
      <c r="H23" s="3194" t="s">
        <v>2782</v>
      </c>
      <c r="I23" s="3183"/>
      <c r="J23" s="3175"/>
      <c r="K23" s="3175"/>
      <c r="L23" s="3176"/>
      <c r="M23" s="3176"/>
      <c r="N23" s="3174"/>
      <c r="O23" s="3174"/>
      <c r="P23" s="3174"/>
      <c r="Q23" s="3174"/>
      <c r="CH23" s="3162"/>
      <c r="CI23" s="3162"/>
      <c r="CJ23" s="3162"/>
      <c r="CK23" s="3162"/>
      <c r="CL23" s="3162"/>
      <c r="CM23" s="3162"/>
      <c r="CN23" s="3162"/>
      <c r="CO23" s="3162"/>
    </row>
    <row r="24" spans="1:93" ht="21" customHeight="1" x14ac:dyDescent="0.25">
      <c r="B24" s="3156" t="s">
        <v>114</v>
      </c>
      <c r="C24" s="3189"/>
      <c r="D24" s="3189"/>
      <c r="E24" s="3195"/>
      <c r="F24" s="3195"/>
      <c r="G24" s="3174"/>
      <c r="H24" s="3174"/>
      <c r="I24" s="3174"/>
      <c r="J24" s="3174"/>
      <c r="K24" s="3174"/>
      <c r="L24" s="3174"/>
      <c r="CH24" s="3162"/>
      <c r="CI24" s="3162"/>
      <c r="CJ24" s="3162"/>
      <c r="CK24" s="3162"/>
      <c r="CL24" s="3162"/>
      <c r="CM24" s="3162"/>
      <c r="CN24" s="3162"/>
      <c r="CO24" s="3162"/>
    </row>
    <row r="25" spans="1:93" ht="21.75" customHeight="1" x14ac:dyDescent="0.25">
      <c r="B25" s="4924" t="s">
        <v>115</v>
      </c>
      <c r="C25" s="3172"/>
      <c r="D25" s="3196"/>
      <c r="E25" s="3196"/>
      <c r="F25" s="3196"/>
      <c r="G25" s="3196"/>
      <c r="H25" s="3196"/>
      <c r="I25" s="3196"/>
      <c r="J25" s="3197"/>
      <c r="K25" s="3197"/>
      <c r="L25" s="3195"/>
      <c r="M25" s="3195"/>
      <c r="CH25" s="3162"/>
      <c r="CI25" s="3162"/>
      <c r="CJ25" s="3162"/>
      <c r="CK25" s="3162"/>
      <c r="CL25" s="3162"/>
      <c r="CM25" s="3162"/>
      <c r="CN25" s="3162"/>
      <c r="CO25" s="3162"/>
    </row>
    <row r="26" spans="1:93" ht="23.25" customHeight="1" x14ac:dyDescent="0.25">
      <c r="B26" s="6389" t="s">
        <v>106</v>
      </c>
      <c r="C26" s="6390"/>
      <c r="D26" s="6397" t="s">
        <v>42</v>
      </c>
      <c r="E26" s="6395" t="s">
        <v>309</v>
      </c>
      <c r="F26" s="6396"/>
      <c r="G26" s="6361" t="s">
        <v>1733</v>
      </c>
      <c r="H26" s="6362"/>
      <c r="I26" s="6362"/>
      <c r="J26" s="6362"/>
      <c r="K26" s="6362"/>
      <c r="L26" s="6363"/>
      <c r="M26" s="3198"/>
      <c r="N26" s="3199"/>
      <c r="BY26" s="3157"/>
      <c r="BZ26" s="3159"/>
      <c r="CH26" s="3162"/>
      <c r="CI26" s="3162"/>
      <c r="CJ26" s="3162"/>
      <c r="CK26" s="3162"/>
      <c r="CL26" s="3162"/>
      <c r="CM26" s="3162"/>
      <c r="CN26" s="3162"/>
      <c r="CO26" s="3162"/>
    </row>
    <row r="27" spans="1:93" ht="24.75" customHeight="1" x14ac:dyDescent="0.25">
      <c r="B27" s="6391"/>
      <c r="C27" s="6392"/>
      <c r="D27" s="6398"/>
      <c r="E27" s="858" t="s">
        <v>144</v>
      </c>
      <c r="F27" s="4779" t="s">
        <v>132</v>
      </c>
      <c r="G27" s="4925" t="s">
        <v>488</v>
      </c>
      <c r="H27" s="1310" t="s">
        <v>1728</v>
      </c>
      <c r="I27" s="1310" t="s">
        <v>1729</v>
      </c>
      <c r="J27" s="1310" t="s">
        <v>1730</v>
      </c>
      <c r="K27" s="1310" t="s">
        <v>1734</v>
      </c>
      <c r="L27" s="1310" t="s">
        <v>1726</v>
      </c>
      <c r="BW27" s="3159"/>
      <c r="BX27" s="3160"/>
      <c r="BY27" s="3160"/>
      <c r="CH27" s="3162"/>
      <c r="CI27" s="3162"/>
      <c r="CJ27" s="3162"/>
      <c r="CK27" s="3162"/>
      <c r="CL27" s="3162"/>
      <c r="CM27" s="3162"/>
      <c r="CN27" s="3162"/>
      <c r="CO27" s="3162"/>
    </row>
    <row r="28" spans="1:93" ht="17.25" customHeight="1" x14ac:dyDescent="0.25">
      <c r="A28" s="2948">
        <v>21400500</v>
      </c>
      <c r="B28" s="6342" t="s">
        <v>111</v>
      </c>
      <c r="C28" s="6343"/>
      <c r="D28" s="4926" t="s">
        <v>2777</v>
      </c>
      <c r="E28" s="4926" t="s">
        <v>2778</v>
      </c>
      <c r="F28" s="4927" t="s">
        <v>2779</v>
      </c>
      <c r="G28" s="4928" t="s">
        <v>2780</v>
      </c>
      <c r="H28" s="4929" t="s">
        <v>2781</v>
      </c>
      <c r="I28" s="4929" t="s">
        <v>2782</v>
      </c>
      <c r="J28" s="4929" t="s">
        <v>2783</v>
      </c>
      <c r="K28" s="4929" t="s">
        <v>2784</v>
      </c>
      <c r="L28" s="4929" t="s">
        <v>2785</v>
      </c>
      <c r="BW28" s="3159"/>
      <c r="BX28" s="3160"/>
      <c r="BY28" s="3160"/>
      <c r="CH28" s="3162"/>
      <c r="CI28" s="3162"/>
      <c r="CJ28" s="3162"/>
      <c r="CK28" s="3162"/>
      <c r="CL28" s="3162"/>
      <c r="CM28" s="3162"/>
      <c r="CN28" s="3162"/>
      <c r="CO28" s="3162"/>
    </row>
    <row r="29" spans="1:93" ht="17.25" customHeight="1" x14ac:dyDescent="0.25">
      <c r="A29" s="2948">
        <v>21400600</v>
      </c>
      <c r="B29" s="6344" t="s">
        <v>112</v>
      </c>
      <c r="C29" s="6345"/>
      <c r="D29" s="4926" t="s">
        <v>2777</v>
      </c>
      <c r="E29" s="3184" t="s">
        <v>2778</v>
      </c>
      <c r="F29" s="4930" t="s">
        <v>2779</v>
      </c>
      <c r="G29" s="4928" t="s">
        <v>2780</v>
      </c>
      <c r="H29" s="4929" t="s">
        <v>2781</v>
      </c>
      <c r="I29" s="4929" t="s">
        <v>2782</v>
      </c>
      <c r="J29" s="4929" t="s">
        <v>2783</v>
      </c>
      <c r="K29" s="4929" t="s">
        <v>2784</v>
      </c>
      <c r="L29" s="4929" t="s">
        <v>2785</v>
      </c>
      <c r="BW29" s="3159"/>
      <c r="BX29" s="3160"/>
      <c r="BY29" s="3160"/>
      <c r="CH29" s="3162"/>
      <c r="CI29" s="3162"/>
      <c r="CJ29" s="3162"/>
      <c r="CK29" s="3162"/>
      <c r="CL29" s="3162"/>
      <c r="CM29" s="3162"/>
      <c r="CN29" s="3162"/>
      <c r="CO29" s="3162"/>
    </row>
    <row r="30" spans="1:93" ht="17.25" customHeight="1" x14ac:dyDescent="0.25">
      <c r="A30" s="2948">
        <v>21400700</v>
      </c>
      <c r="B30" s="6344" t="s">
        <v>1141</v>
      </c>
      <c r="C30" s="6345"/>
      <c r="D30" s="4926" t="s">
        <v>2777</v>
      </c>
      <c r="E30" s="4926" t="s">
        <v>2778</v>
      </c>
      <c r="F30" s="4931" t="s">
        <v>2779</v>
      </c>
      <c r="G30" s="4928" t="s">
        <v>2780</v>
      </c>
      <c r="H30" s="4929" t="s">
        <v>2781</v>
      </c>
      <c r="I30" s="4929" t="s">
        <v>2782</v>
      </c>
      <c r="J30" s="4929" t="s">
        <v>2783</v>
      </c>
      <c r="K30" s="4929" t="s">
        <v>2784</v>
      </c>
      <c r="L30" s="4929" t="s">
        <v>2785</v>
      </c>
      <c r="BW30" s="3159"/>
      <c r="BX30" s="3160"/>
      <c r="BY30" s="3160"/>
      <c r="CH30" s="3162"/>
      <c r="CI30" s="3162"/>
      <c r="CJ30" s="3162"/>
      <c r="CK30" s="3162"/>
      <c r="CL30" s="3162"/>
      <c r="CM30" s="3162"/>
      <c r="CN30" s="3162"/>
      <c r="CO30" s="3162"/>
    </row>
    <row r="31" spans="1:93" ht="17.25" customHeight="1" x14ac:dyDescent="0.25">
      <c r="A31" s="2948">
        <v>21300600</v>
      </c>
      <c r="B31" s="6344" t="s">
        <v>113</v>
      </c>
      <c r="C31" s="6345"/>
      <c r="D31" s="4926" t="s">
        <v>2777</v>
      </c>
      <c r="E31" s="4926" t="s">
        <v>2778</v>
      </c>
      <c r="F31" s="4931" t="s">
        <v>2779</v>
      </c>
      <c r="G31" s="4928" t="s">
        <v>2780</v>
      </c>
      <c r="H31" s="4929" t="s">
        <v>2781</v>
      </c>
      <c r="I31" s="4929" t="s">
        <v>2782</v>
      </c>
      <c r="J31" s="4929" t="s">
        <v>2783</v>
      </c>
      <c r="K31" s="4929" t="s">
        <v>2784</v>
      </c>
      <c r="L31" s="4929" t="s">
        <v>2785</v>
      </c>
      <c r="BW31" s="3159"/>
      <c r="BX31" s="3160"/>
      <c r="BY31" s="3160"/>
      <c r="CH31" s="3162"/>
      <c r="CI31" s="3162"/>
      <c r="CJ31" s="3162"/>
      <c r="CK31" s="3162"/>
      <c r="CL31" s="3162"/>
      <c r="CM31" s="3162"/>
      <c r="CN31" s="3162"/>
      <c r="CO31" s="3162"/>
    </row>
    <row r="32" spans="1:93" ht="17.25" customHeight="1" x14ac:dyDescent="0.25">
      <c r="A32" s="2948">
        <v>21300700</v>
      </c>
      <c r="B32" s="6393" t="s">
        <v>116</v>
      </c>
      <c r="C32" s="3200" t="s">
        <v>2021</v>
      </c>
      <c r="D32" s="4926" t="s">
        <v>2777</v>
      </c>
      <c r="E32" s="4932" t="s">
        <v>2778</v>
      </c>
      <c r="F32" s="4933" t="s">
        <v>2779</v>
      </c>
      <c r="G32" s="4928" t="s">
        <v>2780</v>
      </c>
      <c r="H32" s="4929" t="s">
        <v>2781</v>
      </c>
      <c r="I32" s="4929" t="s">
        <v>2782</v>
      </c>
      <c r="J32" s="4929" t="s">
        <v>2783</v>
      </c>
      <c r="K32" s="4929" t="s">
        <v>2784</v>
      </c>
      <c r="L32" s="4929" t="s">
        <v>2785</v>
      </c>
      <c r="BW32" s="3159"/>
      <c r="BX32" s="3160"/>
      <c r="BY32" s="3160"/>
      <c r="CH32" s="3162"/>
      <c r="CI32" s="3162"/>
      <c r="CJ32" s="3162"/>
      <c r="CK32" s="3162"/>
      <c r="CL32" s="3162"/>
      <c r="CM32" s="3162"/>
      <c r="CN32" s="3162"/>
      <c r="CO32" s="3162"/>
    </row>
    <row r="33" spans="1:93" ht="17.25" customHeight="1" x14ac:dyDescent="0.25">
      <c r="A33" s="4666">
        <v>21900100</v>
      </c>
      <c r="B33" s="6394"/>
      <c r="C33" s="3200" t="s">
        <v>2022</v>
      </c>
      <c r="D33" s="4926" t="s">
        <v>2777</v>
      </c>
      <c r="E33" s="4932" t="s">
        <v>2778</v>
      </c>
      <c r="F33" s="4933" t="s">
        <v>2779</v>
      </c>
      <c r="G33" s="4934" t="s">
        <v>2780</v>
      </c>
      <c r="H33" s="4935" t="s">
        <v>2781</v>
      </c>
      <c r="I33" s="4935" t="s">
        <v>2782</v>
      </c>
      <c r="J33" s="4935" t="s">
        <v>2783</v>
      </c>
      <c r="K33" s="4935" t="s">
        <v>2784</v>
      </c>
      <c r="L33" s="4935" t="s">
        <v>2785</v>
      </c>
      <c r="BW33" s="3159"/>
      <c r="BX33" s="3160"/>
      <c r="BY33" s="3160"/>
      <c r="CH33" s="3162"/>
      <c r="CI33" s="3162"/>
      <c r="CJ33" s="3162"/>
      <c r="CK33" s="3162"/>
      <c r="CL33" s="3162"/>
      <c r="CM33" s="3162"/>
      <c r="CN33" s="3162"/>
      <c r="CO33" s="3162"/>
    </row>
    <row r="34" spans="1:93" ht="17.25" customHeight="1" x14ac:dyDescent="0.25">
      <c r="A34" s="2948">
        <v>21800810</v>
      </c>
      <c r="B34" s="6399" t="s">
        <v>117</v>
      </c>
      <c r="C34" s="6400"/>
      <c r="D34" s="3191" t="s">
        <v>2777</v>
      </c>
      <c r="E34" s="3191" t="s">
        <v>2778</v>
      </c>
      <c r="F34" s="4936" t="s">
        <v>2779</v>
      </c>
      <c r="G34" s="4937" t="s">
        <v>2780</v>
      </c>
      <c r="H34" s="4938" t="s">
        <v>2781</v>
      </c>
      <c r="I34" s="4938" t="s">
        <v>2782</v>
      </c>
      <c r="J34" s="4938" t="s">
        <v>2783</v>
      </c>
      <c r="K34" s="4938" t="s">
        <v>2784</v>
      </c>
      <c r="L34" s="4938" t="s">
        <v>2785</v>
      </c>
      <c r="BW34" s="3159"/>
      <c r="BX34" s="3160"/>
      <c r="BY34" s="3160"/>
      <c r="CH34" s="3162"/>
      <c r="CI34" s="3162"/>
      <c r="CJ34" s="3162"/>
      <c r="CK34" s="3162"/>
      <c r="CL34" s="3162"/>
      <c r="CM34" s="3162"/>
      <c r="CN34" s="3162"/>
      <c r="CO34" s="3162"/>
    </row>
    <row r="35" spans="1:93" ht="23.25" customHeight="1" x14ac:dyDescent="0.25">
      <c r="B35" s="3156" t="s">
        <v>118</v>
      </c>
      <c r="C35" s="3172"/>
      <c r="D35" s="3201"/>
      <c r="E35" s="3202"/>
      <c r="F35" s="3202"/>
      <c r="G35" s="3202"/>
      <c r="H35" s="3202"/>
      <c r="I35" s="3202"/>
      <c r="J35" s="3202"/>
      <c r="K35" s="3202"/>
      <c r="L35" s="3203"/>
      <c r="M35" s="3202"/>
      <c r="N35" s="3204"/>
      <c r="CH35" s="3162"/>
      <c r="CI35" s="3162"/>
      <c r="CJ35" s="3162"/>
      <c r="CK35" s="3162"/>
      <c r="CL35" s="3162"/>
      <c r="CM35" s="3162"/>
      <c r="CN35" s="3162"/>
      <c r="CO35" s="3162"/>
    </row>
    <row r="36" spans="1:93" ht="28.5" customHeight="1" x14ac:dyDescent="0.25">
      <c r="B36" s="1310" t="s">
        <v>119</v>
      </c>
      <c r="C36" s="1663" t="s">
        <v>210</v>
      </c>
      <c r="D36" s="3175"/>
      <c r="E36" s="3176"/>
      <c r="F36" s="3205"/>
      <c r="G36" s="3176"/>
      <c r="H36" s="3204"/>
      <c r="BS36" s="3159"/>
      <c r="BT36" s="3160"/>
      <c r="BU36" s="3160"/>
      <c r="CH36" s="3162"/>
      <c r="CI36" s="3162"/>
      <c r="CJ36" s="3162"/>
      <c r="CK36" s="3162"/>
      <c r="CL36" s="3162"/>
      <c r="CM36" s="3162"/>
      <c r="CN36" s="3162"/>
      <c r="CO36" s="3162"/>
    </row>
    <row r="37" spans="1:93" ht="18" customHeight="1" x14ac:dyDescent="0.25">
      <c r="A37" s="4666">
        <v>21900110</v>
      </c>
      <c r="B37" s="4939" t="s">
        <v>29</v>
      </c>
      <c r="C37" s="4940" t="s">
        <v>2777</v>
      </c>
      <c r="D37" s="3175"/>
      <c r="E37" s="3176"/>
      <c r="F37" s="3205"/>
      <c r="G37" s="3176"/>
      <c r="H37" s="3204"/>
      <c r="BS37" s="3159"/>
      <c r="BT37" s="3160"/>
      <c r="BU37" s="3160"/>
      <c r="CH37" s="3162"/>
      <c r="CI37" s="3162"/>
      <c r="CJ37" s="3162"/>
      <c r="CK37" s="3162"/>
      <c r="CL37" s="3162"/>
      <c r="CM37" s="3162"/>
      <c r="CN37" s="3162"/>
      <c r="CO37" s="3162"/>
    </row>
    <row r="38" spans="1:93" ht="18" customHeight="1" x14ac:dyDescent="0.25">
      <c r="A38" s="4666">
        <v>21900120</v>
      </c>
      <c r="B38" s="4941" t="s">
        <v>495</v>
      </c>
      <c r="C38" s="4940" t="s">
        <v>2777</v>
      </c>
      <c r="D38" s="3175"/>
      <c r="E38" s="3176"/>
      <c r="F38" s="3205"/>
      <c r="G38" s="3176"/>
      <c r="H38" s="3204"/>
      <c r="BS38" s="3159"/>
      <c r="BT38" s="3160"/>
      <c r="BU38" s="3160"/>
      <c r="CH38" s="3162"/>
      <c r="CI38" s="3162"/>
      <c r="CJ38" s="3162"/>
      <c r="CK38" s="3162"/>
      <c r="CL38" s="3162"/>
      <c r="CM38" s="3162"/>
      <c r="CN38" s="3162"/>
      <c r="CO38" s="3162"/>
    </row>
    <row r="39" spans="1:93" ht="18" customHeight="1" x14ac:dyDescent="0.25">
      <c r="A39" s="4666">
        <v>21900130</v>
      </c>
      <c r="B39" s="4941" t="s">
        <v>69</v>
      </c>
      <c r="C39" s="4940" t="s">
        <v>2777</v>
      </c>
      <c r="D39" s="3175"/>
      <c r="E39" s="3176"/>
      <c r="F39" s="3205"/>
      <c r="G39" s="3176"/>
      <c r="H39" s="3204"/>
      <c r="BS39" s="3159"/>
      <c r="BT39" s="3160"/>
      <c r="BU39" s="3160"/>
      <c r="CH39" s="3162"/>
      <c r="CI39" s="3162"/>
      <c r="CJ39" s="3162"/>
      <c r="CK39" s="3162"/>
      <c r="CL39" s="3162"/>
      <c r="CM39" s="3162"/>
      <c r="CN39" s="3162"/>
      <c r="CO39" s="3162"/>
    </row>
    <row r="40" spans="1:93" ht="18" customHeight="1" x14ac:dyDescent="0.25">
      <c r="A40" s="4666">
        <v>21900140</v>
      </c>
      <c r="B40" s="4941" t="s">
        <v>288</v>
      </c>
      <c r="C40" s="4940" t="s">
        <v>2777</v>
      </c>
      <c r="D40" s="3175"/>
      <c r="E40" s="3176"/>
      <c r="F40" s="3205"/>
      <c r="G40" s="3176"/>
      <c r="H40" s="3204"/>
      <c r="BS40" s="3159"/>
      <c r="BT40" s="3160"/>
      <c r="BU40" s="3160"/>
      <c r="CH40" s="3162"/>
      <c r="CI40" s="3162"/>
      <c r="CJ40" s="3162"/>
      <c r="CK40" s="3162"/>
      <c r="CL40" s="3162"/>
      <c r="CM40" s="3162"/>
      <c r="CN40" s="3162"/>
      <c r="CO40" s="3162"/>
    </row>
    <row r="41" spans="1:93" ht="18" customHeight="1" x14ac:dyDescent="0.25">
      <c r="A41" s="4666">
        <v>21900150</v>
      </c>
      <c r="B41" s="4941" t="s">
        <v>499</v>
      </c>
      <c r="C41" s="4940" t="s">
        <v>2777</v>
      </c>
      <c r="D41" s="3175"/>
      <c r="E41" s="3176"/>
      <c r="F41" s="3205"/>
      <c r="G41" s="3176"/>
      <c r="H41" s="3204"/>
      <c r="BS41" s="3159"/>
      <c r="BT41" s="3160"/>
      <c r="BU41" s="3160"/>
      <c r="CH41" s="3162"/>
      <c r="CI41" s="3162"/>
      <c r="CJ41" s="3162"/>
      <c r="CK41" s="3162"/>
      <c r="CL41" s="3162"/>
      <c r="CM41" s="3162"/>
      <c r="CN41" s="3162"/>
      <c r="CO41" s="3162"/>
    </row>
    <row r="42" spans="1:93" ht="18" customHeight="1" x14ac:dyDescent="0.25">
      <c r="A42" s="4666">
        <v>21900160</v>
      </c>
      <c r="B42" s="4941" t="s">
        <v>441</v>
      </c>
      <c r="C42" s="4940" t="s">
        <v>2777</v>
      </c>
      <c r="D42" s="3175"/>
      <c r="E42" s="3176"/>
      <c r="F42" s="3205"/>
      <c r="G42" s="3176"/>
      <c r="H42" s="3204"/>
      <c r="BS42" s="3159"/>
      <c r="BT42" s="3160"/>
      <c r="BU42" s="3160"/>
      <c r="CH42" s="3162"/>
      <c r="CI42" s="3162"/>
      <c r="CJ42" s="3162"/>
      <c r="CK42" s="3162"/>
      <c r="CL42" s="3162"/>
      <c r="CM42" s="3162"/>
      <c r="CN42" s="3162"/>
      <c r="CO42" s="3162"/>
    </row>
    <row r="43" spans="1:93" ht="21" customHeight="1" x14ac:dyDescent="0.25">
      <c r="A43" s="4666">
        <v>21900170</v>
      </c>
      <c r="B43" s="4941" t="s">
        <v>281</v>
      </c>
      <c r="C43" s="4940" t="s">
        <v>2777</v>
      </c>
      <c r="D43" s="3175"/>
      <c r="E43" s="3176"/>
      <c r="F43" s="3205"/>
      <c r="G43" s="3176"/>
      <c r="H43" s="3204"/>
      <c r="BS43" s="3159"/>
      <c r="BT43" s="3160"/>
      <c r="BU43" s="3160"/>
      <c r="CH43" s="3162"/>
      <c r="CI43" s="3162"/>
      <c r="CJ43" s="3162"/>
      <c r="CK43" s="3162"/>
      <c r="CL43" s="3162"/>
      <c r="CM43" s="3162"/>
      <c r="CN43" s="3162"/>
      <c r="CO43" s="3162"/>
    </row>
    <row r="44" spans="1:93" ht="21" customHeight="1" x14ac:dyDescent="0.25">
      <c r="A44" s="4666">
        <v>21900180</v>
      </c>
      <c r="B44" s="4942" t="s">
        <v>2023</v>
      </c>
      <c r="C44" s="4940" t="s">
        <v>2777</v>
      </c>
      <c r="D44" s="3175"/>
      <c r="E44" s="3176"/>
      <c r="F44" s="3205"/>
      <c r="G44" s="3176"/>
      <c r="H44" s="3204"/>
      <c r="BS44" s="3159"/>
      <c r="BT44" s="3160"/>
      <c r="BU44" s="3160"/>
      <c r="CH44" s="3162"/>
      <c r="CI44" s="3162"/>
      <c r="CJ44" s="3162"/>
      <c r="CK44" s="3162"/>
      <c r="CL44" s="3162"/>
      <c r="CM44" s="3162"/>
      <c r="CN44" s="3162"/>
      <c r="CO44" s="3162"/>
    </row>
    <row r="45" spans="1:93" ht="23.25" customHeight="1" x14ac:dyDescent="0.25">
      <c r="A45" s="4666">
        <v>21900190</v>
      </c>
      <c r="B45" s="4943" t="s">
        <v>282</v>
      </c>
      <c r="C45" s="4944" t="s">
        <v>2777</v>
      </c>
      <c r="D45" s="3175"/>
      <c r="E45" s="3176"/>
      <c r="F45" s="3205"/>
      <c r="G45" s="3176"/>
      <c r="H45" s="3204"/>
      <c r="BS45" s="3159"/>
      <c r="BT45" s="3160"/>
      <c r="BU45" s="3160"/>
      <c r="CH45" s="3162"/>
      <c r="CI45" s="3162"/>
      <c r="CJ45" s="3162"/>
      <c r="CK45" s="3162"/>
      <c r="CL45" s="3162"/>
      <c r="CM45" s="3162"/>
      <c r="CN45" s="3162"/>
      <c r="CO45" s="3162"/>
    </row>
    <row r="46" spans="1:93" ht="23.25" customHeight="1" x14ac:dyDescent="0.25">
      <c r="B46" s="4945" t="s">
        <v>1727</v>
      </c>
      <c r="C46" s="3199"/>
      <c r="D46" s="3174"/>
      <c r="E46" s="3202"/>
      <c r="F46" s="3202"/>
      <c r="G46" s="3176"/>
      <c r="H46" s="3176"/>
      <c r="I46" s="3176"/>
      <c r="J46" s="3176"/>
      <c r="K46" s="3176"/>
      <c r="L46" s="3176"/>
      <c r="M46" s="3176"/>
      <c r="BV46" s="3159"/>
      <c r="BW46" s="3160"/>
      <c r="BX46" s="3160"/>
      <c r="CH46" s="3162"/>
      <c r="CI46" s="3162"/>
      <c r="CJ46" s="3162"/>
      <c r="CK46" s="3162"/>
      <c r="CL46" s="3162"/>
      <c r="CM46" s="3162"/>
      <c r="CN46" s="3162"/>
      <c r="CO46" s="3162"/>
    </row>
    <row r="47" spans="1:93" ht="23.25" customHeight="1" x14ac:dyDescent="0.25">
      <c r="B47" s="1310" t="s">
        <v>106</v>
      </c>
      <c r="C47" s="1310" t="s">
        <v>42</v>
      </c>
      <c r="D47" s="1310" t="s">
        <v>1731</v>
      </c>
      <c r="E47" s="1310" t="s">
        <v>1732</v>
      </c>
      <c r="F47" s="3176"/>
      <c r="G47" s="3176"/>
      <c r="H47" s="3176"/>
      <c r="I47" s="3176"/>
      <c r="J47" s="3176"/>
      <c r="K47" s="3176"/>
      <c r="L47" s="3176"/>
      <c r="M47" s="3176"/>
      <c r="BV47" s="3159"/>
      <c r="BW47" s="3160"/>
      <c r="BX47" s="3160"/>
      <c r="CH47" s="3162"/>
      <c r="CI47" s="3162"/>
      <c r="CJ47" s="3162"/>
      <c r="CK47" s="3162"/>
      <c r="CL47" s="3162"/>
      <c r="CM47" s="3162"/>
      <c r="CN47" s="3162"/>
      <c r="CO47" s="3162"/>
    </row>
    <row r="48" spans="1:93" ht="23.25" customHeight="1" x14ac:dyDescent="0.25">
      <c r="A48" s="4666">
        <v>21900200</v>
      </c>
      <c r="B48" s="4926" t="s">
        <v>2024</v>
      </c>
      <c r="C48" s="4946" t="s">
        <v>2777</v>
      </c>
      <c r="D48" s="4940" t="s">
        <v>2778</v>
      </c>
      <c r="E48" s="4940" t="s">
        <v>2779</v>
      </c>
      <c r="F48" s="3176"/>
      <c r="G48" s="3176"/>
      <c r="H48" s="3176"/>
      <c r="I48" s="3176"/>
      <c r="J48" s="3176"/>
      <c r="K48" s="3176"/>
      <c r="L48" s="3176"/>
      <c r="M48" s="3176"/>
      <c r="BV48" s="3159"/>
      <c r="BW48" s="3160"/>
      <c r="BX48" s="3160"/>
      <c r="CH48" s="3162"/>
      <c r="CI48" s="3162"/>
      <c r="CJ48" s="3162"/>
      <c r="CK48" s="3162"/>
      <c r="CL48" s="3162"/>
      <c r="CM48" s="3162"/>
      <c r="CN48" s="3162"/>
      <c r="CO48" s="3162"/>
    </row>
    <row r="49" spans="1:93" ht="23.25" customHeight="1" x14ac:dyDescent="0.25">
      <c r="A49" s="4666">
        <v>21900210</v>
      </c>
      <c r="B49" s="4926" t="s">
        <v>1735</v>
      </c>
      <c r="C49" s="3215" t="s">
        <v>2777</v>
      </c>
      <c r="D49" s="4940" t="s">
        <v>2778</v>
      </c>
      <c r="E49" s="4940" t="s">
        <v>2779</v>
      </c>
      <c r="F49" s="3176"/>
      <c r="G49" s="3176"/>
      <c r="H49" s="3176"/>
      <c r="I49" s="3176"/>
      <c r="J49" s="3176"/>
      <c r="K49" s="3176"/>
      <c r="L49" s="3176"/>
      <c r="M49" s="3176"/>
      <c r="BV49" s="3159"/>
      <c r="BW49" s="3160"/>
      <c r="BX49" s="3160"/>
      <c r="CH49" s="3162"/>
      <c r="CI49" s="3162"/>
      <c r="CJ49" s="3162"/>
      <c r="CK49" s="3162"/>
      <c r="CL49" s="3162"/>
      <c r="CM49" s="3162"/>
      <c r="CN49" s="3162"/>
      <c r="CO49" s="3162"/>
    </row>
    <row r="50" spans="1:93" ht="23.25" customHeight="1" x14ac:dyDescent="0.25">
      <c r="A50" s="4666">
        <v>21900220</v>
      </c>
      <c r="B50" s="4943" t="s">
        <v>2233</v>
      </c>
      <c r="C50" s="4947" t="s">
        <v>2777</v>
      </c>
      <c r="D50" s="4944" t="s">
        <v>2778</v>
      </c>
      <c r="E50" s="4944" t="s">
        <v>2779</v>
      </c>
      <c r="F50" s="3176"/>
      <c r="G50" s="3176"/>
      <c r="H50" s="3176"/>
      <c r="I50" s="3176"/>
      <c r="J50" s="3176"/>
      <c r="K50" s="3176"/>
      <c r="L50" s="3176"/>
      <c r="M50" s="3176"/>
      <c r="BV50" s="3159"/>
      <c r="BW50" s="3160"/>
      <c r="BX50" s="3160"/>
      <c r="CH50" s="3162"/>
      <c r="CI50" s="3162"/>
      <c r="CJ50" s="3162"/>
      <c r="CK50" s="3162"/>
      <c r="CL50" s="3162"/>
      <c r="CM50" s="3162"/>
      <c r="CN50" s="3162"/>
      <c r="CO50" s="3162"/>
    </row>
    <row r="51" spans="1:93" ht="32.1" customHeight="1" x14ac:dyDescent="0.25">
      <c r="B51" s="6386" t="s">
        <v>2234</v>
      </c>
      <c r="C51" s="6386"/>
      <c r="D51" s="6386"/>
      <c r="E51" s="6387"/>
      <c r="F51" s="6387"/>
      <c r="G51" s="3196"/>
      <c r="H51" s="3196"/>
      <c r="I51" s="3196"/>
      <c r="J51" s="3196"/>
      <c r="K51" s="3195"/>
      <c r="L51" s="3205"/>
      <c r="M51" s="3176"/>
    </row>
    <row r="52" spans="1:93" ht="26.1" customHeight="1" x14ac:dyDescent="0.25">
      <c r="B52" s="547" t="s">
        <v>120</v>
      </c>
      <c r="C52" s="547" t="s">
        <v>121</v>
      </c>
      <c r="D52" s="547" t="s">
        <v>42</v>
      </c>
      <c r="E52" s="548" t="s">
        <v>122</v>
      </c>
      <c r="F52" s="549" t="s">
        <v>2681</v>
      </c>
      <c r="G52" s="550" t="s">
        <v>123</v>
      </c>
      <c r="H52" s="550" t="s">
        <v>124</v>
      </c>
      <c r="I52" s="550" t="s">
        <v>125</v>
      </c>
      <c r="J52" s="859" t="s">
        <v>126</v>
      </c>
      <c r="K52" s="3206"/>
      <c r="L52" s="3207"/>
      <c r="M52" s="3208"/>
      <c r="N52" s="3167"/>
      <c r="O52" s="3167"/>
      <c r="P52" s="3167"/>
      <c r="Q52" s="3167"/>
      <c r="R52" s="3167"/>
      <c r="S52" s="3167"/>
      <c r="T52" s="3167"/>
      <c r="U52" s="3167"/>
      <c r="V52" s="3167"/>
      <c r="W52" s="3167"/>
    </row>
    <row r="53" spans="1:93" ht="20.100000000000001" customHeight="1" x14ac:dyDescent="0.15">
      <c r="A53" s="4629">
        <v>21500300</v>
      </c>
      <c r="B53" s="6378" t="s">
        <v>1146</v>
      </c>
      <c r="C53" s="6379"/>
      <c r="D53" s="3209" t="s">
        <v>2777</v>
      </c>
      <c r="E53" s="3210" t="s">
        <v>2778</v>
      </c>
      <c r="F53" s="3210" t="s">
        <v>2779</v>
      </c>
      <c r="G53" s="3210" t="s">
        <v>2780</v>
      </c>
      <c r="H53" s="3210" t="s">
        <v>2781</v>
      </c>
      <c r="I53" s="3210" t="s">
        <v>2782</v>
      </c>
      <c r="J53" s="3211" t="s">
        <v>2783</v>
      </c>
      <c r="K53" s="1057"/>
      <c r="L53" s="1085"/>
      <c r="M53" s="1085"/>
      <c r="N53" s="1085"/>
      <c r="O53" s="1085"/>
      <c r="P53" s="1085"/>
      <c r="Q53" s="1085"/>
      <c r="R53" s="1085"/>
      <c r="S53" s="1085"/>
      <c r="T53" s="1085"/>
      <c r="U53" s="1085"/>
      <c r="V53" s="1085"/>
      <c r="W53" s="3167"/>
      <c r="CB53" s="3212" t="e">
        <f>IF(E54+E55&gt;E53,"* La suma del Total egresados con apoyo psicosocial Hasta 28 días deben ser menor o igual al Total de Egresos de Hasta 28 días. ","")</f>
        <v>#VALUE!</v>
      </c>
      <c r="CC53" s="3212" t="e">
        <f>IF(F54+F55&gt;F53,"* La suma del Total egresados con apoyo psicosocial de 29 dias hasta menor de 1 año deben ser menor al Total de Egresos de de 29 dias hasta menor de 1 año. ","")</f>
        <v>#VALUE!</v>
      </c>
      <c r="CD53" s="3212" t="e">
        <f>IF(G54+G55&gt;G53,"* La suma del Total egresados con apoyo psicosocial de 1 a 4 años deben ser menor al Total de Egresos de 1 a 4 años. ","")</f>
        <v>#VALUE!</v>
      </c>
      <c r="CE53" s="3212" t="e">
        <f>IF(H54+H55&gt;H53,"* La suma del Total egresados con apoyo psicosocial de 9 años deben ser menor o igual al Total de Egresos de de 5 a 9 años. ","")</f>
        <v>#VALUE!</v>
      </c>
      <c r="CF53" s="3212" t="e">
        <f>IF(I54+I55&gt;I53,"* La suma del Total egresados con apoyo psicosocial de 10 a 14 años deben ser menor al Total de Egresos de 10 a 14 años. ","")</f>
        <v>#VALUE!</v>
      </c>
      <c r="CG53" s="3212" t="e">
        <f>IF(J54+J55&gt;J53,"* La suma del Total egresados con apoyo psicosocial de 15 a 19 años deben ser menor al Total de Egresos de 15 a 19 años. ","")</f>
        <v>#VALUE!</v>
      </c>
      <c r="CH53" s="3213" t="e">
        <f t="shared" ref="CH53:CM53" si="3">IF(E54+E55&gt;E53,1,0)</f>
        <v>#VALUE!</v>
      </c>
      <c r="CI53" s="3213" t="e">
        <f t="shared" si="3"/>
        <v>#VALUE!</v>
      </c>
      <c r="CJ53" s="3213" t="e">
        <f t="shared" si="3"/>
        <v>#VALUE!</v>
      </c>
      <c r="CK53" s="3213" t="e">
        <f t="shared" si="3"/>
        <v>#VALUE!</v>
      </c>
      <c r="CL53" s="3213" t="e">
        <f t="shared" si="3"/>
        <v>#VALUE!</v>
      </c>
      <c r="CM53" s="3213" t="e">
        <f t="shared" si="3"/>
        <v>#VALUE!</v>
      </c>
      <c r="CN53" s="3162"/>
      <c r="CO53" s="3162"/>
    </row>
    <row r="54" spans="1:93" ht="20.100000000000001" customHeight="1" x14ac:dyDescent="0.25">
      <c r="A54" s="2948">
        <v>21800850</v>
      </c>
      <c r="B54" s="6380" t="s">
        <v>1147</v>
      </c>
      <c r="C54" s="3214" t="s">
        <v>127</v>
      </c>
      <c r="D54" s="3215" t="s">
        <v>2777</v>
      </c>
      <c r="E54" s="3216" t="s">
        <v>2778</v>
      </c>
      <c r="F54" s="3216" t="s">
        <v>2779</v>
      </c>
      <c r="G54" s="3216" t="s">
        <v>2780</v>
      </c>
      <c r="H54" s="3216" t="s">
        <v>2781</v>
      </c>
      <c r="I54" s="3216" t="s">
        <v>2782</v>
      </c>
      <c r="J54" s="3217" t="s">
        <v>2783</v>
      </c>
      <c r="K54" s="1057"/>
      <c r="L54" s="1085"/>
      <c r="M54" s="1085"/>
      <c r="N54" s="1085"/>
      <c r="O54" s="1085"/>
      <c r="P54" s="1085"/>
      <c r="Q54" s="1085"/>
      <c r="R54" s="1085"/>
      <c r="S54" s="1085"/>
      <c r="T54" s="1085"/>
      <c r="U54" s="1085"/>
      <c r="V54" s="1085"/>
      <c r="W54" s="3167"/>
      <c r="CH54" s="3162"/>
      <c r="CI54" s="3162"/>
      <c r="CJ54" s="3162"/>
      <c r="CK54" s="3162"/>
      <c r="CL54" s="3162"/>
      <c r="CM54" s="3162"/>
      <c r="CN54" s="3162"/>
      <c r="CO54" s="3162"/>
    </row>
    <row r="55" spans="1:93" ht="22.5" customHeight="1" x14ac:dyDescent="0.25">
      <c r="A55" s="2948">
        <v>21800860</v>
      </c>
      <c r="B55" s="6380"/>
      <c r="C55" s="3218" t="s">
        <v>128</v>
      </c>
      <c r="D55" s="3219" t="s">
        <v>2777</v>
      </c>
      <c r="E55" s="3220" t="s">
        <v>2778</v>
      </c>
      <c r="F55" s="3220" t="s">
        <v>2779</v>
      </c>
      <c r="G55" s="3220" t="s">
        <v>2780</v>
      </c>
      <c r="H55" s="3220" t="s">
        <v>2781</v>
      </c>
      <c r="I55" s="3220" t="s">
        <v>2782</v>
      </c>
      <c r="J55" s="3221" t="s">
        <v>2783</v>
      </c>
      <c r="K55" s="1057"/>
      <c r="L55" s="1085"/>
      <c r="M55" s="1085"/>
      <c r="N55" s="1085"/>
      <c r="O55" s="1085"/>
      <c r="P55" s="1085"/>
      <c r="Q55" s="1085"/>
      <c r="R55" s="1085"/>
      <c r="S55" s="1085"/>
      <c r="T55" s="1085"/>
      <c r="U55" s="1085"/>
      <c r="V55" s="1085"/>
      <c r="W55" s="3167"/>
      <c r="CH55" s="3162"/>
      <c r="CI55" s="3162"/>
      <c r="CJ55" s="3162"/>
      <c r="CK55" s="3162"/>
      <c r="CL55" s="3162"/>
      <c r="CM55" s="3162"/>
      <c r="CN55" s="3162"/>
      <c r="CO55" s="3162"/>
    </row>
    <row r="56" spans="1:93" ht="20.100000000000001" customHeight="1" x14ac:dyDescent="0.25">
      <c r="A56" s="2948">
        <v>21800870</v>
      </c>
      <c r="B56" s="6381" t="s">
        <v>129</v>
      </c>
      <c r="C56" s="3222" t="s">
        <v>127</v>
      </c>
      <c r="D56" s="3223" t="s">
        <v>2777</v>
      </c>
      <c r="E56" s="3224" t="s">
        <v>2778</v>
      </c>
      <c r="F56" s="3224" t="s">
        <v>2779</v>
      </c>
      <c r="G56" s="3224" t="s">
        <v>2780</v>
      </c>
      <c r="H56" s="3224" t="s">
        <v>2781</v>
      </c>
      <c r="I56" s="3224" t="s">
        <v>2782</v>
      </c>
      <c r="J56" s="3225" t="s">
        <v>2783</v>
      </c>
      <c r="K56" s="1057"/>
      <c r="L56" s="1085"/>
      <c r="M56" s="1085"/>
      <c r="N56" s="1085"/>
      <c r="O56" s="1085"/>
      <c r="P56" s="1085"/>
      <c r="Q56" s="1085"/>
      <c r="R56" s="1085"/>
      <c r="S56" s="1085"/>
      <c r="T56" s="1085"/>
      <c r="U56" s="1085"/>
      <c r="V56" s="1085"/>
      <c r="W56" s="3167"/>
      <c r="CH56" s="3162"/>
      <c r="CI56" s="3162"/>
      <c r="CJ56" s="3162"/>
      <c r="CK56" s="3162"/>
      <c r="CL56" s="3162"/>
      <c r="CM56" s="3162"/>
      <c r="CN56" s="3162"/>
      <c r="CO56" s="3162"/>
    </row>
    <row r="57" spans="1:93" ht="21.75" customHeight="1" x14ac:dyDescent="0.25">
      <c r="A57" s="2948">
        <v>21800880</v>
      </c>
      <c r="B57" s="6382"/>
      <c r="C57" s="3226" t="s">
        <v>128</v>
      </c>
      <c r="D57" s="3227" t="s">
        <v>2777</v>
      </c>
      <c r="E57" s="3228" t="s">
        <v>2778</v>
      </c>
      <c r="F57" s="3228" t="s">
        <v>2779</v>
      </c>
      <c r="G57" s="3228" t="s">
        <v>2780</v>
      </c>
      <c r="H57" s="3228" t="s">
        <v>2781</v>
      </c>
      <c r="I57" s="3228" t="s">
        <v>2782</v>
      </c>
      <c r="J57" s="3229" t="s">
        <v>2783</v>
      </c>
      <c r="K57" s="3195"/>
      <c r="L57" s="3195"/>
      <c r="M57" s="3195"/>
      <c r="N57" s="3195"/>
      <c r="O57" s="3195"/>
      <c r="P57" s="3195"/>
      <c r="Q57" s="3195"/>
      <c r="R57" s="3195"/>
      <c r="S57" s="3195"/>
      <c r="T57" s="3195"/>
      <c r="U57" s="3195"/>
      <c r="V57" s="3195"/>
      <c r="W57" s="3195"/>
      <c r="X57" s="3195"/>
      <c r="CH57" s="3162"/>
      <c r="CI57" s="3162"/>
      <c r="CJ57" s="3162"/>
      <c r="CK57" s="3162"/>
      <c r="CL57" s="3162"/>
      <c r="CM57" s="3162"/>
      <c r="CN57" s="3162"/>
      <c r="CO57" s="3162"/>
    </row>
    <row r="58" spans="1:93" ht="32.1" customHeight="1" x14ac:dyDescent="0.25">
      <c r="B58" s="6370" t="s">
        <v>2235</v>
      </c>
      <c r="C58" s="6370"/>
      <c r="D58" s="6370"/>
      <c r="E58" s="6370"/>
      <c r="F58" s="6370"/>
      <c r="G58" s="6370"/>
      <c r="H58" s="6370"/>
      <c r="I58" s="3230"/>
      <c r="J58" s="3230"/>
      <c r="K58" s="3195"/>
      <c r="L58" s="3205"/>
      <c r="M58" s="3176"/>
      <c r="N58" s="3204"/>
      <c r="CH58" s="3162"/>
      <c r="CI58" s="3162"/>
      <c r="CJ58" s="3162"/>
      <c r="CK58" s="3162"/>
      <c r="CL58" s="3162"/>
      <c r="CM58" s="3162"/>
      <c r="CN58" s="3162"/>
      <c r="CO58" s="3162"/>
    </row>
    <row r="59" spans="1:93" ht="24" customHeight="1" x14ac:dyDescent="0.25">
      <c r="B59" s="6371" t="s">
        <v>130</v>
      </c>
      <c r="C59" s="6374" t="s">
        <v>2682</v>
      </c>
      <c r="D59" s="6375"/>
      <c r="E59" s="6374" t="s">
        <v>131</v>
      </c>
      <c r="F59" s="6375"/>
      <c r="G59" s="6355" t="s">
        <v>1240</v>
      </c>
      <c r="H59" s="6356"/>
      <c r="I59" s="6356"/>
      <c r="J59" s="6357"/>
      <c r="K59" s="3189"/>
      <c r="L59" s="3205"/>
      <c r="M59" s="3176"/>
      <c r="N59" s="3204"/>
      <c r="CH59" s="3162"/>
      <c r="CI59" s="3162"/>
      <c r="CJ59" s="3162"/>
      <c r="CK59" s="3162"/>
      <c r="CL59" s="3162"/>
      <c r="CM59" s="3162"/>
      <c r="CN59" s="3162"/>
      <c r="CO59" s="3162"/>
    </row>
    <row r="60" spans="1:93" ht="27" customHeight="1" x14ac:dyDescent="0.25">
      <c r="B60" s="6372"/>
      <c r="C60" s="6376"/>
      <c r="D60" s="6377"/>
      <c r="E60" s="6376"/>
      <c r="F60" s="6377"/>
      <c r="G60" s="6355" t="s">
        <v>1241</v>
      </c>
      <c r="H60" s="6357"/>
      <c r="I60" s="6355" t="s">
        <v>1242</v>
      </c>
      <c r="J60" s="6357"/>
      <c r="K60" s="3231"/>
      <c r="L60" s="3205"/>
      <c r="M60" s="3176"/>
      <c r="N60" s="3204"/>
      <c r="CH60" s="3162"/>
      <c r="CI60" s="3162"/>
      <c r="CJ60" s="3162"/>
      <c r="CK60" s="3162"/>
      <c r="CL60" s="3162"/>
      <c r="CM60" s="3162"/>
      <c r="CN60" s="3162"/>
      <c r="CO60" s="3162"/>
    </row>
    <row r="61" spans="1:93" ht="30" customHeight="1" x14ac:dyDescent="0.25">
      <c r="B61" s="6373"/>
      <c r="C61" s="858" t="s">
        <v>144</v>
      </c>
      <c r="D61" s="3036" t="s">
        <v>132</v>
      </c>
      <c r="E61" s="858" t="s">
        <v>144</v>
      </c>
      <c r="F61" s="3037" t="s">
        <v>132</v>
      </c>
      <c r="G61" s="858" t="s">
        <v>144</v>
      </c>
      <c r="H61" s="3036" t="s">
        <v>132</v>
      </c>
      <c r="I61" s="858" t="s">
        <v>144</v>
      </c>
      <c r="J61" s="3037" t="s">
        <v>132</v>
      </c>
      <c r="K61" s="3231"/>
      <c r="L61" s="3205"/>
      <c r="M61" s="3176"/>
      <c r="N61" s="3204"/>
      <c r="CH61" s="3162"/>
      <c r="CI61" s="3162"/>
      <c r="CJ61" s="3162"/>
      <c r="CK61" s="3162"/>
      <c r="CL61" s="3162"/>
      <c r="CM61" s="3162"/>
      <c r="CN61" s="3162"/>
      <c r="CO61" s="3162"/>
    </row>
    <row r="62" spans="1:93" ht="19.5" customHeight="1" x14ac:dyDescent="0.15">
      <c r="A62" s="2458">
        <v>21500600</v>
      </c>
      <c r="B62" s="3232" t="s">
        <v>133</v>
      </c>
      <c r="C62" s="3266" t="s">
        <v>2777</v>
      </c>
      <c r="D62" s="3267" t="s">
        <v>2778</v>
      </c>
      <c r="E62" s="3233" t="s">
        <v>2779</v>
      </c>
      <c r="F62" s="3217" t="s">
        <v>2780</v>
      </c>
      <c r="G62" s="3234" t="s">
        <v>2781</v>
      </c>
      <c r="H62" s="3235" t="s">
        <v>2782</v>
      </c>
      <c r="I62" s="3234" t="s">
        <v>2783</v>
      </c>
      <c r="J62" s="3235" t="s">
        <v>2784</v>
      </c>
      <c r="K62" s="3189"/>
      <c r="L62" s="3205"/>
      <c r="M62" s="3176"/>
      <c r="N62" s="3204"/>
      <c r="CH62" s="3162"/>
      <c r="CI62" s="3162"/>
      <c r="CJ62" s="3162"/>
      <c r="CK62" s="3162"/>
      <c r="CL62" s="3162"/>
      <c r="CM62" s="3162"/>
      <c r="CN62" s="3162"/>
      <c r="CO62" s="3162"/>
    </row>
    <row r="63" spans="1:93" ht="19.5" customHeight="1" x14ac:dyDescent="0.15">
      <c r="A63" s="2458">
        <v>21600800</v>
      </c>
      <c r="B63" s="3236" t="s">
        <v>134</v>
      </c>
      <c r="C63" s="3268" t="s">
        <v>2777</v>
      </c>
      <c r="D63" s="3269" t="s">
        <v>2778</v>
      </c>
      <c r="E63" s="3237" t="s">
        <v>2779</v>
      </c>
      <c r="F63" s="3238" t="s">
        <v>2780</v>
      </c>
      <c r="G63" s="3239" t="s">
        <v>2781</v>
      </c>
      <c r="H63" s="3240" t="s">
        <v>2782</v>
      </c>
      <c r="I63" s="3239" t="s">
        <v>2783</v>
      </c>
      <c r="J63" s="3240" t="s">
        <v>2784</v>
      </c>
      <c r="K63" s="3189"/>
      <c r="L63" s="3205"/>
      <c r="M63" s="3176"/>
      <c r="N63" s="3204"/>
      <c r="CH63" s="3162"/>
      <c r="CI63" s="3162"/>
      <c r="CJ63" s="3162"/>
      <c r="CK63" s="3162"/>
      <c r="CL63" s="3162"/>
      <c r="CM63" s="3162"/>
      <c r="CN63" s="3162"/>
      <c r="CO63" s="3162"/>
    </row>
    <row r="64" spans="1:93" ht="19.5" customHeight="1" x14ac:dyDescent="0.15">
      <c r="A64" s="2458">
        <v>21600900</v>
      </c>
      <c r="B64" s="3236" t="s">
        <v>1243</v>
      </c>
      <c r="C64" s="3268" t="s">
        <v>2777</v>
      </c>
      <c r="D64" s="3269" t="s">
        <v>2778</v>
      </c>
      <c r="E64" s="3237" t="s">
        <v>2779</v>
      </c>
      <c r="F64" s="3238" t="s">
        <v>2780</v>
      </c>
      <c r="G64" s="3239" t="s">
        <v>2781</v>
      </c>
      <c r="H64" s="3240" t="s">
        <v>2782</v>
      </c>
      <c r="I64" s="3239" t="s">
        <v>2783</v>
      </c>
      <c r="J64" s="3240" t="s">
        <v>2784</v>
      </c>
      <c r="K64" s="3189"/>
      <c r="L64" s="3205"/>
      <c r="M64" s="3176"/>
      <c r="N64" s="3204"/>
      <c r="CH64" s="3162"/>
      <c r="CI64" s="3162"/>
      <c r="CJ64" s="3162"/>
      <c r="CK64" s="3162"/>
      <c r="CL64" s="3162"/>
      <c r="CM64" s="3162"/>
      <c r="CN64" s="3162"/>
      <c r="CO64" s="3162"/>
    </row>
    <row r="65" spans="1:93" ht="19.5" customHeight="1" x14ac:dyDescent="0.15">
      <c r="A65" s="2458">
        <v>21700100</v>
      </c>
      <c r="B65" s="3236" t="s">
        <v>135</v>
      </c>
      <c r="C65" s="3268" t="s">
        <v>2777</v>
      </c>
      <c r="D65" s="3269" t="s">
        <v>2778</v>
      </c>
      <c r="E65" s="3237" t="s">
        <v>2779</v>
      </c>
      <c r="F65" s="3238" t="s">
        <v>2780</v>
      </c>
      <c r="G65" s="3239" t="s">
        <v>2781</v>
      </c>
      <c r="H65" s="3240" t="s">
        <v>2782</v>
      </c>
      <c r="I65" s="3239" t="s">
        <v>2783</v>
      </c>
      <c r="J65" s="3240" t="s">
        <v>2784</v>
      </c>
      <c r="K65" s="3189"/>
      <c r="L65" s="3205"/>
      <c r="M65" s="3176"/>
      <c r="N65" s="3204"/>
      <c r="CH65" s="3162"/>
      <c r="CI65" s="3162"/>
      <c r="CJ65" s="3162"/>
      <c r="CK65" s="3162"/>
      <c r="CL65" s="3162"/>
      <c r="CM65" s="3162"/>
      <c r="CN65" s="3162"/>
      <c r="CO65" s="3162"/>
    </row>
    <row r="66" spans="1:93" ht="19.5" customHeight="1" x14ac:dyDescent="0.15">
      <c r="A66" s="2458">
        <v>21500700</v>
      </c>
      <c r="B66" s="3236" t="s">
        <v>136</v>
      </c>
      <c r="C66" s="3268" t="s">
        <v>2777</v>
      </c>
      <c r="D66" s="3269" t="s">
        <v>2778</v>
      </c>
      <c r="E66" s="3237" t="s">
        <v>2779</v>
      </c>
      <c r="F66" s="3238" t="s">
        <v>2780</v>
      </c>
      <c r="G66" s="3239" t="s">
        <v>2781</v>
      </c>
      <c r="H66" s="3240" t="s">
        <v>2782</v>
      </c>
      <c r="I66" s="3239" t="s">
        <v>2783</v>
      </c>
      <c r="J66" s="3240" t="s">
        <v>2784</v>
      </c>
      <c r="K66" s="3189"/>
      <c r="L66" s="3205"/>
      <c r="M66" s="3176"/>
      <c r="N66" s="3204"/>
      <c r="CH66" s="3162"/>
      <c r="CI66" s="3162"/>
      <c r="CJ66" s="3162"/>
      <c r="CK66" s="3162"/>
      <c r="CL66" s="3162"/>
      <c r="CM66" s="3162"/>
      <c r="CN66" s="3162"/>
      <c r="CO66" s="3162"/>
    </row>
    <row r="67" spans="1:93" ht="19.5" customHeight="1" x14ac:dyDescent="0.15">
      <c r="A67" s="2458">
        <v>21500800</v>
      </c>
      <c r="B67" s="3236" t="s">
        <v>137</v>
      </c>
      <c r="C67" s="3268" t="s">
        <v>2777</v>
      </c>
      <c r="D67" s="3269" t="s">
        <v>2778</v>
      </c>
      <c r="E67" s="3237" t="s">
        <v>2779</v>
      </c>
      <c r="F67" s="3238" t="s">
        <v>2780</v>
      </c>
      <c r="G67" s="3239" t="s">
        <v>2781</v>
      </c>
      <c r="H67" s="3240" t="s">
        <v>2782</v>
      </c>
      <c r="I67" s="3239" t="s">
        <v>2783</v>
      </c>
      <c r="J67" s="3240" t="s">
        <v>2784</v>
      </c>
      <c r="K67" s="3189"/>
      <c r="L67" s="3205"/>
      <c r="M67" s="3176"/>
      <c r="N67" s="3204"/>
      <c r="CH67" s="3162"/>
      <c r="CI67" s="3162"/>
      <c r="CJ67" s="3162"/>
      <c r="CK67" s="3162"/>
      <c r="CL67" s="3162"/>
      <c r="CM67" s="3162"/>
      <c r="CN67" s="3162"/>
      <c r="CO67" s="3162"/>
    </row>
    <row r="68" spans="1:93" ht="19.5" customHeight="1" x14ac:dyDescent="0.15">
      <c r="A68" s="2458">
        <v>21700300</v>
      </c>
      <c r="B68" s="3236" t="s">
        <v>138</v>
      </c>
      <c r="C68" s="3268" t="s">
        <v>2777</v>
      </c>
      <c r="D68" s="3269" t="s">
        <v>2778</v>
      </c>
      <c r="E68" s="3237" t="s">
        <v>2779</v>
      </c>
      <c r="F68" s="3238" t="s">
        <v>2780</v>
      </c>
      <c r="G68" s="3239" t="s">
        <v>2781</v>
      </c>
      <c r="H68" s="3240" t="s">
        <v>2782</v>
      </c>
      <c r="I68" s="3239" t="s">
        <v>2783</v>
      </c>
      <c r="J68" s="3240" t="s">
        <v>2784</v>
      </c>
      <c r="K68" s="3189"/>
      <c r="L68" s="3205"/>
      <c r="M68" s="3176"/>
      <c r="N68" s="3204"/>
      <c r="CH68" s="3162"/>
      <c r="CI68" s="3162"/>
      <c r="CJ68" s="3162"/>
      <c r="CK68" s="3162"/>
      <c r="CL68" s="3162"/>
      <c r="CM68" s="3162"/>
      <c r="CN68" s="3162"/>
      <c r="CO68" s="3162"/>
    </row>
    <row r="69" spans="1:93" ht="19.5" customHeight="1" x14ac:dyDescent="0.15">
      <c r="A69" s="2458">
        <v>21700400</v>
      </c>
      <c r="B69" s="3236" t="s">
        <v>139</v>
      </c>
      <c r="C69" s="3268" t="s">
        <v>2777</v>
      </c>
      <c r="D69" s="3269" t="s">
        <v>2778</v>
      </c>
      <c r="E69" s="3237" t="s">
        <v>2779</v>
      </c>
      <c r="F69" s="3238" t="s">
        <v>2780</v>
      </c>
      <c r="G69" s="3239" t="s">
        <v>2781</v>
      </c>
      <c r="H69" s="3240" t="s">
        <v>2782</v>
      </c>
      <c r="I69" s="3239" t="s">
        <v>2783</v>
      </c>
      <c r="J69" s="3240" t="s">
        <v>2784</v>
      </c>
      <c r="K69" s="3189"/>
      <c r="L69" s="3205"/>
      <c r="M69" s="3176"/>
      <c r="N69" s="3204"/>
      <c r="CH69" s="3162"/>
      <c r="CI69" s="3162"/>
      <c r="CJ69" s="3162"/>
      <c r="CK69" s="3162"/>
      <c r="CL69" s="3162"/>
      <c r="CM69" s="3162"/>
      <c r="CN69" s="3162"/>
      <c r="CO69" s="3162"/>
    </row>
    <row r="70" spans="1:93" ht="19.5" customHeight="1" x14ac:dyDescent="0.15">
      <c r="A70" s="2458">
        <v>21700500</v>
      </c>
      <c r="B70" s="3236" t="s">
        <v>140</v>
      </c>
      <c r="C70" s="3268" t="s">
        <v>2777</v>
      </c>
      <c r="D70" s="3269" t="s">
        <v>2778</v>
      </c>
      <c r="E70" s="3237" t="s">
        <v>2779</v>
      </c>
      <c r="F70" s="3238" t="s">
        <v>2780</v>
      </c>
      <c r="G70" s="3239" t="s">
        <v>2781</v>
      </c>
      <c r="H70" s="3240" t="s">
        <v>2782</v>
      </c>
      <c r="I70" s="3239" t="s">
        <v>2783</v>
      </c>
      <c r="J70" s="3240" t="s">
        <v>2784</v>
      </c>
      <c r="K70" s="3205"/>
      <c r="L70" s="3205"/>
      <c r="M70" s="3205"/>
      <c r="N70" s="3204"/>
      <c r="CH70" s="3162"/>
      <c r="CI70" s="3162"/>
      <c r="CJ70" s="3162"/>
      <c r="CK70" s="3162"/>
      <c r="CL70" s="3162"/>
      <c r="CM70" s="3162"/>
      <c r="CN70" s="3162"/>
      <c r="CO70" s="3162"/>
    </row>
    <row r="71" spans="1:93" ht="19.5" customHeight="1" x14ac:dyDescent="0.15">
      <c r="A71" s="2458">
        <v>21700600</v>
      </c>
      <c r="B71" s="3236" t="s">
        <v>141</v>
      </c>
      <c r="C71" s="3268" t="s">
        <v>2777</v>
      </c>
      <c r="D71" s="3269" t="s">
        <v>2778</v>
      </c>
      <c r="E71" s="3237" t="s">
        <v>2779</v>
      </c>
      <c r="F71" s="3238" t="s">
        <v>2780</v>
      </c>
      <c r="G71" s="3239" t="s">
        <v>2781</v>
      </c>
      <c r="H71" s="3240" t="s">
        <v>2782</v>
      </c>
      <c r="I71" s="3239" t="s">
        <v>2783</v>
      </c>
      <c r="J71" s="3240" t="s">
        <v>2784</v>
      </c>
      <c r="K71" s="3205"/>
      <c r="L71" s="3205"/>
      <c r="M71" s="3205"/>
      <c r="N71" s="3204"/>
      <c r="CH71" s="3162">
        <v>0</v>
      </c>
      <c r="CI71" s="3162">
        <v>0</v>
      </c>
      <c r="CJ71" s="3162"/>
      <c r="CK71" s="3162"/>
      <c r="CL71" s="3162"/>
      <c r="CM71" s="3162"/>
      <c r="CN71" s="3162"/>
      <c r="CO71" s="3162"/>
    </row>
    <row r="72" spans="1:93" ht="19.5" customHeight="1" x14ac:dyDescent="0.15">
      <c r="A72" s="2458">
        <v>21500900</v>
      </c>
      <c r="B72" s="3236" t="s">
        <v>142</v>
      </c>
      <c r="C72" s="3268" t="s">
        <v>2777</v>
      </c>
      <c r="D72" s="3269" t="s">
        <v>2778</v>
      </c>
      <c r="E72" s="3237" t="s">
        <v>2779</v>
      </c>
      <c r="F72" s="3238" t="s">
        <v>2780</v>
      </c>
      <c r="G72" s="3239" t="s">
        <v>2781</v>
      </c>
      <c r="H72" s="3240" t="s">
        <v>2782</v>
      </c>
      <c r="I72" s="3241" t="s">
        <v>2783</v>
      </c>
      <c r="J72" s="3241" t="s">
        <v>2784</v>
      </c>
      <c r="K72" s="3205"/>
      <c r="L72" s="3205"/>
      <c r="M72" s="3205"/>
      <c r="N72" s="3189"/>
      <c r="O72" s="3205"/>
      <c r="P72" s="3176"/>
      <c r="Q72" s="3204"/>
      <c r="BY72" s="3157"/>
      <c r="BZ72" s="3157"/>
      <c r="CA72" s="3157"/>
      <c r="CH72" s="3162"/>
      <c r="CI72" s="3162"/>
      <c r="CJ72" s="3162"/>
      <c r="CK72" s="3162"/>
      <c r="CL72" s="3162"/>
      <c r="CM72" s="3162"/>
      <c r="CN72" s="3162"/>
      <c r="CO72" s="3162"/>
    </row>
    <row r="73" spans="1:93" ht="19.5" customHeight="1" x14ac:dyDescent="0.15">
      <c r="A73" s="2458">
        <v>21700700</v>
      </c>
      <c r="B73" s="3236" t="s">
        <v>143</v>
      </c>
      <c r="C73" s="3268" t="s">
        <v>2777</v>
      </c>
      <c r="D73" s="3269" t="s">
        <v>2778</v>
      </c>
      <c r="E73" s="3237" t="s">
        <v>2779</v>
      </c>
      <c r="F73" s="3238" t="s">
        <v>2780</v>
      </c>
      <c r="G73" s="3239" t="s">
        <v>2781</v>
      </c>
      <c r="H73" s="3240" t="s">
        <v>2782</v>
      </c>
      <c r="I73" s="3241" t="s">
        <v>2783</v>
      </c>
      <c r="J73" s="3241" t="s">
        <v>2784</v>
      </c>
      <c r="K73" s="3205"/>
      <c r="L73" s="3205"/>
      <c r="M73" s="3205"/>
      <c r="N73" s="3189"/>
      <c r="O73" s="3205"/>
      <c r="P73" s="3176"/>
      <c r="Q73" s="3204"/>
      <c r="BY73" s="3157"/>
      <c r="BZ73" s="3157"/>
      <c r="CA73" s="3157"/>
      <c r="CH73" s="3162"/>
      <c r="CI73" s="3162"/>
      <c r="CJ73" s="3162"/>
      <c r="CK73" s="3162"/>
      <c r="CL73" s="3162"/>
      <c r="CM73" s="3162"/>
      <c r="CN73" s="3162"/>
      <c r="CO73" s="3162"/>
    </row>
    <row r="74" spans="1:93" ht="19.5" customHeight="1" x14ac:dyDescent="0.2">
      <c r="A74" s="2527"/>
      <c r="B74" s="3242" t="s">
        <v>42</v>
      </c>
      <c r="C74" s="3243">
        <f>SUM(C62:C73)</f>
        <v>0</v>
      </c>
      <c r="D74" s="3244">
        <f t="shared" ref="D74:J74" si="4">SUM(D62:D73)</f>
        <v>0</v>
      </c>
      <c r="E74" s="3243">
        <f t="shared" si="4"/>
        <v>0</v>
      </c>
      <c r="F74" s="3244">
        <f t="shared" si="4"/>
        <v>0</v>
      </c>
      <c r="G74" s="3245">
        <f t="shared" si="4"/>
        <v>0</v>
      </c>
      <c r="H74" s="3246">
        <f t="shared" si="4"/>
        <v>0</v>
      </c>
      <c r="I74" s="3245">
        <f t="shared" si="4"/>
        <v>0</v>
      </c>
      <c r="J74" s="3246">
        <f t="shared" si="4"/>
        <v>0</v>
      </c>
      <c r="K74" s="3205"/>
      <c r="L74" s="3205"/>
      <c r="M74" s="3205"/>
      <c r="N74" s="3204"/>
      <c r="CH74" s="3162"/>
      <c r="CI74" s="3162"/>
      <c r="CJ74" s="3162"/>
      <c r="CK74" s="3162"/>
      <c r="CL74" s="3162"/>
      <c r="CM74" s="3162"/>
      <c r="CN74" s="3162"/>
      <c r="CO74" s="3162"/>
    </row>
    <row r="75" spans="1:93" ht="32.1" customHeight="1" x14ac:dyDescent="0.25">
      <c r="B75" s="6358" t="s">
        <v>2683</v>
      </c>
      <c r="C75" s="6358"/>
      <c r="D75" s="6358"/>
      <c r="E75" s="6358"/>
      <c r="F75" s="6358"/>
      <c r="G75" s="6358"/>
      <c r="H75" s="6358"/>
      <c r="I75" s="3247"/>
      <c r="J75" s="3247"/>
      <c r="K75" s="3189"/>
      <c r="L75" s="3205"/>
      <c r="M75" s="3176"/>
      <c r="N75" s="3204"/>
      <c r="CH75" s="3162"/>
      <c r="CI75" s="3162"/>
      <c r="CJ75" s="3162"/>
      <c r="CK75" s="3162"/>
      <c r="CL75" s="3162"/>
      <c r="CM75" s="3162"/>
      <c r="CN75" s="3162"/>
      <c r="CO75" s="3162"/>
    </row>
    <row r="76" spans="1:93" ht="24" customHeight="1" x14ac:dyDescent="0.25">
      <c r="B76" s="6359" t="s">
        <v>2684</v>
      </c>
      <c r="C76" s="6355" t="s">
        <v>887</v>
      </c>
      <c r="D76" s="6356"/>
      <c r="E76" s="6356"/>
      <c r="F76" s="6356"/>
      <c r="G76" s="6356"/>
      <c r="H76" s="6357"/>
      <c r="I76" s="3195"/>
      <c r="J76" s="3189"/>
      <c r="K76" s="3205"/>
      <c r="L76" s="3176"/>
      <c r="M76" s="3204"/>
      <c r="CH76" s="3162"/>
      <c r="CI76" s="3162"/>
      <c r="CJ76" s="3162"/>
      <c r="CK76" s="3162"/>
      <c r="CL76" s="3162"/>
      <c r="CM76" s="3162"/>
      <c r="CN76" s="3162"/>
      <c r="CO76" s="3162"/>
    </row>
    <row r="77" spans="1:93" ht="31.5" customHeight="1" x14ac:dyDescent="0.25">
      <c r="B77" s="6360"/>
      <c r="C77" s="541" t="s">
        <v>99</v>
      </c>
      <c r="D77" s="858" t="s">
        <v>144</v>
      </c>
      <c r="E77" s="857" t="s">
        <v>132</v>
      </c>
      <c r="F77" s="551" t="s">
        <v>1143</v>
      </c>
      <c r="G77" s="552" t="s">
        <v>1144</v>
      </c>
      <c r="H77" s="552" t="s">
        <v>727</v>
      </c>
      <c r="I77" s="3195"/>
      <c r="J77" s="3195"/>
      <c r="K77" s="3189"/>
      <c r="L77" s="3205"/>
      <c r="M77" s="3176"/>
      <c r="N77" s="3204"/>
      <c r="CH77" s="3162"/>
      <c r="CI77" s="3162"/>
      <c r="CJ77" s="3162"/>
      <c r="CK77" s="3162"/>
      <c r="CL77" s="3162"/>
      <c r="CM77" s="3162"/>
      <c r="CN77" s="3162"/>
      <c r="CO77" s="3162"/>
    </row>
    <row r="78" spans="1:93" ht="20.25" customHeight="1" x14ac:dyDescent="0.15">
      <c r="A78" s="2458">
        <v>21700701</v>
      </c>
      <c r="B78" s="3248" t="s">
        <v>1596</v>
      </c>
      <c r="C78" s="3179" t="s">
        <v>2777</v>
      </c>
      <c r="D78" s="3234" t="s">
        <v>2778</v>
      </c>
      <c r="E78" s="3249" t="s">
        <v>2779</v>
      </c>
      <c r="F78" s="3250" t="s">
        <v>2780</v>
      </c>
      <c r="G78" s="3251" t="s">
        <v>2781</v>
      </c>
      <c r="H78" s="3251" t="s">
        <v>2782</v>
      </c>
      <c r="I78" s="1079"/>
      <c r="J78" s="3195"/>
      <c r="K78" s="3189"/>
      <c r="L78" s="3205"/>
      <c r="M78" s="3176"/>
      <c r="N78" s="3204"/>
      <c r="CH78" s="3162">
        <v>0</v>
      </c>
      <c r="CI78" s="3162">
        <v>0</v>
      </c>
      <c r="CJ78" s="3162"/>
      <c r="CK78" s="3162"/>
      <c r="CL78" s="3162"/>
      <c r="CM78" s="3162"/>
      <c r="CN78" s="3162"/>
      <c r="CO78" s="3162"/>
    </row>
    <row r="79" spans="1:93" ht="20.25" customHeight="1" x14ac:dyDescent="0.15">
      <c r="A79" s="2458">
        <v>21700702</v>
      </c>
      <c r="B79" s="3252" t="s">
        <v>145</v>
      </c>
      <c r="C79" s="3185" t="s">
        <v>2777</v>
      </c>
      <c r="D79" s="3239" t="s">
        <v>2778</v>
      </c>
      <c r="E79" s="3253" t="s">
        <v>2779</v>
      </c>
      <c r="F79" s="3254" t="s">
        <v>2780</v>
      </c>
      <c r="G79" s="3188" t="s">
        <v>2781</v>
      </c>
      <c r="H79" s="3188" t="s">
        <v>2782</v>
      </c>
      <c r="I79" s="1079"/>
      <c r="J79" s="3195"/>
      <c r="K79" s="3189"/>
      <c r="L79" s="3205"/>
      <c r="M79" s="3176"/>
      <c r="N79" s="3204"/>
      <c r="CH79" s="3162"/>
      <c r="CI79" s="3162"/>
      <c r="CJ79" s="3162"/>
      <c r="CK79" s="3162"/>
      <c r="CL79" s="3162"/>
      <c r="CM79" s="3162"/>
      <c r="CN79" s="3162"/>
      <c r="CO79" s="3162"/>
    </row>
    <row r="80" spans="1:93" ht="20.25" customHeight="1" x14ac:dyDescent="0.15">
      <c r="A80" s="2458">
        <v>21700703</v>
      </c>
      <c r="B80" s="3236" t="s">
        <v>1149</v>
      </c>
      <c r="C80" s="3185" t="s">
        <v>2777</v>
      </c>
      <c r="D80" s="3239" t="s">
        <v>2778</v>
      </c>
      <c r="E80" s="3253" t="s">
        <v>2779</v>
      </c>
      <c r="F80" s="3254" t="s">
        <v>2780</v>
      </c>
      <c r="G80" s="3188" t="s">
        <v>2781</v>
      </c>
      <c r="H80" s="3188" t="s">
        <v>2782</v>
      </c>
      <c r="I80" s="1079"/>
      <c r="J80" s="3195"/>
      <c r="K80" s="3189"/>
      <c r="L80" s="3205"/>
      <c r="M80" s="3176"/>
      <c r="N80" s="3204"/>
      <c r="CH80" s="3162"/>
      <c r="CI80" s="3162"/>
      <c r="CJ80" s="3162"/>
      <c r="CK80" s="3162"/>
      <c r="CL80" s="3162"/>
      <c r="CM80" s="3162"/>
      <c r="CN80" s="3162"/>
      <c r="CO80" s="3162"/>
    </row>
    <row r="81" spans="1:93" ht="20.25" customHeight="1" x14ac:dyDescent="0.15">
      <c r="A81" s="2458">
        <v>21700704</v>
      </c>
      <c r="B81" s="3236" t="s">
        <v>1148</v>
      </c>
      <c r="C81" s="3185" t="s">
        <v>2777</v>
      </c>
      <c r="D81" s="3239" t="s">
        <v>2778</v>
      </c>
      <c r="E81" s="3253" t="s">
        <v>2779</v>
      </c>
      <c r="F81" s="3254" t="s">
        <v>2780</v>
      </c>
      <c r="G81" s="3188" t="s">
        <v>2781</v>
      </c>
      <c r="H81" s="3188" t="s">
        <v>2782</v>
      </c>
      <c r="I81" s="1079"/>
      <c r="J81" s="3195"/>
      <c r="K81" s="3189"/>
      <c r="L81" s="3205"/>
      <c r="M81" s="3176"/>
      <c r="N81" s="3204"/>
      <c r="CH81" s="3162"/>
      <c r="CI81" s="3162"/>
      <c r="CJ81" s="3162"/>
      <c r="CK81" s="3162"/>
      <c r="CL81" s="3162"/>
      <c r="CM81" s="3162"/>
      <c r="CN81" s="3162"/>
      <c r="CO81" s="3162"/>
    </row>
    <row r="82" spans="1:93" ht="20.25" customHeight="1" x14ac:dyDescent="0.15">
      <c r="A82" s="2458">
        <v>21700705</v>
      </c>
      <c r="B82" s="3236" t="s">
        <v>146</v>
      </c>
      <c r="C82" s="3185" t="s">
        <v>2777</v>
      </c>
      <c r="D82" s="3239" t="s">
        <v>2778</v>
      </c>
      <c r="E82" s="3253" t="s">
        <v>2779</v>
      </c>
      <c r="F82" s="3254" t="s">
        <v>2780</v>
      </c>
      <c r="G82" s="3188" t="s">
        <v>2781</v>
      </c>
      <c r="H82" s="3188" t="s">
        <v>2782</v>
      </c>
      <c r="I82" s="1079"/>
      <c r="J82" s="3208"/>
      <c r="K82" s="3255"/>
      <c r="L82" s="3207"/>
      <c r="M82" s="3256"/>
      <c r="N82" s="3257"/>
      <c r="O82" s="3167"/>
      <c r="P82" s="3167"/>
      <c r="Q82" s="3167"/>
      <c r="R82" s="3167"/>
      <c r="S82" s="3167"/>
      <c r="T82" s="3167"/>
      <c r="CH82" s="3162"/>
      <c r="CI82" s="3162"/>
      <c r="CJ82" s="3162"/>
      <c r="CK82" s="3162"/>
      <c r="CL82" s="3162"/>
      <c r="CM82" s="3162"/>
      <c r="CN82" s="3162"/>
      <c r="CO82" s="3162"/>
    </row>
    <row r="83" spans="1:93" ht="20.25" customHeight="1" x14ac:dyDescent="0.15">
      <c r="A83" s="2458">
        <v>21700706</v>
      </c>
      <c r="B83" s="3252" t="s">
        <v>147</v>
      </c>
      <c r="C83" s="3185" t="s">
        <v>2777</v>
      </c>
      <c r="D83" s="3239" t="s">
        <v>2778</v>
      </c>
      <c r="E83" s="3253" t="s">
        <v>2779</v>
      </c>
      <c r="F83" s="3254" t="s">
        <v>2780</v>
      </c>
      <c r="G83" s="3188" t="s">
        <v>2781</v>
      </c>
      <c r="H83" s="3188" t="s">
        <v>2782</v>
      </c>
      <c r="I83" s="1079"/>
      <c r="J83" s="3208"/>
      <c r="K83" s="3255"/>
      <c r="L83" s="3207"/>
      <c r="M83" s="3256"/>
      <c r="N83" s="3257"/>
      <c r="O83" s="3167"/>
      <c r="P83" s="3167"/>
      <c r="Q83" s="3167"/>
      <c r="R83" s="3167"/>
      <c r="S83" s="3167"/>
      <c r="T83" s="3167"/>
      <c r="CH83" s="3162">
        <v>0</v>
      </c>
      <c r="CI83" s="3162">
        <v>0</v>
      </c>
      <c r="CJ83" s="3162"/>
      <c r="CK83" s="3162"/>
      <c r="CL83" s="3162"/>
      <c r="CM83" s="3162"/>
      <c r="CN83" s="3162"/>
      <c r="CO83" s="3162"/>
    </row>
    <row r="84" spans="1:93" ht="20.25" customHeight="1" x14ac:dyDescent="0.15">
      <c r="A84" s="2458">
        <v>21800890</v>
      </c>
      <c r="B84" s="3260" t="s">
        <v>1460</v>
      </c>
      <c r="C84" s="3258" t="s">
        <v>2777</v>
      </c>
      <c r="D84" s="3239" t="s">
        <v>2778</v>
      </c>
      <c r="E84" s="3253" t="s">
        <v>2779</v>
      </c>
      <c r="F84" s="3254" t="s">
        <v>2780</v>
      </c>
      <c r="G84" s="3259" t="s">
        <v>2781</v>
      </c>
      <c r="H84" s="3259" t="s">
        <v>2782</v>
      </c>
      <c r="I84" s="1079"/>
      <c r="J84" s="3208"/>
      <c r="K84" s="3255"/>
      <c r="L84" s="3207"/>
      <c r="M84" s="3256"/>
      <c r="N84" s="3257"/>
      <c r="O84" s="3167"/>
      <c r="P84" s="3167"/>
      <c r="Q84" s="3167"/>
      <c r="R84" s="3167"/>
      <c r="S84" s="3167"/>
      <c r="T84" s="3167"/>
      <c r="CH84" s="3162"/>
      <c r="CI84" s="3162"/>
      <c r="CJ84" s="3162"/>
      <c r="CK84" s="3162"/>
      <c r="CL84" s="3162"/>
      <c r="CM84" s="3162"/>
      <c r="CN84" s="3162"/>
      <c r="CO84" s="3162"/>
    </row>
    <row r="85" spans="1:93" ht="20.25" customHeight="1" x14ac:dyDescent="0.25">
      <c r="A85" s="3168"/>
      <c r="B85" s="3271" t="s">
        <v>42</v>
      </c>
      <c r="C85" s="3270">
        <f>SUM(C78:C84)</f>
        <v>0</v>
      </c>
      <c r="D85" s="3245">
        <f t="shared" ref="D85:E85" si="5">SUM(D78:D84)</f>
        <v>0</v>
      </c>
      <c r="E85" s="3261">
        <f t="shared" si="5"/>
        <v>0</v>
      </c>
      <c r="F85" s="3262">
        <f>SUM(F78:F84)</f>
        <v>0</v>
      </c>
      <c r="G85" s="3263">
        <f t="shared" ref="G85:H85" si="6">SUM(G78:G84)</f>
        <v>0</v>
      </c>
      <c r="H85" s="3263">
        <f t="shared" si="6"/>
        <v>0</v>
      </c>
      <c r="I85" s="1057"/>
      <c r="J85" s="1085"/>
      <c r="K85" s="1085"/>
      <c r="L85" s="1085"/>
      <c r="M85" s="1085"/>
      <c r="N85" s="1085"/>
      <c r="O85" s="1085"/>
      <c r="P85" s="1085"/>
      <c r="Q85" s="1085"/>
      <c r="R85" s="1085"/>
      <c r="S85" s="1085"/>
      <c r="T85" s="1085"/>
      <c r="CH85" s="3162">
        <v>0</v>
      </c>
      <c r="CI85" s="3162">
        <v>0</v>
      </c>
      <c r="CJ85" s="3162"/>
      <c r="CK85" s="3162"/>
      <c r="CL85" s="3162"/>
      <c r="CM85" s="3162"/>
      <c r="CN85" s="3162"/>
      <c r="CO85" s="3162"/>
    </row>
    <row r="86" spans="1:93" x14ac:dyDescent="0.25">
      <c r="E86" s="3204"/>
      <c r="I86" s="3167"/>
      <c r="J86" s="3167"/>
      <c r="K86" s="3167"/>
      <c r="L86" s="3167"/>
      <c r="M86" s="3167"/>
      <c r="N86" s="3167"/>
      <c r="O86" s="3167"/>
      <c r="P86" s="3167"/>
      <c r="Q86" s="3167"/>
      <c r="R86" s="3167"/>
      <c r="S86" s="3167"/>
      <c r="T86" s="3167"/>
      <c r="CH86" s="3162">
        <v>0</v>
      </c>
      <c r="CI86" s="3162">
        <v>0</v>
      </c>
      <c r="CJ86" s="3162"/>
      <c r="CK86" s="3162"/>
      <c r="CL86" s="3162"/>
      <c r="CM86" s="3162"/>
      <c r="CN86" s="3162"/>
      <c r="CO86" s="3162"/>
    </row>
    <row r="87" spans="1:93" x14ac:dyDescent="0.25">
      <c r="I87" s="3167"/>
      <c r="J87" s="3167"/>
      <c r="K87" s="3167"/>
      <c r="L87" s="3167"/>
      <c r="M87" s="3167"/>
      <c r="N87" s="3167"/>
      <c r="O87" s="3167"/>
      <c r="P87" s="3167"/>
      <c r="Q87" s="3167"/>
      <c r="R87" s="3167"/>
      <c r="S87" s="3167"/>
      <c r="T87" s="3167"/>
      <c r="CH87" s="3162"/>
      <c r="CI87" s="3162"/>
      <c r="CJ87" s="3162"/>
      <c r="CK87" s="3162"/>
      <c r="CL87" s="3162"/>
      <c r="CM87" s="3162"/>
      <c r="CN87" s="3162"/>
      <c r="CO87" s="3162"/>
    </row>
    <row r="88" spans="1:93" x14ac:dyDescent="0.25">
      <c r="A88" s="3157" t="s">
        <v>3740</v>
      </c>
      <c r="CH88" s="3162"/>
      <c r="CI88" s="3162"/>
      <c r="CJ88" s="3162"/>
      <c r="CK88" s="3162"/>
      <c r="CL88" s="3162"/>
      <c r="CM88" s="3162"/>
      <c r="CN88" s="3162"/>
      <c r="CO88" s="3162"/>
    </row>
    <row r="89" spans="1:93" x14ac:dyDescent="0.15">
      <c r="A89" s="4629">
        <v>21800820</v>
      </c>
      <c r="CH89" s="3162"/>
      <c r="CI89" s="3162"/>
      <c r="CJ89" s="3162"/>
      <c r="CK89" s="3162"/>
      <c r="CL89" s="3162"/>
      <c r="CM89" s="3162"/>
      <c r="CN89" s="3162"/>
      <c r="CO89" s="3162"/>
    </row>
    <row r="90" spans="1:93" x14ac:dyDescent="0.15">
      <c r="A90" s="4629">
        <v>21400800</v>
      </c>
      <c r="CH90" s="3162"/>
      <c r="CI90" s="3162"/>
      <c r="CJ90" s="3162"/>
      <c r="CK90" s="3162"/>
      <c r="CL90" s="3162"/>
      <c r="CM90" s="3162"/>
      <c r="CN90" s="3162"/>
      <c r="CO90" s="3162"/>
    </row>
    <row r="91" spans="1:93" x14ac:dyDescent="0.15">
      <c r="A91" s="4629">
        <v>21400900</v>
      </c>
      <c r="CH91" s="3162"/>
      <c r="CI91" s="3162"/>
      <c r="CJ91" s="3162"/>
      <c r="CK91" s="3162"/>
      <c r="CL91" s="3162"/>
      <c r="CM91" s="3162"/>
      <c r="CN91" s="3162"/>
      <c r="CO91" s="3162"/>
    </row>
    <row r="92" spans="1:93" x14ac:dyDescent="0.15">
      <c r="A92" s="4629">
        <v>21500100</v>
      </c>
      <c r="CH92" s="3162"/>
      <c r="CI92" s="3162"/>
      <c r="CJ92" s="3162"/>
      <c r="CK92" s="3162"/>
      <c r="CL92" s="3162"/>
      <c r="CM92" s="3162"/>
      <c r="CN92" s="3162"/>
      <c r="CO92" s="3162"/>
    </row>
    <row r="93" spans="1:93" x14ac:dyDescent="0.15">
      <c r="A93" s="4629">
        <v>21500200</v>
      </c>
      <c r="CH93" s="3162"/>
      <c r="CI93" s="3162"/>
      <c r="CJ93" s="3162"/>
      <c r="CK93" s="3162"/>
      <c r="CL93" s="3162"/>
      <c r="CM93" s="3162"/>
      <c r="CN93" s="3162"/>
      <c r="CO93" s="3162"/>
    </row>
    <row r="94" spans="1:93" x14ac:dyDescent="0.15">
      <c r="A94" s="4663">
        <v>21800830</v>
      </c>
      <c r="CH94" s="3162"/>
      <c r="CI94" s="3162"/>
      <c r="CJ94" s="3162"/>
      <c r="CK94" s="3162"/>
      <c r="CL94" s="3162"/>
      <c r="CM94" s="3162"/>
      <c r="CN94" s="3162"/>
      <c r="CO94" s="3162"/>
    </row>
    <row r="95" spans="1:93" x14ac:dyDescent="0.15">
      <c r="A95" s="4663">
        <v>21800840</v>
      </c>
      <c r="CH95" s="3162"/>
      <c r="CI95" s="3162"/>
      <c r="CJ95" s="3162"/>
      <c r="CK95" s="3162"/>
      <c r="CL95" s="3162"/>
      <c r="CM95" s="3162"/>
      <c r="CN95" s="3162"/>
      <c r="CO95" s="3162"/>
    </row>
    <row r="96" spans="1:93" x14ac:dyDescent="0.15">
      <c r="A96" s="4663"/>
      <c r="CH96" s="3162"/>
      <c r="CI96" s="3162"/>
      <c r="CJ96" s="3162"/>
      <c r="CK96" s="3162"/>
      <c r="CL96" s="3162"/>
      <c r="CM96" s="3162"/>
      <c r="CN96" s="3162"/>
      <c r="CO96" s="3162"/>
    </row>
    <row r="97" spans="1:93" x14ac:dyDescent="0.25">
      <c r="CH97" s="3162"/>
      <c r="CI97" s="3162"/>
      <c r="CJ97" s="3162"/>
      <c r="CK97" s="3162"/>
      <c r="CL97" s="3162"/>
      <c r="CM97" s="3162"/>
      <c r="CN97" s="3162"/>
      <c r="CO97" s="3162"/>
    </row>
    <row r="98" spans="1:93" x14ac:dyDescent="0.25">
      <c r="A98" s="3157" t="s">
        <v>3742</v>
      </c>
      <c r="CH98" s="3162"/>
      <c r="CI98" s="3162"/>
      <c r="CJ98" s="3162"/>
      <c r="CK98" s="3162"/>
      <c r="CL98" s="3162"/>
      <c r="CM98" s="3162"/>
      <c r="CN98" s="3162"/>
      <c r="CO98" s="3162"/>
    </row>
    <row r="99" spans="1:93" x14ac:dyDescent="0.25">
      <c r="A99" s="4666">
        <v>21900100</v>
      </c>
      <c r="CH99" s="3162"/>
      <c r="CI99" s="3162"/>
      <c r="CJ99" s="3162"/>
      <c r="CK99" s="3162"/>
      <c r="CL99" s="3162"/>
      <c r="CM99" s="3162"/>
      <c r="CN99" s="3162"/>
      <c r="CO99" s="3162"/>
    </row>
    <row r="100" spans="1:93" x14ac:dyDescent="0.25">
      <c r="A100" s="4666">
        <v>21900110</v>
      </c>
      <c r="CH100" s="3162"/>
      <c r="CI100" s="3162"/>
      <c r="CJ100" s="3162"/>
      <c r="CK100" s="3162"/>
      <c r="CL100" s="3162"/>
      <c r="CM100" s="3162"/>
      <c r="CN100" s="3162"/>
      <c r="CO100" s="3162"/>
    </row>
    <row r="101" spans="1:93" x14ac:dyDescent="0.25">
      <c r="A101" s="4666">
        <v>21900120</v>
      </c>
      <c r="CH101" s="3162"/>
      <c r="CI101" s="3162"/>
      <c r="CJ101" s="3162"/>
      <c r="CK101" s="3162"/>
      <c r="CL101" s="3162"/>
      <c r="CM101" s="3162"/>
      <c r="CN101" s="3162"/>
      <c r="CO101" s="3162"/>
    </row>
    <row r="102" spans="1:93" x14ac:dyDescent="0.25">
      <c r="A102" s="4666">
        <v>21900130</v>
      </c>
      <c r="CH102" s="3162"/>
      <c r="CI102" s="3162"/>
      <c r="CJ102" s="3162"/>
      <c r="CK102" s="3162"/>
      <c r="CL102" s="3162"/>
      <c r="CM102" s="3162"/>
      <c r="CN102" s="3162"/>
      <c r="CO102" s="3162"/>
    </row>
    <row r="103" spans="1:93" x14ac:dyDescent="0.25">
      <c r="A103" s="4666">
        <v>21900140</v>
      </c>
    </row>
    <row r="104" spans="1:93" x14ac:dyDescent="0.25">
      <c r="A104" s="4666">
        <v>21900150</v>
      </c>
    </row>
    <row r="105" spans="1:93" x14ac:dyDescent="0.25">
      <c r="A105" s="4666">
        <v>21900160</v>
      </c>
    </row>
    <row r="106" spans="1:93" x14ac:dyDescent="0.25">
      <c r="A106" s="4666">
        <v>21900170</v>
      </c>
    </row>
    <row r="107" spans="1:93" x14ac:dyDescent="0.25">
      <c r="A107" s="4666">
        <v>21900180</v>
      </c>
    </row>
    <row r="108" spans="1:93" x14ac:dyDescent="0.25">
      <c r="A108" s="4666">
        <v>21900190</v>
      </c>
    </row>
    <row r="109" spans="1:93" x14ac:dyDescent="0.25">
      <c r="A109" s="4666">
        <v>21900200</v>
      </c>
    </row>
    <row r="110" spans="1:93" x14ac:dyDescent="0.25">
      <c r="A110" s="4666">
        <v>21900210</v>
      </c>
    </row>
    <row r="111" spans="1:93" x14ac:dyDescent="0.25">
      <c r="A111" s="4666">
        <v>21900220</v>
      </c>
    </row>
    <row r="197" spans="2:105" ht="11.1" customHeight="1" x14ac:dyDescent="0.25"/>
    <row r="198" spans="2:105" s="3264" customFormat="1" ht="18.600000000000001" hidden="1" customHeight="1" x14ac:dyDescent="0.25">
      <c r="B198" s="3264">
        <f>SUM(C12:P12,C19:C23,C45,D53,C74:J74,C85:H85,D54:D57,C48:C50,D28:D34)</f>
        <v>0</v>
      </c>
      <c r="C198" s="3264" t="e">
        <f>SUM(CH3:CO102)</f>
        <v>#VALUE!</v>
      </c>
      <c r="BY198" s="3265"/>
      <c r="BZ198" s="3265"/>
      <c r="CA198" s="3265"/>
      <c r="CB198" s="3265"/>
      <c r="CC198" s="3265"/>
      <c r="CD198" s="3265"/>
      <c r="CE198" s="3265"/>
      <c r="CF198" s="3265"/>
      <c r="CG198" s="3265"/>
      <c r="CH198" s="3265"/>
      <c r="CI198" s="3265"/>
      <c r="CJ198" s="3265"/>
      <c r="CK198" s="3265"/>
      <c r="CL198" s="3265"/>
      <c r="CM198" s="3265"/>
      <c r="CN198" s="3265"/>
      <c r="CO198" s="3265"/>
      <c r="CP198" s="3265"/>
      <c r="CQ198" s="3265"/>
      <c r="CR198" s="3265"/>
      <c r="CS198" s="3265"/>
      <c r="CT198" s="3265"/>
      <c r="CU198" s="3265"/>
      <c r="CV198" s="3265"/>
      <c r="CW198" s="3265"/>
      <c r="CX198" s="3265"/>
      <c r="CY198" s="3265"/>
      <c r="CZ198" s="3265"/>
      <c r="DA198" s="3265"/>
    </row>
  </sheetData>
  <mergeCells count="36">
    <mergeCell ref="L9:P10"/>
    <mergeCell ref="B53:C53"/>
    <mergeCell ref="B54:B55"/>
    <mergeCell ref="B56:B57"/>
    <mergeCell ref="B9:B11"/>
    <mergeCell ref="C9:C11"/>
    <mergeCell ref="D9:D11"/>
    <mergeCell ref="B51:F51"/>
    <mergeCell ref="G9:G11"/>
    <mergeCell ref="H9:K10"/>
    <mergeCell ref="B26:C27"/>
    <mergeCell ref="B32:B33"/>
    <mergeCell ref="E26:F26"/>
    <mergeCell ref="D26:D27"/>
    <mergeCell ref="B34:C34"/>
    <mergeCell ref="AA9:AC10"/>
    <mergeCell ref="E9:E11"/>
    <mergeCell ref="F9:F11"/>
    <mergeCell ref="C76:H76"/>
    <mergeCell ref="G59:J59"/>
    <mergeCell ref="G60:H60"/>
    <mergeCell ref="I60:J60"/>
    <mergeCell ref="B75:H75"/>
    <mergeCell ref="B76:B77"/>
    <mergeCell ref="G26:L26"/>
    <mergeCell ref="Q9:U10"/>
    <mergeCell ref="V9:Z10"/>
    <mergeCell ref="B58:H58"/>
    <mergeCell ref="B59:B61"/>
    <mergeCell ref="C59:D60"/>
    <mergeCell ref="E59:F60"/>
    <mergeCell ref="A10:A11"/>
    <mergeCell ref="B28:C28"/>
    <mergeCell ref="B29:C29"/>
    <mergeCell ref="B30:C30"/>
    <mergeCell ref="B31:C31"/>
  </mergeCells>
  <phoneticPr fontId="87" type="noConversion"/>
  <dataValidations count="3">
    <dataValidation allowBlank="1" showInputMessage="1" showErrorMessage="1" errorTitle="Error de ingreso" error="Debe ingresar sólo números." sqref="B6:B1048576 CB53:CO55 C26:DA26 DC26:XFD26 C1:XFD25 CB27:XFD34 C35:XFD35 D27:BY34 C36:BU45 CB36:XFD50 C46:BX50 C72:DA73 DE72:XFD73 CP51:XFD56 C57:XFD71 C51:CA56 CH56:CO56 C32:C33 C27 C74:XFD1048576" xr:uid="{00000000-0002-0000-0D00-000000000000}"/>
    <dataValidation operator="greaterThanOrEqual" allowBlank="1" showInputMessage="1" showErrorMessage="1" error="Valor no Permitido" sqref="B1:B5" xr:uid="{00000000-0002-0000-0D00-000001000000}"/>
    <dataValidation type="whole" allowBlank="1" showInputMessage="1" showErrorMessage="1" errorTitle="ERROR" error="Por Favor ingrese solo Números. " sqref="A96" xr:uid="{00000000-0002-0000-0D00-000002000000}">
      <formula1>0</formula1>
      <formula2>100000000</formula2>
    </dataValidation>
  </dataValidations>
  <pageMargins left="0.7" right="0.7" top="0.75" bottom="0.75" header="0.3" footer="0.3"/>
  <pageSetup paperSize="9" orientation="portrait" r:id="rId1"/>
  <extLst>
    <ext xmlns:mx="http://schemas.microsoft.com/office/mac/excel/2008/main" uri="{64002731-A6B0-56B0-2670-7721B7C09600}">
      <mx:PLV Mode="0" OnePage="0" WScale="0"/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Hoja17">
    <tabColor theme="0"/>
  </sheetPr>
  <dimension ref="A1:DA197"/>
  <sheetViews>
    <sheetView zoomScale="90" zoomScaleNormal="90" workbookViewId="0"/>
  </sheetViews>
  <sheetFormatPr baseColWidth="10" defaultColWidth="11.42578125" defaultRowHeight="14.25" x14ac:dyDescent="0.2"/>
  <cols>
    <col min="1" max="1" width="13.5703125" style="80" customWidth="1"/>
    <col min="2" max="2" width="36.85546875" style="80" customWidth="1"/>
    <col min="3" max="3" width="30.42578125" style="80" customWidth="1"/>
    <col min="4" max="4" width="18.42578125" style="80" customWidth="1"/>
    <col min="5" max="6" width="14.7109375" style="80" customWidth="1"/>
    <col min="7" max="7" width="14" style="80" customWidth="1"/>
    <col min="8" max="8" width="14.85546875" style="80" customWidth="1"/>
    <col min="9" max="19" width="11.42578125" style="80"/>
    <col min="20" max="20" width="13.140625" style="80" customWidth="1"/>
    <col min="21" max="38" width="11.42578125" style="80"/>
    <col min="39" max="39" width="12.7109375" style="80" customWidth="1"/>
    <col min="40" max="74" width="11.42578125" style="80"/>
    <col min="75" max="77" width="11.85546875" style="80" customWidth="1"/>
    <col min="78" max="78" width="11.85546875" style="79" customWidth="1"/>
    <col min="79" max="79" width="12.7109375" style="79" customWidth="1"/>
    <col min="80" max="105" width="12.7109375" style="889" hidden="1" customWidth="1"/>
    <col min="106" max="16384" width="11.42578125" style="80"/>
  </cols>
  <sheetData>
    <row r="1" spans="1:92" ht="16.350000000000001" customHeight="1" x14ac:dyDescent="0.2">
      <c r="B1" s="78" t="s">
        <v>910</v>
      </c>
    </row>
    <row r="2" spans="1:92" ht="16.350000000000001" customHeight="1" x14ac:dyDescent="0.2">
      <c r="B2" s="78" t="str">
        <f>CONCATENATE("COMUNA: ",NOMBRE!B2," - ","( ",NOMBRE!C2,NOMBRE!D2,NOMBRE!E2,NOMBRE!F2,NOMBRE!G2," )")</f>
        <v>COMUNA:  - (  )</v>
      </c>
    </row>
    <row r="3" spans="1:92" ht="16.350000000000001" customHeight="1" x14ac:dyDescent="0.2">
      <c r="B3" s="78" t="str">
        <f>CONCATENATE("ESTABLECIMIENTO/ESTRATEGIA: ",NOMBRE!B3," - ","( ",NOMBRE!C3,NOMBRE!D3,NOMBRE!E3,NOMBRE!F3,NOMBRE!G3,NOMBRE!H3," )")</f>
        <v>ESTABLECIMIENTO/ESTRATEGIA:  - (  )</v>
      </c>
    </row>
    <row r="4" spans="1:92" ht="16.350000000000001" customHeight="1" x14ac:dyDescent="0.2">
      <c r="B4" s="78" t="str">
        <f>CONCATENATE("MES: ",NOMBRE!B6," - ","( ",NOMBRE!C6,NOMBRE!D6," )")</f>
        <v>MES:  - (  )</v>
      </c>
    </row>
    <row r="5" spans="1:92" ht="16.350000000000001" customHeight="1" x14ac:dyDescent="0.2">
      <c r="B5" s="78" t="str">
        <f>CONCATENATE("AÑO: ",NOMBRE!B7)</f>
        <v>AÑO: 2020</v>
      </c>
    </row>
    <row r="6" spans="1:92" ht="15" x14ac:dyDescent="0.2">
      <c r="B6" s="5148" t="s">
        <v>2401</v>
      </c>
      <c r="C6" s="5148"/>
      <c r="D6" s="5148"/>
      <c r="E6" s="5148"/>
      <c r="F6" s="5148"/>
      <c r="G6" s="5148"/>
      <c r="H6" s="5148"/>
      <c r="I6" s="5148"/>
      <c r="J6" s="5148"/>
      <c r="K6" s="5148"/>
      <c r="L6" s="5148"/>
      <c r="M6" s="5148"/>
      <c r="N6" s="5148"/>
      <c r="O6" s="5148"/>
      <c r="P6" s="5148"/>
      <c r="Q6" s="5148"/>
      <c r="R6" s="5148"/>
      <c r="S6" s="5148"/>
      <c r="T6" s="5148"/>
      <c r="U6" s="5148"/>
      <c r="V6" s="5148"/>
      <c r="W6" s="5148"/>
      <c r="CH6" s="1020"/>
      <c r="CI6" s="1020"/>
      <c r="CJ6" s="1020"/>
      <c r="CK6" s="1020"/>
      <c r="CL6" s="1020"/>
      <c r="CM6" s="1020"/>
      <c r="CN6" s="1020"/>
    </row>
    <row r="7" spans="1:92" ht="15" x14ac:dyDescent="0.2">
      <c r="B7" s="1892"/>
      <c r="C7" s="1892"/>
      <c r="D7" s="1892"/>
      <c r="E7" s="1892"/>
      <c r="F7" s="1892"/>
      <c r="G7" s="1892"/>
      <c r="H7" s="1892"/>
      <c r="I7" s="1892"/>
      <c r="J7" s="1892"/>
      <c r="K7" s="1892"/>
      <c r="L7" s="1892"/>
      <c r="M7" s="1892"/>
      <c r="N7" s="1892"/>
      <c r="O7" s="1892"/>
      <c r="P7" s="1892"/>
      <c r="Q7" s="1892"/>
      <c r="R7" s="1892"/>
      <c r="S7" s="1892"/>
      <c r="T7" s="1892"/>
      <c r="U7" s="1892"/>
      <c r="V7" s="1892"/>
      <c r="W7" s="1892"/>
      <c r="CH7" s="1020"/>
      <c r="CI7" s="1020"/>
      <c r="CJ7" s="1020"/>
      <c r="CK7" s="1020"/>
      <c r="CL7" s="1020"/>
      <c r="CM7" s="1020"/>
      <c r="CN7" s="1020"/>
    </row>
    <row r="8" spans="1:92" ht="32.1" customHeight="1" x14ac:dyDescent="0.2">
      <c r="B8" s="2122" t="s">
        <v>2402</v>
      </c>
      <c r="C8" s="2123"/>
      <c r="D8" s="2123"/>
      <c r="E8" s="2123"/>
      <c r="F8" s="2123"/>
      <c r="G8" s="2123"/>
      <c r="H8" s="2123"/>
      <c r="I8" s="2123"/>
      <c r="J8" s="2123"/>
      <c r="K8" s="2123"/>
      <c r="L8" s="2123"/>
      <c r="M8" s="2123"/>
      <c r="N8" s="2123"/>
      <c r="O8" s="2123"/>
      <c r="P8" s="2123"/>
      <c r="Q8" s="2123"/>
      <c r="R8" s="2123"/>
      <c r="S8" s="2123"/>
      <c r="T8" s="2123"/>
      <c r="U8" s="2123"/>
      <c r="V8" s="2123"/>
      <c r="W8" s="2123"/>
      <c r="X8" s="1946"/>
      <c r="Y8" s="1946"/>
      <c r="Z8" s="1946"/>
      <c r="AA8" s="1946"/>
      <c r="AB8" s="1946"/>
      <c r="AC8" s="1946"/>
      <c r="AD8" s="1946"/>
      <c r="AE8" s="1946"/>
      <c r="AF8" s="1946"/>
      <c r="AG8" s="1946"/>
      <c r="AH8" s="1946"/>
      <c r="AI8" s="1946"/>
      <c r="AJ8" s="1946"/>
      <c r="AK8" s="1946"/>
      <c r="AL8" s="1946"/>
      <c r="CH8" s="1020"/>
      <c r="CI8" s="1020"/>
      <c r="CJ8" s="1020"/>
      <c r="CK8" s="1020"/>
      <c r="CL8" s="1020"/>
      <c r="CM8" s="1020"/>
      <c r="CN8" s="1020"/>
    </row>
    <row r="9" spans="1:92" ht="16.350000000000001" customHeight="1" x14ac:dyDescent="0.2">
      <c r="B9" s="6401" t="s">
        <v>2403</v>
      </c>
      <c r="C9" s="5967"/>
      <c r="D9" s="6402" t="s">
        <v>42</v>
      </c>
      <c r="E9" s="6403"/>
      <c r="F9" s="6404"/>
      <c r="G9" s="6411" t="s">
        <v>5</v>
      </c>
      <c r="H9" s="6411"/>
      <c r="I9" s="6411"/>
      <c r="J9" s="6411"/>
      <c r="K9" s="6411"/>
      <c r="L9" s="6411"/>
      <c r="M9" s="6411"/>
      <c r="N9" s="6411"/>
      <c r="O9" s="6411"/>
      <c r="P9" s="6411"/>
      <c r="Q9" s="6411"/>
      <c r="R9" s="6411"/>
      <c r="S9" s="6411"/>
      <c r="T9" s="6411"/>
      <c r="U9" s="6411"/>
      <c r="V9" s="6411"/>
      <c r="W9" s="6411"/>
      <c r="X9" s="6411"/>
      <c r="Y9" s="6411"/>
      <c r="Z9" s="6411"/>
      <c r="AA9" s="6411"/>
      <c r="AB9" s="6411"/>
      <c r="AC9" s="6411"/>
      <c r="AD9" s="6411"/>
      <c r="AE9" s="6411"/>
      <c r="AF9" s="6411"/>
      <c r="AG9" s="6411"/>
      <c r="AH9" s="6411"/>
      <c r="AI9" s="6411"/>
      <c r="AJ9" s="6411"/>
      <c r="AK9" s="6411"/>
      <c r="AL9" s="6412"/>
      <c r="AM9" s="6219" t="s">
        <v>2404</v>
      </c>
      <c r="AN9" s="6299" t="s">
        <v>1634</v>
      </c>
      <c r="CH9" s="1020"/>
      <c r="CI9" s="1020"/>
      <c r="CJ9" s="1020"/>
      <c r="CK9" s="1020"/>
      <c r="CL9" s="1020"/>
      <c r="CM9" s="1020"/>
      <c r="CN9" s="1020"/>
    </row>
    <row r="10" spans="1:92" ht="16.350000000000001" customHeight="1" x14ac:dyDescent="0.2">
      <c r="B10" s="5547"/>
      <c r="C10" s="5258"/>
      <c r="D10" s="6405"/>
      <c r="E10" s="6406"/>
      <c r="F10" s="6407"/>
      <c r="G10" s="6413" t="s">
        <v>2405</v>
      </c>
      <c r="H10" s="6209"/>
      <c r="I10" s="6413" t="s">
        <v>2406</v>
      </c>
      <c r="J10" s="6209"/>
      <c r="K10" s="6413" t="s">
        <v>2407</v>
      </c>
      <c r="L10" s="6209"/>
      <c r="M10" s="6208" t="s">
        <v>2408</v>
      </c>
      <c r="N10" s="6208"/>
      <c r="O10" s="6413" t="s">
        <v>2409</v>
      </c>
      <c r="P10" s="6209"/>
      <c r="Q10" s="6208" t="s">
        <v>2410</v>
      </c>
      <c r="R10" s="6208"/>
      <c r="S10" s="6413" t="s">
        <v>2411</v>
      </c>
      <c r="T10" s="6209"/>
      <c r="U10" s="6208" t="s">
        <v>663</v>
      </c>
      <c r="V10" s="6208"/>
      <c r="W10" s="6413" t="s">
        <v>664</v>
      </c>
      <c r="X10" s="6209"/>
      <c r="Y10" s="6208" t="s">
        <v>665</v>
      </c>
      <c r="Z10" s="6208"/>
      <c r="AA10" s="6413" t="s">
        <v>666</v>
      </c>
      <c r="AB10" s="6209"/>
      <c r="AC10" s="6208" t="s">
        <v>667</v>
      </c>
      <c r="AD10" s="6208"/>
      <c r="AE10" s="6413" t="s">
        <v>668</v>
      </c>
      <c r="AF10" s="6209"/>
      <c r="AG10" s="6208" t="s">
        <v>669</v>
      </c>
      <c r="AH10" s="6208"/>
      <c r="AI10" s="6413" t="s">
        <v>670</v>
      </c>
      <c r="AJ10" s="6209"/>
      <c r="AK10" s="6208" t="s">
        <v>2412</v>
      </c>
      <c r="AL10" s="6414"/>
      <c r="AM10" s="5123"/>
      <c r="AN10" s="5810"/>
      <c r="CH10" s="1020"/>
      <c r="CI10" s="1020"/>
      <c r="CJ10" s="1020"/>
      <c r="CK10" s="1020"/>
      <c r="CL10" s="1020"/>
      <c r="CM10" s="1020"/>
      <c r="CN10" s="1020"/>
    </row>
    <row r="11" spans="1:92" ht="16.350000000000001" customHeight="1" x14ac:dyDescent="0.2">
      <c r="A11" s="5370" t="s">
        <v>2775</v>
      </c>
      <c r="B11" s="5547"/>
      <c r="C11" s="5258"/>
      <c r="D11" s="6408"/>
      <c r="E11" s="6409"/>
      <c r="F11" s="6410"/>
      <c r="G11" s="6313"/>
      <c r="H11" s="6211"/>
      <c r="I11" s="6313"/>
      <c r="J11" s="6211"/>
      <c r="K11" s="6313"/>
      <c r="L11" s="6211"/>
      <c r="M11" s="6210"/>
      <c r="N11" s="6210"/>
      <c r="O11" s="6313"/>
      <c r="P11" s="6211"/>
      <c r="Q11" s="6210"/>
      <c r="R11" s="6210"/>
      <c r="S11" s="6313"/>
      <c r="T11" s="6211"/>
      <c r="U11" s="6210"/>
      <c r="V11" s="6210"/>
      <c r="W11" s="6313"/>
      <c r="X11" s="6211"/>
      <c r="Y11" s="6210"/>
      <c r="Z11" s="6210"/>
      <c r="AA11" s="6313"/>
      <c r="AB11" s="6211"/>
      <c r="AC11" s="6210"/>
      <c r="AD11" s="6210"/>
      <c r="AE11" s="6313"/>
      <c r="AF11" s="6211"/>
      <c r="AG11" s="6210"/>
      <c r="AH11" s="6210"/>
      <c r="AI11" s="6313"/>
      <c r="AJ11" s="6211"/>
      <c r="AK11" s="6210"/>
      <c r="AL11" s="6415"/>
      <c r="AM11" s="5123"/>
      <c r="AN11" s="5810"/>
      <c r="CH11" s="1020"/>
      <c r="CI11" s="1020"/>
      <c r="CJ11" s="1020"/>
      <c r="CK11" s="1020"/>
      <c r="CL11" s="1020"/>
      <c r="CM11" s="1020"/>
      <c r="CN11" s="1020"/>
    </row>
    <row r="12" spans="1:92" ht="16.350000000000001" customHeight="1" x14ac:dyDescent="0.2">
      <c r="A12" s="5370"/>
      <c r="B12" s="5856"/>
      <c r="C12" s="5878"/>
      <c r="D12" s="2066" t="s">
        <v>184</v>
      </c>
      <c r="E12" s="2124" t="s">
        <v>24</v>
      </c>
      <c r="F12" s="1896" t="s">
        <v>25</v>
      </c>
      <c r="G12" s="2066" t="s">
        <v>24</v>
      </c>
      <c r="H12" s="1929" t="s">
        <v>25</v>
      </c>
      <c r="I12" s="2066" t="s">
        <v>24</v>
      </c>
      <c r="J12" s="1929" t="s">
        <v>25</v>
      </c>
      <c r="K12" s="2066" t="s">
        <v>24</v>
      </c>
      <c r="L12" s="1929" t="s">
        <v>25</v>
      </c>
      <c r="M12" s="2125" t="s">
        <v>24</v>
      </c>
      <c r="N12" s="1935" t="s">
        <v>25</v>
      </c>
      <c r="O12" s="2066" t="s">
        <v>24</v>
      </c>
      <c r="P12" s="1929" t="s">
        <v>25</v>
      </c>
      <c r="Q12" s="2125" t="s">
        <v>24</v>
      </c>
      <c r="R12" s="1935" t="s">
        <v>25</v>
      </c>
      <c r="S12" s="2066" t="s">
        <v>24</v>
      </c>
      <c r="T12" s="1929" t="s">
        <v>25</v>
      </c>
      <c r="U12" s="2125" t="s">
        <v>24</v>
      </c>
      <c r="V12" s="1935" t="s">
        <v>25</v>
      </c>
      <c r="W12" s="2066" t="s">
        <v>24</v>
      </c>
      <c r="X12" s="1929" t="s">
        <v>25</v>
      </c>
      <c r="Y12" s="2125" t="s">
        <v>24</v>
      </c>
      <c r="Z12" s="1935" t="s">
        <v>25</v>
      </c>
      <c r="AA12" s="2066" t="s">
        <v>24</v>
      </c>
      <c r="AB12" s="1929" t="s">
        <v>25</v>
      </c>
      <c r="AC12" s="2125" t="s">
        <v>24</v>
      </c>
      <c r="AD12" s="1935" t="s">
        <v>25</v>
      </c>
      <c r="AE12" s="2066" t="s">
        <v>24</v>
      </c>
      <c r="AF12" s="1929" t="s">
        <v>25</v>
      </c>
      <c r="AG12" s="2125" t="s">
        <v>24</v>
      </c>
      <c r="AH12" s="1935" t="s">
        <v>25</v>
      </c>
      <c r="AI12" s="2066" t="s">
        <v>24</v>
      </c>
      <c r="AJ12" s="1929" t="s">
        <v>25</v>
      </c>
      <c r="AK12" s="2125" t="s">
        <v>24</v>
      </c>
      <c r="AL12" s="2126" t="s">
        <v>25</v>
      </c>
      <c r="AM12" s="5403"/>
      <c r="AN12" s="6300"/>
      <c r="CH12" s="1020"/>
      <c r="CI12" s="1020"/>
      <c r="CJ12" s="1020"/>
      <c r="CK12" s="1020"/>
      <c r="CL12" s="1020"/>
      <c r="CM12" s="1020"/>
      <c r="CN12" s="1020"/>
    </row>
    <row r="13" spans="1:92" ht="16.350000000000001" customHeight="1" x14ac:dyDescent="0.2">
      <c r="A13" s="3096">
        <v>23030100</v>
      </c>
      <c r="B13" s="6416" t="s">
        <v>2413</v>
      </c>
      <c r="C13" s="6417"/>
      <c r="D13" s="3041" t="s">
        <v>2777</v>
      </c>
      <c r="E13" s="3272" t="s">
        <v>2778</v>
      </c>
      <c r="F13" s="3035" t="s">
        <v>2779</v>
      </c>
      <c r="G13" s="3307" t="s">
        <v>2780</v>
      </c>
      <c r="H13" s="3295" t="s">
        <v>2781</v>
      </c>
      <c r="I13" s="3307" t="s">
        <v>2782</v>
      </c>
      <c r="J13" s="3308" t="s">
        <v>2783</v>
      </c>
      <c r="K13" s="3307" t="s">
        <v>2784</v>
      </c>
      <c r="L13" s="3308" t="s">
        <v>2785</v>
      </c>
      <c r="M13" s="3326" t="s">
        <v>2786</v>
      </c>
      <c r="N13" s="3327" t="s">
        <v>2787</v>
      </c>
      <c r="O13" s="3307" t="s">
        <v>2788</v>
      </c>
      <c r="P13" s="3308" t="s">
        <v>2789</v>
      </c>
      <c r="Q13" s="3326" t="s">
        <v>2790</v>
      </c>
      <c r="R13" s="3327" t="s">
        <v>2791</v>
      </c>
      <c r="S13" s="3307" t="s">
        <v>2792</v>
      </c>
      <c r="T13" s="3308" t="s">
        <v>2793</v>
      </c>
      <c r="U13" s="3326" t="s">
        <v>2794</v>
      </c>
      <c r="V13" s="3327" t="s">
        <v>2795</v>
      </c>
      <c r="W13" s="3307" t="s">
        <v>2796</v>
      </c>
      <c r="X13" s="3308" t="s">
        <v>2797</v>
      </c>
      <c r="Y13" s="3326" t="s">
        <v>2798</v>
      </c>
      <c r="Z13" s="3327" t="s">
        <v>2799</v>
      </c>
      <c r="AA13" s="3307" t="s">
        <v>2800</v>
      </c>
      <c r="AB13" s="3308" t="s">
        <v>2801</v>
      </c>
      <c r="AC13" s="3326" t="s">
        <v>2817</v>
      </c>
      <c r="AD13" s="3327" t="s">
        <v>2818</v>
      </c>
      <c r="AE13" s="3307" t="s">
        <v>2819</v>
      </c>
      <c r="AF13" s="3308" t="s">
        <v>2821</v>
      </c>
      <c r="AG13" s="3326" t="s">
        <v>2822</v>
      </c>
      <c r="AH13" s="3327" t="s">
        <v>2823</v>
      </c>
      <c r="AI13" s="3307" t="s">
        <v>2824</v>
      </c>
      <c r="AJ13" s="3308" t="s">
        <v>2825</v>
      </c>
      <c r="AK13" s="3328" t="s">
        <v>2826</v>
      </c>
      <c r="AL13" s="3310" t="s">
        <v>2827</v>
      </c>
      <c r="AM13" s="3295" t="s">
        <v>2831</v>
      </c>
      <c r="AN13" s="3295" t="s">
        <v>2832</v>
      </c>
      <c r="CH13" s="1020"/>
      <c r="CI13" s="1020"/>
      <c r="CJ13" s="1020"/>
      <c r="CK13" s="1020"/>
      <c r="CL13" s="1020"/>
      <c r="CM13" s="1020"/>
      <c r="CN13" s="1020"/>
    </row>
    <row r="14" spans="1:92" ht="16.350000000000001" customHeight="1" x14ac:dyDescent="0.2">
      <c r="A14" s="3097">
        <v>23030300</v>
      </c>
      <c r="B14" s="5267" t="s">
        <v>2414</v>
      </c>
      <c r="C14" s="6418"/>
      <c r="D14" s="3042" t="s">
        <v>2777</v>
      </c>
      <c r="E14" s="3273" t="s">
        <v>2778</v>
      </c>
      <c r="F14" s="3027" t="s">
        <v>2779</v>
      </c>
      <c r="G14" s="2901" t="s">
        <v>2780</v>
      </c>
      <c r="H14" s="2902" t="s">
        <v>2781</v>
      </c>
      <c r="I14" s="2901" t="s">
        <v>2782</v>
      </c>
      <c r="J14" s="3323" t="s">
        <v>2783</v>
      </c>
      <c r="K14" s="2901" t="s">
        <v>2784</v>
      </c>
      <c r="L14" s="3323" t="s">
        <v>2785</v>
      </c>
      <c r="M14" s="3329" t="s">
        <v>2786</v>
      </c>
      <c r="N14" s="3330" t="s">
        <v>2787</v>
      </c>
      <c r="O14" s="2901" t="s">
        <v>2788</v>
      </c>
      <c r="P14" s="3323" t="s">
        <v>2789</v>
      </c>
      <c r="Q14" s="3329" t="s">
        <v>2790</v>
      </c>
      <c r="R14" s="3330" t="s">
        <v>2791</v>
      </c>
      <c r="S14" s="2901" t="s">
        <v>2792</v>
      </c>
      <c r="T14" s="3323" t="s">
        <v>2793</v>
      </c>
      <c r="U14" s="3329" t="s">
        <v>2794</v>
      </c>
      <c r="V14" s="3330" t="s">
        <v>2795</v>
      </c>
      <c r="W14" s="2901" t="s">
        <v>2796</v>
      </c>
      <c r="X14" s="3323" t="s">
        <v>2797</v>
      </c>
      <c r="Y14" s="3329" t="s">
        <v>2798</v>
      </c>
      <c r="Z14" s="3330" t="s">
        <v>2799</v>
      </c>
      <c r="AA14" s="2901" t="s">
        <v>2800</v>
      </c>
      <c r="AB14" s="3323" t="s">
        <v>2801</v>
      </c>
      <c r="AC14" s="3329" t="s">
        <v>2817</v>
      </c>
      <c r="AD14" s="3330" t="s">
        <v>2818</v>
      </c>
      <c r="AE14" s="2901" t="s">
        <v>2819</v>
      </c>
      <c r="AF14" s="3323" t="s">
        <v>2821</v>
      </c>
      <c r="AG14" s="3329" t="s">
        <v>2822</v>
      </c>
      <c r="AH14" s="3330" t="s">
        <v>2823</v>
      </c>
      <c r="AI14" s="2901" t="s">
        <v>2824</v>
      </c>
      <c r="AJ14" s="3323" t="s">
        <v>2825</v>
      </c>
      <c r="AK14" s="3331" t="s">
        <v>2826</v>
      </c>
      <c r="AL14" s="3325" t="s">
        <v>2827</v>
      </c>
      <c r="AM14" s="2902" t="s">
        <v>2831</v>
      </c>
      <c r="AN14" s="2902" t="s">
        <v>2832</v>
      </c>
      <c r="CH14" s="1020"/>
      <c r="CI14" s="1020"/>
      <c r="CJ14" s="1020"/>
      <c r="CK14" s="1020"/>
      <c r="CL14" s="1020"/>
      <c r="CM14" s="1020"/>
      <c r="CN14" s="1020"/>
    </row>
    <row r="15" spans="1:92" ht="16.350000000000001" customHeight="1" x14ac:dyDescent="0.2">
      <c r="A15" s="3097">
        <v>23030400</v>
      </c>
      <c r="B15" s="5267" t="s">
        <v>2415</v>
      </c>
      <c r="C15" s="6418"/>
      <c r="D15" s="3042" t="s">
        <v>2777</v>
      </c>
      <c r="E15" s="3273" t="s">
        <v>2778</v>
      </c>
      <c r="F15" s="3027" t="s">
        <v>2779</v>
      </c>
      <c r="G15" s="2901" t="s">
        <v>2780</v>
      </c>
      <c r="H15" s="2902" t="s">
        <v>2781</v>
      </c>
      <c r="I15" s="2901" t="s">
        <v>2782</v>
      </c>
      <c r="J15" s="3323" t="s">
        <v>2783</v>
      </c>
      <c r="K15" s="2901" t="s">
        <v>2784</v>
      </c>
      <c r="L15" s="3323" t="s">
        <v>2785</v>
      </c>
      <c r="M15" s="3329" t="s">
        <v>2786</v>
      </c>
      <c r="N15" s="3330" t="s">
        <v>2787</v>
      </c>
      <c r="O15" s="2901" t="s">
        <v>2788</v>
      </c>
      <c r="P15" s="3323" t="s">
        <v>2789</v>
      </c>
      <c r="Q15" s="3329" t="s">
        <v>2790</v>
      </c>
      <c r="R15" s="3330" t="s">
        <v>2791</v>
      </c>
      <c r="S15" s="2901" t="s">
        <v>2792</v>
      </c>
      <c r="T15" s="3323" t="s">
        <v>2793</v>
      </c>
      <c r="U15" s="3329" t="s">
        <v>2794</v>
      </c>
      <c r="V15" s="3330" t="s">
        <v>2795</v>
      </c>
      <c r="W15" s="2901" t="s">
        <v>2796</v>
      </c>
      <c r="X15" s="3323" t="s">
        <v>2797</v>
      </c>
      <c r="Y15" s="3329" t="s">
        <v>2798</v>
      </c>
      <c r="Z15" s="3330" t="s">
        <v>2799</v>
      </c>
      <c r="AA15" s="2901" t="s">
        <v>2800</v>
      </c>
      <c r="AB15" s="3323" t="s">
        <v>2801</v>
      </c>
      <c r="AC15" s="3329" t="s">
        <v>2817</v>
      </c>
      <c r="AD15" s="3330" t="s">
        <v>2818</v>
      </c>
      <c r="AE15" s="2901" t="s">
        <v>2819</v>
      </c>
      <c r="AF15" s="3323" t="s">
        <v>2821</v>
      </c>
      <c r="AG15" s="3329" t="s">
        <v>2822</v>
      </c>
      <c r="AH15" s="3330" t="s">
        <v>2823</v>
      </c>
      <c r="AI15" s="2901" t="s">
        <v>2824</v>
      </c>
      <c r="AJ15" s="3323" t="s">
        <v>2825</v>
      </c>
      <c r="AK15" s="3331" t="s">
        <v>2826</v>
      </c>
      <c r="AL15" s="3325" t="s">
        <v>2827</v>
      </c>
      <c r="AM15" s="2902" t="s">
        <v>2831</v>
      </c>
      <c r="AN15" s="2902" t="s">
        <v>2832</v>
      </c>
      <c r="CH15" s="1020"/>
      <c r="CI15" s="1020"/>
      <c r="CJ15" s="1020"/>
      <c r="CK15" s="1020"/>
      <c r="CL15" s="1020"/>
      <c r="CM15" s="1020"/>
      <c r="CN15" s="1020"/>
    </row>
    <row r="16" spans="1:92" ht="16.350000000000001" customHeight="1" x14ac:dyDescent="0.2">
      <c r="A16" s="3097">
        <v>23030500</v>
      </c>
      <c r="B16" s="5267" t="s">
        <v>2416</v>
      </c>
      <c r="C16" s="6418"/>
      <c r="D16" s="3042" t="s">
        <v>2777</v>
      </c>
      <c r="E16" s="3273" t="s">
        <v>2778</v>
      </c>
      <c r="F16" s="3027" t="s">
        <v>2779</v>
      </c>
      <c r="G16" s="2901" t="s">
        <v>2780</v>
      </c>
      <c r="H16" s="2902" t="s">
        <v>2781</v>
      </c>
      <c r="I16" s="2901" t="s">
        <v>2782</v>
      </c>
      <c r="J16" s="3323" t="s">
        <v>2783</v>
      </c>
      <c r="K16" s="2901" t="s">
        <v>2784</v>
      </c>
      <c r="L16" s="3323" t="s">
        <v>2785</v>
      </c>
      <c r="M16" s="3329" t="s">
        <v>2786</v>
      </c>
      <c r="N16" s="3330" t="s">
        <v>2787</v>
      </c>
      <c r="O16" s="2901" t="s">
        <v>2788</v>
      </c>
      <c r="P16" s="3323" t="s">
        <v>2789</v>
      </c>
      <c r="Q16" s="3329" t="s">
        <v>2790</v>
      </c>
      <c r="R16" s="3330" t="s">
        <v>2791</v>
      </c>
      <c r="S16" s="2901" t="s">
        <v>2792</v>
      </c>
      <c r="T16" s="3323" t="s">
        <v>2793</v>
      </c>
      <c r="U16" s="3329" t="s">
        <v>2794</v>
      </c>
      <c r="V16" s="3330" t="s">
        <v>2795</v>
      </c>
      <c r="W16" s="2901" t="s">
        <v>2796</v>
      </c>
      <c r="X16" s="3323" t="s">
        <v>2797</v>
      </c>
      <c r="Y16" s="3329" t="s">
        <v>2798</v>
      </c>
      <c r="Z16" s="3330" t="s">
        <v>2799</v>
      </c>
      <c r="AA16" s="2901" t="s">
        <v>2800</v>
      </c>
      <c r="AB16" s="3323" t="s">
        <v>2801</v>
      </c>
      <c r="AC16" s="3329" t="s">
        <v>2817</v>
      </c>
      <c r="AD16" s="3330" t="s">
        <v>2818</v>
      </c>
      <c r="AE16" s="2901" t="s">
        <v>2819</v>
      </c>
      <c r="AF16" s="3323" t="s">
        <v>2821</v>
      </c>
      <c r="AG16" s="3329" t="s">
        <v>2822</v>
      </c>
      <c r="AH16" s="3330" t="s">
        <v>2823</v>
      </c>
      <c r="AI16" s="2901" t="s">
        <v>2824</v>
      </c>
      <c r="AJ16" s="3323" t="s">
        <v>2825</v>
      </c>
      <c r="AK16" s="3331" t="s">
        <v>2826</v>
      </c>
      <c r="AL16" s="3325" t="s">
        <v>2827</v>
      </c>
      <c r="AM16" s="2902" t="s">
        <v>2831</v>
      </c>
      <c r="AN16" s="2902" t="s">
        <v>2832</v>
      </c>
      <c r="CH16" s="1020"/>
      <c r="CI16" s="1020"/>
      <c r="CJ16" s="1020"/>
      <c r="CK16" s="1020"/>
      <c r="CL16" s="1020"/>
      <c r="CM16" s="1020"/>
      <c r="CN16" s="1020"/>
    </row>
    <row r="17" spans="1:92" ht="16.350000000000001" customHeight="1" x14ac:dyDescent="0.2">
      <c r="A17" s="2458">
        <v>23042000</v>
      </c>
      <c r="B17" s="5313" t="s">
        <v>2417</v>
      </c>
      <c r="C17" s="5302"/>
      <c r="D17" s="3032" t="s">
        <v>2777</v>
      </c>
      <c r="E17" s="3033" t="s">
        <v>2778</v>
      </c>
      <c r="F17" s="3027" t="s">
        <v>2779</v>
      </c>
      <c r="G17" s="2901" t="s">
        <v>2780</v>
      </c>
      <c r="H17" s="2902" t="s">
        <v>2781</v>
      </c>
      <c r="I17" s="2901" t="s">
        <v>2782</v>
      </c>
      <c r="J17" s="3323" t="s">
        <v>2783</v>
      </c>
      <c r="K17" s="2901" t="s">
        <v>2784</v>
      </c>
      <c r="L17" s="3323" t="s">
        <v>2785</v>
      </c>
      <c r="M17" s="3329" t="s">
        <v>2786</v>
      </c>
      <c r="N17" s="3330" t="s">
        <v>2787</v>
      </c>
      <c r="O17" s="2901" t="s">
        <v>2788</v>
      </c>
      <c r="P17" s="3323" t="s">
        <v>2789</v>
      </c>
      <c r="Q17" s="3329" t="s">
        <v>2790</v>
      </c>
      <c r="R17" s="3330" t="s">
        <v>2791</v>
      </c>
      <c r="S17" s="2901" t="s">
        <v>2792</v>
      </c>
      <c r="T17" s="3323" t="s">
        <v>2793</v>
      </c>
      <c r="U17" s="3329" t="s">
        <v>2794</v>
      </c>
      <c r="V17" s="3330" t="s">
        <v>2795</v>
      </c>
      <c r="W17" s="2901" t="s">
        <v>2796</v>
      </c>
      <c r="X17" s="3323" t="s">
        <v>2797</v>
      </c>
      <c r="Y17" s="3329" t="s">
        <v>2798</v>
      </c>
      <c r="Z17" s="3330" t="s">
        <v>2799</v>
      </c>
      <c r="AA17" s="2901" t="s">
        <v>2800</v>
      </c>
      <c r="AB17" s="3323" t="s">
        <v>2801</v>
      </c>
      <c r="AC17" s="3329" t="s">
        <v>2817</v>
      </c>
      <c r="AD17" s="3330" t="s">
        <v>2818</v>
      </c>
      <c r="AE17" s="2901" t="s">
        <v>2819</v>
      </c>
      <c r="AF17" s="3323" t="s">
        <v>2821</v>
      </c>
      <c r="AG17" s="3329" t="s">
        <v>2822</v>
      </c>
      <c r="AH17" s="3330" t="s">
        <v>2823</v>
      </c>
      <c r="AI17" s="2901" t="s">
        <v>2824</v>
      </c>
      <c r="AJ17" s="3323" t="s">
        <v>2825</v>
      </c>
      <c r="AK17" s="3331" t="s">
        <v>2826</v>
      </c>
      <c r="AL17" s="3325" t="s">
        <v>2827</v>
      </c>
      <c r="AM17" s="2902" t="s">
        <v>2831</v>
      </c>
      <c r="AN17" s="2902" t="s">
        <v>2832</v>
      </c>
      <c r="CH17" s="1020"/>
      <c r="CI17" s="1020"/>
      <c r="CJ17" s="1020"/>
      <c r="CK17" s="1020"/>
      <c r="CL17" s="1020"/>
      <c r="CM17" s="1020"/>
      <c r="CN17" s="1020"/>
    </row>
    <row r="18" spans="1:92" ht="16.350000000000001" customHeight="1" x14ac:dyDescent="0.2">
      <c r="A18" s="2458">
        <v>23090410</v>
      </c>
      <c r="B18" s="6419" t="s">
        <v>2418</v>
      </c>
      <c r="C18" s="6420"/>
      <c r="D18" s="3042" t="s">
        <v>2777</v>
      </c>
      <c r="E18" s="3273" t="s">
        <v>2778</v>
      </c>
      <c r="F18" s="3027" t="s">
        <v>2779</v>
      </c>
      <c r="G18" s="2901" t="s">
        <v>2780</v>
      </c>
      <c r="H18" s="2902" t="s">
        <v>2781</v>
      </c>
      <c r="I18" s="2901" t="s">
        <v>2782</v>
      </c>
      <c r="J18" s="3323" t="s">
        <v>2783</v>
      </c>
      <c r="K18" s="2901" t="s">
        <v>2784</v>
      </c>
      <c r="L18" s="3323" t="s">
        <v>2785</v>
      </c>
      <c r="M18" s="3329" t="s">
        <v>2786</v>
      </c>
      <c r="N18" s="3330" t="s">
        <v>2787</v>
      </c>
      <c r="O18" s="2901" t="s">
        <v>2788</v>
      </c>
      <c r="P18" s="3323" t="s">
        <v>2789</v>
      </c>
      <c r="Q18" s="3329" t="s">
        <v>2790</v>
      </c>
      <c r="R18" s="3330" t="s">
        <v>2791</v>
      </c>
      <c r="S18" s="2901" t="s">
        <v>2792</v>
      </c>
      <c r="T18" s="3323" t="s">
        <v>2793</v>
      </c>
      <c r="U18" s="3329" t="s">
        <v>2794</v>
      </c>
      <c r="V18" s="3330" t="s">
        <v>2795</v>
      </c>
      <c r="W18" s="2901" t="s">
        <v>2796</v>
      </c>
      <c r="X18" s="3323" t="s">
        <v>2797</v>
      </c>
      <c r="Y18" s="3329" t="s">
        <v>2798</v>
      </c>
      <c r="Z18" s="3330" t="s">
        <v>2799</v>
      </c>
      <c r="AA18" s="2901" t="s">
        <v>2800</v>
      </c>
      <c r="AB18" s="3323" t="s">
        <v>2801</v>
      </c>
      <c r="AC18" s="3329" t="s">
        <v>2817</v>
      </c>
      <c r="AD18" s="3330" t="s">
        <v>2818</v>
      </c>
      <c r="AE18" s="2901" t="s">
        <v>2819</v>
      </c>
      <c r="AF18" s="3323" t="s">
        <v>2821</v>
      </c>
      <c r="AG18" s="3329" t="s">
        <v>2822</v>
      </c>
      <c r="AH18" s="3330" t="s">
        <v>2823</v>
      </c>
      <c r="AI18" s="2901" t="s">
        <v>2824</v>
      </c>
      <c r="AJ18" s="3323" t="s">
        <v>2825</v>
      </c>
      <c r="AK18" s="3331" t="s">
        <v>2826</v>
      </c>
      <c r="AL18" s="3325" t="s">
        <v>2827</v>
      </c>
      <c r="AM18" s="2902" t="s">
        <v>2831</v>
      </c>
      <c r="AN18" s="2902" t="s">
        <v>2832</v>
      </c>
      <c r="CH18" s="1020"/>
      <c r="CI18" s="1020"/>
      <c r="CJ18" s="1020"/>
      <c r="CK18" s="1020"/>
      <c r="CL18" s="1020"/>
      <c r="CM18" s="1020"/>
      <c r="CN18" s="1020"/>
    </row>
    <row r="19" spans="1:92" ht="16.350000000000001" customHeight="1" x14ac:dyDescent="0.2">
      <c r="A19" s="2458" t="s">
        <v>3692</v>
      </c>
      <c r="B19" s="6031" t="s">
        <v>2419</v>
      </c>
      <c r="C19" s="6183"/>
      <c r="D19" s="3032" t="s">
        <v>2777</v>
      </c>
      <c r="E19" s="3033" t="s">
        <v>2778</v>
      </c>
      <c r="F19" s="3027" t="s">
        <v>2779</v>
      </c>
      <c r="G19" s="2901" t="s">
        <v>2780</v>
      </c>
      <c r="H19" s="2902" t="s">
        <v>2781</v>
      </c>
      <c r="I19" s="2901" t="s">
        <v>2782</v>
      </c>
      <c r="J19" s="3323" t="s">
        <v>2783</v>
      </c>
      <c r="K19" s="3012" t="s">
        <v>2784</v>
      </c>
      <c r="L19" s="3014" t="s">
        <v>2785</v>
      </c>
      <c r="M19" s="3015" t="s">
        <v>2786</v>
      </c>
      <c r="N19" s="3332" t="s">
        <v>2787</v>
      </c>
      <c r="O19" s="3012" t="s">
        <v>2788</v>
      </c>
      <c r="P19" s="3014" t="s">
        <v>2789</v>
      </c>
      <c r="Q19" s="3015" t="s">
        <v>2790</v>
      </c>
      <c r="R19" s="3332" t="s">
        <v>2791</v>
      </c>
      <c r="S19" s="3012" t="s">
        <v>2792</v>
      </c>
      <c r="T19" s="3014" t="s">
        <v>2793</v>
      </c>
      <c r="U19" s="3015" t="s">
        <v>2794</v>
      </c>
      <c r="V19" s="3332" t="s">
        <v>2795</v>
      </c>
      <c r="W19" s="3012" t="s">
        <v>2796</v>
      </c>
      <c r="X19" s="3014" t="s">
        <v>2797</v>
      </c>
      <c r="Y19" s="3015" t="s">
        <v>2798</v>
      </c>
      <c r="Z19" s="3332" t="s">
        <v>2799</v>
      </c>
      <c r="AA19" s="3012" t="s">
        <v>2800</v>
      </c>
      <c r="AB19" s="3014" t="s">
        <v>2801</v>
      </c>
      <c r="AC19" s="3015" t="s">
        <v>2817</v>
      </c>
      <c r="AD19" s="3332" t="s">
        <v>2818</v>
      </c>
      <c r="AE19" s="3012" t="s">
        <v>2819</v>
      </c>
      <c r="AF19" s="3014" t="s">
        <v>2821</v>
      </c>
      <c r="AG19" s="3015" t="s">
        <v>2822</v>
      </c>
      <c r="AH19" s="3332" t="s">
        <v>2823</v>
      </c>
      <c r="AI19" s="3012" t="s">
        <v>2824</v>
      </c>
      <c r="AJ19" s="3014" t="s">
        <v>2825</v>
      </c>
      <c r="AK19" s="3016" t="s">
        <v>2826</v>
      </c>
      <c r="AL19" s="3017" t="s">
        <v>2827</v>
      </c>
      <c r="AM19" s="2902" t="s">
        <v>2831</v>
      </c>
      <c r="AN19" s="2902" t="s">
        <v>2832</v>
      </c>
      <c r="CH19" s="1020"/>
      <c r="CI19" s="1020"/>
      <c r="CJ19" s="1020"/>
      <c r="CK19" s="1020"/>
      <c r="CL19" s="1020"/>
      <c r="CM19" s="1020"/>
      <c r="CN19" s="1020"/>
    </row>
    <row r="20" spans="1:92" ht="16.350000000000001" customHeight="1" x14ac:dyDescent="0.2">
      <c r="A20" s="2458">
        <v>23042100</v>
      </c>
      <c r="B20" s="6419" t="s">
        <v>2420</v>
      </c>
      <c r="C20" s="6420"/>
      <c r="D20" s="3042" t="s">
        <v>2777</v>
      </c>
      <c r="E20" s="3273" t="s">
        <v>2778</v>
      </c>
      <c r="F20" s="3027" t="s">
        <v>2779</v>
      </c>
      <c r="G20" s="3012" t="s">
        <v>2780</v>
      </c>
      <c r="H20" s="3013" t="s">
        <v>2781</v>
      </c>
      <c r="I20" s="2901" t="s">
        <v>2782</v>
      </c>
      <c r="J20" s="3323" t="s">
        <v>2783</v>
      </c>
      <c r="K20" s="2901" t="s">
        <v>2784</v>
      </c>
      <c r="L20" s="3323" t="s">
        <v>2785</v>
      </c>
      <c r="M20" s="3329" t="s">
        <v>2786</v>
      </c>
      <c r="N20" s="3330" t="s">
        <v>2787</v>
      </c>
      <c r="O20" s="2901" t="s">
        <v>2788</v>
      </c>
      <c r="P20" s="3323" t="s">
        <v>2789</v>
      </c>
      <c r="Q20" s="3329" t="s">
        <v>2790</v>
      </c>
      <c r="R20" s="3330" t="s">
        <v>2791</v>
      </c>
      <c r="S20" s="2901" t="s">
        <v>2792</v>
      </c>
      <c r="T20" s="3323" t="s">
        <v>2793</v>
      </c>
      <c r="U20" s="3329" t="s">
        <v>2794</v>
      </c>
      <c r="V20" s="3330" t="s">
        <v>2795</v>
      </c>
      <c r="W20" s="2901" t="s">
        <v>2796</v>
      </c>
      <c r="X20" s="3323" t="s">
        <v>2797</v>
      </c>
      <c r="Y20" s="3329" t="s">
        <v>2798</v>
      </c>
      <c r="Z20" s="3330" t="s">
        <v>2799</v>
      </c>
      <c r="AA20" s="2901" t="s">
        <v>2800</v>
      </c>
      <c r="AB20" s="3323" t="s">
        <v>2801</v>
      </c>
      <c r="AC20" s="3329" t="s">
        <v>2817</v>
      </c>
      <c r="AD20" s="3330" t="s">
        <v>2818</v>
      </c>
      <c r="AE20" s="2901" t="s">
        <v>2819</v>
      </c>
      <c r="AF20" s="3323" t="s">
        <v>2821</v>
      </c>
      <c r="AG20" s="3329" t="s">
        <v>2822</v>
      </c>
      <c r="AH20" s="3330" t="s">
        <v>2823</v>
      </c>
      <c r="AI20" s="2901" t="s">
        <v>2824</v>
      </c>
      <c r="AJ20" s="3323" t="s">
        <v>2825</v>
      </c>
      <c r="AK20" s="3331" t="s">
        <v>2826</v>
      </c>
      <c r="AL20" s="3325" t="s">
        <v>2827</v>
      </c>
      <c r="AM20" s="2902" t="s">
        <v>2831</v>
      </c>
      <c r="AN20" s="2902" t="s">
        <v>2832</v>
      </c>
      <c r="CH20" s="1020"/>
      <c r="CI20" s="1020"/>
      <c r="CJ20" s="1020"/>
      <c r="CK20" s="1020"/>
      <c r="CL20" s="1020"/>
      <c r="CM20" s="1020"/>
      <c r="CN20" s="1020"/>
    </row>
    <row r="21" spans="1:92" ht="16.350000000000001" customHeight="1" x14ac:dyDescent="0.2">
      <c r="A21" s="2458">
        <v>23042200</v>
      </c>
      <c r="B21" s="6421" t="s">
        <v>2421</v>
      </c>
      <c r="C21" s="6422"/>
      <c r="D21" s="3032" t="s">
        <v>2777</v>
      </c>
      <c r="E21" s="3033" t="s">
        <v>2778</v>
      </c>
      <c r="F21" s="3027" t="s">
        <v>2779</v>
      </c>
      <c r="G21" s="3012" t="s">
        <v>2780</v>
      </c>
      <c r="H21" s="3013" t="s">
        <v>2781</v>
      </c>
      <c r="I21" s="3012" t="s">
        <v>2782</v>
      </c>
      <c r="J21" s="3014" t="s">
        <v>2783</v>
      </c>
      <c r="K21" s="3012" t="s">
        <v>2784</v>
      </c>
      <c r="L21" s="3014" t="s">
        <v>2785</v>
      </c>
      <c r="M21" s="3015" t="s">
        <v>2786</v>
      </c>
      <c r="N21" s="3332" t="s">
        <v>2787</v>
      </c>
      <c r="O21" s="3012" t="s">
        <v>2788</v>
      </c>
      <c r="P21" s="3014" t="s">
        <v>2789</v>
      </c>
      <c r="Q21" s="3015" t="s">
        <v>2790</v>
      </c>
      <c r="R21" s="3332" t="s">
        <v>2791</v>
      </c>
      <c r="S21" s="3012" t="s">
        <v>2792</v>
      </c>
      <c r="T21" s="3014" t="s">
        <v>2793</v>
      </c>
      <c r="U21" s="3329" t="s">
        <v>2794</v>
      </c>
      <c r="V21" s="3330" t="s">
        <v>2795</v>
      </c>
      <c r="W21" s="2901" t="s">
        <v>2796</v>
      </c>
      <c r="X21" s="3323" t="s">
        <v>2797</v>
      </c>
      <c r="Y21" s="3329" t="s">
        <v>2798</v>
      </c>
      <c r="Z21" s="3330" t="s">
        <v>2799</v>
      </c>
      <c r="AA21" s="2901" t="s">
        <v>2800</v>
      </c>
      <c r="AB21" s="3323" t="s">
        <v>2801</v>
      </c>
      <c r="AC21" s="3329" t="s">
        <v>2817</v>
      </c>
      <c r="AD21" s="3330" t="s">
        <v>2818</v>
      </c>
      <c r="AE21" s="2901" t="s">
        <v>2819</v>
      </c>
      <c r="AF21" s="3323" t="s">
        <v>2821</v>
      </c>
      <c r="AG21" s="3329" t="s">
        <v>2822</v>
      </c>
      <c r="AH21" s="3330" t="s">
        <v>2823</v>
      </c>
      <c r="AI21" s="2901" t="s">
        <v>2824</v>
      </c>
      <c r="AJ21" s="3323" t="s">
        <v>2825</v>
      </c>
      <c r="AK21" s="3331" t="s">
        <v>2826</v>
      </c>
      <c r="AL21" s="3325" t="s">
        <v>2827</v>
      </c>
      <c r="AM21" s="2902" t="s">
        <v>2831</v>
      </c>
      <c r="AN21" s="2902" t="s">
        <v>2832</v>
      </c>
      <c r="CH21" s="1020"/>
      <c r="CI21" s="1020"/>
      <c r="CJ21" s="1020"/>
      <c r="CK21" s="1020"/>
      <c r="CL21" s="1020"/>
      <c r="CM21" s="1020"/>
      <c r="CN21" s="1020"/>
    </row>
    <row r="22" spans="1:92" ht="16.350000000000001" customHeight="1" x14ac:dyDescent="0.2">
      <c r="A22" s="2458">
        <v>23042300</v>
      </c>
      <c r="B22" s="6419" t="s">
        <v>2422</v>
      </c>
      <c r="C22" s="6420"/>
      <c r="D22" s="3042" t="s">
        <v>2777</v>
      </c>
      <c r="E22" s="3273" t="s">
        <v>2778</v>
      </c>
      <c r="F22" s="3027" t="s">
        <v>2779</v>
      </c>
      <c r="G22" s="2901" t="s">
        <v>2780</v>
      </c>
      <c r="H22" s="2902" t="s">
        <v>2781</v>
      </c>
      <c r="I22" s="2901" t="s">
        <v>2782</v>
      </c>
      <c r="J22" s="3323" t="s">
        <v>2783</v>
      </c>
      <c r="K22" s="2901" t="s">
        <v>2784</v>
      </c>
      <c r="L22" s="3323" t="s">
        <v>2785</v>
      </c>
      <c r="M22" s="3329" t="s">
        <v>2786</v>
      </c>
      <c r="N22" s="3330" t="s">
        <v>2787</v>
      </c>
      <c r="O22" s="2901" t="s">
        <v>2788</v>
      </c>
      <c r="P22" s="3323" t="s">
        <v>2789</v>
      </c>
      <c r="Q22" s="3329" t="s">
        <v>2790</v>
      </c>
      <c r="R22" s="3330" t="s">
        <v>2791</v>
      </c>
      <c r="S22" s="2901" t="s">
        <v>2792</v>
      </c>
      <c r="T22" s="3323" t="s">
        <v>2793</v>
      </c>
      <c r="U22" s="3329" t="s">
        <v>2794</v>
      </c>
      <c r="V22" s="3330" t="s">
        <v>2795</v>
      </c>
      <c r="W22" s="2901" t="s">
        <v>2796</v>
      </c>
      <c r="X22" s="3323" t="s">
        <v>2797</v>
      </c>
      <c r="Y22" s="3329" t="s">
        <v>2798</v>
      </c>
      <c r="Z22" s="3330" t="s">
        <v>2799</v>
      </c>
      <c r="AA22" s="2901" t="s">
        <v>2800</v>
      </c>
      <c r="AB22" s="3323" t="s">
        <v>2801</v>
      </c>
      <c r="AC22" s="3329" t="s">
        <v>2817</v>
      </c>
      <c r="AD22" s="3330" t="s">
        <v>2818</v>
      </c>
      <c r="AE22" s="2901" t="s">
        <v>2819</v>
      </c>
      <c r="AF22" s="3323" t="s">
        <v>2821</v>
      </c>
      <c r="AG22" s="3329" t="s">
        <v>2822</v>
      </c>
      <c r="AH22" s="3330" t="s">
        <v>2823</v>
      </c>
      <c r="AI22" s="2901" t="s">
        <v>2824</v>
      </c>
      <c r="AJ22" s="3323" t="s">
        <v>2825</v>
      </c>
      <c r="AK22" s="3331" t="s">
        <v>2826</v>
      </c>
      <c r="AL22" s="3325" t="s">
        <v>2827</v>
      </c>
      <c r="AM22" s="2902" t="s">
        <v>2831</v>
      </c>
      <c r="AN22" s="2902" t="s">
        <v>2832</v>
      </c>
      <c r="CH22" s="1020"/>
      <c r="CI22" s="1020"/>
      <c r="CJ22" s="1020"/>
      <c r="CK22" s="1020"/>
      <c r="CL22" s="1020"/>
      <c r="CM22" s="1020"/>
      <c r="CN22" s="1020"/>
    </row>
    <row r="23" spans="1:92" ht="16.350000000000001" customHeight="1" x14ac:dyDescent="0.2">
      <c r="A23" s="2458">
        <v>23042400</v>
      </c>
      <c r="B23" s="6423" t="s">
        <v>2423</v>
      </c>
      <c r="C23" s="6424"/>
      <c r="D23" s="3043" t="s">
        <v>2777</v>
      </c>
      <c r="E23" s="3274" t="s">
        <v>2778</v>
      </c>
      <c r="F23" s="3030" t="s">
        <v>2779</v>
      </c>
      <c r="G23" s="2905" t="s">
        <v>2780</v>
      </c>
      <c r="H23" s="2906" t="s">
        <v>2781</v>
      </c>
      <c r="I23" s="2905" t="s">
        <v>2782</v>
      </c>
      <c r="J23" s="3316" t="s">
        <v>2783</v>
      </c>
      <c r="K23" s="2905" t="s">
        <v>2784</v>
      </c>
      <c r="L23" s="3316" t="s">
        <v>2785</v>
      </c>
      <c r="M23" s="3333" t="s">
        <v>2786</v>
      </c>
      <c r="N23" s="3334" t="s">
        <v>2787</v>
      </c>
      <c r="O23" s="2905" t="s">
        <v>2788</v>
      </c>
      <c r="P23" s="3316" t="s">
        <v>2789</v>
      </c>
      <c r="Q23" s="3333" t="s">
        <v>2790</v>
      </c>
      <c r="R23" s="3334" t="s">
        <v>2791</v>
      </c>
      <c r="S23" s="2905" t="s">
        <v>2792</v>
      </c>
      <c r="T23" s="3316" t="s">
        <v>2793</v>
      </c>
      <c r="U23" s="3333" t="s">
        <v>2794</v>
      </c>
      <c r="V23" s="3334" t="s">
        <v>2795</v>
      </c>
      <c r="W23" s="2905" t="s">
        <v>2796</v>
      </c>
      <c r="X23" s="3316" t="s">
        <v>2797</v>
      </c>
      <c r="Y23" s="3333" t="s">
        <v>2798</v>
      </c>
      <c r="Z23" s="3334" t="s">
        <v>2799</v>
      </c>
      <c r="AA23" s="2905" t="s">
        <v>2800</v>
      </c>
      <c r="AB23" s="3316" t="s">
        <v>2801</v>
      </c>
      <c r="AC23" s="3333" t="s">
        <v>2817</v>
      </c>
      <c r="AD23" s="3334" t="s">
        <v>2818</v>
      </c>
      <c r="AE23" s="2905" t="s">
        <v>2819</v>
      </c>
      <c r="AF23" s="3316" t="s">
        <v>2821</v>
      </c>
      <c r="AG23" s="3333" t="s">
        <v>2822</v>
      </c>
      <c r="AH23" s="3334" t="s">
        <v>2823</v>
      </c>
      <c r="AI23" s="2905" t="s">
        <v>2824</v>
      </c>
      <c r="AJ23" s="3316" t="s">
        <v>2825</v>
      </c>
      <c r="AK23" s="3335" t="s">
        <v>2826</v>
      </c>
      <c r="AL23" s="3318" t="s">
        <v>2827</v>
      </c>
      <c r="AM23" s="2902" t="s">
        <v>2831</v>
      </c>
      <c r="AN23" s="2902" t="s">
        <v>2832</v>
      </c>
      <c r="CH23" s="1020"/>
      <c r="CI23" s="1020"/>
      <c r="CJ23" s="1020"/>
      <c r="CK23" s="1020"/>
      <c r="CL23" s="1020"/>
      <c r="CM23" s="1020"/>
      <c r="CN23" s="1020"/>
    </row>
    <row r="24" spans="1:92" ht="16.350000000000001" customHeight="1" x14ac:dyDescent="0.2">
      <c r="A24" s="2527"/>
      <c r="B24" s="6307" t="s">
        <v>42</v>
      </c>
      <c r="C24" s="6313"/>
      <c r="D24" s="2128">
        <f t="shared" ref="D24:AN24" si="0">SUM(D13:D23)</f>
        <v>0</v>
      </c>
      <c r="E24" s="2129">
        <f t="shared" si="0"/>
        <v>0</v>
      </c>
      <c r="F24" s="1845">
        <f t="shared" si="0"/>
        <v>0</v>
      </c>
      <c r="G24" s="1610">
        <f t="shared" si="0"/>
        <v>0</v>
      </c>
      <c r="H24" s="1609">
        <f t="shared" si="0"/>
        <v>0</v>
      </c>
      <c r="I24" s="1610">
        <f t="shared" si="0"/>
        <v>0</v>
      </c>
      <c r="J24" s="2130">
        <f t="shared" si="0"/>
        <v>0</v>
      </c>
      <c r="K24" s="1610">
        <f t="shared" si="0"/>
        <v>0</v>
      </c>
      <c r="L24" s="2130">
        <f t="shared" si="0"/>
        <v>0</v>
      </c>
      <c r="M24" s="1612">
        <f t="shared" si="0"/>
        <v>0</v>
      </c>
      <c r="N24" s="1613">
        <f t="shared" si="0"/>
        <v>0</v>
      </c>
      <c r="O24" s="1610">
        <f t="shared" si="0"/>
        <v>0</v>
      </c>
      <c r="P24" s="2130">
        <f t="shared" si="0"/>
        <v>0</v>
      </c>
      <c r="Q24" s="1612">
        <f t="shared" si="0"/>
        <v>0</v>
      </c>
      <c r="R24" s="1613">
        <f t="shared" si="0"/>
        <v>0</v>
      </c>
      <c r="S24" s="1610">
        <f t="shared" si="0"/>
        <v>0</v>
      </c>
      <c r="T24" s="2130">
        <f t="shared" si="0"/>
        <v>0</v>
      </c>
      <c r="U24" s="1612">
        <f t="shared" si="0"/>
        <v>0</v>
      </c>
      <c r="V24" s="1613">
        <f t="shared" si="0"/>
        <v>0</v>
      </c>
      <c r="W24" s="1610">
        <f t="shared" si="0"/>
        <v>0</v>
      </c>
      <c r="X24" s="2130">
        <f t="shared" si="0"/>
        <v>0</v>
      </c>
      <c r="Y24" s="1612">
        <f t="shared" si="0"/>
        <v>0</v>
      </c>
      <c r="Z24" s="1613">
        <f t="shared" si="0"/>
        <v>0</v>
      </c>
      <c r="AA24" s="1610">
        <f t="shared" si="0"/>
        <v>0</v>
      </c>
      <c r="AB24" s="2130">
        <f t="shared" si="0"/>
        <v>0</v>
      </c>
      <c r="AC24" s="1612">
        <f t="shared" si="0"/>
        <v>0</v>
      </c>
      <c r="AD24" s="1613">
        <f t="shared" si="0"/>
        <v>0</v>
      </c>
      <c r="AE24" s="1610">
        <f t="shared" si="0"/>
        <v>0</v>
      </c>
      <c r="AF24" s="2130">
        <f t="shared" si="0"/>
        <v>0</v>
      </c>
      <c r="AG24" s="1612">
        <f t="shared" si="0"/>
        <v>0</v>
      </c>
      <c r="AH24" s="1613">
        <f t="shared" si="0"/>
        <v>0</v>
      </c>
      <c r="AI24" s="1610">
        <f t="shared" si="0"/>
        <v>0</v>
      </c>
      <c r="AJ24" s="2130">
        <f t="shared" si="0"/>
        <v>0</v>
      </c>
      <c r="AK24" s="1612">
        <f t="shared" si="0"/>
        <v>0</v>
      </c>
      <c r="AL24" s="2131">
        <f t="shared" si="0"/>
        <v>0</v>
      </c>
      <c r="AM24" s="1609">
        <f t="shared" si="0"/>
        <v>0</v>
      </c>
      <c r="AN24" s="1609">
        <f t="shared" si="0"/>
        <v>0</v>
      </c>
      <c r="CH24" s="1020"/>
      <c r="CI24" s="1020"/>
      <c r="CJ24" s="1020"/>
      <c r="CK24" s="1020"/>
      <c r="CL24" s="1020"/>
      <c r="CM24" s="1020"/>
      <c r="CN24" s="1020"/>
    </row>
    <row r="25" spans="1:92" ht="32.1" customHeight="1" x14ac:dyDescent="0.2">
      <c r="B25" s="85" t="s">
        <v>2424</v>
      </c>
      <c r="C25" s="190"/>
      <c r="D25" s="2132"/>
      <c r="E25" s="2132"/>
      <c r="F25" s="190"/>
      <c r="G25" s="2133"/>
      <c r="H25" s="2133"/>
      <c r="I25" s="2133"/>
      <c r="J25" s="2133"/>
      <c r="K25" s="2133"/>
      <c r="L25" s="2133"/>
      <c r="M25" s="2133"/>
      <c r="N25" s="2133"/>
      <c r="O25" s="2133"/>
      <c r="P25" s="2133"/>
      <c r="Q25" s="2133"/>
      <c r="R25" s="2133"/>
      <c r="S25" s="2133"/>
      <c r="T25" s="2133"/>
      <c r="U25" s="2133"/>
      <c r="V25" s="2133"/>
      <c r="W25" s="2133"/>
      <c r="X25" s="2134"/>
      <c r="Y25" s="2134"/>
      <c r="Z25" s="2134"/>
      <c r="AA25" s="2134"/>
      <c r="AB25" s="2134"/>
      <c r="AC25" s="2134"/>
      <c r="AD25" s="2134"/>
      <c r="AE25" s="2134"/>
      <c r="AF25" s="2134"/>
      <c r="AG25" s="2134"/>
      <c r="AH25" s="2134"/>
      <c r="AI25" s="2134"/>
      <c r="AJ25" s="2134"/>
      <c r="AK25" s="2134"/>
      <c r="AL25" s="2134"/>
      <c r="AM25" s="2134"/>
      <c r="CH25" s="1020"/>
      <c r="CI25" s="1020"/>
      <c r="CJ25" s="1020"/>
      <c r="CK25" s="1020"/>
      <c r="CL25" s="1020"/>
      <c r="CM25" s="1020"/>
      <c r="CN25" s="1020"/>
    </row>
    <row r="26" spans="1:92" ht="16.350000000000001" customHeight="1" x14ac:dyDescent="0.2">
      <c r="B26" s="6401" t="s">
        <v>2403</v>
      </c>
      <c r="C26" s="5967"/>
      <c r="D26" s="6402" t="s">
        <v>42</v>
      </c>
      <c r="E26" s="6403"/>
      <c r="F26" s="6404"/>
      <c r="G26" s="6437" t="s">
        <v>5</v>
      </c>
      <c r="H26" s="6438"/>
      <c r="I26" s="6438"/>
      <c r="J26" s="6438"/>
      <c r="K26" s="6438"/>
      <c r="L26" s="6438"/>
      <c r="M26" s="6438"/>
      <c r="N26" s="6438"/>
      <c r="O26" s="6438"/>
      <c r="P26" s="6438"/>
      <c r="Q26" s="6438"/>
      <c r="R26" s="6438"/>
      <c r="S26" s="6438"/>
      <c r="T26" s="6438"/>
      <c r="U26" s="6438"/>
      <c r="V26" s="6438"/>
      <c r="W26" s="6438"/>
      <c r="X26" s="6438"/>
      <c r="Y26" s="6438"/>
      <c r="Z26" s="6438"/>
      <c r="AA26" s="6438"/>
      <c r="AB26" s="6438"/>
      <c r="AC26" s="6438"/>
      <c r="AD26" s="6438"/>
      <c r="AE26" s="6438"/>
      <c r="AF26" s="6438"/>
      <c r="AG26" s="6438"/>
      <c r="AH26" s="6438"/>
      <c r="AI26" s="6438"/>
      <c r="AJ26" s="6438"/>
      <c r="AK26" s="6438"/>
      <c r="AL26" s="6439"/>
      <c r="AM26" s="6219" t="s">
        <v>2404</v>
      </c>
      <c r="CH26" s="1020"/>
      <c r="CI26" s="1020"/>
      <c r="CJ26" s="1020"/>
      <c r="CK26" s="1020"/>
      <c r="CL26" s="1020"/>
      <c r="CM26" s="1020"/>
      <c r="CN26" s="1020"/>
    </row>
    <row r="27" spans="1:92" ht="16.350000000000001" customHeight="1" x14ac:dyDescent="0.2">
      <c r="B27" s="5547"/>
      <c r="C27" s="5258"/>
      <c r="D27" s="6405"/>
      <c r="E27" s="6406"/>
      <c r="F27" s="6407"/>
      <c r="G27" s="6413" t="s">
        <v>2405</v>
      </c>
      <c r="H27" s="6209"/>
      <c r="I27" s="6413" t="s">
        <v>2406</v>
      </c>
      <c r="J27" s="6209"/>
      <c r="K27" s="6413" t="s">
        <v>2407</v>
      </c>
      <c r="L27" s="6209"/>
      <c r="M27" s="6413" t="s">
        <v>2408</v>
      </c>
      <c r="N27" s="6209"/>
      <c r="O27" s="6413" t="s">
        <v>2409</v>
      </c>
      <c r="P27" s="6209"/>
      <c r="Q27" s="6413" t="s">
        <v>2410</v>
      </c>
      <c r="R27" s="6209"/>
      <c r="S27" s="6413" t="s">
        <v>2411</v>
      </c>
      <c r="T27" s="6209"/>
      <c r="U27" s="6413" t="s">
        <v>663</v>
      </c>
      <c r="V27" s="6209"/>
      <c r="W27" s="6413" t="s">
        <v>664</v>
      </c>
      <c r="X27" s="6209"/>
      <c r="Y27" s="6413" t="s">
        <v>665</v>
      </c>
      <c r="Z27" s="6209"/>
      <c r="AA27" s="6413" t="s">
        <v>666</v>
      </c>
      <c r="AB27" s="6209"/>
      <c r="AC27" s="6413" t="s">
        <v>667</v>
      </c>
      <c r="AD27" s="6209"/>
      <c r="AE27" s="6413" t="s">
        <v>668</v>
      </c>
      <c r="AF27" s="6209"/>
      <c r="AG27" s="6413" t="s">
        <v>669</v>
      </c>
      <c r="AH27" s="6209"/>
      <c r="AI27" s="6413" t="s">
        <v>670</v>
      </c>
      <c r="AJ27" s="6209"/>
      <c r="AK27" s="6413" t="s">
        <v>2412</v>
      </c>
      <c r="AL27" s="6414"/>
      <c r="AM27" s="5123"/>
      <c r="CH27" s="1020"/>
      <c r="CI27" s="1020"/>
      <c r="CJ27" s="1020"/>
      <c r="CK27" s="1020"/>
      <c r="CL27" s="1020"/>
      <c r="CM27" s="1020"/>
      <c r="CN27" s="1020"/>
    </row>
    <row r="28" spans="1:92" ht="16.350000000000001" customHeight="1" x14ac:dyDescent="0.2">
      <c r="B28" s="5547"/>
      <c r="C28" s="5258"/>
      <c r="D28" s="6408"/>
      <c r="E28" s="6409"/>
      <c r="F28" s="6410"/>
      <c r="G28" s="6313"/>
      <c r="H28" s="6211"/>
      <c r="I28" s="6313"/>
      <c r="J28" s="6211"/>
      <c r="K28" s="6313"/>
      <c r="L28" s="6211"/>
      <c r="M28" s="6313"/>
      <c r="N28" s="6211"/>
      <c r="O28" s="6313"/>
      <c r="P28" s="6211"/>
      <c r="Q28" s="6313"/>
      <c r="R28" s="6211"/>
      <c r="S28" s="6313"/>
      <c r="T28" s="6211"/>
      <c r="U28" s="6313"/>
      <c r="V28" s="6211"/>
      <c r="W28" s="6313"/>
      <c r="X28" s="6211"/>
      <c r="Y28" s="6313"/>
      <c r="Z28" s="6211"/>
      <c r="AA28" s="6313"/>
      <c r="AB28" s="6211"/>
      <c r="AC28" s="6313"/>
      <c r="AD28" s="6211"/>
      <c r="AE28" s="6313"/>
      <c r="AF28" s="6211"/>
      <c r="AG28" s="6313"/>
      <c r="AH28" s="6211"/>
      <c r="AI28" s="6313"/>
      <c r="AJ28" s="6211"/>
      <c r="AK28" s="6313"/>
      <c r="AL28" s="6415"/>
      <c r="AM28" s="5123"/>
      <c r="CH28" s="1020"/>
      <c r="CI28" s="1020"/>
      <c r="CJ28" s="1020"/>
      <c r="CK28" s="1020"/>
      <c r="CL28" s="1020"/>
      <c r="CM28" s="1020"/>
      <c r="CN28" s="1020"/>
    </row>
    <row r="29" spans="1:92" ht="16.350000000000001" customHeight="1" x14ac:dyDescent="0.2">
      <c r="B29" s="5856"/>
      <c r="C29" s="5878"/>
      <c r="D29" s="1598" t="s">
        <v>184</v>
      </c>
      <c r="E29" s="1599" t="s">
        <v>24</v>
      </c>
      <c r="F29" s="1913" t="s">
        <v>25</v>
      </c>
      <c r="G29" s="1912" t="s">
        <v>24</v>
      </c>
      <c r="H29" s="1913" t="s">
        <v>25</v>
      </c>
      <c r="I29" s="1912" t="s">
        <v>24</v>
      </c>
      <c r="J29" s="1913" t="s">
        <v>25</v>
      </c>
      <c r="K29" s="1912" t="s">
        <v>24</v>
      </c>
      <c r="L29" s="1913" t="s">
        <v>25</v>
      </c>
      <c r="M29" s="1912" t="s">
        <v>24</v>
      </c>
      <c r="N29" s="1913" t="s">
        <v>25</v>
      </c>
      <c r="O29" s="1912" t="s">
        <v>24</v>
      </c>
      <c r="P29" s="1913" t="s">
        <v>25</v>
      </c>
      <c r="Q29" s="1912" t="s">
        <v>24</v>
      </c>
      <c r="R29" s="1913" t="s">
        <v>25</v>
      </c>
      <c r="S29" s="1912" t="s">
        <v>24</v>
      </c>
      <c r="T29" s="1913" t="s">
        <v>25</v>
      </c>
      <c r="U29" s="1912" t="s">
        <v>24</v>
      </c>
      <c r="V29" s="1913" t="s">
        <v>25</v>
      </c>
      <c r="W29" s="1912" t="s">
        <v>24</v>
      </c>
      <c r="X29" s="1913" t="s">
        <v>25</v>
      </c>
      <c r="Y29" s="1912" t="s">
        <v>24</v>
      </c>
      <c r="Z29" s="1913" t="s">
        <v>25</v>
      </c>
      <c r="AA29" s="1912" t="s">
        <v>24</v>
      </c>
      <c r="AB29" s="1913" t="s">
        <v>25</v>
      </c>
      <c r="AC29" s="1912" t="s">
        <v>24</v>
      </c>
      <c r="AD29" s="1913" t="s">
        <v>25</v>
      </c>
      <c r="AE29" s="1912" t="s">
        <v>24</v>
      </c>
      <c r="AF29" s="1913" t="s">
        <v>25</v>
      </c>
      <c r="AG29" s="1912" t="s">
        <v>24</v>
      </c>
      <c r="AH29" s="1913" t="s">
        <v>25</v>
      </c>
      <c r="AI29" s="1912" t="s">
        <v>24</v>
      </c>
      <c r="AJ29" s="1913" t="s">
        <v>25</v>
      </c>
      <c r="AK29" s="1912" t="s">
        <v>24</v>
      </c>
      <c r="AL29" s="2135" t="s">
        <v>25</v>
      </c>
      <c r="AM29" s="5403"/>
      <c r="CH29" s="1020"/>
      <c r="CI29" s="1020"/>
      <c r="CJ29" s="1020"/>
      <c r="CK29" s="1020"/>
      <c r="CL29" s="1020"/>
      <c r="CM29" s="1020"/>
      <c r="CN29" s="1020"/>
    </row>
    <row r="30" spans="1:92" ht="16.350000000000001" customHeight="1" x14ac:dyDescent="0.2">
      <c r="A30" s="2458">
        <v>23030805</v>
      </c>
      <c r="B30" s="6433" t="s">
        <v>2425</v>
      </c>
      <c r="C30" s="1743" t="s">
        <v>2426</v>
      </c>
      <c r="D30" s="3275" t="s">
        <v>2777</v>
      </c>
      <c r="E30" s="3276" t="s">
        <v>2778</v>
      </c>
      <c r="F30" s="3044" t="s">
        <v>2779</v>
      </c>
      <c r="G30" s="3287" t="s">
        <v>2780</v>
      </c>
      <c r="H30" s="3288" t="s">
        <v>2781</v>
      </c>
      <c r="I30" s="3287" t="s">
        <v>2782</v>
      </c>
      <c r="J30" s="3289" t="s">
        <v>2783</v>
      </c>
      <c r="K30" s="3290" t="s">
        <v>2784</v>
      </c>
      <c r="L30" s="3291" t="s">
        <v>2785</v>
      </c>
      <c r="M30" s="3290" t="s">
        <v>2786</v>
      </c>
      <c r="N30" s="3291" t="s">
        <v>2787</v>
      </c>
      <c r="O30" s="3290" t="s">
        <v>2788</v>
      </c>
      <c r="P30" s="3291" t="s">
        <v>2789</v>
      </c>
      <c r="Q30" s="3290" t="s">
        <v>2790</v>
      </c>
      <c r="R30" s="3291" t="s">
        <v>2791</v>
      </c>
      <c r="S30" s="3290" t="s">
        <v>2792</v>
      </c>
      <c r="T30" s="3291" t="s">
        <v>2793</v>
      </c>
      <c r="U30" s="3290" t="s">
        <v>2794</v>
      </c>
      <c r="V30" s="3291" t="s">
        <v>2795</v>
      </c>
      <c r="W30" s="3290" t="s">
        <v>2796</v>
      </c>
      <c r="X30" s="3291" t="s">
        <v>2797</v>
      </c>
      <c r="Y30" s="3290" t="s">
        <v>2798</v>
      </c>
      <c r="Z30" s="3291" t="s">
        <v>2799</v>
      </c>
      <c r="AA30" s="3290" t="s">
        <v>2800</v>
      </c>
      <c r="AB30" s="3291" t="s">
        <v>2801</v>
      </c>
      <c r="AC30" s="3290" t="s">
        <v>2817</v>
      </c>
      <c r="AD30" s="3291" t="s">
        <v>2818</v>
      </c>
      <c r="AE30" s="3290" t="s">
        <v>2819</v>
      </c>
      <c r="AF30" s="3291" t="s">
        <v>2821</v>
      </c>
      <c r="AG30" s="3290" t="s">
        <v>2822</v>
      </c>
      <c r="AH30" s="3291" t="s">
        <v>2823</v>
      </c>
      <c r="AI30" s="3292" t="s">
        <v>2824</v>
      </c>
      <c r="AJ30" s="3291" t="s">
        <v>2825</v>
      </c>
      <c r="AK30" s="3293" t="s">
        <v>2826</v>
      </c>
      <c r="AL30" s="3294" t="s">
        <v>2827</v>
      </c>
      <c r="AM30" s="3295" t="s">
        <v>2831</v>
      </c>
      <c r="CH30" s="1020"/>
      <c r="CI30" s="1020"/>
      <c r="CJ30" s="1020"/>
      <c r="CK30" s="1020"/>
      <c r="CL30" s="1020"/>
      <c r="CM30" s="1020"/>
      <c r="CN30" s="1020"/>
    </row>
    <row r="31" spans="1:92" ht="16.350000000000001" customHeight="1" x14ac:dyDescent="0.2">
      <c r="A31" s="2458">
        <v>23030815</v>
      </c>
      <c r="B31" s="5713"/>
      <c r="C31" s="1249" t="s">
        <v>2427</v>
      </c>
      <c r="D31" s="3275" t="s">
        <v>2777</v>
      </c>
      <c r="E31" s="3276" t="s">
        <v>2778</v>
      </c>
      <c r="F31" s="3044" t="s">
        <v>2779</v>
      </c>
      <c r="G31" s="3287" t="s">
        <v>2780</v>
      </c>
      <c r="H31" s="3288" t="s">
        <v>2781</v>
      </c>
      <c r="I31" s="3287" t="s">
        <v>2782</v>
      </c>
      <c r="J31" s="3289" t="s">
        <v>2783</v>
      </c>
      <c r="K31" s="3290" t="s">
        <v>2784</v>
      </c>
      <c r="L31" s="3291" t="s">
        <v>2785</v>
      </c>
      <c r="M31" s="3290" t="s">
        <v>2786</v>
      </c>
      <c r="N31" s="3291" t="s">
        <v>2787</v>
      </c>
      <c r="O31" s="3290" t="s">
        <v>2788</v>
      </c>
      <c r="P31" s="3291" t="s">
        <v>2789</v>
      </c>
      <c r="Q31" s="3290" t="s">
        <v>2790</v>
      </c>
      <c r="R31" s="3291" t="s">
        <v>2791</v>
      </c>
      <c r="S31" s="3290" t="s">
        <v>2792</v>
      </c>
      <c r="T31" s="3291" t="s">
        <v>2793</v>
      </c>
      <c r="U31" s="3290" t="s">
        <v>2794</v>
      </c>
      <c r="V31" s="3291" t="s">
        <v>2795</v>
      </c>
      <c r="W31" s="3290" t="s">
        <v>2796</v>
      </c>
      <c r="X31" s="3291" t="s">
        <v>2797</v>
      </c>
      <c r="Y31" s="3290" t="s">
        <v>2798</v>
      </c>
      <c r="Z31" s="3291" t="s">
        <v>2799</v>
      </c>
      <c r="AA31" s="3290" t="s">
        <v>2800</v>
      </c>
      <c r="AB31" s="3291" t="s">
        <v>2801</v>
      </c>
      <c r="AC31" s="3290" t="s">
        <v>2817</v>
      </c>
      <c r="AD31" s="3291" t="s">
        <v>2818</v>
      </c>
      <c r="AE31" s="3290" t="s">
        <v>2819</v>
      </c>
      <c r="AF31" s="3291" t="s">
        <v>2821</v>
      </c>
      <c r="AG31" s="3290" t="s">
        <v>2822</v>
      </c>
      <c r="AH31" s="3291" t="s">
        <v>2823</v>
      </c>
      <c r="AI31" s="3012" t="s">
        <v>2824</v>
      </c>
      <c r="AJ31" s="3291" t="s">
        <v>2825</v>
      </c>
      <c r="AK31" s="3293" t="s">
        <v>2826</v>
      </c>
      <c r="AL31" s="3296" t="s">
        <v>2827</v>
      </c>
      <c r="AM31" s="2902" t="s">
        <v>2831</v>
      </c>
      <c r="CH31" s="1020"/>
      <c r="CI31" s="1020"/>
      <c r="CJ31" s="1020"/>
      <c r="CK31" s="1020"/>
      <c r="CL31" s="1020"/>
      <c r="CM31" s="1020"/>
      <c r="CN31" s="1020"/>
    </row>
    <row r="32" spans="1:92" ht="16.350000000000001" customHeight="1" x14ac:dyDescent="0.2">
      <c r="A32" s="2458">
        <v>23030825</v>
      </c>
      <c r="B32" s="5713"/>
      <c r="C32" s="534" t="s">
        <v>2428</v>
      </c>
      <c r="D32" s="3277" t="s">
        <v>2777</v>
      </c>
      <c r="E32" s="3278" t="s">
        <v>2778</v>
      </c>
      <c r="F32" s="3279" t="s">
        <v>2779</v>
      </c>
      <c r="G32" s="3297" t="s">
        <v>2780</v>
      </c>
      <c r="H32" s="3298" t="s">
        <v>2781</v>
      </c>
      <c r="I32" s="3297" t="s">
        <v>2782</v>
      </c>
      <c r="J32" s="3299" t="s">
        <v>2783</v>
      </c>
      <c r="K32" s="3300" t="s">
        <v>2784</v>
      </c>
      <c r="L32" s="3301" t="s">
        <v>2785</v>
      </c>
      <c r="M32" s="3300" t="s">
        <v>2786</v>
      </c>
      <c r="N32" s="3301" t="s">
        <v>2787</v>
      </c>
      <c r="O32" s="3300" t="s">
        <v>2788</v>
      </c>
      <c r="P32" s="3301" t="s">
        <v>2789</v>
      </c>
      <c r="Q32" s="3300" t="s">
        <v>2790</v>
      </c>
      <c r="R32" s="3301" t="s">
        <v>2791</v>
      </c>
      <c r="S32" s="3300" t="s">
        <v>2792</v>
      </c>
      <c r="T32" s="3301" t="s">
        <v>2793</v>
      </c>
      <c r="U32" s="3300" t="s">
        <v>2794</v>
      </c>
      <c r="V32" s="3301" t="s">
        <v>2795</v>
      </c>
      <c r="W32" s="3300" t="s">
        <v>2796</v>
      </c>
      <c r="X32" s="3301" t="s">
        <v>2797</v>
      </c>
      <c r="Y32" s="3300" t="s">
        <v>2798</v>
      </c>
      <c r="Z32" s="3301" t="s">
        <v>2799</v>
      </c>
      <c r="AA32" s="3300" t="s">
        <v>2800</v>
      </c>
      <c r="AB32" s="3301" t="s">
        <v>2801</v>
      </c>
      <c r="AC32" s="3300" t="s">
        <v>2817</v>
      </c>
      <c r="AD32" s="3301" t="s">
        <v>2818</v>
      </c>
      <c r="AE32" s="3300" t="s">
        <v>2819</v>
      </c>
      <c r="AF32" s="3301" t="s">
        <v>2821</v>
      </c>
      <c r="AG32" s="3300" t="s">
        <v>2822</v>
      </c>
      <c r="AH32" s="3301" t="s">
        <v>2823</v>
      </c>
      <c r="AI32" s="3300" t="s">
        <v>2824</v>
      </c>
      <c r="AJ32" s="3301" t="s">
        <v>2825</v>
      </c>
      <c r="AK32" s="3302" t="s">
        <v>2826</v>
      </c>
      <c r="AL32" s="3303" t="s">
        <v>2827</v>
      </c>
      <c r="AM32" s="3304" t="s">
        <v>2831</v>
      </c>
      <c r="CH32" s="1020"/>
      <c r="CI32" s="1020"/>
      <c r="CJ32" s="1020"/>
      <c r="CK32" s="1020"/>
      <c r="CL32" s="1020"/>
      <c r="CM32" s="1020"/>
      <c r="CN32" s="1020"/>
    </row>
    <row r="33" spans="1:92" ht="16.350000000000001" customHeight="1" x14ac:dyDescent="0.2">
      <c r="A33" s="2458">
        <v>23030605</v>
      </c>
      <c r="B33" s="6434" t="s">
        <v>2429</v>
      </c>
      <c r="C33" s="1743" t="s">
        <v>2426</v>
      </c>
      <c r="D33" s="3049" t="s">
        <v>2777</v>
      </c>
      <c r="E33" s="3280" t="s">
        <v>2778</v>
      </c>
      <c r="F33" s="3035" t="s">
        <v>2779</v>
      </c>
      <c r="G33" s="3305" t="s">
        <v>2780</v>
      </c>
      <c r="H33" s="3306" t="s">
        <v>2781</v>
      </c>
      <c r="I33" s="3307" t="s">
        <v>2782</v>
      </c>
      <c r="J33" s="3308" t="s">
        <v>2783</v>
      </c>
      <c r="K33" s="3307" t="s">
        <v>2784</v>
      </c>
      <c r="L33" s="3295" t="s">
        <v>2785</v>
      </c>
      <c r="M33" s="3307" t="s">
        <v>2786</v>
      </c>
      <c r="N33" s="3295" t="s">
        <v>2787</v>
      </c>
      <c r="O33" s="3307" t="s">
        <v>2788</v>
      </c>
      <c r="P33" s="3308" t="s">
        <v>2789</v>
      </c>
      <c r="Q33" s="3307" t="s">
        <v>2790</v>
      </c>
      <c r="R33" s="3295" t="s">
        <v>2791</v>
      </c>
      <c r="S33" s="3307" t="s">
        <v>2792</v>
      </c>
      <c r="T33" s="3295" t="s">
        <v>2793</v>
      </c>
      <c r="U33" s="3307" t="s">
        <v>2794</v>
      </c>
      <c r="V33" s="3295" t="s">
        <v>2795</v>
      </c>
      <c r="W33" s="3307" t="s">
        <v>2796</v>
      </c>
      <c r="X33" s="3308" t="s">
        <v>2797</v>
      </c>
      <c r="Y33" s="3307" t="s">
        <v>2798</v>
      </c>
      <c r="Z33" s="3295" t="s">
        <v>2799</v>
      </c>
      <c r="AA33" s="3307" t="s">
        <v>2800</v>
      </c>
      <c r="AB33" s="3295" t="s">
        <v>2801</v>
      </c>
      <c r="AC33" s="3307" t="s">
        <v>2817</v>
      </c>
      <c r="AD33" s="3308" t="s">
        <v>2818</v>
      </c>
      <c r="AE33" s="3307" t="s">
        <v>2819</v>
      </c>
      <c r="AF33" s="3295" t="s">
        <v>2821</v>
      </c>
      <c r="AG33" s="3307" t="s">
        <v>2822</v>
      </c>
      <c r="AH33" s="3295" t="s">
        <v>2823</v>
      </c>
      <c r="AI33" s="3307" t="s">
        <v>2824</v>
      </c>
      <c r="AJ33" s="3308" t="s">
        <v>2825</v>
      </c>
      <c r="AK33" s="3309" t="s">
        <v>2826</v>
      </c>
      <c r="AL33" s="3310" t="s">
        <v>2827</v>
      </c>
      <c r="AM33" s="3295" t="s">
        <v>2831</v>
      </c>
      <c r="CH33" s="1020"/>
      <c r="CI33" s="1020"/>
      <c r="CJ33" s="1020"/>
      <c r="CK33" s="1020"/>
      <c r="CL33" s="1020"/>
      <c r="CM33" s="1020"/>
      <c r="CN33" s="1020"/>
    </row>
    <row r="34" spans="1:92" ht="16.350000000000001" customHeight="1" x14ac:dyDescent="0.2">
      <c r="A34" s="2458">
        <v>23030615</v>
      </c>
      <c r="B34" s="6435"/>
      <c r="C34" s="1249" t="s">
        <v>2427</v>
      </c>
      <c r="D34" s="3275" t="s">
        <v>2777</v>
      </c>
      <c r="E34" s="3276" t="s">
        <v>2778</v>
      </c>
      <c r="F34" s="3044" t="s">
        <v>2779</v>
      </c>
      <c r="G34" s="3311" t="s">
        <v>2780</v>
      </c>
      <c r="H34" s="3312" t="s">
        <v>2781</v>
      </c>
      <c r="I34" s="2901" t="s">
        <v>2782</v>
      </c>
      <c r="J34" s="3289" t="s">
        <v>2783</v>
      </c>
      <c r="K34" s="3287" t="s">
        <v>2784</v>
      </c>
      <c r="L34" s="3288" t="s">
        <v>2785</v>
      </c>
      <c r="M34" s="3287" t="s">
        <v>2786</v>
      </c>
      <c r="N34" s="3288" t="s">
        <v>2787</v>
      </c>
      <c r="O34" s="3287" t="s">
        <v>2788</v>
      </c>
      <c r="P34" s="3289" t="s">
        <v>2789</v>
      </c>
      <c r="Q34" s="3287" t="s">
        <v>2790</v>
      </c>
      <c r="R34" s="3288" t="s">
        <v>2791</v>
      </c>
      <c r="S34" s="3287" t="s">
        <v>2792</v>
      </c>
      <c r="T34" s="3288" t="s">
        <v>2793</v>
      </c>
      <c r="U34" s="3287" t="s">
        <v>2794</v>
      </c>
      <c r="V34" s="3288" t="s">
        <v>2795</v>
      </c>
      <c r="W34" s="3287" t="s">
        <v>2796</v>
      </c>
      <c r="X34" s="3289" t="s">
        <v>2797</v>
      </c>
      <c r="Y34" s="3287" t="s">
        <v>2798</v>
      </c>
      <c r="Z34" s="3288" t="s">
        <v>2799</v>
      </c>
      <c r="AA34" s="3287" t="s">
        <v>2800</v>
      </c>
      <c r="AB34" s="3288" t="s">
        <v>2801</v>
      </c>
      <c r="AC34" s="3287" t="s">
        <v>2817</v>
      </c>
      <c r="AD34" s="3289" t="s">
        <v>2818</v>
      </c>
      <c r="AE34" s="3287" t="s">
        <v>2819</v>
      </c>
      <c r="AF34" s="3288" t="s">
        <v>2821</v>
      </c>
      <c r="AG34" s="3287" t="s">
        <v>2822</v>
      </c>
      <c r="AH34" s="3288" t="s">
        <v>2823</v>
      </c>
      <c r="AI34" s="3287" t="s">
        <v>2824</v>
      </c>
      <c r="AJ34" s="3289" t="s">
        <v>2825</v>
      </c>
      <c r="AK34" s="3313" t="s">
        <v>2826</v>
      </c>
      <c r="AL34" s="3314" t="s">
        <v>2827</v>
      </c>
      <c r="AM34" s="2902" t="s">
        <v>2831</v>
      </c>
      <c r="CH34" s="1020"/>
      <c r="CI34" s="1020"/>
      <c r="CJ34" s="1020"/>
      <c r="CK34" s="1020"/>
      <c r="CL34" s="1020"/>
      <c r="CM34" s="1020"/>
      <c r="CN34" s="1020"/>
    </row>
    <row r="35" spans="1:92" ht="16.350000000000001" customHeight="1" x14ac:dyDescent="0.2">
      <c r="A35" s="2458">
        <v>23030625</v>
      </c>
      <c r="B35" s="6436"/>
      <c r="C35" s="1250" t="s">
        <v>2428</v>
      </c>
      <c r="D35" s="3277" t="s">
        <v>2777</v>
      </c>
      <c r="E35" s="3278" t="s">
        <v>2778</v>
      </c>
      <c r="F35" s="3044" t="s">
        <v>2779</v>
      </c>
      <c r="G35" s="3311" t="s">
        <v>2780</v>
      </c>
      <c r="H35" s="3315" t="s">
        <v>2781</v>
      </c>
      <c r="I35" s="2905" t="s">
        <v>2782</v>
      </c>
      <c r="J35" s="3316" t="s">
        <v>2783</v>
      </c>
      <c r="K35" s="2905" t="s">
        <v>2784</v>
      </c>
      <c r="L35" s="3316" t="s">
        <v>2785</v>
      </c>
      <c r="M35" s="2905" t="s">
        <v>2786</v>
      </c>
      <c r="N35" s="3316" t="s">
        <v>2787</v>
      </c>
      <c r="O35" s="2905" t="s">
        <v>2788</v>
      </c>
      <c r="P35" s="3316" t="s">
        <v>2789</v>
      </c>
      <c r="Q35" s="2905" t="s">
        <v>2790</v>
      </c>
      <c r="R35" s="3316" t="s">
        <v>2791</v>
      </c>
      <c r="S35" s="2905" t="s">
        <v>2792</v>
      </c>
      <c r="T35" s="3316" t="s">
        <v>2793</v>
      </c>
      <c r="U35" s="2905" t="s">
        <v>2794</v>
      </c>
      <c r="V35" s="3316" t="s">
        <v>2795</v>
      </c>
      <c r="W35" s="2905" t="s">
        <v>2796</v>
      </c>
      <c r="X35" s="3316" t="s">
        <v>2797</v>
      </c>
      <c r="Y35" s="2905" t="s">
        <v>2798</v>
      </c>
      <c r="Z35" s="3316" t="s">
        <v>2799</v>
      </c>
      <c r="AA35" s="2905" t="s">
        <v>2800</v>
      </c>
      <c r="AB35" s="3316" t="s">
        <v>2801</v>
      </c>
      <c r="AC35" s="2905" t="s">
        <v>2817</v>
      </c>
      <c r="AD35" s="3316" t="s">
        <v>2818</v>
      </c>
      <c r="AE35" s="2905" t="s">
        <v>2819</v>
      </c>
      <c r="AF35" s="3316" t="s">
        <v>2821</v>
      </c>
      <c r="AG35" s="2905" t="s">
        <v>2822</v>
      </c>
      <c r="AH35" s="3316" t="s">
        <v>2823</v>
      </c>
      <c r="AI35" s="2905" t="s">
        <v>2824</v>
      </c>
      <c r="AJ35" s="3316" t="s">
        <v>2825</v>
      </c>
      <c r="AK35" s="3317" t="s">
        <v>2826</v>
      </c>
      <c r="AL35" s="3318" t="s">
        <v>2827</v>
      </c>
      <c r="AM35" s="2906" t="s">
        <v>2831</v>
      </c>
      <c r="CH35" s="1020"/>
      <c r="CI35" s="1020"/>
      <c r="CJ35" s="1020"/>
      <c r="CK35" s="1020"/>
      <c r="CL35" s="1020"/>
      <c r="CM35" s="1020"/>
      <c r="CN35" s="1020"/>
    </row>
    <row r="36" spans="1:92" ht="16.350000000000001" customHeight="1" x14ac:dyDescent="0.2">
      <c r="A36" s="2458">
        <v>23060105</v>
      </c>
      <c r="B36" s="6425" t="s">
        <v>2430</v>
      </c>
      <c r="C36" s="1743" t="s">
        <v>2431</v>
      </c>
      <c r="D36" s="3049" t="s">
        <v>2777</v>
      </c>
      <c r="E36" s="3280" t="s">
        <v>2778</v>
      </c>
      <c r="F36" s="3035" t="s">
        <v>2779</v>
      </c>
      <c r="G36" s="3319" t="s">
        <v>2780</v>
      </c>
      <c r="H36" s="3320" t="s">
        <v>2781</v>
      </c>
      <c r="I36" s="3319" t="s">
        <v>2782</v>
      </c>
      <c r="J36" s="3320" t="s">
        <v>2783</v>
      </c>
      <c r="K36" s="3319" t="s">
        <v>2784</v>
      </c>
      <c r="L36" s="3320" t="s">
        <v>2785</v>
      </c>
      <c r="M36" s="3319" t="s">
        <v>2786</v>
      </c>
      <c r="N36" s="3320" t="s">
        <v>2787</v>
      </c>
      <c r="O36" s="3319" t="s">
        <v>2788</v>
      </c>
      <c r="P36" s="3320" t="s">
        <v>2789</v>
      </c>
      <c r="Q36" s="3319" t="s">
        <v>2790</v>
      </c>
      <c r="R36" s="3320" t="s">
        <v>2791</v>
      </c>
      <c r="S36" s="3319" t="s">
        <v>2792</v>
      </c>
      <c r="T36" s="3320" t="s">
        <v>2793</v>
      </c>
      <c r="U36" s="3307" t="s">
        <v>2794</v>
      </c>
      <c r="V36" s="3308" t="s">
        <v>2795</v>
      </c>
      <c r="W36" s="3307" t="s">
        <v>2796</v>
      </c>
      <c r="X36" s="3308" t="s">
        <v>2797</v>
      </c>
      <c r="Y36" s="3307" t="s">
        <v>2798</v>
      </c>
      <c r="Z36" s="3308" t="s">
        <v>2799</v>
      </c>
      <c r="AA36" s="3307" t="s">
        <v>2800</v>
      </c>
      <c r="AB36" s="3308" t="s">
        <v>2801</v>
      </c>
      <c r="AC36" s="3307" t="s">
        <v>2817</v>
      </c>
      <c r="AD36" s="3308" t="s">
        <v>2818</v>
      </c>
      <c r="AE36" s="3307" t="s">
        <v>2819</v>
      </c>
      <c r="AF36" s="3308" t="s">
        <v>2821</v>
      </c>
      <c r="AG36" s="3307" t="s">
        <v>2822</v>
      </c>
      <c r="AH36" s="3308" t="s">
        <v>2823</v>
      </c>
      <c r="AI36" s="3307" t="s">
        <v>2824</v>
      </c>
      <c r="AJ36" s="3308" t="s">
        <v>2825</v>
      </c>
      <c r="AK36" s="3309" t="s">
        <v>2826</v>
      </c>
      <c r="AL36" s="3310" t="s">
        <v>2827</v>
      </c>
      <c r="AM36" s="3295" t="s">
        <v>2831</v>
      </c>
      <c r="CH36" s="1020"/>
      <c r="CI36" s="1020"/>
      <c r="CJ36" s="1020"/>
      <c r="CK36" s="1020"/>
      <c r="CL36" s="1020"/>
      <c r="CM36" s="1020"/>
      <c r="CN36" s="1020"/>
    </row>
    <row r="37" spans="1:92" ht="16.350000000000001" customHeight="1" x14ac:dyDescent="0.2">
      <c r="A37" s="2458">
        <v>23060115</v>
      </c>
      <c r="B37" s="6426"/>
      <c r="C37" s="1250" t="s">
        <v>2432</v>
      </c>
      <c r="D37" s="3043" t="s">
        <v>2777</v>
      </c>
      <c r="E37" s="3274" t="s">
        <v>2778</v>
      </c>
      <c r="F37" s="3030" t="s">
        <v>2779</v>
      </c>
      <c r="G37" s="3321" t="s">
        <v>2780</v>
      </c>
      <c r="H37" s="3322" t="s">
        <v>2781</v>
      </c>
      <c r="I37" s="3321" t="s">
        <v>2782</v>
      </c>
      <c r="J37" s="3322" t="s">
        <v>2783</v>
      </c>
      <c r="K37" s="3321" t="s">
        <v>2784</v>
      </c>
      <c r="L37" s="3322" t="s">
        <v>2785</v>
      </c>
      <c r="M37" s="3321" t="s">
        <v>2786</v>
      </c>
      <c r="N37" s="3322" t="s">
        <v>2787</v>
      </c>
      <c r="O37" s="3321" t="s">
        <v>2788</v>
      </c>
      <c r="P37" s="3322" t="s">
        <v>2789</v>
      </c>
      <c r="Q37" s="3321" t="s">
        <v>2790</v>
      </c>
      <c r="R37" s="3322" t="s">
        <v>2791</v>
      </c>
      <c r="S37" s="3321" t="s">
        <v>2792</v>
      </c>
      <c r="T37" s="3322" t="s">
        <v>2793</v>
      </c>
      <c r="U37" s="2905" t="s">
        <v>2794</v>
      </c>
      <c r="V37" s="3316" t="s">
        <v>2795</v>
      </c>
      <c r="W37" s="2905" t="s">
        <v>2796</v>
      </c>
      <c r="X37" s="3316" t="s">
        <v>2797</v>
      </c>
      <c r="Y37" s="2905" t="s">
        <v>2798</v>
      </c>
      <c r="Z37" s="3316" t="s">
        <v>2799</v>
      </c>
      <c r="AA37" s="2905" t="s">
        <v>2800</v>
      </c>
      <c r="AB37" s="3316" t="s">
        <v>2801</v>
      </c>
      <c r="AC37" s="2905" t="s">
        <v>2817</v>
      </c>
      <c r="AD37" s="3316" t="s">
        <v>2818</v>
      </c>
      <c r="AE37" s="2905" t="s">
        <v>2819</v>
      </c>
      <c r="AF37" s="3316" t="s">
        <v>2821</v>
      </c>
      <c r="AG37" s="2905" t="s">
        <v>2822</v>
      </c>
      <c r="AH37" s="3316" t="s">
        <v>2823</v>
      </c>
      <c r="AI37" s="2905" t="s">
        <v>2824</v>
      </c>
      <c r="AJ37" s="3316" t="s">
        <v>2825</v>
      </c>
      <c r="AK37" s="3317" t="s">
        <v>2826</v>
      </c>
      <c r="AL37" s="3318" t="s">
        <v>2827</v>
      </c>
      <c r="AM37" s="2906" t="s">
        <v>2831</v>
      </c>
      <c r="CH37" s="1020"/>
      <c r="CI37" s="1020"/>
      <c r="CJ37" s="1020"/>
      <c r="CK37" s="1020"/>
      <c r="CL37" s="1020"/>
      <c r="CM37" s="1020"/>
      <c r="CN37" s="1020"/>
    </row>
    <row r="38" spans="1:92" ht="16.350000000000001" customHeight="1" x14ac:dyDescent="0.2">
      <c r="A38" s="3097">
        <v>23030900</v>
      </c>
      <c r="B38" s="6427" t="s">
        <v>2433</v>
      </c>
      <c r="C38" s="6428"/>
      <c r="D38" s="3281" t="s">
        <v>2777</v>
      </c>
      <c r="E38" s="3282" t="s">
        <v>2778</v>
      </c>
      <c r="F38" s="3044" t="s">
        <v>2779</v>
      </c>
      <c r="G38" s="3287" t="s">
        <v>2780</v>
      </c>
      <c r="H38" s="3288" t="s">
        <v>2781</v>
      </c>
      <c r="I38" s="3287" t="s">
        <v>2782</v>
      </c>
      <c r="J38" s="3289" t="s">
        <v>2783</v>
      </c>
      <c r="K38" s="3287" t="s">
        <v>2784</v>
      </c>
      <c r="L38" s="3289" t="s">
        <v>2785</v>
      </c>
      <c r="M38" s="3287" t="s">
        <v>2786</v>
      </c>
      <c r="N38" s="3289" t="s">
        <v>2787</v>
      </c>
      <c r="O38" s="3287" t="s">
        <v>2788</v>
      </c>
      <c r="P38" s="3289" t="s">
        <v>2789</v>
      </c>
      <c r="Q38" s="3287" t="s">
        <v>2790</v>
      </c>
      <c r="R38" s="3289" t="s">
        <v>2791</v>
      </c>
      <c r="S38" s="3287" t="s">
        <v>2792</v>
      </c>
      <c r="T38" s="3289" t="s">
        <v>2793</v>
      </c>
      <c r="U38" s="3287" t="s">
        <v>2794</v>
      </c>
      <c r="V38" s="3289" t="s">
        <v>2795</v>
      </c>
      <c r="W38" s="3287" t="s">
        <v>2796</v>
      </c>
      <c r="X38" s="3289" t="s">
        <v>2797</v>
      </c>
      <c r="Y38" s="3287" t="s">
        <v>2798</v>
      </c>
      <c r="Z38" s="3289" t="s">
        <v>2799</v>
      </c>
      <c r="AA38" s="3287" t="s">
        <v>2800</v>
      </c>
      <c r="AB38" s="3289" t="s">
        <v>2801</v>
      </c>
      <c r="AC38" s="3287" t="s">
        <v>2817</v>
      </c>
      <c r="AD38" s="3289" t="s">
        <v>2818</v>
      </c>
      <c r="AE38" s="3287" t="s">
        <v>2819</v>
      </c>
      <c r="AF38" s="3289" t="s">
        <v>2821</v>
      </c>
      <c r="AG38" s="3287" t="s">
        <v>2822</v>
      </c>
      <c r="AH38" s="3289" t="s">
        <v>2823</v>
      </c>
      <c r="AI38" s="3287" t="s">
        <v>2824</v>
      </c>
      <c r="AJ38" s="3289" t="s">
        <v>2825</v>
      </c>
      <c r="AK38" s="3313" t="s">
        <v>2826</v>
      </c>
      <c r="AL38" s="3314" t="s">
        <v>2827</v>
      </c>
      <c r="AM38" s="3288" t="s">
        <v>2831</v>
      </c>
      <c r="CH38" s="1020"/>
      <c r="CI38" s="1020"/>
      <c r="CJ38" s="1020"/>
      <c r="CK38" s="1020"/>
      <c r="CL38" s="1020"/>
      <c r="CM38" s="1020"/>
      <c r="CN38" s="1020"/>
    </row>
    <row r="39" spans="1:92" ht="16.350000000000001" customHeight="1" x14ac:dyDescent="0.2">
      <c r="A39" s="3097">
        <v>23031000</v>
      </c>
      <c r="B39" s="5267" t="s">
        <v>2434</v>
      </c>
      <c r="C39" s="5268"/>
      <c r="D39" s="3042" t="s">
        <v>2777</v>
      </c>
      <c r="E39" s="3273" t="s">
        <v>2778</v>
      </c>
      <c r="F39" s="3027" t="s">
        <v>2779</v>
      </c>
      <c r="G39" s="2901" t="s">
        <v>2780</v>
      </c>
      <c r="H39" s="2902" t="s">
        <v>2781</v>
      </c>
      <c r="I39" s="2901" t="s">
        <v>2782</v>
      </c>
      <c r="J39" s="3323" t="s">
        <v>2783</v>
      </c>
      <c r="K39" s="2901" t="s">
        <v>2784</v>
      </c>
      <c r="L39" s="3323" t="s">
        <v>2785</v>
      </c>
      <c r="M39" s="2901" t="s">
        <v>2786</v>
      </c>
      <c r="N39" s="3323" t="s">
        <v>2787</v>
      </c>
      <c r="O39" s="2901" t="s">
        <v>2788</v>
      </c>
      <c r="P39" s="3323" t="s">
        <v>2789</v>
      </c>
      <c r="Q39" s="2901" t="s">
        <v>2790</v>
      </c>
      <c r="R39" s="3323" t="s">
        <v>2791</v>
      </c>
      <c r="S39" s="2901" t="s">
        <v>2792</v>
      </c>
      <c r="T39" s="3323" t="s">
        <v>2793</v>
      </c>
      <c r="U39" s="2901" t="s">
        <v>2794</v>
      </c>
      <c r="V39" s="3323" t="s">
        <v>2795</v>
      </c>
      <c r="W39" s="2901" t="s">
        <v>2796</v>
      </c>
      <c r="X39" s="3323" t="s">
        <v>2797</v>
      </c>
      <c r="Y39" s="2901" t="s">
        <v>2798</v>
      </c>
      <c r="Z39" s="3323" t="s">
        <v>2799</v>
      </c>
      <c r="AA39" s="2901" t="s">
        <v>2800</v>
      </c>
      <c r="AB39" s="3323" t="s">
        <v>2801</v>
      </c>
      <c r="AC39" s="2901" t="s">
        <v>2817</v>
      </c>
      <c r="AD39" s="3323" t="s">
        <v>2818</v>
      </c>
      <c r="AE39" s="2901" t="s">
        <v>2819</v>
      </c>
      <c r="AF39" s="3323" t="s">
        <v>2821</v>
      </c>
      <c r="AG39" s="2901" t="s">
        <v>2822</v>
      </c>
      <c r="AH39" s="3323" t="s">
        <v>2823</v>
      </c>
      <c r="AI39" s="2901" t="s">
        <v>2824</v>
      </c>
      <c r="AJ39" s="3323" t="s">
        <v>2825</v>
      </c>
      <c r="AK39" s="3324" t="s">
        <v>2826</v>
      </c>
      <c r="AL39" s="3325" t="s">
        <v>2827</v>
      </c>
      <c r="AM39" s="2902" t="s">
        <v>2831</v>
      </c>
      <c r="CH39" s="1020"/>
      <c r="CI39" s="1020"/>
      <c r="CJ39" s="1020"/>
      <c r="CK39" s="1020"/>
      <c r="CL39" s="1020"/>
      <c r="CM39" s="1020"/>
      <c r="CN39" s="1020"/>
    </row>
    <row r="40" spans="1:92" ht="16.350000000000001" customHeight="1" x14ac:dyDescent="0.2">
      <c r="A40" s="2549">
        <v>23090780</v>
      </c>
      <c r="B40" s="5313" t="s">
        <v>2435</v>
      </c>
      <c r="C40" s="5303"/>
      <c r="D40" s="3032" t="s">
        <v>2777</v>
      </c>
      <c r="E40" s="3033" t="s">
        <v>2778</v>
      </c>
      <c r="F40" s="3027" t="s">
        <v>2779</v>
      </c>
      <c r="G40" s="2901" t="s">
        <v>2780</v>
      </c>
      <c r="H40" s="2902" t="s">
        <v>2781</v>
      </c>
      <c r="I40" s="2901" t="s">
        <v>2782</v>
      </c>
      <c r="J40" s="3323" t="s">
        <v>2783</v>
      </c>
      <c r="K40" s="2901" t="s">
        <v>2784</v>
      </c>
      <c r="L40" s="3323" t="s">
        <v>2785</v>
      </c>
      <c r="M40" s="2901" t="s">
        <v>2786</v>
      </c>
      <c r="N40" s="3323" t="s">
        <v>2787</v>
      </c>
      <c r="O40" s="2901" t="s">
        <v>2788</v>
      </c>
      <c r="P40" s="3323" t="s">
        <v>2789</v>
      </c>
      <c r="Q40" s="2901" t="s">
        <v>2790</v>
      </c>
      <c r="R40" s="3323" t="s">
        <v>2791</v>
      </c>
      <c r="S40" s="2901" t="s">
        <v>2792</v>
      </c>
      <c r="T40" s="3323" t="s">
        <v>2793</v>
      </c>
      <c r="U40" s="2901" t="s">
        <v>2794</v>
      </c>
      <c r="V40" s="3323" t="s">
        <v>2795</v>
      </c>
      <c r="W40" s="2901" t="s">
        <v>2796</v>
      </c>
      <c r="X40" s="3323" t="s">
        <v>2797</v>
      </c>
      <c r="Y40" s="2901" t="s">
        <v>2798</v>
      </c>
      <c r="Z40" s="3323" t="s">
        <v>2799</v>
      </c>
      <c r="AA40" s="2901" t="s">
        <v>2800</v>
      </c>
      <c r="AB40" s="3323" t="s">
        <v>2801</v>
      </c>
      <c r="AC40" s="2901" t="s">
        <v>2817</v>
      </c>
      <c r="AD40" s="3323" t="s">
        <v>2818</v>
      </c>
      <c r="AE40" s="2901" t="s">
        <v>2819</v>
      </c>
      <c r="AF40" s="3323" t="s">
        <v>2821</v>
      </c>
      <c r="AG40" s="2901" t="s">
        <v>2822</v>
      </c>
      <c r="AH40" s="3323" t="s">
        <v>2823</v>
      </c>
      <c r="AI40" s="2901" t="s">
        <v>2824</v>
      </c>
      <c r="AJ40" s="3323" t="s">
        <v>2825</v>
      </c>
      <c r="AK40" s="3324" t="s">
        <v>2826</v>
      </c>
      <c r="AL40" s="3325" t="s">
        <v>2827</v>
      </c>
      <c r="AM40" s="2902" t="s">
        <v>2831</v>
      </c>
      <c r="CH40" s="1020"/>
      <c r="CI40" s="1020"/>
      <c r="CJ40" s="1020"/>
      <c r="CK40" s="1020"/>
      <c r="CL40" s="1020"/>
      <c r="CM40" s="1020"/>
      <c r="CN40" s="1020"/>
    </row>
    <row r="41" spans="1:92" ht="16.350000000000001" customHeight="1" x14ac:dyDescent="0.2">
      <c r="A41" s="2549">
        <v>23090790</v>
      </c>
      <c r="B41" s="6429" t="s">
        <v>2436</v>
      </c>
      <c r="C41" s="6430"/>
      <c r="D41" s="3283" t="s">
        <v>2777</v>
      </c>
      <c r="E41" s="3284" t="s">
        <v>2778</v>
      </c>
      <c r="F41" s="3027" t="s">
        <v>2779</v>
      </c>
      <c r="G41" s="2901" t="s">
        <v>2780</v>
      </c>
      <c r="H41" s="2902" t="s">
        <v>2781</v>
      </c>
      <c r="I41" s="2901" t="s">
        <v>2782</v>
      </c>
      <c r="J41" s="3323" t="s">
        <v>2783</v>
      </c>
      <c r="K41" s="2901" t="s">
        <v>2784</v>
      </c>
      <c r="L41" s="3323" t="s">
        <v>2785</v>
      </c>
      <c r="M41" s="2901" t="s">
        <v>2786</v>
      </c>
      <c r="N41" s="3323" t="s">
        <v>2787</v>
      </c>
      <c r="O41" s="2901" t="s">
        <v>2788</v>
      </c>
      <c r="P41" s="3323" t="s">
        <v>2789</v>
      </c>
      <c r="Q41" s="2901" t="s">
        <v>2790</v>
      </c>
      <c r="R41" s="3323" t="s">
        <v>2791</v>
      </c>
      <c r="S41" s="2901" t="s">
        <v>2792</v>
      </c>
      <c r="T41" s="3323" t="s">
        <v>2793</v>
      </c>
      <c r="U41" s="2901" t="s">
        <v>2794</v>
      </c>
      <c r="V41" s="3323" t="s">
        <v>2795</v>
      </c>
      <c r="W41" s="2901" t="s">
        <v>2796</v>
      </c>
      <c r="X41" s="3323" t="s">
        <v>2797</v>
      </c>
      <c r="Y41" s="2901" t="s">
        <v>2798</v>
      </c>
      <c r="Z41" s="3323" t="s">
        <v>2799</v>
      </c>
      <c r="AA41" s="2901" t="s">
        <v>2800</v>
      </c>
      <c r="AB41" s="3323" t="s">
        <v>2801</v>
      </c>
      <c r="AC41" s="2901" t="s">
        <v>2817</v>
      </c>
      <c r="AD41" s="3323" t="s">
        <v>2818</v>
      </c>
      <c r="AE41" s="2901" t="s">
        <v>2819</v>
      </c>
      <c r="AF41" s="3323" t="s">
        <v>2821</v>
      </c>
      <c r="AG41" s="2901" t="s">
        <v>2822</v>
      </c>
      <c r="AH41" s="3323" t="s">
        <v>2823</v>
      </c>
      <c r="AI41" s="2901" t="s">
        <v>2824</v>
      </c>
      <c r="AJ41" s="3323" t="s">
        <v>2825</v>
      </c>
      <c r="AK41" s="3324" t="s">
        <v>2826</v>
      </c>
      <c r="AL41" s="3325" t="s">
        <v>2827</v>
      </c>
      <c r="AM41" s="2902" t="s">
        <v>2831</v>
      </c>
      <c r="CH41" s="1020"/>
      <c r="CI41" s="1020"/>
      <c r="CJ41" s="1020"/>
      <c r="CK41" s="1020"/>
      <c r="CL41" s="1020"/>
      <c r="CM41" s="1020"/>
      <c r="CN41" s="1020"/>
    </row>
    <row r="42" spans="1:92" ht="16.350000000000001" customHeight="1" x14ac:dyDescent="0.2">
      <c r="A42" s="2549">
        <v>23090770</v>
      </c>
      <c r="B42" s="6431" t="s">
        <v>2437</v>
      </c>
      <c r="C42" s="6432"/>
      <c r="D42" s="3285" t="s">
        <v>2777</v>
      </c>
      <c r="E42" s="3286" t="s">
        <v>2778</v>
      </c>
      <c r="F42" s="3027" t="s">
        <v>2779</v>
      </c>
      <c r="G42" s="2905" t="s">
        <v>2780</v>
      </c>
      <c r="H42" s="2906" t="s">
        <v>2781</v>
      </c>
      <c r="I42" s="2905" t="s">
        <v>2782</v>
      </c>
      <c r="J42" s="3316" t="s">
        <v>2783</v>
      </c>
      <c r="K42" s="2905" t="s">
        <v>2784</v>
      </c>
      <c r="L42" s="3316" t="s">
        <v>2785</v>
      </c>
      <c r="M42" s="2905" t="s">
        <v>2786</v>
      </c>
      <c r="N42" s="3316" t="s">
        <v>2787</v>
      </c>
      <c r="O42" s="2905" t="s">
        <v>2788</v>
      </c>
      <c r="P42" s="3316" t="s">
        <v>2789</v>
      </c>
      <c r="Q42" s="2905" t="s">
        <v>2790</v>
      </c>
      <c r="R42" s="3316" t="s">
        <v>2791</v>
      </c>
      <c r="S42" s="2905" t="s">
        <v>2792</v>
      </c>
      <c r="T42" s="3316" t="s">
        <v>2793</v>
      </c>
      <c r="U42" s="2905" t="s">
        <v>2794</v>
      </c>
      <c r="V42" s="3316" t="s">
        <v>2795</v>
      </c>
      <c r="W42" s="2905" t="s">
        <v>2796</v>
      </c>
      <c r="X42" s="3316" t="s">
        <v>2797</v>
      </c>
      <c r="Y42" s="2905" t="s">
        <v>2798</v>
      </c>
      <c r="Z42" s="3316" t="s">
        <v>2799</v>
      </c>
      <c r="AA42" s="2905" t="s">
        <v>2800</v>
      </c>
      <c r="AB42" s="3316" t="s">
        <v>2801</v>
      </c>
      <c r="AC42" s="2905" t="s">
        <v>2817</v>
      </c>
      <c r="AD42" s="3316" t="s">
        <v>2818</v>
      </c>
      <c r="AE42" s="2905" t="s">
        <v>2819</v>
      </c>
      <c r="AF42" s="3316" t="s">
        <v>2821</v>
      </c>
      <c r="AG42" s="2905" t="s">
        <v>2822</v>
      </c>
      <c r="AH42" s="3316" t="s">
        <v>2823</v>
      </c>
      <c r="AI42" s="2905" t="s">
        <v>2824</v>
      </c>
      <c r="AJ42" s="3316" t="s">
        <v>2825</v>
      </c>
      <c r="AK42" s="3317" t="s">
        <v>2826</v>
      </c>
      <c r="AL42" s="3318" t="s">
        <v>2827</v>
      </c>
      <c r="AM42" s="2906" t="s">
        <v>2831</v>
      </c>
      <c r="CH42" s="1020"/>
      <c r="CI42" s="1020"/>
      <c r="CJ42" s="1020"/>
      <c r="CK42" s="1020"/>
      <c r="CL42" s="1020"/>
      <c r="CM42" s="1020"/>
      <c r="CN42" s="1020"/>
    </row>
    <row r="43" spans="1:92" ht="16.350000000000001" customHeight="1" x14ac:dyDescent="0.2">
      <c r="A43" s="2527"/>
      <c r="B43" s="6226" t="s">
        <v>42</v>
      </c>
      <c r="C43" s="6226"/>
      <c r="D43" s="2136">
        <f t="shared" ref="D43:AM43" si="1">SUM(D30:D42)</f>
        <v>0</v>
      </c>
      <c r="E43" s="2137">
        <f t="shared" si="1"/>
        <v>0</v>
      </c>
      <c r="F43" s="2138">
        <f t="shared" si="1"/>
        <v>0</v>
      </c>
      <c r="G43" s="1610">
        <f t="shared" si="1"/>
        <v>0</v>
      </c>
      <c r="H43" s="1609">
        <f t="shared" si="1"/>
        <v>0</v>
      </c>
      <c r="I43" s="1610">
        <f t="shared" si="1"/>
        <v>0</v>
      </c>
      <c r="J43" s="1609">
        <f t="shared" si="1"/>
        <v>0</v>
      </c>
      <c r="K43" s="1610">
        <f t="shared" si="1"/>
        <v>0</v>
      </c>
      <c r="L43" s="1609">
        <f t="shared" si="1"/>
        <v>0</v>
      </c>
      <c r="M43" s="2139">
        <f t="shared" si="1"/>
        <v>0</v>
      </c>
      <c r="N43" s="2130">
        <f t="shared" si="1"/>
        <v>0</v>
      </c>
      <c r="O43" s="2139">
        <f t="shared" si="1"/>
        <v>0</v>
      </c>
      <c r="P43" s="2130">
        <f t="shared" si="1"/>
        <v>0</v>
      </c>
      <c r="Q43" s="2140">
        <f t="shared" si="1"/>
        <v>0</v>
      </c>
      <c r="R43" s="2130">
        <f t="shared" si="1"/>
        <v>0</v>
      </c>
      <c r="S43" s="2139">
        <f t="shared" si="1"/>
        <v>0</v>
      </c>
      <c r="T43" s="2130">
        <f t="shared" si="1"/>
        <v>0</v>
      </c>
      <c r="U43" s="1610">
        <f t="shared" si="1"/>
        <v>0</v>
      </c>
      <c r="V43" s="1614">
        <f t="shared" si="1"/>
        <v>0</v>
      </c>
      <c r="W43" s="1610">
        <f t="shared" si="1"/>
        <v>0</v>
      </c>
      <c r="X43" s="1614">
        <f t="shared" si="1"/>
        <v>0</v>
      </c>
      <c r="Y43" s="1610">
        <f t="shared" si="1"/>
        <v>0</v>
      </c>
      <c r="Z43" s="1614">
        <f t="shared" si="1"/>
        <v>0</v>
      </c>
      <c r="AA43" s="2139">
        <f t="shared" si="1"/>
        <v>0</v>
      </c>
      <c r="AB43" s="2130">
        <f t="shared" si="1"/>
        <v>0</v>
      </c>
      <c r="AC43" s="2139">
        <f t="shared" si="1"/>
        <v>0</v>
      </c>
      <c r="AD43" s="2130">
        <f t="shared" si="1"/>
        <v>0</v>
      </c>
      <c r="AE43" s="2140">
        <f t="shared" si="1"/>
        <v>0</v>
      </c>
      <c r="AF43" s="2130">
        <f t="shared" si="1"/>
        <v>0</v>
      </c>
      <c r="AG43" s="2139">
        <f t="shared" si="1"/>
        <v>0</v>
      </c>
      <c r="AH43" s="2130">
        <f t="shared" si="1"/>
        <v>0</v>
      </c>
      <c r="AI43" s="2139">
        <f t="shared" si="1"/>
        <v>0</v>
      </c>
      <c r="AJ43" s="2130">
        <f t="shared" si="1"/>
        <v>0</v>
      </c>
      <c r="AK43" s="2139">
        <f t="shared" si="1"/>
        <v>0</v>
      </c>
      <c r="AL43" s="2131">
        <f t="shared" si="1"/>
        <v>0</v>
      </c>
      <c r="AM43" s="2140">
        <f t="shared" si="1"/>
        <v>0</v>
      </c>
      <c r="AN43" s="2141"/>
      <c r="AO43" s="94"/>
      <c r="AP43" s="94"/>
      <c r="AQ43" s="94"/>
      <c r="AR43" s="94"/>
      <c r="AS43" s="94"/>
      <c r="AT43" s="94"/>
      <c r="AU43" s="94"/>
      <c r="AV43" s="94"/>
      <c r="AW43" s="94"/>
      <c r="AX43" s="94"/>
      <c r="AY43" s="94"/>
      <c r="AZ43" s="94"/>
      <c r="BA43" s="94"/>
      <c r="BB43" s="94"/>
      <c r="BC43" s="94"/>
      <c r="CH43" s="1020"/>
      <c r="CI43" s="1020"/>
      <c r="CJ43" s="1020"/>
      <c r="CK43" s="1020"/>
      <c r="CL43" s="1020"/>
      <c r="CM43" s="1020"/>
      <c r="CN43" s="1020"/>
    </row>
    <row r="44" spans="1:92" ht="32.1" customHeight="1" x14ac:dyDescent="0.2">
      <c r="B44" s="85" t="s">
        <v>2686</v>
      </c>
      <c r="C44" s="2134"/>
      <c r="D44" s="2134"/>
      <c r="E44" s="2134"/>
      <c r="F44" s="2134"/>
      <c r="G44" s="2134"/>
      <c r="H44" s="2134"/>
      <c r="I44" s="2134"/>
      <c r="J44" s="2134"/>
      <c r="K44" s="2134"/>
      <c r="L44" s="2134"/>
      <c r="M44" s="2134"/>
      <c r="N44" s="2134"/>
      <c r="O44" s="2134"/>
      <c r="P44" s="2134"/>
      <c r="Q44" s="2134"/>
      <c r="R44" s="2134"/>
      <c r="S44" s="2134"/>
      <c r="T44" s="2134"/>
      <c r="U44" s="2134"/>
      <c r="V44" s="2134"/>
      <c r="W44" s="2134"/>
      <c r="X44" s="2134"/>
      <c r="Y44" s="2134"/>
      <c r="Z44" s="2134"/>
      <c r="AA44" s="2134"/>
      <c r="AB44" s="2134"/>
      <c r="AC44" s="2134"/>
      <c r="AD44" s="2134"/>
      <c r="AE44" s="2134"/>
      <c r="AF44" s="2134"/>
      <c r="AG44" s="2134"/>
      <c r="AH44" s="2134"/>
      <c r="AI44" s="2134"/>
      <c r="AJ44" s="2134"/>
      <c r="AK44" s="2134"/>
      <c r="AL44" s="2134"/>
      <c r="AM44" s="2134"/>
      <c r="AN44" s="1946"/>
      <c r="AO44" s="94"/>
      <c r="AP44" s="94"/>
      <c r="AQ44" s="94"/>
      <c r="AR44" s="94"/>
      <c r="AS44" s="94"/>
      <c r="AT44" s="94"/>
      <c r="AU44" s="94"/>
      <c r="AV44" s="94"/>
      <c r="AW44" s="94"/>
      <c r="AX44" s="94"/>
      <c r="AY44" s="94"/>
      <c r="AZ44" s="94"/>
      <c r="BA44" s="94"/>
      <c r="BB44" s="94"/>
      <c r="BC44" s="94"/>
      <c r="CH44" s="1020"/>
      <c r="CI44" s="1020"/>
      <c r="CJ44" s="1020"/>
      <c r="CK44" s="1020"/>
      <c r="CL44" s="1020"/>
      <c r="CM44" s="1020"/>
      <c r="CN44" s="1020"/>
    </row>
    <row r="45" spans="1:92" ht="12.75" customHeight="1" x14ac:dyDescent="0.2">
      <c r="B45" s="6440" t="s">
        <v>2438</v>
      </c>
      <c r="C45" s="6441"/>
      <c r="D45" s="6446" t="s">
        <v>42</v>
      </c>
      <c r="E45" s="6447"/>
      <c r="F45" s="6447"/>
      <c r="G45" s="6452" t="s">
        <v>5</v>
      </c>
      <c r="H45" s="6453"/>
      <c r="I45" s="6453"/>
      <c r="J45" s="6453"/>
      <c r="K45" s="6453"/>
      <c r="L45" s="6453"/>
      <c r="M45" s="6453"/>
      <c r="N45" s="6453"/>
      <c r="O45" s="6453"/>
      <c r="P45" s="6453"/>
      <c r="Q45" s="6453"/>
      <c r="R45" s="6453"/>
      <c r="S45" s="6453"/>
      <c r="T45" s="6453"/>
      <c r="U45" s="6453"/>
      <c r="V45" s="6453"/>
      <c r="W45" s="6453"/>
      <c r="X45" s="6453"/>
      <c r="Y45" s="6453"/>
      <c r="Z45" s="6453"/>
      <c r="AA45" s="6453"/>
      <c r="AB45" s="6453"/>
      <c r="AC45" s="6453"/>
      <c r="AD45" s="6453"/>
      <c r="AE45" s="6453"/>
      <c r="AF45" s="6453"/>
      <c r="AG45" s="6453"/>
      <c r="AH45" s="6453"/>
      <c r="AI45" s="6453"/>
      <c r="AJ45" s="6453"/>
      <c r="AK45" s="6453"/>
      <c r="AL45" s="6454"/>
      <c r="AM45" s="6455" t="s">
        <v>327</v>
      </c>
      <c r="AN45" s="6456"/>
      <c r="AO45" s="94"/>
      <c r="AP45" s="94"/>
      <c r="AQ45" s="94"/>
      <c r="AR45" s="94"/>
      <c r="AS45" s="94"/>
      <c r="AT45" s="94"/>
      <c r="AU45" s="94"/>
      <c r="AV45" s="94"/>
      <c r="AW45" s="94"/>
      <c r="AX45" s="94"/>
      <c r="AY45" s="94"/>
      <c r="AZ45" s="94"/>
      <c r="BA45" s="94"/>
      <c r="BB45" s="94"/>
      <c r="BC45" s="94"/>
      <c r="CH45" s="1020"/>
      <c r="CI45" s="1020"/>
      <c r="CJ45" s="1020"/>
      <c r="CK45" s="1020"/>
      <c r="CL45" s="1020"/>
      <c r="CM45" s="1020"/>
      <c r="CN45" s="1020"/>
    </row>
    <row r="46" spans="1:92" ht="11.25" customHeight="1" x14ac:dyDescent="0.2">
      <c r="B46" s="6442"/>
      <c r="C46" s="6443"/>
      <c r="D46" s="6448"/>
      <c r="E46" s="6449"/>
      <c r="F46" s="6449"/>
      <c r="G46" s="6413" t="s">
        <v>2405</v>
      </c>
      <c r="H46" s="6209"/>
      <c r="I46" s="6413" t="s">
        <v>2406</v>
      </c>
      <c r="J46" s="6209"/>
      <c r="K46" s="6413" t="s">
        <v>2407</v>
      </c>
      <c r="L46" s="6209"/>
      <c r="M46" s="6413" t="s">
        <v>2408</v>
      </c>
      <c r="N46" s="6209"/>
      <c r="O46" s="6413" t="s">
        <v>2409</v>
      </c>
      <c r="P46" s="6209"/>
      <c r="Q46" s="6413" t="s">
        <v>2410</v>
      </c>
      <c r="R46" s="6209"/>
      <c r="S46" s="6413" t="s">
        <v>2411</v>
      </c>
      <c r="T46" s="6209"/>
      <c r="U46" s="6413" t="s">
        <v>663</v>
      </c>
      <c r="V46" s="6209"/>
      <c r="W46" s="6413" t="s">
        <v>664</v>
      </c>
      <c r="X46" s="6209"/>
      <c r="Y46" s="6413" t="s">
        <v>665</v>
      </c>
      <c r="Z46" s="6209"/>
      <c r="AA46" s="6413" t="s">
        <v>666</v>
      </c>
      <c r="AB46" s="6209"/>
      <c r="AC46" s="6413" t="s">
        <v>667</v>
      </c>
      <c r="AD46" s="6209"/>
      <c r="AE46" s="6413" t="s">
        <v>668</v>
      </c>
      <c r="AF46" s="6209"/>
      <c r="AG46" s="6413" t="s">
        <v>669</v>
      </c>
      <c r="AH46" s="6209"/>
      <c r="AI46" s="6413" t="s">
        <v>670</v>
      </c>
      <c r="AJ46" s="6209"/>
      <c r="AK46" s="6413" t="s">
        <v>2412</v>
      </c>
      <c r="AL46" s="6414"/>
      <c r="AM46" s="6457"/>
      <c r="AN46" s="6458"/>
      <c r="AO46" s="94"/>
      <c r="AP46" s="94"/>
      <c r="AQ46" s="94"/>
      <c r="AR46" s="94"/>
      <c r="AS46" s="94"/>
      <c r="AT46" s="94"/>
      <c r="AU46" s="94"/>
      <c r="AV46" s="94"/>
      <c r="AW46" s="94"/>
      <c r="AX46" s="94"/>
      <c r="AY46" s="94"/>
      <c r="AZ46" s="94"/>
      <c r="BA46" s="94"/>
      <c r="BB46" s="94"/>
      <c r="BC46" s="94"/>
      <c r="CH46" s="1020"/>
      <c r="CI46" s="1020"/>
      <c r="CJ46" s="1020"/>
      <c r="CK46" s="1020"/>
      <c r="CL46" s="1020"/>
      <c r="CM46" s="1020"/>
      <c r="CN46" s="1020"/>
    </row>
    <row r="47" spans="1:92" ht="12" customHeight="1" x14ac:dyDescent="0.2">
      <c r="B47" s="6442"/>
      <c r="C47" s="6443"/>
      <c r="D47" s="6450"/>
      <c r="E47" s="6451"/>
      <c r="F47" s="6451"/>
      <c r="G47" s="6313"/>
      <c r="H47" s="6211"/>
      <c r="I47" s="6313"/>
      <c r="J47" s="6211"/>
      <c r="K47" s="6313"/>
      <c r="L47" s="6211"/>
      <c r="M47" s="6313"/>
      <c r="N47" s="6211"/>
      <c r="O47" s="6313"/>
      <c r="P47" s="6211"/>
      <c r="Q47" s="6313"/>
      <c r="R47" s="6211"/>
      <c r="S47" s="6313"/>
      <c r="T47" s="6211"/>
      <c r="U47" s="6313"/>
      <c r="V47" s="6211"/>
      <c r="W47" s="6313"/>
      <c r="X47" s="6211"/>
      <c r="Y47" s="6313"/>
      <c r="Z47" s="6211"/>
      <c r="AA47" s="6313"/>
      <c r="AB47" s="6211"/>
      <c r="AC47" s="6313"/>
      <c r="AD47" s="6211"/>
      <c r="AE47" s="6313"/>
      <c r="AF47" s="6211"/>
      <c r="AG47" s="6313"/>
      <c r="AH47" s="6211"/>
      <c r="AI47" s="6313"/>
      <c r="AJ47" s="6211"/>
      <c r="AK47" s="6313"/>
      <c r="AL47" s="6415"/>
      <c r="AM47" s="6461" t="s">
        <v>671</v>
      </c>
      <c r="AN47" s="6459" t="s">
        <v>672</v>
      </c>
      <c r="AO47" s="94"/>
      <c r="AP47" s="94"/>
      <c r="AQ47" s="94"/>
      <c r="AR47" s="94"/>
      <c r="AS47" s="94"/>
      <c r="AT47" s="94"/>
      <c r="AU47" s="94"/>
      <c r="AV47" s="94"/>
      <c r="AW47" s="94"/>
      <c r="AX47" s="94"/>
      <c r="AY47" s="94"/>
      <c r="AZ47" s="94"/>
      <c r="BA47" s="94"/>
      <c r="BB47" s="94"/>
      <c r="BC47" s="94"/>
      <c r="CH47" s="1020"/>
      <c r="CI47" s="1020"/>
      <c r="CJ47" s="1020"/>
      <c r="CK47" s="1020"/>
      <c r="CL47" s="1020"/>
      <c r="CM47" s="1020"/>
      <c r="CN47" s="1020"/>
    </row>
    <row r="48" spans="1:92" x14ac:dyDescent="0.2">
      <c r="B48" s="6444"/>
      <c r="C48" s="6445"/>
      <c r="D48" s="2142" t="s">
        <v>184</v>
      </c>
      <c r="E48" s="2143" t="s">
        <v>24</v>
      </c>
      <c r="F48" s="2144" t="s">
        <v>25</v>
      </c>
      <c r="G48" s="2145" t="s">
        <v>24</v>
      </c>
      <c r="H48" s="1929" t="s">
        <v>25</v>
      </c>
      <c r="I48" s="2145" t="s">
        <v>24</v>
      </c>
      <c r="J48" s="1929" t="s">
        <v>25</v>
      </c>
      <c r="K48" s="2145" t="s">
        <v>24</v>
      </c>
      <c r="L48" s="1913" t="s">
        <v>25</v>
      </c>
      <c r="M48" s="2145" t="s">
        <v>24</v>
      </c>
      <c r="N48" s="1929" t="s">
        <v>25</v>
      </c>
      <c r="O48" s="2145" t="s">
        <v>24</v>
      </c>
      <c r="P48" s="1929" t="s">
        <v>25</v>
      </c>
      <c r="Q48" s="2145" t="s">
        <v>24</v>
      </c>
      <c r="R48" s="1929" t="s">
        <v>25</v>
      </c>
      <c r="S48" s="2145" t="s">
        <v>24</v>
      </c>
      <c r="T48" s="1929" t="s">
        <v>25</v>
      </c>
      <c r="U48" s="2145" t="s">
        <v>24</v>
      </c>
      <c r="V48" s="1929" t="s">
        <v>25</v>
      </c>
      <c r="W48" s="2145" t="s">
        <v>24</v>
      </c>
      <c r="X48" s="1929" t="s">
        <v>25</v>
      </c>
      <c r="Y48" s="2145" t="s">
        <v>24</v>
      </c>
      <c r="Z48" s="1929" t="s">
        <v>25</v>
      </c>
      <c r="AA48" s="2145" t="s">
        <v>24</v>
      </c>
      <c r="AB48" s="1929" t="s">
        <v>25</v>
      </c>
      <c r="AC48" s="2145" t="s">
        <v>24</v>
      </c>
      <c r="AD48" s="1929" t="s">
        <v>25</v>
      </c>
      <c r="AE48" s="2145" t="s">
        <v>24</v>
      </c>
      <c r="AF48" s="1929" t="s">
        <v>25</v>
      </c>
      <c r="AG48" s="2145" t="s">
        <v>24</v>
      </c>
      <c r="AH48" s="1929" t="s">
        <v>25</v>
      </c>
      <c r="AI48" s="2145" t="s">
        <v>24</v>
      </c>
      <c r="AJ48" s="1929" t="s">
        <v>25</v>
      </c>
      <c r="AK48" s="2145" t="s">
        <v>24</v>
      </c>
      <c r="AL48" s="2135" t="s">
        <v>25</v>
      </c>
      <c r="AM48" s="6462"/>
      <c r="AN48" s="6460"/>
      <c r="AO48" s="94"/>
      <c r="AP48" s="94"/>
      <c r="AQ48" s="94"/>
      <c r="AR48" s="94"/>
      <c r="AS48" s="94"/>
      <c r="AT48" s="94"/>
      <c r="AU48" s="94"/>
      <c r="AV48" s="94"/>
      <c r="AW48" s="94"/>
      <c r="AX48" s="94"/>
      <c r="AY48" s="94"/>
      <c r="AZ48" s="94"/>
      <c r="BA48" s="94"/>
      <c r="BB48" s="94"/>
      <c r="BC48" s="94"/>
      <c r="CH48" s="1020"/>
      <c r="CI48" s="1020"/>
      <c r="CJ48" s="1020"/>
      <c r="CK48" s="1020"/>
      <c r="CL48" s="1020"/>
      <c r="CM48" s="1020"/>
      <c r="CN48" s="1020"/>
    </row>
    <row r="49" spans="1:92" ht="16.350000000000001" customHeight="1" x14ac:dyDescent="0.2">
      <c r="A49" s="2549">
        <v>23042500</v>
      </c>
      <c r="B49" s="6463" t="s">
        <v>2439</v>
      </c>
      <c r="C49" s="6464"/>
      <c r="D49" s="3336" t="s">
        <v>2777</v>
      </c>
      <c r="E49" s="3337" t="s">
        <v>2778</v>
      </c>
      <c r="F49" s="3338" t="s">
        <v>2779</v>
      </c>
      <c r="G49" s="3339" t="s">
        <v>2780</v>
      </c>
      <c r="H49" s="3340" t="s">
        <v>2781</v>
      </c>
      <c r="I49" s="3339" t="s">
        <v>2782</v>
      </c>
      <c r="J49" s="3340" t="s">
        <v>2783</v>
      </c>
      <c r="K49" s="3305" t="s">
        <v>2784</v>
      </c>
      <c r="L49" s="3341" t="s">
        <v>2785</v>
      </c>
      <c r="M49" s="3305" t="s">
        <v>2786</v>
      </c>
      <c r="N49" s="3306" t="s">
        <v>2787</v>
      </c>
      <c r="O49" s="3305" t="s">
        <v>2788</v>
      </c>
      <c r="P49" s="3306" t="s">
        <v>2789</v>
      </c>
      <c r="Q49" s="3305" t="s">
        <v>2790</v>
      </c>
      <c r="R49" s="3306" t="s">
        <v>2791</v>
      </c>
      <c r="S49" s="3305" t="s">
        <v>2792</v>
      </c>
      <c r="T49" s="3306" t="s">
        <v>2793</v>
      </c>
      <c r="U49" s="3305" t="s">
        <v>2794</v>
      </c>
      <c r="V49" s="3306" t="s">
        <v>2795</v>
      </c>
      <c r="W49" s="3305" t="s">
        <v>2796</v>
      </c>
      <c r="X49" s="3306" t="s">
        <v>2797</v>
      </c>
      <c r="Y49" s="3305" t="s">
        <v>2798</v>
      </c>
      <c r="Z49" s="3306" t="s">
        <v>2799</v>
      </c>
      <c r="AA49" s="3305" t="s">
        <v>2800</v>
      </c>
      <c r="AB49" s="3306" t="s">
        <v>2801</v>
      </c>
      <c r="AC49" s="3305" t="s">
        <v>2817</v>
      </c>
      <c r="AD49" s="3306" t="s">
        <v>2818</v>
      </c>
      <c r="AE49" s="3305" t="s">
        <v>2819</v>
      </c>
      <c r="AF49" s="3306" t="s">
        <v>2821</v>
      </c>
      <c r="AG49" s="3305" t="s">
        <v>2822</v>
      </c>
      <c r="AH49" s="3306" t="s">
        <v>2823</v>
      </c>
      <c r="AI49" s="3305" t="s">
        <v>2824</v>
      </c>
      <c r="AJ49" s="3306" t="s">
        <v>2825</v>
      </c>
      <c r="AK49" s="3305" t="s">
        <v>2826</v>
      </c>
      <c r="AL49" s="3342" t="s">
        <v>2827</v>
      </c>
      <c r="AM49" s="3343" t="s">
        <v>2831</v>
      </c>
      <c r="AN49" s="3344" t="s">
        <v>2832</v>
      </c>
      <c r="AO49" s="1057"/>
      <c r="AP49" s="1058"/>
      <c r="AQ49" s="1058"/>
      <c r="AR49" s="1058"/>
      <c r="AS49" s="1058"/>
      <c r="AT49" s="1058"/>
      <c r="AU49" s="1058"/>
      <c r="AV49" s="1058"/>
      <c r="AW49" s="1058"/>
      <c r="AX49" s="1058"/>
      <c r="AY49" s="1058"/>
      <c r="AZ49" s="1058"/>
      <c r="BA49" s="94"/>
      <c r="BB49" s="94"/>
      <c r="BC49" s="94"/>
      <c r="CH49" s="1020">
        <v>0</v>
      </c>
      <c r="CI49" s="1020"/>
      <c r="CJ49" s="1020"/>
      <c r="CK49" s="1020"/>
      <c r="CL49" s="1020"/>
      <c r="CM49" s="1020"/>
      <c r="CN49" s="1020"/>
    </row>
    <row r="50" spans="1:92" ht="16.350000000000001" customHeight="1" x14ac:dyDescent="0.2">
      <c r="A50" s="2549">
        <v>23042600</v>
      </c>
      <c r="B50" s="6465" t="s">
        <v>2429</v>
      </c>
      <c r="C50" s="6466"/>
      <c r="D50" s="3345" t="s">
        <v>2777</v>
      </c>
      <c r="E50" s="3346" t="s">
        <v>2778</v>
      </c>
      <c r="F50" s="3347" t="s">
        <v>2779</v>
      </c>
      <c r="G50" s="3311" t="s">
        <v>2780</v>
      </c>
      <c r="H50" s="3348" t="s">
        <v>2781</v>
      </c>
      <c r="I50" s="3349" t="s">
        <v>2782</v>
      </c>
      <c r="J50" s="3350" t="s">
        <v>2783</v>
      </c>
      <c r="K50" s="3351" t="s">
        <v>2784</v>
      </c>
      <c r="L50" s="3352" t="s">
        <v>2785</v>
      </c>
      <c r="M50" s="3351" t="s">
        <v>2786</v>
      </c>
      <c r="N50" s="3352" t="s">
        <v>2787</v>
      </c>
      <c r="O50" s="3351" t="s">
        <v>2788</v>
      </c>
      <c r="P50" s="3352" t="s">
        <v>2789</v>
      </c>
      <c r="Q50" s="3351" t="s">
        <v>2790</v>
      </c>
      <c r="R50" s="3352" t="s">
        <v>2791</v>
      </c>
      <c r="S50" s="3351" t="s">
        <v>2792</v>
      </c>
      <c r="T50" s="3352" t="s">
        <v>2793</v>
      </c>
      <c r="U50" s="3353" t="s">
        <v>2794</v>
      </c>
      <c r="V50" s="3354" t="s">
        <v>2795</v>
      </c>
      <c r="W50" s="3353" t="s">
        <v>2796</v>
      </c>
      <c r="X50" s="3354" t="s">
        <v>2797</v>
      </c>
      <c r="Y50" s="3353" t="s">
        <v>2798</v>
      </c>
      <c r="Z50" s="3354" t="s">
        <v>2799</v>
      </c>
      <c r="AA50" s="3353" t="s">
        <v>2800</v>
      </c>
      <c r="AB50" s="3354" t="s">
        <v>2801</v>
      </c>
      <c r="AC50" s="3353" t="s">
        <v>2817</v>
      </c>
      <c r="AD50" s="3354" t="s">
        <v>2818</v>
      </c>
      <c r="AE50" s="3353" t="s">
        <v>2819</v>
      </c>
      <c r="AF50" s="3354" t="s">
        <v>2821</v>
      </c>
      <c r="AG50" s="3353" t="s">
        <v>2822</v>
      </c>
      <c r="AH50" s="3354" t="s">
        <v>2823</v>
      </c>
      <c r="AI50" s="3353" t="s">
        <v>2824</v>
      </c>
      <c r="AJ50" s="3354" t="s">
        <v>2825</v>
      </c>
      <c r="AK50" s="3353" t="s">
        <v>2826</v>
      </c>
      <c r="AL50" s="3355" t="s">
        <v>2827</v>
      </c>
      <c r="AM50" s="3356" t="s">
        <v>2831</v>
      </c>
      <c r="AN50" s="3357" t="s">
        <v>2832</v>
      </c>
      <c r="AO50" s="1057"/>
      <c r="AP50" s="1058"/>
      <c r="AQ50" s="1058"/>
      <c r="AR50" s="1058"/>
      <c r="AS50" s="1058"/>
      <c r="AT50" s="1058"/>
      <c r="AU50" s="1058"/>
      <c r="AV50" s="1058"/>
      <c r="AW50" s="1058"/>
      <c r="AX50" s="1058"/>
      <c r="AY50" s="1058"/>
      <c r="AZ50" s="1058"/>
      <c r="BA50" s="94"/>
      <c r="BB50" s="94"/>
      <c r="BC50" s="94"/>
      <c r="CH50" s="1020">
        <v>0</v>
      </c>
      <c r="CI50" s="1020"/>
      <c r="CJ50" s="1020"/>
      <c r="CK50" s="1020"/>
      <c r="CL50" s="1020"/>
      <c r="CM50" s="1020"/>
      <c r="CN50" s="1020"/>
    </row>
    <row r="51" spans="1:92" ht="16.350000000000001" customHeight="1" x14ac:dyDescent="0.2">
      <c r="A51" s="2549">
        <v>23042700</v>
      </c>
      <c r="B51" s="6465" t="s">
        <v>2430</v>
      </c>
      <c r="C51" s="6466"/>
      <c r="D51" s="3358" t="s">
        <v>2777</v>
      </c>
      <c r="E51" s="3359" t="s">
        <v>2778</v>
      </c>
      <c r="F51" s="3360" t="s">
        <v>2779</v>
      </c>
      <c r="G51" s="3311" t="s">
        <v>2780</v>
      </c>
      <c r="H51" s="3312" t="s">
        <v>2781</v>
      </c>
      <c r="I51" s="3311" t="s">
        <v>2782</v>
      </c>
      <c r="J51" s="3312" t="s">
        <v>2783</v>
      </c>
      <c r="K51" s="3311" t="s">
        <v>2784</v>
      </c>
      <c r="L51" s="3312" t="s">
        <v>2785</v>
      </c>
      <c r="M51" s="3311" t="s">
        <v>2786</v>
      </c>
      <c r="N51" s="3312" t="s">
        <v>2787</v>
      </c>
      <c r="O51" s="3311" t="s">
        <v>2788</v>
      </c>
      <c r="P51" s="3312" t="s">
        <v>2789</v>
      </c>
      <c r="Q51" s="3311" t="s">
        <v>2790</v>
      </c>
      <c r="R51" s="3341" t="s">
        <v>2791</v>
      </c>
      <c r="S51" s="3361" t="s">
        <v>2792</v>
      </c>
      <c r="T51" s="3341" t="s">
        <v>2793</v>
      </c>
      <c r="U51" s="3362" t="s">
        <v>2794</v>
      </c>
      <c r="V51" s="3363" t="s">
        <v>2795</v>
      </c>
      <c r="W51" s="3362" t="s">
        <v>2796</v>
      </c>
      <c r="X51" s="3363" t="s">
        <v>2797</v>
      </c>
      <c r="Y51" s="3362" t="s">
        <v>2798</v>
      </c>
      <c r="Z51" s="3363" t="s">
        <v>2799</v>
      </c>
      <c r="AA51" s="3362" t="s">
        <v>2800</v>
      </c>
      <c r="AB51" s="3363" t="s">
        <v>2801</v>
      </c>
      <c r="AC51" s="3362" t="s">
        <v>2817</v>
      </c>
      <c r="AD51" s="3363" t="s">
        <v>2818</v>
      </c>
      <c r="AE51" s="3362" t="s">
        <v>2819</v>
      </c>
      <c r="AF51" s="3363" t="s">
        <v>2821</v>
      </c>
      <c r="AG51" s="3362" t="s">
        <v>2822</v>
      </c>
      <c r="AH51" s="3363" t="s">
        <v>2823</v>
      </c>
      <c r="AI51" s="3362" t="s">
        <v>2824</v>
      </c>
      <c r="AJ51" s="3363" t="s">
        <v>2825</v>
      </c>
      <c r="AK51" s="3362" t="s">
        <v>2826</v>
      </c>
      <c r="AL51" s="3364" t="s">
        <v>2827</v>
      </c>
      <c r="AM51" s="3356" t="s">
        <v>2831</v>
      </c>
      <c r="AN51" s="3357" t="s">
        <v>2832</v>
      </c>
      <c r="AO51" s="1057"/>
      <c r="AP51" s="1058"/>
      <c r="AQ51" s="1058"/>
      <c r="AR51" s="1058"/>
      <c r="AS51" s="1058"/>
      <c r="AT51" s="1058"/>
      <c r="AU51" s="1058"/>
      <c r="AV51" s="1058"/>
      <c r="AW51" s="1058"/>
      <c r="AX51" s="1058"/>
      <c r="AY51" s="1058"/>
      <c r="AZ51" s="1058"/>
      <c r="BA51" s="94"/>
      <c r="BB51" s="94"/>
      <c r="BC51" s="94"/>
      <c r="CH51" s="1020">
        <v>0</v>
      </c>
      <c r="CI51" s="1020"/>
      <c r="CJ51" s="1020"/>
      <c r="CK51" s="1020"/>
      <c r="CL51" s="1020"/>
      <c r="CM51" s="1020"/>
      <c r="CN51" s="1020"/>
    </row>
    <row r="52" spans="1:92" ht="16.350000000000001" customHeight="1" x14ac:dyDescent="0.2">
      <c r="A52" s="2549">
        <v>23042800</v>
      </c>
      <c r="B52" s="5311" t="s">
        <v>2433</v>
      </c>
      <c r="C52" s="5839"/>
      <c r="D52" s="3054" t="s">
        <v>2777</v>
      </c>
      <c r="E52" s="3055" t="s">
        <v>2778</v>
      </c>
      <c r="F52" s="3034" t="s">
        <v>2779</v>
      </c>
      <c r="G52" s="3287" t="s">
        <v>2780</v>
      </c>
      <c r="H52" s="3288" t="s">
        <v>2781</v>
      </c>
      <c r="I52" s="3287" t="s">
        <v>2782</v>
      </c>
      <c r="J52" s="3288" t="s">
        <v>2783</v>
      </c>
      <c r="K52" s="3287" t="s">
        <v>2784</v>
      </c>
      <c r="L52" s="3288" t="s">
        <v>2785</v>
      </c>
      <c r="M52" s="3287" t="s">
        <v>2786</v>
      </c>
      <c r="N52" s="3288" t="s">
        <v>2787</v>
      </c>
      <c r="O52" s="3287" t="s">
        <v>2788</v>
      </c>
      <c r="P52" s="3288" t="s">
        <v>2789</v>
      </c>
      <c r="Q52" s="3287" t="s">
        <v>2790</v>
      </c>
      <c r="R52" s="3288" t="s">
        <v>2791</v>
      </c>
      <c r="S52" s="3287" t="s">
        <v>2792</v>
      </c>
      <c r="T52" s="3288" t="s">
        <v>2793</v>
      </c>
      <c r="U52" s="3287" t="s">
        <v>2794</v>
      </c>
      <c r="V52" s="3288" t="s">
        <v>2795</v>
      </c>
      <c r="W52" s="3287" t="s">
        <v>2796</v>
      </c>
      <c r="X52" s="3288" t="s">
        <v>2797</v>
      </c>
      <c r="Y52" s="3287" t="s">
        <v>2798</v>
      </c>
      <c r="Z52" s="3288" t="s">
        <v>2799</v>
      </c>
      <c r="AA52" s="3287" t="s">
        <v>2800</v>
      </c>
      <c r="AB52" s="3288" t="s">
        <v>2801</v>
      </c>
      <c r="AC52" s="3287" t="s">
        <v>2817</v>
      </c>
      <c r="AD52" s="3288" t="s">
        <v>2818</v>
      </c>
      <c r="AE52" s="3287" t="s">
        <v>2819</v>
      </c>
      <c r="AF52" s="3288" t="s">
        <v>2821</v>
      </c>
      <c r="AG52" s="3287" t="s">
        <v>2822</v>
      </c>
      <c r="AH52" s="3288" t="s">
        <v>2823</v>
      </c>
      <c r="AI52" s="3287" t="s">
        <v>2824</v>
      </c>
      <c r="AJ52" s="3288" t="s">
        <v>2825</v>
      </c>
      <c r="AK52" s="3287" t="s">
        <v>2826</v>
      </c>
      <c r="AL52" s="3365" t="s">
        <v>2827</v>
      </c>
      <c r="AM52" s="3356" t="s">
        <v>2831</v>
      </c>
      <c r="AN52" s="3357" t="s">
        <v>2832</v>
      </c>
      <c r="AO52" s="1057"/>
      <c r="AP52" s="1058"/>
      <c r="AQ52" s="1058"/>
      <c r="AR52" s="1058"/>
      <c r="AS52" s="1058"/>
      <c r="AT52" s="1058"/>
      <c r="AU52" s="1058"/>
      <c r="AV52" s="1058"/>
      <c r="AW52" s="1058"/>
      <c r="AX52" s="1058"/>
      <c r="AY52" s="1058"/>
      <c r="AZ52" s="1058"/>
      <c r="BA52" s="94"/>
      <c r="BB52" s="94"/>
      <c r="BC52" s="94"/>
      <c r="CH52" s="1020">
        <v>0</v>
      </c>
      <c r="CI52" s="1020"/>
      <c r="CJ52" s="1020"/>
      <c r="CK52" s="1020"/>
      <c r="CL52" s="1020"/>
      <c r="CM52" s="1020"/>
      <c r="CN52" s="1020"/>
    </row>
    <row r="53" spans="1:92" ht="16.350000000000001" customHeight="1" x14ac:dyDescent="0.2">
      <c r="A53" s="2549">
        <v>23042900</v>
      </c>
      <c r="B53" s="6467" t="s">
        <v>2434</v>
      </c>
      <c r="C53" s="6468"/>
      <c r="D53" s="3366" t="s">
        <v>2777</v>
      </c>
      <c r="E53" s="3367" t="s">
        <v>2778</v>
      </c>
      <c r="F53" s="3360" t="s">
        <v>2779</v>
      </c>
      <c r="G53" s="3353" t="s">
        <v>2780</v>
      </c>
      <c r="H53" s="3354" t="s">
        <v>2781</v>
      </c>
      <c r="I53" s="3353" t="s">
        <v>2782</v>
      </c>
      <c r="J53" s="3354" t="s">
        <v>2783</v>
      </c>
      <c r="K53" s="3353" t="s">
        <v>2784</v>
      </c>
      <c r="L53" s="3354" t="s">
        <v>2785</v>
      </c>
      <c r="M53" s="3353" t="s">
        <v>2786</v>
      </c>
      <c r="N53" s="3363" t="s">
        <v>2787</v>
      </c>
      <c r="O53" s="3362" t="s">
        <v>2788</v>
      </c>
      <c r="P53" s="3363" t="s">
        <v>2789</v>
      </c>
      <c r="Q53" s="3362" t="s">
        <v>2790</v>
      </c>
      <c r="R53" s="3363" t="s">
        <v>2791</v>
      </c>
      <c r="S53" s="3362" t="s">
        <v>2792</v>
      </c>
      <c r="T53" s="3363" t="s">
        <v>2793</v>
      </c>
      <c r="U53" s="3362" t="s">
        <v>2794</v>
      </c>
      <c r="V53" s="3363" t="s">
        <v>2795</v>
      </c>
      <c r="W53" s="3362" t="s">
        <v>2796</v>
      </c>
      <c r="X53" s="3363" t="s">
        <v>2797</v>
      </c>
      <c r="Y53" s="3362" t="s">
        <v>2798</v>
      </c>
      <c r="Z53" s="3363" t="s">
        <v>2799</v>
      </c>
      <c r="AA53" s="3362" t="s">
        <v>2800</v>
      </c>
      <c r="AB53" s="3363" t="s">
        <v>2801</v>
      </c>
      <c r="AC53" s="3362" t="s">
        <v>2817</v>
      </c>
      <c r="AD53" s="3363" t="s">
        <v>2818</v>
      </c>
      <c r="AE53" s="3362" t="s">
        <v>2819</v>
      </c>
      <c r="AF53" s="3363" t="s">
        <v>2821</v>
      </c>
      <c r="AG53" s="3362" t="s">
        <v>2822</v>
      </c>
      <c r="AH53" s="3363" t="s">
        <v>2823</v>
      </c>
      <c r="AI53" s="3362" t="s">
        <v>2824</v>
      </c>
      <c r="AJ53" s="3363" t="s">
        <v>2825</v>
      </c>
      <c r="AK53" s="3362" t="s">
        <v>2826</v>
      </c>
      <c r="AL53" s="3364" t="s">
        <v>2827</v>
      </c>
      <c r="AM53" s="3356" t="s">
        <v>2831</v>
      </c>
      <c r="AN53" s="3357" t="s">
        <v>2832</v>
      </c>
      <c r="AO53" s="1057"/>
      <c r="AP53" s="1058"/>
      <c r="AQ53" s="1058"/>
      <c r="AR53" s="1058"/>
      <c r="AS53" s="1058"/>
      <c r="AT53" s="1058"/>
      <c r="AU53" s="1058"/>
      <c r="AV53" s="1058"/>
      <c r="AW53" s="1058"/>
      <c r="AX53" s="1058"/>
      <c r="AY53" s="1058"/>
      <c r="AZ53" s="1058"/>
      <c r="BA53" s="94"/>
      <c r="BB53" s="94"/>
      <c r="BC53" s="94"/>
      <c r="CH53" s="1020">
        <v>0</v>
      </c>
      <c r="CI53" s="1020"/>
      <c r="CJ53" s="1020"/>
      <c r="CK53" s="1020"/>
      <c r="CL53" s="1020"/>
      <c r="CM53" s="1020"/>
      <c r="CN53" s="1020"/>
    </row>
    <row r="54" spans="1:92" ht="16.350000000000001" customHeight="1" x14ac:dyDescent="0.2">
      <c r="A54" s="2549">
        <v>23090800</v>
      </c>
      <c r="B54" s="6469" t="s">
        <v>2440</v>
      </c>
      <c r="C54" s="6469"/>
      <c r="D54" s="3366" t="s">
        <v>2777</v>
      </c>
      <c r="E54" s="3367" t="s">
        <v>2778</v>
      </c>
      <c r="F54" s="3347" t="s">
        <v>2779</v>
      </c>
      <c r="G54" s="3353" t="s">
        <v>2780</v>
      </c>
      <c r="H54" s="3354" t="s">
        <v>2781</v>
      </c>
      <c r="I54" s="3353" t="s">
        <v>2782</v>
      </c>
      <c r="J54" s="3354" t="s">
        <v>2783</v>
      </c>
      <c r="K54" s="3353" t="s">
        <v>2784</v>
      </c>
      <c r="L54" s="3354" t="s">
        <v>2785</v>
      </c>
      <c r="M54" s="3353" t="s">
        <v>2786</v>
      </c>
      <c r="N54" s="3354" t="s">
        <v>2787</v>
      </c>
      <c r="O54" s="3353" t="s">
        <v>2788</v>
      </c>
      <c r="P54" s="3354" t="s">
        <v>2789</v>
      </c>
      <c r="Q54" s="3353" t="s">
        <v>2790</v>
      </c>
      <c r="R54" s="3354" t="s">
        <v>2791</v>
      </c>
      <c r="S54" s="3353" t="s">
        <v>2792</v>
      </c>
      <c r="T54" s="3354" t="s">
        <v>2793</v>
      </c>
      <c r="U54" s="3353" t="s">
        <v>2794</v>
      </c>
      <c r="V54" s="3354" t="s">
        <v>2795</v>
      </c>
      <c r="W54" s="3353" t="s">
        <v>2796</v>
      </c>
      <c r="X54" s="3354" t="s">
        <v>2797</v>
      </c>
      <c r="Y54" s="3353" t="s">
        <v>2798</v>
      </c>
      <c r="Z54" s="3354" t="s">
        <v>2799</v>
      </c>
      <c r="AA54" s="3353" t="s">
        <v>2800</v>
      </c>
      <c r="AB54" s="3354" t="s">
        <v>2801</v>
      </c>
      <c r="AC54" s="3353" t="s">
        <v>2817</v>
      </c>
      <c r="AD54" s="3354" t="s">
        <v>2818</v>
      </c>
      <c r="AE54" s="3353" t="s">
        <v>2819</v>
      </c>
      <c r="AF54" s="3354" t="s">
        <v>2821</v>
      </c>
      <c r="AG54" s="3353" t="s">
        <v>2822</v>
      </c>
      <c r="AH54" s="3354" t="s">
        <v>2823</v>
      </c>
      <c r="AI54" s="3353" t="s">
        <v>2824</v>
      </c>
      <c r="AJ54" s="3354" t="s">
        <v>2825</v>
      </c>
      <c r="AK54" s="3353" t="s">
        <v>2826</v>
      </c>
      <c r="AL54" s="3355" t="s">
        <v>2827</v>
      </c>
      <c r="AM54" s="3368" t="s">
        <v>2831</v>
      </c>
      <c r="AN54" s="3369" t="s">
        <v>2832</v>
      </c>
      <c r="AO54" s="1057"/>
      <c r="AP54" s="1058"/>
      <c r="AQ54" s="1058"/>
      <c r="AR54" s="1058"/>
      <c r="AS54" s="1058"/>
      <c r="AT54" s="1058"/>
      <c r="AU54" s="1058"/>
      <c r="AV54" s="1058"/>
      <c r="AW54" s="1058"/>
      <c r="AX54" s="1058"/>
      <c r="AY54" s="1058"/>
      <c r="AZ54" s="1058"/>
      <c r="BA54" s="94"/>
      <c r="BB54" s="94"/>
      <c r="BC54" s="94"/>
      <c r="CH54" s="1020">
        <v>0</v>
      </c>
      <c r="CI54" s="1020"/>
      <c r="CJ54" s="1020"/>
      <c r="CK54" s="1020"/>
      <c r="CL54" s="1020"/>
      <c r="CM54" s="1020"/>
      <c r="CN54" s="1020"/>
    </row>
    <row r="55" spans="1:92" ht="16.350000000000001" customHeight="1" x14ac:dyDescent="0.2">
      <c r="A55" s="2549">
        <v>23090810</v>
      </c>
      <c r="B55" s="6429" t="s">
        <v>2436</v>
      </c>
      <c r="C55" s="6430"/>
      <c r="D55" s="3370" t="s">
        <v>2777</v>
      </c>
      <c r="E55" s="3371" t="s">
        <v>2778</v>
      </c>
      <c r="F55" s="3347" t="s">
        <v>2779</v>
      </c>
      <c r="G55" s="3353" t="s">
        <v>2780</v>
      </c>
      <c r="H55" s="3354" t="s">
        <v>2781</v>
      </c>
      <c r="I55" s="3353" t="s">
        <v>2782</v>
      </c>
      <c r="J55" s="3354" t="s">
        <v>2783</v>
      </c>
      <c r="K55" s="3353" t="s">
        <v>2784</v>
      </c>
      <c r="L55" s="3354" t="s">
        <v>2785</v>
      </c>
      <c r="M55" s="3353" t="s">
        <v>2786</v>
      </c>
      <c r="N55" s="3354" t="s">
        <v>2787</v>
      </c>
      <c r="O55" s="3353" t="s">
        <v>2788</v>
      </c>
      <c r="P55" s="3354" t="s">
        <v>2789</v>
      </c>
      <c r="Q55" s="3353" t="s">
        <v>2790</v>
      </c>
      <c r="R55" s="3354" t="s">
        <v>2791</v>
      </c>
      <c r="S55" s="3353" t="s">
        <v>2792</v>
      </c>
      <c r="T55" s="3354" t="s">
        <v>2793</v>
      </c>
      <c r="U55" s="3353" t="s">
        <v>2794</v>
      </c>
      <c r="V55" s="3354" t="s">
        <v>2795</v>
      </c>
      <c r="W55" s="3353" t="s">
        <v>2796</v>
      </c>
      <c r="X55" s="3354" t="s">
        <v>2797</v>
      </c>
      <c r="Y55" s="3353" t="s">
        <v>2798</v>
      </c>
      <c r="Z55" s="3354" t="s">
        <v>2799</v>
      </c>
      <c r="AA55" s="3353" t="s">
        <v>2800</v>
      </c>
      <c r="AB55" s="3354" t="s">
        <v>2801</v>
      </c>
      <c r="AC55" s="3353" t="s">
        <v>2817</v>
      </c>
      <c r="AD55" s="3354" t="s">
        <v>2818</v>
      </c>
      <c r="AE55" s="3353" t="s">
        <v>2819</v>
      </c>
      <c r="AF55" s="3354" t="s">
        <v>2821</v>
      </c>
      <c r="AG55" s="3353" t="s">
        <v>2822</v>
      </c>
      <c r="AH55" s="3354" t="s">
        <v>2823</v>
      </c>
      <c r="AI55" s="3353" t="s">
        <v>2824</v>
      </c>
      <c r="AJ55" s="3354" t="s">
        <v>2825</v>
      </c>
      <c r="AK55" s="3353" t="s">
        <v>2826</v>
      </c>
      <c r="AL55" s="3355" t="s">
        <v>2827</v>
      </c>
      <c r="AM55" s="3368" t="s">
        <v>2831</v>
      </c>
      <c r="AN55" s="3369" t="s">
        <v>2832</v>
      </c>
      <c r="AO55" s="1057"/>
      <c r="AP55" s="1058"/>
      <c r="AQ55" s="1058"/>
      <c r="AR55" s="1058"/>
      <c r="AS55" s="1058"/>
      <c r="AT55" s="1058"/>
      <c r="AU55" s="1058"/>
      <c r="AV55" s="1058"/>
      <c r="AW55" s="1058"/>
      <c r="AX55" s="1058"/>
      <c r="AY55" s="1058"/>
      <c r="AZ55" s="1058"/>
      <c r="BA55" s="94"/>
      <c r="BB55" s="94"/>
      <c r="BC55" s="94"/>
      <c r="CH55" s="1020">
        <v>0</v>
      </c>
      <c r="CI55" s="1020"/>
      <c r="CJ55" s="1020"/>
      <c r="CK55" s="1020"/>
      <c r="CL55" s="1020"/>
      <c r="CM55" s="1020"/>
      <c r="CN55" s="1020"/>
    </row>
    <row r="56" spans="1:92" ht="16.350000000000001" customHeight="1" x14ac:dyDescent="0.2">
      <c r="A56" s="2549">
        <v>23043000</v>
      </c>
      <c r="B56" s="6470" t="s">
        <v>2437</v>
      </c>
      <c r="C56" s="6470"/>
      <c r="D56" s="3372" t="s">
        <v>2777</v>
      </c>
      <c r="E56" s="3373" t="s">
        <v>2778</v>
      </c>
      <c r="F56" s="3374" t="s">
        <v>2779</v>
      </c>
      <c r="G56" s="3375" t="s">
        <v>2780</v>
      </c>
      <c r="H56" s="3376" t="s">
        <v>2781</v>
      </c>
      <c r="I56" s="3375" t="s">
        <v>2782</v>
      </c>
      <c r="J56" s="3376" t="s">
        <v>2783</v>
      </c>
      <c r="K56" s="3375" t="s">
        <v>2784</v>
      </c>
      <c r="L56" s="3376" t="s">
        <v>2785</v>
      </c>
      <c r="M56" s="3375" t="s">
        <v>2786</v>
      </c>
      <c r="N56" s="3376" t="s">
        <v>2787</v>
      </c>
      <c r="O56" s="3375" t="s">
        <v>2788</v>
      </c>
      <c r="P56" s="3376" t="s">
        <v>2789</v>
      </c>
      <c r="Q56" s="3375" t="s">
        <v>2790</v>
      </c>
      <c r="R56" s="3376" t="s">
        <v>2791</v>
      </c>
      <c r="S56" s="3375" t="s">
        <v>2792</v>
      </c>
      <c r="T56" s="3376" t="s">
        <v>2793</v>
      </c>
      <c r="U56" s="3375" t="s">
        <v>2794</v>
      </c>
      <c r="V56" s="3376" t="s">
        <v>2795</v>
      </c>
      <c r="W56" s="3375" t="s">
        <v>2796</v>
      </c>
      <c r="X56" s="3376" t="s">
        <v>2797</v>
      </c>
      <c r="Y56" s="3375" t="s">
        <v>2798</v>
      </c>
      <c r="Z56" s="3376" t="s">
        <v>2799</v>
      </c>
      <c r="AA56" s="3375" t="s">
        <v>2800</v>
      </c>
      <c r="AB56" s="3376" t="s">
        <v>2801</v>
      </c>
      <c r="AC56" s="3375" t="s">
        <v>2817</v>
      </c>
      <c r="AD56" s="3376" t="s">
        <v>2818</v>
      </c>
      <c r="AE56" s="3375" t="s">
        <v>2819</v>
      </c>
      <c r="AF56" s="3376" t="s">
        <v>2821</v>
      </c>
      <c r="AG56" s="3375" t="s">
        <v>2822</v>
      </c>
      <c r="AH56" s="3376" t="s">
        <v>2823</v>
      </c>
      <c r="AI56" s="3375" t="s">
        <v>2824</v>
      </c>
      <c r="AJ56" s="3376" t="s">
        <v>2825</v>
      </c>
      <c r="AK56" s="3375" t="s">
        <v>2826</v>
      </c>
      <c r="AL56" s="3377" t="s">
        <v>2827</v>
      </c>
      <c r="AM56" s="3378" t="s">
        <v>2831</v>
      </c>
      <c r="AN56" s="3379" t="s">
        <v>2832</v>
      </c>
      <c r="AO56" s="1057"/>
      <c r="AP56" s="1058"/>
      <c r="AQ56" s="1058"/>
      <c r="AR56" s="1058"/>
      <c r="AS56" s="1058"/>
      <c r="AT56" s="1058"/>
      <c r="AU56" s="1058"/>
      <c r="AV56" s="1058"/>
      <c r="AW56" s="1058"/>
      <c r="AX56" s="1058"/>
      <c r="AY56" s="1058"/>
      <c r="AZ56" s="1058"/>
      <c r="BA56" s="94"/>
      <c r="BB56" s="94"/>
      <c r="BC56" s="94"/>
      <c r="CH56" s="1020">
        <v>0</v>
      </c>
      <c r="CI56" s="1020"/>
      <c r="CJ56" s="1020"/>
      <c r="CK56" s="1020"/>
      <c r="CL56" s="1020"/>
      <c r="CM56" s="1020"/>
      <c r="CN56" s="1020"/>
    </row>
    <row r="57" spans="1:92" ht="32.1" customHeight="1" x14ac:dyDescent="0.2">
      <c r="B57" s="85" t="s">
        <v>2441</v>
      </c>
      <c r="C57" s="2075"/>
      <c r="D57" s="2146"/>
      <c r="E57" s="2146"/>
      <c r="F57" s="2146"/>
      <c r="G57" s="243"/>
      <c r="H57" s="243"/>
      <c r="I57" s="243"/>
      <c r="J57" s="243"/>
      <c r="K57" s="243"/>
      <c r="L57" s="243"/>
      <c r="M57" s="243"/>
      <c r="N57" s="243"/>
      <c r="O57" s="243"/>
      <c r="P57" s="243"/>
      <c r="Q57" s="243"/>
      <c r="R57" s="190"/>
      <c r="S57" s="190"/>
      <c r="T57" s="190"/>
      <c r="U57" s="190"/>
      <c r="V57" s="190"/>
      <c r="W57" s="190"/>
      <c r="AN57" s="94"/>
      <c r="AO57" s="94"/>
      <c r="AP57" s="94"/>
      <c r="AQ57" s="94"/>
      <c r="AR57" s="94"/>
      <c r="AS57" s="94"/>
      <c r="AT57" s="94"/>
      <c r="AU57" s="94"/>
      <c r="AV57" s="94"/>
      <c r="AW57" s="94"/>
      <c r="AX57" s="94"/>
      <c r="AY57" s="94"/>
      <c r="AZ57" s="94"/>
      <c r="BA57" s="94"/>
      <c r="BB57" s="94"/>
      <c r="BC57" s="94"/>
      <c r="CH57" s="1020"/>
      <c r="CI57" s="1020"/>
      <c r="CJ57" s="1020"/>
      <c r="CK57" s="1020"/>
      <c r="CL57" s="1020"/>
      <c r="CM57" s="1020"/>
      <c r="CN57" s="1020"/>
    </row>
    <row r="58" spans="1:92" ht="16.350000000000001" customHeight="1" x14ac:dyDescent="0.2">
      <c r="B58" s="6401" t="s">
        <v>3</v>
      </c>
      <c r="C58" s="5967"/>
      <c r="D58" s="6413" t="s">
        <v>42</v>
      </c>
      <c r="E58" s="6208"/>
      <c r="F58" s="6208"/>
      <c r="G58" s="6437" t="s">
        <v>5</v>
      </c>
      <c r="H58" s="6438"/>
      <c r="I58" s="6438"/>
      <c r="J58" s="6438"/>
      <c r="K58" s="6438"/>
      <c r="L58" s="6438"/>
      <c r="M58" s="6438"/>
      <c r="N58" s="6438"/>
      <c r="O58" s="6438"/>
      <c r="P58" s="6438"/>
      <c r="Q58" s="6438"/>
      <c r="R58" s="6438"/>
      <c r="S58" s="6438"/>
      <c r="T58" s="6438"/>
      <c r="U58" s="6438"/>
      <c r="V58" s="6438"/>
      <c r="W58" s="6438"/>
      <c r="X58" s="6438"/>
      <c r="Y58" s="6438"/>
      <c r="Z58" s="6438"/>
      <c r="AA58" s="6438"/>
      <c r="AB58" s="6438"/>
      <c r="AC58" s="6438"/>
      <c r="AD58" s="6438"/>
      <c r="AE58" s="6438"/>
      <c r="AF58" s="6438"/>
      <c r="AG58" s="6438"/>
      <c r="AH58" s="6438"/>
      <c r="AI58" s="6438"/>
      <c r="AJ58" s="6438"/>
      <c r="AK58" s="6438"/>
      <c r="AL58" s="6471"/>
      <c r="AM58" s="5818" t="s">
        <v>483</v>
      </c>
      <c r="AN58" s="956"/>
      <c r="AO58" s="94"/>
      <c r="AP58" s="94"/>
      <c r="AQ58" s="94"/>
      <c r="AR58" s="94"/>
      <c r="AS58" s="94"/>
      <c r="AT58" s="94"/>
      <c r="AU58" s="94"/>
      <c r="AV58" s="94"/>
      <c r="AW58" s="94"/>
      <c r="AX58" s="94"/>
      <c r="AY58" s="94"/>
      <c r="AZ58" s="94"/>
      <c r="BA58" s="94"/>
      <c r="BB58" s="94"/>
      <c r="BC58" s="94"/>
      <c r="CH58" s="1020"/>
      <c r="CI58" s="1020"/>
      <c r="CJ58" s="1020"/>
      <c r="CK58" s="1020"/>
      <c r="CL58" s="1020"/>
      <c r="CM58" s="1020"/>
      <c r="CN58" s="1020"/>
    </row>
    <row r="59" spans="1:92" ht="16.350000000000001" customHeight="1" x14ac:dyDescent="0.2">
      <c r="B59" s="5547"/>
      <c r="C59" s="5258"/>
      <c r="D59" s="5547"/>
      <c r="E59" s="5274"/>
      <c r="F59" s="5548"/>
      <c r="G59" s="6413" t="s">
        <v>2405</v>
      </c>
      <c r="H59" s="6209"/>
      <c r="I59" s="6208" t="s">
        <v>2406</v>
      </c>
      <c r="J59" s="6208"/>
      <c r="K59" s="6413" t="s">
        <v>2407</v>
      </c>
      <c r="L59" s="6209"/>
      <c r="M59" s="6208" t="s">
        <v>2408</v>
      </c>
      <c r="N59" s="6208"/>
      <c r="O59" s="6413" t="s">
        <v>2409</v>
      </c>
      <c r="P59" s="6209"/>
      <c r="Q59" s="6413" t="s">
        <v>2410</v>
      </c>
      <c r="R59" s="6209"/>
      <c r="S59" s="6208" t="s">
        <v>2411</v>
      </c>
      <c r="T59" s="6208"/>
      <c r="U59" s="6413" t="s">
        <v>663</v>
      </c>
      <c r="V59" s="6209"/>
      <c r="W59" s="6208" t="s">
        <v>664</v>
      </c>
      <c r="X59" s="6208"/>
      <c r="Y59" s="6413" t="s">
        <v>665</v>
      </c>
      <c r="Z59" s="6209"/>
      <c r="AA59" s="6208" t="s">
        <v>666</v>
      </c>
      <c r="AB59" s="6208"/>
      <c r="AC59" s="6413" t="s">
        <v>667</v>
      </c>
      <c r="AD59" s="6209"/>
      <c r="AE59" s="6208" t="s">
        <v>668</v>
      </c>
      <c r="AF59" s="6208"/>
      <c r="AG59" s="6413" t="s">
        <v>669</v>
      </c>
      <c r="AH59" s="6209"/>
      <c r="AI59" s="6208" t="s">
        <v>670</v>
      </c>
      <c r="AJ59" s="6208"/>
      <c r="AK59" s="6413" t="s">
        <v>2412</v>
      </c>
      <c r="AL59" s="6209"/>
      <c r="AM59" s="5818"/>
      <c r="AN59" s="956"/>
      <c r="AO59" s="94"/>
      <c r="AP59" s="94"/>
      <c r="AQ59" s="94"/>
      <c r="AR59" s="94"/>
      <c r="AS59" s="94"/>
      <c r="AT59" s="94"/>
      <c r="AU59" s="94"/>
      <c r="AV59" s="94"/>
      <c r="AW59" s="94"/>
      <c r="AX59" s="94"/>
      <c r="AY59" s="94"/>
      <c r="AZ59" s="94"/>
      <c r="BA59" s="94"/>
      <c r="BB59" s="94"/>
      <c r="BC59" s="94"/>
      <c r="CH59" s="1020"/>
      <c r="CI59" s="1020"/>
      <c r="CJ59" s="1020"/>
      <c r="CK59" s="1020"/>
      <c r="CL59" s="1020"/>
      <c r="CM59" s="1020"/>
      <c r="CN59" s="1020"/>
    </row>
    <row r="60" spans="1:92" ht="16.350000000000001" customHeight="1" x14ac:dyDescent="0.2">
      <c r="B60" s="5547"/>
      <c r="C60" s="5258"/>
      <c r="D60" s="6313"/>
      <c r="E60" s="6210"/>
      <c r="F60" s="6211"/>
      <c r="G60" s="6313"/>
      <c r="H60" s="6211"/>
      <c r="I60" s="6210"/>
      <c r="J60" s="6210"/>
      <c r="K60" s="6313"/>
      <c r="L60" s="6211"/>
      <c r="M60" s="6210"/>
      <c r="N60" s="6210"/>
      <c r="O60" s="6313"/>
      <c r="P60" s="6211"/>
      <c r="Q60" s="6313"/>
      <c r="R60" s="6211"/>
      <c r="S60" s="6210"/>
      <c r="T60" s="6210"/>
      <c r="U60" s="6313"/>
      <c r="V60" s="6211"/>
      <c r="W60" s="6210"/>
      <c r="X60" s="6210"/>
      <c r="Y60" s="6313"/>
      <c r="Z60" s="6211"/>
      <c r="AA60" s="6210"/>
      <c r="AB60" s="6210"/>
      <c r="AC60" s="6313"/>
      <c r="AD60" s="6211"/>
      <c r="AE60" s="6210"/>
      <c r="AF60" s="6210"/>
      <c r="AG60" s="6313"/>
      <c r="AH60" s="6211"/>
      <c r="AI60" s="6210"/>
      <c r="AJ60" s="6210"/>
      <c r="AK60" s="6313"/>
      <c r="AL60" s="6211"/>
      <c r="AM60" s="5818"/>
      <c r="AN60" s="956"/>
      <c r="AO60" s="94"/>
      <c r="AP60" s="94"/>
      <c r="AQ60" s="94"/>
      <c r="AR60" s="94"/>
      <c r="AS60" s="94"/>
      <c r="AT60" s="94"/>
      <c r="AU60" s="94"/>
      <c r="AV60" s="94"/>
      <c r="AW60" s="94"/>
      <c r="AX60" s="94"/>
      <c r="AY60" s="94"/>
      <c r="AZ60" s="94"/>
      <c r="BA60" s="94"/>
      <c r="BB60" s="94"/>
      <c r="BC60" s="94"/>
      <c r="CH60" s="1020"/>
      <c r="CI60" s="1020"/>
      <c r="CJ60" s="1020"/>
      <c r="CK60" s="1020"/>
      <c r="CL60" s="1020"/>
      <c r="CM60" s="1020"/>
      <c r="CN60" s="1020"/>
    </row>
    <row r="61" spans="1:92" ht="16.350000000000001" customHeight="1" x14ac:dyDescent="0.2">
      <c r="B61" s="5856"/>
      <c r="C61" s="5878"/>
      <c r="D61" s="1598" t="s">
        <v>184</v>
      </c>
      <c r="E61" s="1599" t="s">
        <v>24</v>
      </c>
      <c r="F61" s="1913" t="s">
        <v>25</v>
      </c>
      <c r="G61" s="1598" t="s">
        <v>24</v>
      </c>
      <c r="H61" s="1913" t="s">
        <v>25</v>
      </c>
      <c r="I61" s="1600" t="s">
        <v>24</v>
      </c>
      <c r="J61" s="2014" t="s">
        <v>25</v>
      </c>
      <c r="K61" s="1598" t="s">
        <v>24</v>
      </c>
      <c r="L61" s="1913" t="s">
        <v>25</v>
      </c>
      <c r="M61" s="1600" t="s">
        <v>24</v>
      </c>
      <c r="N61" s="2014" t="s">
        <v>25</v>
      </c>
      <c r="O61" s="1598" t="s">
        <v>24</v>
      </c>
      <c r="P61" s="1913" t="s">
        <v>25</v>
      </c>
      <c r="Q61" s="1598" t="s">
        <v>24</v>
      </c>
      <c r="R61" s="1913" t="s">
        <v>25</v>
      </c>
      <c r="S61" s="1600" t="s">
        <v>24</v>
      </c>
      <c r="T61" s="2014" t="s">
        <v>25</v>
      </c>
      <c r="U61" s="1598" t="s">
        <v>24</v>
      </c>
      <c r="V61" s="1913" t="s">
        <v>25</v>
      </c>
      <c r="W61" s="1600" t="s">
        <v>24</v>
      </c>
      <c r="X61" s="2014" t="s">
        <v>25</v>
      </c>
      <c r="Y61" s="1598" t="s">
        <v>24</v>
      </c>
      <c r="Z61" s="1913" t="s">
        <v>25</v>
      </c>
      <c r="AA61" s="1600" t="s">
        <v>24</v>
      </c>
      <c r="AB61" s="2014" t="s">
        <v>25</v>
      </c>
      <c r="AC61" s="1598" t="s">
        <v>24</v>
      </c>
      <c r="AD61" s="1913" t="s">
        <v>25</v>
      </c>
      <c r="AE61" s="1600" t="s">
        <v>24</v>
      </c>
      <c r="AF61" s="2014" t="s">
        <v>25</v>
      </c>
      <c r="AG61" s="1598" t="s">
        <v>24</v>
      </c>
      <c r="AH61" s="1913" t="s">
        <v>25</v>
      </c>
      <c r="AI61" s="1600" t="s">
        <v>24</v>
      </c>
      <c r="AJ61" s="2014" t="s">
        <v>25</v>
      </c>
      <c r="AK61" s="1598" t="s">
        <v>24</v>
      </c>
      <c r="AL61" s="1913" t="s">
        <v>25</v>
      </c>
      <c r="AM61" s="5818"/>
      <c r="AN61" s="956"/>
      <c r="AO61" s="94"/>
      <c r="AP61" s="94"/>
      <c r="AQ61" s="94"/>
      <c r="AR61" s="94"/>
      <c r="AS61" s="94"/>
      <c r="AT61" s="94"/>
      <c r="AU61" s="94"/>
      <c r="AV61" s="94"/>
      <c r="AW61" s="94"/>
      <c r="AX61" s="94"/>
      <c r="AY61" s="94"/>
      <c r="AZ61" s="94"/>
      <c r="BA61" s="94"/>
      <c r="BB61" s="94"/>
      <c r="BC61" s="94"/>
      <c r="CH61" s="1020"/>
      <c r="CI61" s="1020"/>
      <c r="CJ61" s="1020"/>
      <c r="CK61" s="1020"/>
      <c r="CL61" s="1020"/>
      <c r="CM61" s="1020"/>
      <c r="CN61" s="1020"/>
    </row>
    <row r="62" spans="1:92" ht="16.350000000000001" customHeight="1" x14ac:dyDescent="0.2">
      <c r="A62" s="2458">
        <v>23080200</v>
      </c>
      <c r="B62" s="6472" t="s">
        <v>29</v>
      </c>
      <c r="C62" s="6472"/>
      <c r="D62" s="3381" t="s">
        <v>2777</v>
      </c>
      <c r="E62" s="3382" t="s">
        <v>2778</v>
      </c>
      <c r="F62" s="3383" t="s">
        <v>2779</v>
      </c>
      <c r="G62" s="3384" t="s">
        <v>2780</v>
      </c>
      <c r="H62" s="3385" t="s">
        <v>2781</v>
      </c>
      <c r="I62" s="3386" t="s">
        <v>2782</v>
      </c>
      <c r="J62" s="3387" t="s">
        <v>2783</v>
      </c>
      <c r="K62" s="3384" t="s">
        <v>2784</v>
      </c>
      <c r="L62" s="3388" t="s">
        <v>2785</v>
      </c>
      <c r="M62" s="3386" t="s">
        <v>2786</v>
      </c>
      <c r="N62" s="3387" t="s">
        <v>2787</v>
      </c>
      <c r="O62" s="3384" t="s">
        <v>2788</v>
      </c>
      <c r="P62" s="3388" t="s">
        <v>2789</v>
      </c>
      <c r="Q62" s="3384" t="s">
        <v>2790</v>
      </c>
      <c r="R62" s="3388" t="s">
        <v>2791</v>
      </c>
      <c r="S62" s="3386" t="s">
        <v>2792</v>
      </c>
      <c r="T62" s="3387" t="s">
        <v>2793</v>
      </c>
      <c r="U62" s="3384" t="s">
        <v>2794</v>
      </c>
      <c r="V62" s="3388" t="s">
        <v>2795</v>
      </c>
      <c r="W62" s="3386" t="s">
        <v>2796</v>
      </c>
      <c r="X62" s="3387" t="s">
        <v>2797</v>
      </c>
      <c r="Y62" s="3384" t="s">
        <v>2798</v>
      </c>
      <c r="Z62" s="3388" t="s">
        <v>2799</v>
      </c>
      <c r="AA62" s="3386" t="s">
        <v>2800</v>
      </c>
      <c r="AB62" s="3387" t="s">
        <v>2801</v>
      </c>
      <c r="AC62" s="3384" t="s">
        <v>2817</v>
      </c>
      <c r="AD62" s="3388" t="s">
        <v>2818</v>
      </c>
      <c r="AE62" s="3386" t="s">
        <v>2819</v>
      </c>
      <c r="AF62" s="3387" t="s">
        <v>2821</v>
      </c>
      <c r="AG62" s="3384" t="s">
        <v>2822</v>
      </c>
      <c r="AH62" s="3388" t="s">
        <v>2823</v>
      </c>
      <c r="AI62" s="3386" t="s">
        <v>2824</v>
      </c>
      <c r="AJ62" s="3387" t="s">
        <v>2825</v>
      </c>
      <c r="AK62" s="3384" t="s">
        <v>2826</v>
      </c>
      <c r="AL62" s="3388" t="s">
        <v>2827</v>
      </c>
      <c r="AM62" s="3389" t="s">
        <v>2831</v>
      </c>
      <c r="AN62" s="1057"/>
      <c r="AO62" s="1058"/>
      <c r="AP62" s="1058"/>
      <c r="AQ62" s="1058"/>
      <c r="AR62" s="1058"/>
      <c r="AS62" s="1058"/>
      <c r="AT62" s="1058"/>
      <c r="AU62" s="1058"/>
      <c r="AV62" s="1058"/>
      <c r="AW62" s="1058"/>
      <c r="AX62" s="1058"/>
      <c r="AY62" s="1058"/>
      <c r="AZ62" s="94"/>
      <c r="BA62" s="94"/>
      <c r="BB62" s="94"/>
      <c r="BC62" s="94"/>
      <c r="CH62" s="1020">
        <v>0</v>
      </c>
      <c r="CI62" s="1020">
        <v>0</v>
      </c>
      <c r="CJ62" s="1020"/>
      <c r="CK62" s="1020"/>
      <c r="CL62" s="1020"/>
      <c r="CM62" s="1020"/>
      <c r="CN62" s="1020"/>
    </row>
    <row r="63" spans="1:92" ht="32.1" customHeight="1" x14ac:dyDescent="0.2">
      <c r="B63" s="480" t="s">
        <v>2687</v>
      </c>
      <c r="C63" s="2075"/>
      <c r="D63" s="2146"/>
      <c r="E63" s="2146"/>
      <c r="F63" s="2146"/>
      <c r="G63" s="243"/>
      <c r="H63" s="243"/>
      <c r="I63" s="243"/>
      <c r="J63" s="243"/>
      <c r="K63" s="243"/>
      <c r="L63" s="243"/>
      <c r="M63" s="243"/>
      <c r="N63" s="85"/>
      <c r="O63" s="219"/>
      <c r="P63" s="219"/>
      <c r="Q63" s="219"/>
      <c r="R63" s="190"/>
      <c r="S63" s="190"/>
      <c r="T63" s="190"/>
      <c r="U63" s="190"/>
      <c r="V63" s="243"/>
      <c r="W63" s="243"/>
      <c r="AN63" s="956"/>
      <c r="AO63" s="94"/>
      <c r="AP63" s="94"/>
      <c r="AQ63" s="94"/>
      <c r="AR63" s="94"/>
      <c r="AS63" s="94"/>
      <c r="AT63" s="94"/>
      <c r="AU63" s="94"/>
      <c r="AV63" s="94"/>
      <c r="AW63" s="94"/>
      <c r="AX63" s="94"/>
      <c r="AY63" s="94"/>
      <c r="AZ63" s="94"/>
      <c r="BA63" s="94"/>
      <c r="BB63" s="94"/>
      <c r="BC63" s="94"/>
      <c r="CH63" s="1020"/>
      <c r="CI63" s="1020"/>
      <c r="CJ63" s="1020"/>
      <c r="CK63" s="1020"/>
      <c r="CL63" s="1020"/>
      <c r="CM63" s="1020"/>
      <c r="CN63" s="1020"/>
    </row>
    <row r="64" spans="1:92" ht="16.350000000000001" customHeight="1" x14ac:dyDescent="0.2">
      <c r="B64" s="6401" t="s">
        <v>3</v>
      </c>
      <c r="C64" s="5967"/>
      <c r="D64" s="6413" t="s">
        <v>42</v>
      </c>
      <c r="E64" s="6208"/>
      <c r="F64" s="6209"/>
      <c r="G64" s="6437" t="s">
        <v>5</v>
      </c>
      <c r="H64" s="6438"/>
      <c r="I64" s="6438"/>
      <c r="J64" s="6438"/>
      <c r="K64" s="6438"/>
      <c r="L64" s="6438"/>
      <c r="M64" s="6438"/>
      <c r="N64" s="6438"/>
      <c r="O64" s="6438"/>
      <c r="P64" s="6438"/>
      <c r="Q64" s="6438"/>
      <c r="R64" s="6438"/>
      <c r="S64" s="6438"/>
      <c r="T64" s="6438"/>
      <c r="U64" s="6438"/>
      <c r="V64" s="6438"/>
      <c r="W64" s="6438"/>
      <c r="X64" s="6438"/>
      <c r="Y64" s="6438"/>
      <c r="Z64" s="6438"/>
      <c r="AA64" s="6438"/>
      <c r="AB64" s="6438"/>
      <c r="AC64" s="6438"/>
      <c r="AD64" s="6438"/>
      <c r="AE64" s="6438"/>
      <c r="AF64" s="6438"/>
      <c r="AG64" s="6438"/>
      <c r="AH64" s="6438"/>
      <c r="AI64" s="6438"/>
      <c r="AJ64" s="6438"/>
      <c r="AK64" s="6438"/>
      <c r="AL64" s="6471"/>
      <c r="AM64" s="5158" t="s">
        <v>483</v>
      </c>
      <c r="AN64" s="956"/>
      <c r="AO64" s="94"/>
      <c r="AP64" s="94"/>
      <c r="AQ64" s="94"/>
      <c r="AR64" s="94"/>
      <c r="AS64" s="94"/>
      <c r="AT64" s="94"/>
      <c r="AU64" s="94"/>
      <c r="AV64" s="94"/>
      <c r="AW64" s="94"/>
      <c r="AX64" s="94"/>
      <c r="AY64" s="94"/>
      <c r="AZ64" s="94"/>
      <c r="BA64" s="94"/>
      <c r="BB64" s="94"/>
      <c r="BC64" s="94"/>
      <c r="CH64" s="1020"/>
      <c r="CI64" s="1020"/>
      <c r="CJ64" s="1020"/>
      <c r="CK64" s="1020"/>
      <c r="CL64" s="1020"/>
      <c r="CM64" s="1020"/>
      <c r="CN64" s="1020"/>
    </row>
    <row r="65" spans="1:92" ht="16.350000000000001" customHeight="1" x14ac:dyDescent="0.2">
      <c r="B65" s="5547"/>
      <c r="C65" s="5258"/>
      <c r="D65" s="5547"/>
      <c r="E65" s="5274"/>
      <c r="F65" s="5548"/>
      <c r="G65" s="5160" t="s">
        <v>2405</v>
      </c>
      <c r="H65" s="5162"/>
      <c r="I65" s="5161" t="s">
        <v>2406</v>
      </c>
      <c r="J65" s="5161"/>
      <c r="K65" s="5160" t="s">
        <v>2407</v>
      </c>
      <c r="L65" s="5162"/>
      <c r="M65" s="5161" t="s">
        <v>2408</v>
      </c>
      <c r="N65" s="5161"/>
      <c r="O65" s="5160" t="s">
        <v>2409</v>
      </c>
      <c r="P65" s="5162"/>
      <c r="Q65" s="5161" t="s">
        <v>2410</v>
      </c>
      <c r="R65" s="5161"/>
      <c r="S65" s="5160" t="s">
        <v>2411</v>
      </c>
      <c r="T65" s="5162"/>
      <c r="U65" s="5161" t="s">
        <v>663</v>
      </c>
      <c r="V65" s="5161"/>
      <c r="W65" s="5160" t="s">
        <v>664</v>
      </c>
      <c r="X65" s="5162"/>
      <c r="Y65" s="5161" t="s">
        <v>665</v>
      </c>
      <c r="Z65" s="5161"/>
      <c r="AA65" s="5160" t="s">
        <v>666</v>
      </c>
      <c r="AB65" s="5162"/>
      <c r="AC65" s="5161" t="s">
        <v>667</v>
      </c>
      <c r="AD65" s="5161"/>
      <c r="AE65" s="5160" t="s">
        <v>668</v>
      </c>
      <c r="AF65" s="5162"/>
      <c r="AG65" s="5161" t="s">
        <v>669</v>
      </c>
      <c r="AH65" s="5161"/>
      <c r="AI65" s="5160" t="s">
        <v>670</v>
      </c>
      <c r="AJ65" s="5162"/>
      <c r="AK65" s="5160" t="s">
        <v>2412</v>
      </c>
      <c r="AL65" s="5162"/>
      <c r="AM65" s="5113"/>
      <c r="AN65" s="956"/>
      <c r="AO65" s="94"/>
      <c r="AP65" s="94"/>
      <c r="AQ65" s="94"/>
      <c r="AR65" s="94"/>
      <c r="AS65" s="94"/>
      <c r="AT65" s="94"/>
      <c r="AU65" s="94"/>
      <c r="AV65" s="94"/>
      <c r="AW65" s="94"/>
      <c r="AX65" s="94"/>
      <c r="AY65" s="94"/>
      <c r="AZ65" s="94"/>
      <c r="BA65" s="94"/>
      <c r="BB65" s="94"/>
      <c r="BC65" s="94"/>
      <c r="CH65" s="1020"/>
      <c r="CI65" s="1020"/>
      <c r="CJ65" s="1020"/>
      <c r="CK65" s="1020"/>
      <c r="CL65" s="1020"/>
      <c r="CM65" s="1020"/>
      <c r="CN65" s="1020"/>
    </row>
    <row r="66" spans="1:92" ht="16.350000000000001" customHeight="1" x14ac:dyDescent="0.2">
      <c r="B66" s="5856"/>
      <c r="C66" s="5878"/>
      <c r="D66" s="1598" t="s">
        <v>184</v>
      </c>
      <c r="E66" s="1599" t="s">
        <v>24</v>
      </c>
      <c r="F66" s="1913" t="s">
        <v>25</v>
      </c>
      <c r="G66" s="2066" t="s">
        <v>24</v>
      </c>
      <c r="H66" s="1929" t="s">
        <v>25</v>
      </c>
      <c r="I66" s="2125" t="s">
        <v>24</v>
      </c>
      <c r="J66" s="1935" t="s">
        <v>25</v>
      </c>
      <c r="K66" s="2066" t="s">
        <v>24</v>
      </c>
      <c r="L66" s="1929" t="s">
        <v>25</v>
      </c>
      <c r="M66" s="2125" t="s">
        <v>24</v>
      </c>
      <c r="N66" s="1935" t="s">
        <v>25</v>
      </c>
      <c r="O66" s="2066" t="s">
        <v>24</v>
      </c>
      <c r="P66" s="1929" t="s">
        <v>25</v>
      </c>
      <c r="Q66" s="2125" t="s">
        <v>24</v>
      </c>
      <c r="R66" s="1935" t="s">
        <v>25</v>
      </c>
      <c r="S66" s="2066" t="s">
        <v>24</v>
      </c>
      <c r="T66" s="1929" t="s">
        <v>25</v>
      </c>
      <c r="U66" s="2125" t="s">
        <v>24</v>
      </c>
      <c r="V66" s="1935" t="s">
        <v>25</v>
      </c>
      <c r="W66" s="2066" t="s">
        <v>24</v>
      </c>
      <c r="X66" s="1929" t="s">
        <v>25</v>
      </c>
      <c r="Y66" s="2125" t="s">
        <v>24</v>
      </c>
      <c r="Z66" s="1935" t="s">
        <v>25</v>
      </c>
      <c r="AA66" s="2066" t="s">
        <v>24</v>
      </c>
      <c r="AB66" s="1929" t="s">
        <v>25</v>
      </c>
      <c r="AC66" s="2125" t="s">
        <v>24</v>
      </c>
      <c r="AD66" s="1935" t="s">
        <v>25</v>
      </c>
      <c r="AE66" s="2066" t="s">
        <v>24</v>
      </c>
      <c r="AF66" s="1929" t="s">
        <v>25</v>
      </c>
      <c r="AG66" s="2125" t="s">
        <v>24</v>
      </c>
      <c r="AH66" s="1935" t="s">
        <v>25</v>
      </c>
      <c r="AI66" s="2066" t="s">
        <v>24</v>
      </c>
      <c r="AJ66" s="1929" t="s">
        <v>25</v>
      </c>
      <c r="AK66" s="2066" t="s">
        <v>24</v>
      </c>
      <c r="AL66" s="1929" t="s">
        <v>25</v>
      </c>
      <c r="AM66" s="5159"/>
      <c r="AN66" s="956"/>
      <c r="AO66" s="94"/>
      <c r="AP66" s="94"/>
      <c r="AQ66" s="94"/>
      <c r="AR66" s="94"/>
      <c r="AS66" s="94"/>
      <c r="AT66" s="94"/>
      <c r="AU66" s="94"/>
      <c r="AV66" s="94"/>
      <c r="AW66" s="94"/>
      <c r="AX66" s="94"/>
      <c r="AY66" s="94"/>
      <c r="AZ66" s="94"/>
      <c r="BA66" s="94"/>
      <c r="BB66" s="94"/>
      <c r="BC66" s="94"/>
      <c r="CH66" s="1020"/>
      <c r="CI66" s="1020"/>
      <c r="CJ66" s="1020"/>
      <c r="CK66" s="1020"/>
      <c r="CL66" s="1020"/>
      <c r="CM66" s="1020"/>
      <c r="CN66" s="1020"/>
    </row>
    <row r="67" spans="1:92" ht="16.350000000000001" customHeight="1" x14ac:dyDescent="0.2">
      <c r="A67" s="2458">
        <v>23080300</v>
      </c>
      <c r="B67" s="6473" t="s">
        <v>29</v>
      </c>
      <c r="C67" s="6473"/>
      <c r="D67" s="3390" t="s">
        <v>2777</v>
      </c>
      <c r="E67" s="3391" t="s">
        <v>2778</v>
      </c>
      <c r="F67" s="3392" t="s">
        <v>2779</v>
      </c>
      <c r="G67" s="3307" t="s">
        <v>2780</v>
      </c>
      <c r="H67" s="3295" t="s">
        <v>2781</v>
      </c>
      <c r="I67" s="3326" t="s">
        <v>2782</v>
      </c>
      <c r="J67" s="3327" t="s">
        <v>2783</v>
      </c>
      <c r="K67" s="3307" t="s">
        <v>2784</v>
      </c>
      <c r="L67" s="3308" t="s">
        <v>2785</v>
      </c>
      <c r="M67" s="3326" t="s">
        <v>2786</v>
      </c>
      <c r="N67" s="3327" t="s">
        <v>2787</v>
      </c>
      <c r="O67" s="3307" t="s">
        <v>2788</v>
      </c>
      <c r="P67" s="3308" t="s">
        <v>2789</v>
      </c>
      <c r="Q67" s="3326" t="s">
        <v>2790</v>
      </c>
      <c r="R67" s="3327" t="s">
        <v>2791</v>
      </c>
      <c r="S67" s="3307" t="s">
        <v>2792</v>
      </c>
      <c r="T67" s="3308" t="s">
        <v>2793</v>
      </c>
      <c r="U67" s="3326" t="s">
        <v>2794</v>
      </c>
      <c r="V67" s="3327" t="s">
        <v>2795</v>
      </c>
      <c r="W67" s="3307" t="s">
        <v>2796</v>
      </c>
      <c r="X67" s="3308" t="s">
        <v>2797</v>
      </c>
      <c r="Y67" s="3326" t="s">
        <v>2798</v>
      </c>
      <c r="Z67" s="3327" t="s">
        <v>2799</v>
      </c>
      <c r="AA67" s="3307" t="s">
        <v>2800</v>
      </c>
      <c r="AB67" s="3308" t="s">
        <v>2801</v>
      </c>
      <c r="AC67" s="3326" t="s">
        <v>2817</v>
      </c>
      <c r="AD67" s="3327" t="s">
        <v>2818</v>
      </c>
      <c r="AE67" s="3307" t="s">
        <v>2819</v>
      </c>
      <c r="AF67" s="3308" t="s">
        <v>2821</v>
      </c>
      <c r="AG67" s="3326" t="s">
        <v>2822</v>
      </c>
      <c r="AH67" s="3327" t="s">
        <v>2823</v>
      </c>
      <c r="AI67" s="3307" t="s">
        <v>2824</v>
      </c>
      <c r="AJ67" s="3308" t="s">
        <v>2825</v>
      </c>
      <c r="AK67" s="3309" t="s">
        <v>2826</v>
      </c>
      <c r="AL67" s="3308" t="s">
        <v>2827</v>
      </c>
      <c r="AM67" s="3393" t="s">
        <v>2831</v>
      </c>
      <c r="AN67" s="1057"/>
      <c r="AO67" s="1058"/>
      <c r="AP67" s="1058"/>
      <c r="AQ67" s="1058"/>
      <c r="AR67" s="1058"/>
      <c r="AS67" s="1058"/>
      <c r="AT67" s="1058"/>
      <c r="AU67" s="1058"/>
      <c r="AV67" s="1058"/>
      <c r="AW67" s="1058"/>
      <c r="AX67" s="1058"/>
      <c r="AY67" s="1058"/>
      <c r="AZ67" s="94"/>
      <c r="BA67" s="94"/>
      <c r="BB67" s="94"/>
      <c r="BC67" s="94"/>
      <c r="CH67" s="1020">
        <v>0</v>
      </c>
      <c r="CI67" s="1020">
        <v>0</v>
      </c>
      <c r="CJ67" s="1020"/>
      <c r="CK67" s="1020"/>
      <c r="CL67" s="1020"/>
      <c r="CM67" s="1020"/>
      <c r="CN67" s="1020"/>
    </row>
    <row r="68" spans="1:92" ht="16.350000000000001" customHeight="1" x14ac:dyDescent="0.2">
      <c r="A68" s="3097">
        <v>23080400</v>
      </c>
      <c r="B68" s="5958" t="s">
        <v>495</v>
      </c>
      <c r="C68" s="5294"/>
      <c r="D68" s="3370" t="s">
        <v>2777</v>
      </c>
      <c r="E68" s="3371" t="s">
        <v>2778</v>
      </c>
      <c r="F68" s="3394" t="s">
        <v>2779</v>
      </c>
      <c r="G68" s="2901" t="s">
        <v>2780</v>
      </c>
      <c r="H68" s="2902" t="s">
        <v>2781</v>
      </c>
      <c r="I68" s="3329" t="s">
        <v>2782</v>
      </c>
      <c r="J68" s="3330" t="s">
        <v>2783</v>
      </c>
      <c r="K68" s="2901" t="s">
        <v>2784</v>
      </c>
      <c r="L68" s="3323" t="s">
        <v>2785</v>
      </c>
      <c r="M68" s="3329" t="s">
        <v>2786</v>
      </c>
      <c r="N68" s="3330" t="s">
        <v>2787</v>
      </c>
      <c r="O68" s="2901" t="s">
        <v>2788</v>
      </c>
      <c r="P68" s="3323" t="s">
        <v>2789</v>
      </c>
      <c r="Q68" s="3329" t="s">
        <v>2790</v>
      </c>
      <c r="R68" s="3330" t="s">
        <v>2791</v>
      </c>
      <c r="S68" s="2901" t="s">
        <v>2792</v>
      </c>
      <c r="T68" s="3323" t="s">
        <v>2793</v>
      </c>
      <c r="U68" s="3329" t="s">
        <v>2794</v>
      </c>
      <c r="V68" s="3330" t="s">
        <v>2795</v>
      </c>
      <c r="W68" s="2901" t="s">
        <v>2796</v>
      </c>
      <c r="X68" s="3323" t="s">
        <v>2797</v>
      </c>
      <c r="Y68" s="3329" t="s">
        <v>2798</v>
      </c>
      <c r="Z68" s="3330" t="s">
        <v>2799</v>
      </c>
      <c r="AA68" s="2901" t="s">
        <v>2800</v>
      </c>
      <c r="AB68" s="3323" t="s">
        <v>2801</v>
      </c>
      <c r="AC68" s="3329" t="s">
        <v>2817</v>
      </c>
      <c r="AD68" s="3330" t="s">
        <v>2818</v>
      </c>
      <c r="AE68" s="2901" t="s">
        <v>2819</v>
      </c>
      <c r="AF68" s="3323" t="s">
        <v>2821</v>
      </c>
      <c r="AG68" s="3329" t="s">
        <v>2822</v>
      </c>
      <c r="AH68" s="3330" t="s">
        <v>2823</v>
      </c>
      <c r="AI68" s="2901" t="s">
        <v>2824</v>
      </c>
      <c r="AJ68" s="3323" t="s">
        <v>2825</v>
      </c>
      <c r="AK68" s="3324" t="s">
        <v>2826</v>
      </c>
      <c r="AL68" s="3323" t="s">
        <v>2827</v>
      </c>
      <c r="AM68" s="3395" t="s">
        <v>2831</v>
      </c>
      <c r="AN68" s="1057"/>
      <c r="AO68" s="1058"/>
      <c r="AP68" s="1058"/>
      <c r="AQ68" s="1058"/>
      <c r="AR68" s="1058"/>
      <c r="AS68" s="1058"/>
      <c r="AT68" s="1058"/>
      <c r="AU68" s="1058"/>
      <c r="AV68" s="1058"/>
      <c r="AW68" s="1058"/>
      <c r="AX68" s="1058"/>
      <c r="AY68" s="1058"/>
      <c r="AZ68" s="94"/>
      <c r="BA68" s="94"/>
      <c r="BB68" s="94"/>
      <c r="BC68" s="94"/>
      <c r="CH68" s="1020">
        <v>0</v>
      </c>
      <c r="CI68" s="1020">
        <v>0</v>
      </c>
      <c r="CJ68" s="1020"/>
      <c r="CK68" s="1020"/>
      <c r="CL68" s="1020"/>
      <c r="CM68" s="1020"/>
      <c r="CN68" s="1020"/>
    </row>
    <row r="69" spans="1:92" ht="16.350000000000001" customHeight="1" x14ac:dyDescent="0.2">
      <c r="A69" s="3097">
        <v>23080500</v>
      </c>
      <c r="B69" s="6474" t="s">
        <v>499</v>
      </c>
      <c r="C69" s="6474"/>
      <c r="D69" s="3396" t="s">
        <v>2777</v>
      </c>
      <c r="E69" s="3397" t="s">
        <v>2778</v>
      </c>
      <c r="F69" s="3031" t="s">
        <v>2779</v>
      </c>
      <c r="G69" s="3398" t="s">
        <v>2780</v>
      </c>
      <c r="H69" s="3304" t="s">
        <v>2781</v>
      </c>
      <c r="I69" s="3399" t="s">
        <v>2782</v>
      </c>
      <c r="J69" s="3400" t="s">
        <v>2783</v>
      </c>
      <c r="K69" s="3398" t="s">
        <v>2784</v>
      </c>
      <c r="L69" s="3401" t="s">
        <v>2785</v>
      </c>
      <c r="M69" s="3399" t="s">
        <v>2786</v>
      </c>
      <c r="N69" s="3400" t="s">
        <v>2787</v>
      </c>
      <c r="O69" s="3398" t="s">
        <v>2788</v>
      </c>
      <c r="P69" s="3401" t="s">
        <v>2789</v>
      </c>
      <c r="Q69" s="3399" t="s">
        <v>2790</v>
      </c>
      <c r="R69" s="3400" t="s">
        <v>2791</v>
      </c>
      <c r="S69" s="3398" t="s">
        <v>2792</v>
      </c>
      <c r="T69" s="3401" t="s">
        <v>2793</v>
      </c>
      <c r="U69" s="3399" t="s">
        <v>2794</v>
      </c>
      <c r="V69" s="3400" t="s">
        <v>2795</v>
      </c>
      <c r="W69" s="3398" t="s">
        <v>2796</v>
      </c>
      <c r="X69" s="3401" t="s">
        <v>2797</v>
      </c>
      <c r="Y69" s="3399" t="s">
        <v>2798</v>
      </c>
      <c r="Z69" s="3400" t="s">
        <v>2799</v>
      </c>
      <c r="AA69" s="3398" t="s">
        <v>2800</v>
      </c>
      <c r="AB69" s="3401" t="s">
        <v>2801</v>
      </c>
      <c r="AC69" s="3399" t="s">
        <v>2817</v>
      </c>
      <c r="AD69" s="3400" t="s">
        <v>2818</v>
      </c>
      <c r="AE69" s="3398" t="s">
        <v>2819</v>
      </c>
      <c r="AF69" s="3401" t="s">
        <v>2821</v>
      </c>
      <c r="AG69" s="3399" t="s">
        <v>2822</v>
      </c>
      <c r="AH69" s="3400" t="s">
        <v>2823</v>
      </c>
      <c r="AI69" s="3398" t="s">
        <v>2824</v>
      </c>
      <c r="AJ69" s="3401" t="s">
        <v>2825</v>
      </c>
      <c r="AK69" s="3402" t="s">
        <v>2826</v>
      </c>
      <c r="AL69" s="3401" t="s">
        <v>2827</v>
      </c>
      <c r="AM69" s="3403" t="s">
        <v>2831</v>
      </c>
      <c r="AN69" s="1057"/>
      <c r="AO69" s="1058"/>
      <c r="AP69" s="1058"/>
      <c r="AQ69" s="1058"/>
      <c r="AR69" s="1058"/>
      <c r="AS69" s="1058"/>
      <c r="AT69" s="1058"/>
      <c r="AU69" s="1058"/>
      <c r="AV69" s="1058"/>
      <c r="AW69" s="1058"/>
      <c r="AX69" s="1058"/>
      <c r="AY69" s="1058"/>
      <c r="AZ69" s="94"/>
      <c r="BA69" s="94"/>
      <c r="BB69" s="94"/>
      <c r="BC69" s="94"/>
      <c r="CH69" s="1020">
        <v>0</v>
      </c>
      <c r="CI69" s="1020">
        <v>0</v>
      </c>
      <c r="CJ69" s="1020"/>
      <c r="CK69" s="1020"/>
      <c r="CL69" s="1020"/>
      <c r="CM69" s="1020"/>
      <c r="CN69" s="1020"/>
    </row>
    <row r="70" spans="1:92" ht="16.350000000000001" customHeight="1" x14ac:dyDescent="0.2">
      <c r="A70" s="2527"/>
      <c r="B70" s="6475" t="s">
        <v>42</v>
      </c>
      <c r="C70" s="6475"/>
      <c r="D70" s="2147">
        <f t="shared" ref="D70:AM70" si="2">SUM(D67:D69)</f>
        <v>0</v>
      </c>
      <c r="E70" s="2148">
        <f t="shared" si="2"/>
        <v>0</v>
      </c>
      <c r="F70" s="2149">
        <f t="shared" si="2"/>
        <v>0</v>
      </c>
      <c r="G70" s="1810">
        <f t="shared" si="2"/>
        <v>0</v>
      </c>
      <c r="H70" s="1807">
        <f t="shared" si="2"/>
        <v>0</v>
      </c>
      <c r="I70" s="1857">
        <f t="shared" si="2"/>
        <v>0</v>
      </c>
      <c r="J70" s="2150">
        <f t="shared" si="2"/>
        <v>0</v>
      </c>
      <c r="K70" s="1810">
        <f t="shared" si="2"/>
        <v>0</v>
      </c>
      <c r="L70" s="2018">
        <f t="shared" si="2"/>
        <v>0</v>
      </c>
      <c r="M70" s="1857">
        <f t="shared" si="2"/>
        <v>0</v>
      </c>
      <c r="N70" s="2150">
        <f t="shared" si="2"/>
        <v>0</v>
      </c>
      <c r="O70" s="1810">
        <f t="shared" si="2"/>
        <v>0</v>
      </c>
      <c r="P70" s="2018">
        <f t="shared" si="2"/>
        <v>0</v>
      </c>
      <c r="Q70" s="1857">
        <f t="shared" si="2"/>
        <v>0</v>
      </c>
      <c r="R70" s="2150">
        <f t="shared" si="2"/>
        <v>0</v>
      </c>
      <c r="S70" s="1810">
        <f t="shared" si="2"/>
        <v>0</v>
      </c>
      <c r="T70" s="2018">
        <f t="shared" si="2"/>
        <v>0</v>
      </c>
      <c r="U70" s="1857">
        <f t="shared" si="2"/>
        <v>0</v>
      </c>
      <c r="V70" s="2150">
        <f t="shared" si="2"/>
        <v>0</v>
      </c>
      <c r="W70" s="1810">
        <f t="shared" si="2"/>
        <v>0</v>
      </c>
      <c r="X70" s="2018">
        <f t="shared" si="2"/>
        <v>0</v>
      </c>
      <c r="Y70" s="1857">
        <f t="shared" si="2"/>
        <v>0</v>
      </c>
      <c r="Z70" s="2150">
        <f t="shared" si="2"/>
        <v>0</v>
      </c>
      <c r="AA70" s="1810">
        <f t="shared" si="2"/>
        <v>0</v>
      </c>
      <c r="AB70" s="2018">
        <f t="shared" si="2"/>
        <v>0</v>
      </c>
      <c r="AC70" s="1857">
        <f t="shared" si="2"/>
        <v>0</v>
      </c>
      <c r="AD70" s="2150">
        <f t="shared" si="2"/>
        <v>0</v>
      </c>
      <c r="AE70" s="1810">
        <f t="shared" si="2"/>
        <v>0</v>
      </c>
      <c r="AF70" s="2018">
        <f t="shared" si="2"/>
        <v>0</v>
      </c>
      <c r="AG70" s="1857">
        <f t="shared" si="2"/>
        <v>0</v>
      </c>
      <c r="AH70" s="2150">
        <f t="shared" si="2"/>
        <v>0</v>
      </c>
      <c r="AI70" s="1810">
        <f t="shared" si="2"/>
        <v>0</v>
      </c>
      <c r="AJ70" s="2018">
        <f t="shared" si="2"/>
        <v>0</v>
      </c>
      <c r="AK70" s="1809">
        <f t="shared" si="2"/>
        <v>0</v>
      </c>
      <c r="AL70" s="2018">
        <f t="shared" si="2"/>
        <v>0</v>
      </c>
      <c r="AM70" s="1808">
        <f t="shared" si="2"/>
        <v>0</v>
      </c>
      <c r="AN70" s="1290"/>
      <c r="AO70" s="94"/>
      <c r="AP70" s="94"/>
      <c r="AQ70" s="94"/>
      <c r="AR70" s="94"/>
      <c r="AS70" s="94"/>
      <c r="AT70" s="94"/>
      <c r="AU70" s="94"/>
      <c r="AV70" s="94"/>
      <c r="AW70" s="94"/>
      <c r="AX70" s="94"/>
      <c r="AY70" s="94"/>
      <c r="AZ70" s="94"/>
      <c r="BA70" s="94"/>
      <c r="BB70" s="94"/>
      <c r="BC70" s="94"/>
      <c r="CH70" s="1020"/>
      <c r="CI70" s="1020"/>
      <c r="CJ70" s="1020"/>
      <c r="CK70" s="1020"/>
      <c r="CL70" s="1020"/>
      <c r="CM70" s="1020"/>
      <c r="CN70" s="1020"/>
    </row>
    <row r="71" spans="1:92" ht="32.1" customHeight="1" x14ac:dyDescent="0.2">
      <c r="B71" s="961" t="s">
        <v>2442</v>
      </c>
      <c r="C71" s="2075"/>
      <c r="D71" s="2146"/>
      <c r="E71" s="2146"/>
      <c r="F71" s="2146"/>
      <c r="G71" s="243"/>
      <c r="H71" s="243"/>
      <c r="I71" s="243"/>
      <c r="J71" s="243"/>
      <c r="K71" s="243"/>
      <c r="L71" s="243"/>
      <c r="M71" s="243"/>
      <c r="N71" s="85"/>
      <c r="O71" s="219"/>
      <c r="P71" s="219"/>
      <c r="Q71" s="219"/>
      <c r="R71" s="190"/>
      <c r="S71" s="190"/>
      <c r="T71" s="190"/>
      <c r="U71" s="190"/>
      <c r="V71" s="243"/>
      <c r="W71" s="243"/>
      <c r="AN71" s="956"/>
      <c r="AO71" s="94"/>
      <c r="AP71" s="94"/>
      <c r="AQ71" s="94"/>
      <c r="AR71" s="94"/>
      <c r="AS71" s="94"/>
      <c r="AT71" s="94"/>
      <c r="AU71" s="94"/>
      <c r="AV71" s="94"/>
      <c r="AW71" s="94"/>
      <c r="AX71" s="94"/>
      <c r="AY71" s="94"/>
      <c r="AZ71" s="94"/>
      <c r="BA71" s="94"/>
      <c r="BB71" s="94"/>
      <c r="BC71" s="94"/>
      <c r="CH71" s="1020"/>
      <c r="CI71" s="1020"/>
      <c r="CJ71" s="1020"/>
      <c r="CK71" s="1020"/>
      <c r="CL71" s="1020"/>
      <c r="CM71" s="1020"/>
      <c r="CN71" s="1020"/>
    </row>
    <row r="72" spans="1:92" ht="16.350000000000001" customHeight="1" x14ac:dyDescent="0.2">
      <c r="B72" s="6401" t="s">
        <v>3</v>
      </c>
      <c r="C72" s="5967"/>
      <c r="D72" s="6413" t="s">
        <v>42</v>
      </c>
      <c r="E72" s="6208"/>
      <c r="F72" s="6209"/>
      <c r="G72" s="6437" t="s">
        <v>5</v>
      </c>
      <c r="H72" s="6438"/>
      <c r="I72" s="6438"/>
      <c r="J72" s="6438"/>
      <c r="K72" s="6438"/>
      <c r="L72" s="6438"/>
      <c r="M72" s="6438"/>
      <c r="N72" s="6438"/>
      <c r="O72" s="6438"/>
      <c r="P72" s="6438"/>
      <c r="Q72" s="6438"/>
      <c r="R72" s="6438"/>
      <c r="S72" s="6438"/>
      <c r="T72" s="6438"/>
      <c r="U72" s="6438"/>
      <c r="V72" s="6438"/>
      <c r="W72" s="6438"/>
      <c r="X72" s="6438"/>
      <c r="Y72" s="6438"/>
      <c r="Z72" s="6438"/>
      <c r="AA72" s="6438"/>
      <c r="AB72" s="6438"/>
      <c r="AC72" s="6438"/>
      <c r="AD72" s="6438"/>
      <c r="AE72" s="6438"/>
      <c r="AF72" s="6438"/>
      <c r="AG72" s="6438"/>
      <c r="AH72" s="6438"/>
      <c r="AI72" s="6438"/>
      <c r="AJ72" s="6438"/>
      <c r="AK72" s="6438"/>
      <c r="AL72" s="6471"/>
      <c r="AM72" s="5158" t="s">
        <v>483</v>
      </c>
      <c r="AN72" s="6299" t="s">
        <v>1634</v>
      </c>
      <c r="AO72" s="94"/>
      <c r="AP72" s="94"/>
      <c r="AQ72" s="94"/>
      <c r="AR72" s="94"/>
      <c r="AS72" s="94"/>
      <c r="AT72" s="94"/>
      <c r="AU72" s="94"/>
      <c r="AV72" s="94"/>
      <c r="AW72" s="94"/>
      <c r="AX72" s="94"/>
      <c r="AY72" s="94"/>
      <c r="AZ72" s="94"/>
      <c r="BA72" s="94"/>
      <c r="BB72" s="94"/>
      <c r="BC72" s="94"/>
      <c r="CH72" s="1020"/>
      <c r="CI72" s="1020"/>
      <c r="CJ72" s="1020"/>
      <c r="CK72" s="1020"/>
      <c r="CL72" s="1020"/>
      <c r="CM72" s="1020"/>
      <c r="CN72" s="1020"/>
    </row>
    <row r="73" spans="1:92" ht="16.350000000000001" customHeight="1" x14ac:dyDescent="0.2">
      <c r="B73" s="5547"/>
      <c r="C73" s="5258"/>
      <c r="D73" s="6313"/>
      <c r="E73" s="6210"/>
      <c r="F73" s="6211"/>
      <c r="G73" s="6413" t="s">
        <v>2405</v>
      </c>
      <c r="H73" s="6209"/>
      <c r="I73" s="6208" t="s">
        <v>2406</v>
      </c>
      <c r="J73" s="6208"/>
      <c r="K73" s="6413" t="s">
        <v>2407</v>
      </c>
      <c r="L73" s="6209"/>
      <c r="M73" s="6413" t="s">
        <v>2408</v>
      </c>
      <c r="N73" s="6209"/>
      <c r="O73" s="6208" t="s">
        <v>2409</v>
      </c>
      <c r="P73" s="6208"/>
      <c r="Q73" s="6413" t="s">
        <v>2410</v>
      </c>
      <c r="R73" s="6209"/>
      <c r="S73" s="6208" t="s">
        <v>2411</v>
      </c>
      <c r="T73" s="6208"/>
      <c r="U73" s="6413" t="s">
        <v>663</v>
      </c>
      <c r="V73" s="6209"/>
      <c r="W73" s="6208" t="s">
        <v>664</v>
      </c>
      <c r="X73" s="6208"/>
      <c r="Y73" s="6413" t="s">
        <v>665</v>
      </c>
      <c r="Z73" s="6209"/>
      <c r="AA73" s="6208" t="s">
        <v>666</v>
      </c>
      <c r="AB73" s="6208"/>
      <c r="AC73" s="6413" t="s">
        <v>667</v>
      </c>
      <c r="AD73" s="6209"/>
      <c r="AE73" s="6208" t="s">
        <v>668</v>
      </c>
      <c r="AF73" s="6208"/>
      <c r="AG73" s="6413" t="s">
        <v>669</v>
      </c>
      <c r="AH73" s="6209"/>
      <c r="AI73" s="6208" t="s">
        <v>670</v>
      </c>
      <c r="AJ73" s="6208"/>
      <c r="AK73" s="6413" t="s">
        <v>2412</v>
      </c>
      <c r="AL73" s="6209"/>
      <c r="AM73" s="5113"/>
      <c r="AN73" s="5810"/>
      <c r="AO73" s="94"/>
      <c r="AP73" s="94"/>
      <c r="AQ73" s="94"/>
      <c r="AR73" s="94"/>
      <c r="AS73" s="94"/>
      <c r="AT73" s="94"/>
      <c r="AU73" s="94"/>
      <c r="AV73" s="94"/>
      <c r="AW73" s="94"/>
      <c r="AX73" s="94"/>
      <c r="AY73" s="94"/>
      <c r="AZ73" s="94"/>
      <c r="BA73" s="94"/>
      <c r="BB73" s="94"/>
      <c r="BC73" s="94"/>
      <c r="CH73" s="1020"/>
      <c r="CI73" s="1020"/>
      <c r="CJ73" s="1020"/>
      <c r="CK73" s="1020"/>
      <c r="CL73" s="1020"/>
      <c r="CM73" s="1020"/>
      <c r="CN73" s="1020"/>
    </row>
    <row r="74" spans="1:92" ht="16.350000000000001" customHeight="1" x14ac:dyDescent="0.2">
      <c r="B74" s="5856"/>
      <c r="C74" s="5878"/>
      <c r="D74" s="1598" t="s">
        <v>184</v>
      </c>
      <c r="E74" s="1599" t="s">
        <v>24</v>
      </c>
      <c r="F74" s="1913" t="s">
        <v>25</v>
      </c>
      <c r="G74" s="1597" t="s">
        <v>24</v>
      </c>
      <c r="H74" s="1918" t="s">
        <v>25</v>
      </c>
      <c r="I74" s="1749" t="s">
        <v>24</v>
      </c>
      <c r="J74" s="1907" t="s">
        <v>25</v>
      </c>
      <c r="K74" s="1597" t="s">
        <v>24</v>
      </c>
      <c r="L74" s="1918" t="s">
        <v>25</v>
      </c>
      <c r="M74" s="1597" t="s">
        <v>24</v>
      </c>
      <c r="N74" s="1918" t="s">
        <v>25</v>
      </c>
      <c r="O74" s="1749" t="s">
        <v>24</v>
      </c>
      <c r="P74" s="1907" t="s">
        <v>25</v>
      </c>
      <c r="Q74" s="1597" t="s">
        <v>24</v>
      </c>
      <c r="R74" s="1918" t="s">
        <v>25</v>
      </c>
      <c r="S74" s="1749" t="s">
        <v>24</v>
      </c>
      <c r="T74" s="1907" t="s">
        <v>25</v>
      </c>
      <c r="U74" s="1597" t="s">
        <v>24</v>
      </c>
      <c r="V74" s="1918" t="s">
        <v>25</v>
      </c>
      <c r="W74" s="1749" t="s">
        <v>24</v>
      </c>
      <c r="X74" s="1907" t="s">
        <v>25</v>
      </c>
      <c r="Y74" s="1597" t="s">
        <v>24</v>
      </c>
      <c r="Z74" s="1918" t="s">
        <v>25</v>
      </c>
      <c r="AA74" s="1749" t="s">
        <v>24</v>
      </c>
      <c r="AB74" s="1907" t="s">
        <v>25</v>
      </c>
      <c r="AC74" s="1597" t="s">
        <v>24</v>
      </c>
      <c r="AD74" s="1918" t="s">
        <v>25</v>
      </c>
      <c r="AE74" s="1749" t="s">
        <v>24</v>
      </c>
      <c r="AF74" s="1907" t="s">
        <v>25</v>
      </c>
      <c r="AG74" s="1597" t="s">
        <v>24</v>
      </c>
      <c r="AH74" s="1918" t="s">
        <v>25</v>
      </c>
      <c r="AI74" s="1749" t="s">
        <v>24</v>
      </c>
      <c r="AJ74" s="1907" t="s">
        <v>25</v>
      </c>
      <c r="AK74" s="1597" t="s">
        <v>24</v>
      </c>
      <c r="AL74" s="1918" t="s">
        <v>25</v>
      </c>
      <c r="AM74" s="5159"/>
      <c r="AN74" s="6300"/>
      <c r="AO74" s="94"/>
      <c r="AP74" s="94"/>
      <c r="AQ74" s="94"/>
      <c r="AR74" s="94"/>
      <c r="AS74" s="94"/>
      <c r="AT74" s="94"/>
      <c r="AU74" s="94"/>
      <c r="AV74" s="94"/>
      <c r="AW74" s="94"/>
      <c r="AX74" s="94"/>
      <c r="AY74" s="94"/>
      <c r="AZ74" s="94"/>
      <c r="BA74" s="94"/>
      <c r="BB74" s="94"/>
      <c r="BC74" s="94"/>
      <c r="CH74" s="1020"/>
      <c r="CI74" s="1020"/>
      <c r="CJ74" s="1020"/>
      <c r="CK74" s="1020"/>
      <c r="CL74" s="1020"/>
      <c r="CM74" s="1020"/>
      <c r="CN74" s="1020"/>
    </row>
    <row r="75" spans="1:92" ht="16.350000000000001" customHeight="1" x14ac:dyDescent="0.2">
      <c r="A75" s="2458">
        <v>23090450</v>
      </c>
      <c r="B75" s="6476" t="s">
        <v>495</v>
      </c>
      <c r="C75" s="6477"/>
      <c r="D75" s="3054" t="s">
        <v>2777</v>
      </c>
      <c r="E75" s="3055" t="s">
        <v>2778</v>
      </c>
      <c r="F75" s="3034" t="s">
        <v>2779</v>
      </c>
      <c r="G75" s="3287" t="s">
        <v>2780</v>
      </c>
      <c r="H75" s="3288" t="s">
        <v>2781</v>
      </c>
      <c r="I75" s="3404" t="s">
        <v>2782</v>
      </c>
      <c r="J75" s="3405" t="s">
        <v>2783</v>
      </c>
      <c r="K75" s="3287" t="s">
        <v>2784</v>
      </c>
      <c r="L75" s="3289" t="s">
        <v>2785</v>
      </c>
      <c r="M75" s="3287" t="s">
        <v>2786</v>
      </c>
      <c r="N75" s="3289" t="s">
        <v>2787</v>
      </c>
      <c r="O75" s="3404" t="s">
        <v>2788</v>
      </c>
      <c r="P75" s="3405" t="s">
        <v>2789</v>
      </c>
      <c r="Q75" s="3287" t="s">
        <v>2790</v>
      </c>
      <c r="R75" s="3289" t="s">
        <v>2791</v>
      </c>
      <c r="S75" s="3404" t="s">
        <v>2792</v>
      </c>
      <c r="T75" s="3405" t="s">
        <v>2793</v>
      </c>
      <c r="U75" s="3287" t="s">
        <v>2794</v>
      </c>
      <c r="V75" s="3289" t="s">
        <v>2795</v>
      </c>
      <c r="W75" s="3404" t="s">
        <v>2796</v>
      </c>
      <c r="X75" s="3405" t="s">
        <v>2797</v>
      </c>
      <c r="Y75" s="3287" t="s">
        <v>2798</v>
      </c>
      <c r="Z75" s="3289" t="s">
        <v>2799</v>
      </c>
      <c r="AA75" s="3404" t="s">
        <v>2800</v>
      </c>
      <c r="AB75" s="3405" t="s">
        <v>2801</v>
      </c>
      <c r="AC75" s="3287" t="s">
        <v>2817</v>
      </c>
      <c r="AD75" s="3289" t="s">
        <v>2818</v>
      </c>
      <c r="AE75" s="3404" t="s">
        <v>2819</v>
      </c>
      <c r="AF75" s="3405" t="s">
        <v>2821</v>
      </c>
      <c r="AG75" s="3287" t="s">
        <v>2822</v>
      </c>
      <c r="AH75" s="3289" t="s">
        <v>2823</v>
      </c>
      <c r="AI75" s="3404" t="s">
        <v>2824</v>
      </c>
      <c r="AJ75" s="3405" t="s">
        <v>2825</v>
      </c>
      <c r="AK75" s="3313" t="s">
        <v>2826</v>
      </c>
      <c r="AL75" s="3289" t="s">
        <v>2827</v>
      </c>
      <c r="AM75" s="3406" t="s">
        <v>2831</v>
      </c>
      <c r="AN75" s="2151"/>
      <c r="AO75" s="1170"/>
      <c r="AP75" s="1058"/>
      <c r="AQ75" s="1058"/>
      <c r="AR75" s="1058"/>
      <c r="AS75" s="1058"/>
      <c r="AT75" s="1058"/>
      <c r="AU75" s="1058"/>
      <c r="AV75" s="1058"/>
      <c r="AW75" s="1058"/>
      <c r="AX75" s="1058"/>
      <c r="AY75" s="1058"/>
      <c r="AZ75" s="94"/>
      <c r="BA75" s="94"/>
      <c r="CH75" s="1020">
        <v>0</v>
      </c>
      <c r="CI75" s="1020">
        <v>0</v>
      </c>
      <c r="CJ75" s="1020"/>
      <c r="CK75" s="1020"/>
      <c r="CL75" s="1020"/>
      <c r="CM75" s="1020"/>
      <c r="CN75" s="1020"/>
    </row>
    <row r="76" spans="1:92" ht="16.350000000000001" customHeight="1" x14ac:dyDescent="0.2">
      <c r="A76" s="2458">
        <v>23090460</v>
      </c>
      <c r="B76" s="6474" t="s">
        <v>499</v>
      </c>
      <c r="C76" s="6474"/>
      <c r="D76" s="3407" t="s">
        <v>2777</v>
      </c>
      <c r="E76" s="3408" t="s">
        <v>2778</v>
      </c>
      <c r="F76" s="3409" t="s">
        <v>2779</v>
      </c>
      <c r="G76" s="3398" t="s">
        <v>2780</v>
      </c>
      <c r="H76" s="3304" t="s">
        <v>2781</v>
      </c>
      <c r="I76" s="3399" t="s">
        <v>2782</v>
      </c>
      <c r="J76" s="3400" t="s">
        <v>2783</v>
      </c>
      <c r="K76" s="3398" t="s">
        <v>2784</v>
      </c>
      <c r="L76" s="3401" t="s">
        <v>2785</v>
      </c>
      <c r="M76" s="3398" t="s">
        <v>2786</v>
      </c>
      <c r="N76" s="3401" t="s">
        <v>2787</v>
      </c>
      <c r="O76" s="3399" t="s">
        <v>2788</v>
      </c>
      <c r="P76" s="3400" t="s">
        <v>2789</v>
      </c>
      <c r="Q76" s="3398" t="s">
        <v>2790</v>
      </c>
      <c r="R76" s="3401" t="s">
        <v>2791</v>
      </c>
      <c r="S76" s="3399" t="s">
        <v>2792</v>
      </c>
      <c r="T76" s="3400" t="s">
        <v>2793</v>
      </c>
      <c r="U76" s="3398" t="s">
        <v>2794</v>
      </c>
      <c r="V76" s="3401" t="s">
        <v>2795</v>
      </c>
      <c r="W76" s="3399" t="s">
        <v>2796</v>
      </c>
      <c r="X76" s="3400" t="s">
        <v>2797</v>
      </c>
      <c r="Y76" s="3398" t="s">
        <v>2798</v>
      </c>
      <c r="Z76" s="3401" t="s">
        <v>2799</v>
      </c>
      <c r="AA76" s="3399" t="s">
        <v>2800</v>
      </c>
      <c r="AB76" s="3400" t="s">
        <v>2801</v>
      </c>
      <c r="AC76" s="3398" t="s">
        <v>2817</v>
      </c>
      <c r="AD76" s="3401" t="s">
        <v>2818</v>
      </c>
      <c r="AE76" s="3399" t="s">
        <v>2819</v>
      </c>
      <c r="AF76" s="3400" t="s">
        <v>2821</v>
      </c>
      <c r="AG76" s="2905" t="s">
        <v>2822</v>
      </c>
      <c r="AH76" s="3316" t="s">
        <v>2823</v>
      </c>
      <c r="AI76" s="3399" t="s">
        <v>2824</v>
      </c>
      <c r="AJ76" s="3400" t="s">
        <v>2825</v>
      </c>
      <c r="AK76" s="3402" t="s">
        <v>2826</v>
      </c>
      <c r="AL76" s="3401" t="s">
        <v>2827</v>
      </c>
      <c r="AM76" s="3403" t="s">
        <v>2831</v>
      </c>
      <c r="AN76" s="343"/>
      <c r="AO76" s="1170"/>
      <c r="AP76" s="1058"/>
      <c r="AQ76" s="1058"/>
      <c r="AR76" s="1058"/>
      <c r="AS76" s="1058"/>
      <c r="AT76" s="1058"/>
      <c r="AU76" s="1058"/>
      <c r="AV76" s="1058"/>
      <c r="AW76" s="1058"/>
      <c r="AX76" s="1058"/>
      <c r="AY76" s="1058"/>
      <c r="AZ76" s="94"/>
      <c r="BA76" s="94"/>
      <c r="CH76" s="1020">
        <v>0</v>
      </c>
      <c r="CI76" s="1020">
        <v>0</v>
      </c>
      <c r="CJ76" s="1020"/>
      <c r="CK76" s="1020"/>
      <c r="CL76" s="1020"/>
      <c r="CM76" s="1020"/>
      <c r="CN76" s="1020"/>
    </row>
    <row r="77" spans="1:92" ht="16.350000000000001" customHeight="1" x14ac:dyDescent="0.2">
      <c r="A77" s="2527"/>
      <c r="B77" s="6475" t="s">
        <v>42</v>
      </c>
      <c r="C77" s="6475"/>
      <c r="D77" s="1610">
        <f t="shared" ref="D77:AM77" si="3">SUM(D75:D76)</f>
        <v>0</v>
      </c>
      <c r="E77" s="1611">
        <f>SUM(E75:E76)</f>
        <v>0</v>
      </c>
      <c r="F77" s="1609">
        <f t="shared" si="3"/>
        <v>0</v>
      </c>
      <c r="G77" s="1810">
        <f>SUM(G75:G76)</f>
        <v>0</v>
      </c>
      <c r="H77" s="1807">
        <f t="shared" si="3"/>
        <v>0</v>
      </c>
      <c r="I77" s="1857">
        <f t="shared" si="3"/>
        <v>0</v>
      </c>
      <c r="J77" s="2150">
        <f t="shared" si="3"/>
        <v>0</v>
      </c>
      <c r="K77" s="1810">
        <f t="shared" si="3"/>
        <v>0</v>
      </c>
      <c r="L77" s="2018">
        <f t="shared" si="3"/>
        <v>0</v>
      </c>
      <c r="M77" s="1810">
        <f t="shared" si="3"/>
        <v>0</v>
      </c>
      <c r="N77" s="2018">
        <f t="shared" si="3"/>
        <v>0</v>
      </c>
      <c r="O77" s="1857">
        <f t="shared" si="3"/>
        <v>0</v>
      </c>
      <c r="P77" s="2150">
        <f t="shared" si="3"/>
        <v>0</v>
      </c>
      <c r="Q77" s="1810">
        <f t="shared" si="3"/>
        <v>0</v>
      </c>
      <c r="R77" s="2018">
        <f t="shared" si="3"/>
        <v>0</v>
      </c>
      <c r="S77" s="1857">
        <f t="shared" si="3"/>
        <v>0</v>
      </c>
      <c r="T77" s="2150">
        <f t="shared" si="3"/>
        <v>0</v>
      </c>
      <c r="U77" s="1810">
        <f t="shared" si="3"/>
        <v>0</v>
      </c>
      <c r="V77" s="2018">
        <f t="shared" si="3"/>
        <v>0</v>
      </c>
      <c r="W77" s="1857">
        <f t="shared" si="3"/>
        <v>0</v>
      </c>
      <c r="X77" s="2150">
        <f t="shared" si="3"/>
        <v>0</v>
      </c>
      <c r="Y77" s="1810">
        <f t="shared" si="3"/>
        <v>0</v>
      </c>
      <c r="Z77" s="2018">
        <f t="shared" si="3"/>
        <v>0</v>
      </c>
      <c r="AA77" s="1857">
        <f t="shared" si="3"/>
        <v>0</v>
      </c>
      <c r="AB77" s="2150">
        <f t="shared" si="3"/>
        <v>0</v>
      </c>
      <c r="AC77" s="1810">
        <f t="shared" si="3"/>
        <v>0</v>
      </c>
      <c r="AD77" s="2018">
        <f t="shared" si="3"/>
        <v>0</v>
      </c>
      <c r="AE77" s="1857">
        <f t="shared" si="3"/>
        <v>0</v>
      </c>
      <c r="AF77" s="1856">
        <f t="shared" si="3"/>
        <v>0</v>
      </c>
      <c r="AG77" s="1856">
        <f t="shared" si="3"/>
        <v>0</v>
      </c>
      <c r="AH77" s="1856">
        <f t="shared" si="3"/>
        <v>0</v>
      </c>
      <c r="AI77" s="1856">
        <f t="shared" si="3"/>
        <v>0</v>
      </c>
      <c r="AJ77" s="2150">
        <f t="shared" si="3"/>
        <v>0</v>
      </c>
      <c r="AK77" s="1809">
        <f t="shared" si="3"/>
        <v>0</v>
      </c>
      <c r="AL77" s="2018">
        <f t="shared" si="3"/>
        <v>0</v>
      </c>
      <c r="AM77" s="1808">
        <f t="shared" si="3"/>
        <v>0</v>
      </c>
      <c r="AN77" s="1808">
        <f>+AN76</f>
        <v>0</v>
      </c>
      <c r="AO77" s="94"/>
      <c r="AP77" s="94"/>
      <c r="AQ77" s="94"/>
      <c r="AR77" s="94"/>
      <c r="AS77" s="94"/>
      <c r="AT77" s="94"/>
      <c r="AU77" s="94"/>
      <c r="AV77" s="94"/>
      <c r="AW77" s="94"/>
      <c r="AX77" s="94"/>
      <c r="AY77" s="94"/>
      <c r="AZ77" s="94"/>
      <c r="BA77" s="94"/>
      <c r="CH77" s="1020"/>
      <c r="CI77" s="1020"/>
      <c r="CJ77" s="1020"/>
      <c r="CK77" s="1020"/>
      <c r="CL77" s="1020"/>
      <c r="CM77" s="1020"/>
      <c r="CN77" s="1020"/>
    </row>
    <row r="78" spans="1:92" ht="32.1" customHeight="1" x14ac:dyDescent="0.2">
      <c r="B78" s="85" t="s">
        <v>2443</v>
      </c>
      <c r="C78" s="2075"/>
      <c r="D78" s="2146"/>
      <c r="E78" s="2146"/>
      <c r="F78" s="2146"/>
      <c r="G78" s="85"/>
      <c r="H78" s="243"/>
      <c r="I78" s="243"/>
      <c r="J78" s="243"/>
      <c r="K78" s="243"/>
      <c r="L78" s="243"/>
      <c r="M78" s="243"/>
      <c r="N78" s="85"/>
      <c r="O78" s="243"/>
      <c r="P78" s="243"/>
      <c r="Q78" s="243"/>
      <c r="R78" s="190"/>
      <c r="S78" s="190"/>
      <c r="T78" s="190"/>
      <c r="U78" s="190"/>
      <c r="V78" s="190"/>
      <c r="W78" s="190"/>
      <c r="AN78" s="94"/>
      <c r="AO78" s="94"/>
      <c r="AP78" s="94"/>
      <c r="AQ78" s="94"/>
      <c r="AR78" s="94"/>
      <c r="AS78" s="94"/>
      <c r="AT78" s="94"/>
      <c r="AU78" s="94"/>
      <c r="AV78" s="94"/>
      <c r="AW78" s="94"/>
      <c r="AX78" s="94"/>
      <c r="AY78" s="94"/>
      <c r="AZ78" s="94"/>
      <c r="BA78" s="94"/>
      <c r="CH78" s="1020"/>
      <c r="CI78" s="1020"/>
      <c r="CJ78" s="1020"/>
      <c r="CK78" s="1020"/>
      <c r="CL78" s="1020"/>
      <c r="CM78" s="1020"/>
      <c r="CN78" s="1020"/>
    </row>
    <row r="79" spans="1:92" ht="16.350000000000001" customHeight="1" x14ac:dyDescent="0.2">
      <c r="B79" s="6401" t="s">
        <v>2403</v>
      </c>
      <c r="C79" s="5967"/>
      <c r="D79" s="6413" t="s">
        <v>42</v>
      </c>
      <c r="E79" s="6208"/>
      <c r="F79" s="6209"/>
      <c r="G79" s="6481" t="s">
        <v>5</v>
      </c>
      <c r="H79" s="6411"/>
      <c r="I79" s="6411"/>
      <c r="J79" s="6411"/>
      <c r="K79" s="6411"/>
      <c r="L79" s="6411"/>
      <c r="M79" s="6411"/>
      <c r="N79" s="6411"/>
      <c r="O79" s="6411"/>
      <c r="P79" s="6411"/>
      <c r="Q79" s="6411"/>
      <c r="R79" s="6411"/>
      <c r="S79" s="6411"/>
      <c r="T79" s="6411"/>
      <c r="U79" s="6411"/>
      <c r="V79" s="6411"/>
      <c r="W79" s="6411"/>
      <c r="X79" s="6411"/>
      <c r="Y79" s="6411"/>
      <c r="Z79" s="6411"/>
      <c r="AA79" s="6411"/>
      <c r="AB79" s="6411"/>
      <c r="AC79" s="6411"/>
      <c r="AD79" s="6411"/>
      <c r="AE79" s="6411"/>
      <c r="AF79" s="6411"/>
      <c r="AG79" s="6411"/>
      <c r="AH79" s="6411"/>
      <c r="AI79" s="6411"/>
      <c r="AJ79" s="6411"/>
      <c r="AK79" s="6411"/>
      <c r="AL79" s="6482"/>
      <c r="AN79" s="94"/>
      <c r="AO79" s="94"/>
      <c r="AP79" s="94"/>
      <c r="AQ79" s="94"/>
      <c r="AR79" s="94"/>
      <c r="AS79" s="94"/>
      <c r="AT79" s="94"/>
      <c r="AU79" s="94"/>
      <c r="AV79" s="94"/>
      <c r="AW79" s="94"/>
      <c r="AX79" s="94"/>
      <c r="AY79" s="94"/>
      <c r="AZ79" s="94"/>
      <c r="BA79" s="94"/>
      <c r="CH79" s="1020"/>
      <c r="CI79" s="1020"/>
      <c r="CJ79" s="1020"/>
      <c r="CK79" s="1020"/>
      <c r="CL79" s="1020"/>
      <c r="CM79" s="1020"/>
      <c r="CN79" s="1020"/>
    </row>
    <row r="80" spans="1:92" ht="16.350000000000001" customHeight="1" x14ac:dyDescent="0.2">
      <c r="B80" s="5547"/>
      <c r="C80" s="5258"/>
      <c r="D80" s="6313"/>
      <c r="E80" s="6210"/>
      <c r="F80" s="6211"/>
      <c r="G80" s="5160" t="s">
        <v>2405</v>
      </c>
      <c r="H80" s="5162"/>
      <c r="I80" s="5161" t="s">
        <v>2406</v>
      </c>
      <c r="J80" s="5161"/>
      <c r="K80" s="5160" t="s">
        <v>2407</v>
      </c>
      <c r="L80" s="5162"/>
      <c r="M80" s="5161" t="s">
        <v>2408</v>
      </c>
      <c r="N80" s="5161"/>
      <c r="O80" s="5160" t="s">
        <v>2409</v>
      </c>
      <c r="P80" s="5162"/>
      <c r="Q80" s="6208" t="s">
        <v>2410</v>
      </c>
      <c r="R80" s="6208"/>
      <c r="S80" s="6413" t="s">
        <v>2411</v>
      </c>
      <c r="T80" s="6209"/>
      <c r="U80" s="6413" t="s">
        <v>663</v>
      </c>
      <c r="V80" s="6209"/>
      <c r="W80" s="6208" t="s">
        <v>664</v>
      </c>
      <c r="X80" s="6208"/>
      <c r="Y80" s="6413" t="s">
        <v>665</v>
      </c>
      <c r="Z80" s="6209"/>
      <c r="AA80" s="6208" t="s">
        <v>666</v>
      </c>
      <c r="AB80" s="6208"/>
      <c r="AC80" s="6413" t="s">
        <v>667</v>
      </c>
      <c r="AD80" s="6209"/>
      <c r="AE80" s="6208" t="s">
        <v>668</v>
      </c>
      <c r="AF80" s="6208"/>
      <c r="AG80" s="6413" t="s">
        <v>669</v>
      </c>
      <c r="AH80" s="6209"/>
      <c r="AI80" s="6208" t="s">
        <v>670</v>
      </c>
      <c r="AJ80" s="6208"/>
      <c r="AK80" s="6413" t="s">
        <v>2412</v>
      </c>
      <c r="AL80" s="6209"/>
      <c r="AM80" s="190"/>
      <c r="AN80" s="881"/>
      <c r="AO80" s="881"/>
      <c r="AP80" s="94"/>
      <c r="AQ80" s="94"/>
      <c r="AR80" s="94"/>
      <c r="AS80" s="94"/>
      <c r="AT80" s="94"/>
      <c r="AU80" s="94"/>
      <c r="AV80" s="94"/>
      <c r="AW80" s="94"/>
      <c r="AX80" s="94"/>
      <c r="AY80" s="94"/>
      <c r="AZ80" s="94"/>
      <c r="BA80" s="94"/>
      <c r="CH80" s="1020"/>
      <c r="CI80" s="1020"/>
      <c r="CJ80" s="1020"/>
      <c r="CK80" s="1020"/>
      <c r="CL80" s="1020"/>
      <c r="CM80" s="1020"/>
      <c r="CN80" s="1020"/>
    </row>
    <row r="81" spans="1:92" ht="16.350000000000001" customHeight="1" x14ac:dyDescent="0.2">
      <c r="B81" s="5856"/>
      <c r="C81" s="5878"/>
      <c r="D81" s="1598" t="s">
        <v>184</v>
      </c>
      <c r="E81" s="1599" t="s">
        <v>24</v>
      </c>
      <c r="F81" s="1920" t="s">
        <v>25</v>
      </c>
      <c r="G81" s="1598" t="s">
        <v>24</v>
      </c>
      <c r="H81" s="1913" t="s">
        <v>25</v>
      </c>
      <c r="I81" s="1600" t="s">
        <v>24</v>
      </c>
      <c r="J81" s="2014" t="s">
        <v>25</v>
      </c>
      <c r="K81" s="1598" t="s">
        <v>24</v>
      </c>
      <c r="L81" s="1913" t="s">
        <v>25</v>
      </c>
      <c r="M81" s="1600" t="s">
        <v>24</v>
      </c>
      <c r="N81" s="2014" t="s">
        <v>25</v>
      </c>
      <c r="O81" s="1598" t="s">
        <v>24</v>
      </c>
      <c r="P81" s="1913" t="s">
        <v>25</v>
      </c>
      <c r="Q81" s="1600" t="s">
        <v>24</v>
      </c>
      <c r="R81" s="2014" t="s">
        <v>25</v>
      </c>
      <c r="S81" s="1598" t="s">
        <v>24</v>
      </c>
      <c r="T81" s="1913" t="s">
        <v>25</v>
      </c>
      <c r="U81" s="1598" t="s">
        <v>24</v>
      </c>
      <c r="V81" s="1913" t="s">
        <v>25</v>
      </c>
      <c r="W81" s="1600" t="s">
        <v>24</v>
      </c>
      <c r="X81" s="2014" t="s">
        <v>25</v>
      </c>
      <c r="Y81" s="1598" t="s">
        <v>24</v>
      </c>
      <c r="Z81" s="1913" t="s">
        <v>25</v>
      </c>
      <c r="AA81" s="1600" t="s">
        <v>24</v>
      </c>
      <c r="AB81" s="2014" t="s">
        <v>25</v>
      </c>
      <c r="AC81" s="1598" t="s">
        <v>24</v>
      </c>
      <c r="AD81" s="1913" t="s">
        <v>25</v>
      </c>
      <c r="AE81" s="1600" t="s">
        <v>24</v>
      </c>
      <c r="AF81" s="2014" t="s">
        <v>25</v>
      </c>
      <c r="AG81" s="1598" t="s">
        <v>24</v>
      </c>
      <c r="AH81" s="1913" t="s">
        <v>25</v>
      </c>
      <c r="AI81" s="1600" t="s">
        <v>24</v>
      </c>
      <c r="AJ81" s="2014" t="s">
        <v>25</v>
      </c>
      <c r="AK81" s="1598" t="s">
        <v>24</v>
      </c>
      <c r="AL81" s="1913" t="s">
        <v>25</v>
      </c>
      <c r="AM81" s="190"/>
      <c r="AN81" s="881"/>
      <c r="AO81" s="881"/>
      <c r="AP81" s="94"/>
      <c r="AQ81" s="94"/>
      <c r="AR81" s="94"/>
      <c r="AS81" s="94"/>
      <c r="AT81" s="94"/>
      <c r="AU81" s="94"/>
      <c r="AV81" s="94"/>
      <c r="AW81" s="94"/>
      <c r="AX81" s="94"/>
      <c r="AY81" s="94"/>
      <c r="AZ81" s="94"/>
      <c r="BA81" s="94"/>
      <c r="CH81" s="1020"/>
      <c r="CI81" s="1020"/>
      <c r="CJ81" s="1020"/>
      <c r="CK81" s="1020"/>
      <c r="CL81" s="1020"/>
      <c r="CM81" s="1020"/>
      <c r="CN81" s="1020"/>
    </row>
    <row r="82" spans="1:92" ht="16.350000000000001" customHeight="1" x14ac:dyDescent="0.2">
      <c r="A82" s="2549">
        <v>23043100</v>
      </c>
      <c r="B82" s="6336" t="s">
        <v>2444</v>
      </c>
      <c r="C82" s="6337"/>
      <c r="D82" s="3054" t="s">
        <v>2777</v>
      </c>
      <c r="E82" s="3055" t="s">
        <v>2778</v>
      </c>
      <c r="F82" s="3029" t="s">
        <v>2779</v>
      </c>
      <c r="G82" s="3307" t="s">
        <v>2780</v>
      </c>
      <c r="H82" s="3295" t="s">
        <v>2781</v>
      </c>
      <c r="I82" s="3326" t="s">
        <v>2782</v>
      </c>
      <c r="J82" s="3327" t="s">
        <v>2783</v>
      </c>
      <c r="K82" s="3305" t="s">
        <v>2784</v>
      </c>
      <c r="L82" s="3410" t="s">
        <v>2785</v>
      </c>
      <c r="M82" s="3411" t="s">
        <v>2786</v>
      </c>
      <c r="N82" s="3412" t="s">
        <v>2787</v>
      </c>
      <c r="O82" s="3305" t="s">
        <v>2788</v>
      </c>
      <c r="P82" s="3410" t="s">
        <v>2789</v>
      </c>
      <c r="Q82" s="3411" t="s">
        <v>2790</v>
      </c>
      <c r="R82" s="3412" t="s">
        <v>2791</v>
      </c>
      <c r="S82" s="3305" t="s">
        <v>2792</v>
      </c>
      <c r="T82" s="3410" t="s">
        <v>2793</v>
      </c>
      <c r="U82" s="3305" t="s">
        <v>2794</v>
      </c>
      <c r="V82" s="3410" t="s">
        <v>2795</v>
      </c>
      <c r="W82" s="3411" t="s">
        <v>2796</v>
      </c>
      <c r="X82" s="3412" t="s">
        <v>2797</v>
      </c>
      <c r="Y82" s="3305" t="s">
        <v>2798</v>
      </c>
      <c r="Z82" s="3410" t="s">
        <v>2799</v>
      </c>
      <c r="AA82" s="3411" t="s">
        <v>2800</v>
      </c>
      <c r="AB82" s="3412" t="s">
        <v>2801</v>
      </c>
      <c r="AC82" s="3305" t="s">
        <v>2817</v>
      </c>
      <c r="AD82" s="3410" t="s">
        <v>2818</v>
      </c>
      <c r="AE82" s="3411" t="s">
        <v>2819</v>
      </c>
      <c r="AF82" s="3412" t="s">
        <v>2821</v>
      </c>
      <c r="AG82" s="3305" t="s">
        <v>2822</v>
      </c>
      <c r="AH82" s="3410" t="s">
        <v>2823</v>
      </c>
      <c r="AI82" s="3411" t="s">
        <v>2824</v>
      </c>
      <c r="AJ82" s="3412" t="s">
        <v>2825</v>
      </c>
      <c r="AK82" s="3413" t="s">
        <v>2826</v>
      </c>
      <c r="AL82" s="3410" t="s">
        <v>2827</v>
      </c>
      <c r="AM82" s="136"/>
      <c r="AN82" s="881"/>
      <c r="AO82" s="881"/>
      <c r="AP82" s="94"/>
      <c r="AQ82" s="94"/>
      <c r="AR82" s="94"/>
      <c r="AS82" s="94"/>
      <c r="AT82" s="94"/>
      <c r="AU82" s="94"/>
      <c r="AV82" s="94"/>
      <c r="AW82" s="94"/>
      <c r="AX82" s="94"/>
      <c r="AY82" s="94"/>
      <c r="AZ82" s="94"/>
      <c r="BA82" s="94"/>
      <c r="CH82" s="1020"/>
      <c r="CI82" s="1020"/>
      <c r="CJ82" s="1020"/>
      <c r="CK82" s="1020"/>
      <c r="CL82" s="1020"/>
      <c r="CM82" s="1020"/>
      <c r="CN82" s="1020"/>
    </row>
    <row r="83" spans="1:92" ht="16.350000000000001" customHeight="1" x14ac:dyDescent="0.2">
      <c r="A83" s="2458">
        <v>23043200</v>
      </c>
      <c r="B83" s="5267" t="s">
        <v>2433</v>
      </c>
      <c r="C83" s="5268"/>
      <c r="D83" s="3052" t="s">
        <v>2777</v>
      </c>
      <c r="E83" s="3053" t="s">
        <v>2778</v>
      </c>
      <c r="F83" s="3029" t="s">
        <v>2779</v>
      </c>
      <c r="G83" s="2901" t="s">
        <v>2780</v>
      </c>
      <c r="H83" s="2902" t="s">
        <v>2781</v>
      </c>
      <c r="I83" s="3329" t="s">
        <v>2782</v>
      </c>
      <c r="J83" s="3330" t="s">
        <v>2783</v>
      </c>
      <c r="K83" s="2901" t="s">
        <v>2784</v>
      </c>
      <c r="L83" s="3323" t="s">
        <v>2785</v>
      </c>
      <c r="M83" s="3329" t="s">
        <v>2786</v>
      </c>
      <c r="N83" s="3330" t="s">
        <v>2787</v>
      </c>
      <c r="O83" s="2901" t="s">
        <v>2788</v>
      </c>
      <c r="P83" s="3323" t="s">
        <v>2789</v>
      </c>
      <c r="Q83" s="3329" t="s">
        <v>2790</v>
      </c>
      <c r="R83" s="3330" t="s">
        <v>2791</v>
      </c>
      <c r="S83" s="2901" t="s">
        <v>2792</v>
      </c>
      <c r="T83" s="3323" t="s">
        <v>2793</v>
      </c>
      <c r="U83" s="2901" t="s">
        <v>2794</v>
      </c>
      <c r="V83" s="3323" t="s">
        <v>2795</v>
      </c>
      <c r="W83" s="3329" t="s">
        <v>2796</v>
      </c>
      <c r="X83" s="3330" t="s">
        <v>2797</v>
      </c>
      <c r="Y83" s="2901" t="s">
        <v>2798</v>
      </c>
      <c r="Z83" s="3323" t="s">
        <v>2799</v>
      </c>
      <c r="AA83" s="3329" t="s">
        <v>2800</v>
      </c>
      <c r="AB83" s="3330" t="s">
        <v>2801</v>
      </c>
      <c r="AC83" s="2901" t="s">
        <v>2817</v>
      </c>
      <c r="AD83" s="3323" t="s">
        <v>2818</v>
      </c>
      <c r="AE83" s="3329" t="s">
        <v>2819</v>
      </c>
      <c r="AF83" s="3330" t="s">
        <v>2821</v>
      </c>
      <c r="AG83" s="2901" t="s">
        <v>2822</v>
      </c>
      <c r="AH83" s="3323" t="s">
        <v>2823</v>
      </c>
      <c r="AI83" s="3329" t="s">
        <v>2824</v>
      </c>
      <c r="AJ83" s="3330" t="s">
        <v>2825</v>
      </c>
      <c r="AK83" s="3324" t="s">
        <v>2826</v>
      </c>
      <c r="AL83" s="3323" t="s">
        <v>2827</v>
      </c>
      <c r="AM83" s="136"/>
      <c r="AN83" s="881"/>
      <c r="AO83" s="881"/>
      <c r="AP83" s="94"/>
      <c r="AQ83" s="94"/>
      <c r="AR83" s="94"/>
      <c r="AS83" s="94"/>
      <c r="AT83" s="94"/>
      <c r="AU83" s="94"/>
      <c r="AV83" s="94"/>
      <c r="AW83" s="94"/>
      <c r="AX83" s="94"/>
      <c r="AY83" s="94"/>
      <c r="AZ83" s="94"/>
      <c r="BA83" s="94"/>
      <c r="CH83" s="1020"/>
      <c r="CI83" s="1020"/>
      <c r="CJ83" s="1020"/>
      <c r="CK83" s="1020"/>
      <c r="CL83" s="1020"/>
      <c r="CM83" s="1020"/>
      <c r="CN83" s="1020"/>
    </row>
    <row r="84" spans="1:92" ht="16.350000000000001" customHeight="1" x14ac:dyDescent="0.2">
      <c r="A84" s="2458">
        <v>23043300</v>
      </c>
      <c r="B84" s="5267" t="s">
        <v>2434</v>
      </c>
      <c r="C84" s="5268"/>
      <c r="D84" s="3052" t="s">
        <v>2777</v>
      </c>
      <c r="E84" s="3053" t="s">
        <v>2778</v>
      </c>
      <c r="F84" s="3029" t="s">
        <v>2779</v>
      </c>
      <c r="G84" s="2901" t="s">
        <v>2780</v>
      </c>
      <c r="H84" s="2902" t="s">
        <v>2781</v>
      </c>
      <c r="I84" s="3329" t="s">
        <v>2782</v>
      </c>
      <c r="J84" s="3330" t="s">
        <v>2783</v>
      </c>
      <c r="K84" s="2901" t="s">
        <v>2784</v>
      </c>
      <c r="L84" s="3323" t="s">
        <v>2785</v>
      </c>
      <c r="M84" s="3329" t="s">
        <v>2786</v>
      </c>
      <c r="N84" s="3330" t="s">
        <v>2787</v>
      </c>
      <c r="O84" s="2901" t="s">
        <v>2788</v>
      </c>
      <c r="P84" s="3323" t="s">
        <v>2789</v>
      </c>
      <c r="Q84" s="3329" t="s">
        <v>2790</v>
      </c>
      <c r="R84" s="3330" t="s">
        <v>2791</v>
      </c>
      <c r="S84" s="2901" t="s">
        <v>2792</v>
      </c>
      <c r="T84" s="3323" t="s">
        <v>2793</v>
      </c>
      <c r="U84" s="2901" t="s">
        <v>2794</v>
      </c>
      <c r="V84" s="3323" t="s">
        <v>2795</v>
      </c>
      <c r="W84" s="3329" t="s">
        <v>2796</v>
      </c>
      <c r="X84" s="3330" t="s">
        <v>2797</v>
      </c>
      <c r="Y84" s="2901" t="s">
        <v>2798</v>
      </c>
      <c r="Z84" s="3323" t="s">
        <v>2799</v>
      </c>
      <c r="AA84" s="3329" t="s">
        <v>2800</v>
      </c>
      <c r="AB84" s="3330" t="s">
        <v>2801</v>
      </c>
      <c r="AC84" s="2901" t="s">
        <v>2817</v>
      </c>
      <c r="AD84" s="3323" t="s">
        <v>2818</v>
      </c>
      <c r="AE84" s="3329" t="s">
        <v>2819</v>
      </c>
      <c r="AF84" s="3330" t="s">
        <v>2821</v>
      </c>
      <c r="AG84" s="2901" t="s">
        <v>2822</v>
      </c>
      <c r="AH84" s="3323" t="s">
        <v>2823</v>
      </c>
      <c r="AI84" s="3329" t="s">
        <v>2824</v>
      </c>
      <c r="AJ84" s="3330" t="s">
        <v>2825</v>
      </c>
      <c r="AK84" s="3324" t="s">
        <v>2826</v>
      </c>
      <c r="AL84" s="3323" t="s">
        <v>2827</v>
      </c>
      <c r="AM84" s="136"/>
      <c r="AN84" s="190"/>
      <c r="AO84" s="190"/>
      <c r="CH84" s="1020"/>
      <c r="CI84" s="1020"/>
      <c r="CJ84" s="1020"/>
      <c r="CK84" s="1020"/>
      <c r="CL84" s="1020"/>
      <c r="CM84" s="1020"/>
      <c r="CN84" s="1020"/>
    </row>
    <row r="85" spans="1:92" ht="16.350000000000001" customHeight="1" x14ac:dyDescent="0.2">
      <c r="A85" s="2458">
        <v>23043400</v>
      </c>
      <c r="B85" s="5267" t="s">
        <v>277</v>
      </c>
      <c r="C85" s="5268"/>
      <c r="D85" s="3052" t="s">
        <v>2777</v>
      </c>
      <c r="E85" s="3053" t="s">
        <v>2778</v>
      </c>
      <c r="F85" s="3029" t="s">
        <v>2779</v>
      </c>
      <c r="G85" s="3311" t="s">
        <v>2780</v>
      </c>
      <c r="H85" s="3312" t="s">
        <v>2781</v>
      </c>
      <c r="I85" s="3329" t="s">
        <v>2782</v>
      </c>
      <c r="J85" s="3330" t="s">
        <v>2783</v>
      </c>
      <c r="K85" s="2901" t="s">
        <v>2784</v>
      </c>
      <c r="L85" s="3323" t="s">
        <v>2785</v>
      </c>
      <c r="M85" s="3329" t="s">
        <v>2786</v>
      </c>
      <c r="N85" s="3330" t="s">
        <v>2787</v>
      </c>
      <c r="O85" s="2901" t="s">
        <v>2788</v>
      </c>
      <c r="P85" s="3323" t="s">
        <v>2789</v>
      </c>
      <c r="Q85" s="3329" t="s">
        <v>2790</v>
      </c>
      <c r="R85" s="3330" t="s">
        <v>2791</v>
      </c>
      <c r="S85" s="2901" t="s">
        <v>2792</v>
      </c>
      <c r="T85" s="3323" t="s">
        <v>2793</v>
      </c>
      <c r="U85" s="2901" t="s">
        <v>2794</v>
      </c>
      <c r="V85" s="3323" t="s">
        <v>2795</v>
      </c>
      <c r="W85" s="3329" t="s">
        <v>2796</v>
      </c>
      <c r="X85" s="3330" t="s">
        <v>2797</v>
      </c>
      <c r="Y85" s="2901" t="s">
        <v>2798</v>
      </c>
      <c r="Z85" s="3323" t="s">
        <v>2799</v>
      </c>
      <c r="AA85" s="3329" t="s">
        <v>2800</v>
      </c>
      <c r="AB85" s="3330" t="s">
        <v>2801</v>
      </c>
      <c r="AC85" s="2901" t="s">
        <v>2817</v>
      </c>
      <c r="AD85" s="3323" t="s">
        <v>2818</v>
      </c>
      <c r="AE85" s="3329" t="s">
        <v>2819</v>
      </c>
      <c r="AF85" s="3330" t="s">
        <v>2821</v>
      </c>
      <c r="AG85" s="2901" t="s">
        <v>2822</v>
      </c>
      <c r="AH85" s="3323" t="s">
        <v>2823</v>
      </c>
      <c r="AI85" s="3329" t="s">
        <v>2824</v>
      </c>
      <c r="AJ85" s="3330" t="s">
        <v>2825</v>
      </c>
      <c r="AK85" s="3324" t="s">
        <v>2826</v>
      </c>
      <c r="AL85" s="3323" t="s">
        <v>2827</v>
      </c>
      <c r="AM85" s="136"/>
      <c r="AN85" s="190"/>
      <c r="AO85" s="190"/>
      <c r="CH85" s="1020"/>
      <c r="CI85" s="1020"/>
      <c r="CJ85" s="1020"/>
      <c r="CK85" s="1020"/>
      <c r="CL85" s="1020"/>
      <c r="CM85" s="1020"/>
      <c r="CN85" s="1020"/>
    </row>
    <row r="86" spans="1:92" ht="16.350000000000001" customHeight="1" x14ac:dyDescent="0.2">
      <c r="A86" s="2458">
        <v>23043500</v>
      </c>
      <c r="B86" s="5267" t="s">
        <v>278</v>
      </c>
      <c r="C86" s="5268">
        <v>0</v>
      </c>
      <c r="D86" s="3052" t="s">
        <v>2777</v>
      </c>
      <c r="E86" s="3053" t="s">
        <v>2778</v>
      </c>
      <c r="F86" s="3029" t="s">
        <v>2779</v>
      </c>
      <c r="G86" s="3311" t="s">
        <v>2780</v>
      </c>
      <c r="H86" s="3312" t="s">
        <v>2781</v>
      </c>
      <c r="I86" s="3414" t="s">
        <v>2782</v>
      </c>
      <c r="J86" s="3415" t="s">
        <v>2783</v>
      </c>
      <c r="K86" s="3311" t="s">
        <v>2784</v>
      </c>
      <c r="L86" s="3416" t="s">
        <v>2785</v>
      </c>
      <c r="M86" s="3414" t="s">
        <v>2786</v>
      </c>
      <c r="N86" s="3415" t="s">
        <v>2787</v>
      </c>
      <c r="O86" s="3311" t="s">
        <v>2788</v>
      </c>
      <c r="P86" s="3416" t="s">
        <v>2789</v>
      </c>
      <c r="Q86" s="3414" t="s">
        <v>2790</v>
      </c>
      <c r="R86" s="3415" t="s">
        <v>2791</v>
      </c>
      <c r="S86" s="3311" t="s">
        <v>2792</v>
      </c>
      <c r="T86" s="3416" t="s">
        <v>2793</v>
      </c>
      <c r="U86" s="2901" t="s">
        <v>2794</v>
      </c>
      <c r="V86" s="3323" t="s">
        <v>2795</v>
      </c>
      <c r="W86" s="3329" t="s">
        <v>2796</v>
      </c>
      <c r="X86" s="3330" t="s">
        <v>2797</v>
      </c>
      <c r="Y86" s="2901" t="s">
        <v>2798</v>
      </c>
      <c r="Z86" s="3323" t="s">
        <v>2799</v>
      </c>
      <c r="AA86" s="3329" t="s">
        <v>2800</v>
      </c>
      <c r="AB86" s="3330" t="s">
        <v>2801</v>
      </c>
      <c r="AC86" s="2901" t="s">
        <v>2817</v>
      </c>
      <c r="AD86" s="3323" t="s">
        <v>2818</v>
      </c>
      <c r="AE86" s="3329" t="s">
        <v>2819</v>
      </c>
      <c r="AF86" s="3330" t="s">
        <v>2821</v>
      </c>
      <c r="AG86" s="2901" t="s">
        <v>2822</v>
      </c>
      <c r="AH86" s="3323" t="s">
        <v>2823</v>
      </c>
      <c r="AI86" s="3329" t="s">
        <v>2824</v>
      </c>
      <c r="AJ86" s="3330" t="s">
        <v>2825</v>
      </c>
      <c r="AK86" s="3324" t="s">
        <v>2826</v>
      </c>
      <c r="AL86" s="3323" t="s">
        <v>2827</v>
      </c>
      <c r="AM86" s="136"/>
      <c r="AN86" s="190"/>
      <c r="AO86" s="190"/>
      <c r="CH86" s="1020"/>
      <c r="CI86" s="1020"/>
      <c r="CJ86" s="1020"/>
      <c r="CK86" s="1020"/>
      <c r="CL86" s="1020"/>
      <c r="CM86" s="1020"/>
      <c r="CN86" s="1020"/>
    </row>
    <row r="87" spans="1:92" ht="16.350000000000001" customHeight="1" x14ac:dyDescent="0.2">
      <c r="A87" s="2458">
        <v>23043600</v>
      </c>
      <c r="B87" s="6478" t="s">
        <v>2437</v>
      </c>
      <c r="C87" s="6479"/>
      <c r="D87" s="3056" t="s">
        <v>2777</v>
      </c>
      <c r="E87" s="3057" t="s">
        <v>2778</v>
      </c>
      <c r="F87" s="3029" t="s">
        <v>2779</v>
      </c>
      <c r="G87" s="2905" t="s">
        <v>2780</v>
      </c>
      <c r="H87" s="2906" t="s">
        <v>2781</v>
      </c>
      <c r="I87" s="3333" t="s">
        <v>2782</v>
      </c>
      <c r="J87" s="3334" t="s">
        <v>2783</v>
      </c>
      <c r="K87" s="2905" t="s">
        <v>2784</v>
      </c>
      <c r="L87" s="3316" t="s">
        <v>2785</v>
      </c>
      <c r="M87" s="3333" t="s">
        <v>2786</v>
      </c>
      <c r="N87" s="3334" t="s">
        <v>2787</v>
      </c>
      <c r="O87" s="2905" t="s">
        <v>2788</v>
      </c>
      <c r="P87" s="3316" t="s">
        <v>2789</v>
      </c>
      <c r="Q87" s="3333" t="s">
        <v>2790</v>
      </c>
      <c r="R87" s="3334" t="s">
        <v>2791</v>
      </c>
      <c r="S87" s="2905" t="s">
        <v>2792</v>
      </c>
      <c r="T87" s="3316" t="s">
        <v>2793</v>
      </c>
      <c r="U87" s="2905" t="s">
        <v>2794</v>
      </c>
      <c r="V87" s="3316" t="s">
        <v>2795</v>
      </c>
      <c r="W87" s="3333" t="s">
        <v>2796</v>
      </c>
      <c r="X87" s="3334" t="s">
        <v>2797</v>
      </c>
      <c r="Y87" s="2905" t="s">
        <v>2798</v>
      </c>
      <c r="Z87" s="3316" t="s">
        <v>2799</v>
      </c>
      <c r="AA87" s="3333" t="s">
        <v>2800</v>
      </c>
      <c r="AB87" s="3334" t="s">
        <v>2801</v>
      </c>
      <c r="AC87" s="2905" t="s">
        <v>2817</v>
      </c>
      <c r="AD87" s="3316" t="s">
        <v>2818</v>
      </c>
      <c r="AE87" s="3333" t="s">
        <v>2819</v>
      </c>
      <c r="AF87" s="3334" t="s">
        <v>2821</v>
      </c>
      <c r="AG87" s="2905" t="s">
        <v>2822</v>
      </c>
      <c r="AH87" s="3316" t="s">
        <v>2823</v>
      </c>
      <c r="AI87" s="3333" t="s">
        <v>2824</v>
      </c>
      <c r="AJ87" s="3334" t="s">
        <v>2825</v>
      </c>
      <c r="AK87" s="3317" t="s">
        <v>2826</v>
      </c>
      <c r="AL87" s="3316" t="s">
        <v>2827</v>
      </c>
      <c r="AM87" s="136"/>
      <c r="AN87" s="190"/>
      <c r="AO87" s="190"/>
      <c r="CH87" s="1020"/>
      <c r="CI87" s="1020"/>
      <c r="CJ87" s="1020"/>
      <c r="CK87" s="1020"/>
      <c r="CL87" s="1020"/>
      <c r="CM87" s="1020"/>
      <c r="CN87" s="1020"/>
    </row>
    <row r="88" spans="1:92" ht="16.350000000000001" customHeight="1" x14ac:dyDescent="0.2">
      <c r="A88" s="2527"/>
      <c r="B88" s="6452" t="s">
        <v>42</v>
      </c>
      <c r="C88" s="6480"/>
      <c r="D88" s="1610">
        <f t="shared" ref="D88:AL88" si="4">SUM(D82:D87)</f>
        <v>0</v>
      </c>
      <c r="E88" s="1611">
        <f t="shared" si="4"/>
        <v>0</v>
      </c>
      <c r="F88" s="1609">
        <f t="shared" si="4"/>
        <v>0</v>
      </c>
      <c r="G88" s="1810">
        <f t="shared" si="4"/>
        <v>0</v>
      </c>
      <c r="H88" s="1807">
        <f t="shared" si="4"/>
        <v>0</v>
      </c>
      <c r="I88" s="1857">
        <f t="shared" si="4"/>
        <v>0</v>
      </c>
      <c r="J88" s="2150">
        <f t="shared" si="4"/>
        <v>0</v>
      </c>
      <c r="K88" s="1810">
        <f t="shared" si="4"/>
        <v>0</v>
      </c>
      <c r="L88" s="2018">
        <f t="shared" si="4"/>
        <v>0</v>
      </c>
      <c r="M88" s="1857">
        <f t="shared" si="4"/>
        <v>0</v>
      </c>
      <c r="N88" s="2150">
        <f t="shared" si="4"/>
        <v>0</v>
      </c>
      <c r="O88" s="1810">
        <f t="shared" si="4"/>
        <v>0</v>
      </c>
      <c r="P88" s="2018">
        <f t="shared" si="4"/>
        <v>0</v>
      </c>
      <c r="Q88" s="1857">
        <f t="shared" si="4"/>
        <v>0</v>
      </c>
      <c r="R88" s="2150">
        <f t="shared" si="4"/>
        <v>0</v>
      </c>
      <c r="S88" s="1810">
        <f t="shared" si="4"/>
        <v>0</v>
      </c>
      <c r="T88" s="2018">
        <f t="shared" si="4"/>
        <v>0</v>
      </c>
      <c r="U88" s="1810">
        <f t="shared" si="4"/>
        <v>0</v>
      </c>
      <c r="V88" s="2018">
        <f t="shared" si="4"/>
        <v>0</v>
      </c>
      <c r="W88" s="1857">
        <f t="shared" si="4"/>
        <v>0</v>
      </c>
      <c r="X88" s="2150">
        <f t="shared" si="4"/>
        <v>0</v>
      </c>
      <c r="Y88" s="1810">
        <f t="shared" si="4"/>
        <v>0</v>
      </c>
      <c r="Z88" s="2018">
        <f t="shared" si="4"/>
        <v>0</v>
      </c>
      <c r="AA88" s="1857">
        <f t="shared" si="4"/>
        <v>0</v>
      </c>
      <c r="AB88" s="2150">
        <f t="shared" si="4"/>
        <v>0</v>
      </c>
      <c r="AC88" s="1810">
        <f t="shared" si="4"/>
        <v>0</v>
      </c>
      <c r="AD88" s="2018">
        <f t="shared" si="4"/>
        <v>0</v>
      </c>
      <c r="AE88" s="1857">
        <f t="shared" si="4"/>
        <v>0</v>
      </c>
      <c r="AF88" s="2150">
        <f t="shared" si="4"/>
        <v>0</v>
      </c>
      <c r="AG88" s="1810">
        <f t="shared" si="4"/>
        <v>0</v>
      </c>
      <c r="AH88" s="2018">
        <f t="shared" si="4"/>
        <v>0</v>
      </c>
      <c r="AI88" s="1857">
        <f t="shared" si="4"/>
        <v>0</v>
      </c>
      <c r="AJ88" s="2150">
        <f t="shared" si="4"/>
        <v>0</v>
      </c>
      <c r="AK88" s="1809">
        <f t="shared" si="4"/>
        <v>0</v>
      </c>
      <c r="AL88" s="2018">
        <f t="shared" si="4"/>
        <v>0</v>
      </c>
      <c r="AM88" s="136"/>
      <c r="AN88" s="190"/>
      <c r="AO88" s="190"/>
      <c r="CH88" s="1020"/>
      <c r="CI88" s="1020"/>
      <c r="CJ88" s="1020"/>
      <c r="CK88" s="1020"/>
      <c r="CL88" s="1020"/>
      <c r="CM88" s="1020"/>
      <c r="CN88" s="1020"/>
    </row>
    <row r="89" spans="1:92" ht="32.1" customHeight="1" x14ac:dyDescent="0.2">
      <c r="B89" s="85" t="s">
        <v>2445</v>
      </c>
      <c r="C89" s="2152"/>
      <c r="D89" s="190"/>
      <c r="E89" s="190"/>
      <c r="F89" s="190"/>
      <c r="G89" s="190"/>
      <c r="H89" s="190"/>
      <c r="I89" s="190"/>
      <c r="J89" s="190"/>
      <c r="K89" s="190"/>
      <c r="L89" s="190"/>
      <c r="M89" s="190"/>
      <c r="N89" s="205"/>
      <c r="O89" s="190"/>
      <c r="P89" s="190"/>
      <c r="Q89" s="190"/>
      <c r="R89" s="190"/>
      <c r="S89" s="190"/>
      <c r="T89" s="190"/>
      <c r="U89" s="190"/>
      <c r="V89" s="190"/>
      <c r="W89" s="190"/>
      <c r="CH89" s="1020"/>
      <c r="CI89" s="1020"/>
      <c r="CJ89" s="1020"/>
      <c r="CK89" s="1020"/>
      <c r="CL89" s="1020"/>
      <c r="CM89" s="1020"/>
      <c r="CN89" s="1020"/>
    </row>
    <row r="90" spans="1:92" ht="16.350000000000001" customHeight="1" x14ac:dyDescent="0.2">
      <c r="B90" s="6226" t="s">
        <v>3</v>
      </c>
      <c r="C90" s="6226"/>
      <c r="D90" s="6226" t="s">
        <v>42</v>
      </c>
      <c r="E90" s="6483" t="s">
        <v>2446</v>
      </c>
      <c r="F90" s="6219" t="s">
        <v>2447</v>
      </c>
      <c r="G90" s="6041"/>
      <c r="H90" s="6041"/>
      <c r="I90" s="6041"/>
      <c r="J90" s="6041"/>
      <c r="K90" s="1917"/>
      <c r="L90" s="6041"/>
      <c r="M90" s="6041"/>
      <c r="N90" s="6041"/>
      <c r="O90" s="6041"/>
      <c r="P90" s="6041"/>
      <c r="Q90" s="190"/>
      <c r="R90" s="190"/>
      <c r="S90" s="190"/>
      <c r="T90" s="190"/>
      <c r="U90" s="190"/>
      <c r="V90" s="190"/>
      <c r="W90" s="190"/>
      <c r="CH90" s="1020"/>
      <c r="CI90" s="1020"/>
      <c r="CJ90" s="1020"/>
      <c r="CK90" s="1020"/>
      <c r="CL90" s="1020"/>
      <c r="CM90" s="1020"/>
      <c r="CN90" s="1020"/>
    </row>
    <row r="91" spans="1:92" ht="16.350000000000001" customHeight="1" x14ac:dyDescent="0.2">
      <c r="B91" s="6226"/>
      <c r="C91" s="6226"/>
      <c r="D91" s="6226"/>
      <c r="E91" s="5432"/>
      <c r="F91" s="5403"/>
      <c r="G91" s="6406"/>
      <c r="H91" s="6406"/>
      <c r="I91" s="6406"/>
      <c r="J91" s="6406"/>
      <c r="K91" s="340"/>
      <c r="L91" s="6406"/>
      <c r="M91" s="6406"/>
      <c r="N91" s="6406"/>
      <c r="O91" s="340"/>
      <c r="P91" s="340"/>
      <c r="Q91" s="190"/>
      <c r="R91" s="190"/>
      <c r="S91" s="190"/>
      <c r="T91" s="190"/>
      <c r="U91" s="190"/>
      <c r="V91" s="190"/>
      <c r="W91" s="190"/>
      <c r="CH91" s="1020"/>
      <c r="CI91" s="1020"/>
      <c r="CJ91" s="1020"/>
      <c r="CK91" s="1020"/>
      <c r="CL91" s="1020"/>
      <c r="CM91" s="1020"/>
      <c r="CN91" s="1020"/>
    </row>
    <row r="92" spans="1:92" ht="16.350000000000001" customHeight="1" x14ac:dyDescent="0.2">
      <c r="A92" s="2458">
        <v>23043700</v>
      </c>
      <c r="B92" s="5313" t="s">
        <v>29</v>
      </c>
      <c r="C92" s="5303"/>
      <c r="D92" s="2431" t="s">
        <v>2777</v>
      </c>
      <c r="E92" s="3287" t="s">
        <v>2778</v>
      </c>
      <c r="F92" s="3323" t="s">
        <v>2779</v>
      </c>
      <c r="G92" s="136"/>
      <c r="H92" s="190"/>
      <c r="I92" s="190"/>
      <c r="J92" s="190"/>
      <c r="K92" s="190"/>
      <c r="L92" s="190"/>
      <c r="M92" s="190"/>
      <c r="N92" s="190"/>
      <c r="O92" s="136"/>
      <c r="P92" s="136"/>
      <c r="Q92" s="190"/>
      <c r="R92" s="190"/>
      <c r="S92" s="190"/>
      <c r="T92" s="190"/>
      <c r="U92" s="190"/>
      <c r="V92" s="190"/>
      <c r="W92" s="190"/>
      <c r="CH92" s="1020"/>
      <c r="CI92" s="1020"/>
      <c r="CJ92" s="1020"/>
      <c r="CK92" s="1020"/>
      <c r="CL92" s="1020"/>
      <c r="CM92" s="1020"/>
      <c r="CN92" s="1020"/>
    </row>
    <row r="93" spans="1:92" ht="16.350000000000001" customHeight="1" x14ac:dyDescent="0.2">
      <c r="A93" s="2458">
        <v>23043800</v>
      </c>
      <c r="B93" s="5334" t="s">
        <v>499</v>
      </c>
      <c r="C93" s="5335"/>
      <c r="D93" s="2431" t="s">
        <v>2777</v>
      </c>
      <c r="E93" s="2901" t="s">
        <v>2778</v>
      </c>
      <c r="F93" s="3323" t="s">
        <v>2779</v>
      </c>
      <c r="G93" s="136"/>
      <c r="H93" s="190"/>
      <c r="I93" s="190"/>
      <c r="J93" s="190"/>
      <c r="K93" s="190"/>
      <c r="L93" s="136"/>
      <c r="M93" s="136"/>
      <c r="N93" s="136"/>
      <c r="O93" s="136"/>
      <c r="P93" s="136"/>
      <c r="Q93" s="190"/>
      <c r="R93" s="190"/>
      <c r="S93" s="190"/>
      <c r="T93" s="190"/>
      <c r="U93" s="190"/>
      <c r="V93" s="190"/>
      <c r="W93" s="190"/>
      <c r="CH93" s="1020"/>
      <c r="CI93" s="1020"/>
      <c r="CJ93" s="1020"/>
      <c r="CK93" s="1020"/>
      <c r="CL93" s="1020"/>
      <c r="CM93" s="1020"/>
      <c r="CN93" s="1020"/>
    </row>
    <row r="94" spans="1:92" ht="16.350000000000001" customHeight="1" x14ac:dyDescent="0.2">
      <c r="A94" s="2458">
        <v>23043900</v>
      </c>
      <c r="B94" s="5267" t="s">
        <v>495</v>
      </c>
      <c r="C94" s="5268"/>
      <c r="D94" s="2431" t="s">
        <v>2777</v>
      </c>
      <c r="E94" s="2901" t="s">
        <v>2778</v>
      </c>
      <c r="F94" s="3323" t="s">
        <v>2779</v>
      </c>
      <c r="G94" s="136"/>
      <c r="H94" s="136"/>
      <c r="I94" s="136"/>
      <c r="J94" s="136"/>
      <c r="K94" s="136"/>
      <c r="L94" s="136"/>
      <c r="M94" s="136"/>
      <c r="N94" s="136"/>
      <c r="O94" s="136"/>
      <c r="P94" s="136"/>
      <c r="Q94" s="190"/>
      <c r="R94" s="190"/>
      <c r="S94" s="190"/>
      <c r="T94" s="190"/>
      <c r="U94" s="190"/>
      <c r="V94" s="190"/>
      <c r="W94" s="190"/>
      <c r="CH94" s="1020"/>
      <c r="CI94" s="1020"/>
      <c r="CJ94" s="1020"/>
      <c r="CK94" s="1020"/>
      <c r="CL94" s="1020"/>
      <c r="CM94" s="1020"/>
      <c r="CN94" s="1020"/>
    </row>
    <row r="95" spans="1:92" ht="16.350000000000001" customHeight="1" x14ac:dyDescent="0.2">
      <c r="A95" s="2527"/>
      <c r="B95" s="6452" t="s">
        <v>42</v>
      </c>
      <c r="C95" s="6480"/>
      <c r="D95" s="2153">
        <f>SUM(D92:D94)</f>
        <v>0</v>
      </c>
      <c r="E95" s="1610">
        <f>SUM(E92:E94)</f>
        <v>0</v>
      </c>
      <c r="F95" s="2130">
        <f>SUM(F92:F94)</f>
        <v>0</v>
      </c>
      <c r="G95" s="136"/>
      <c r="H95" s="190"/>
      <c r="I95" s="190"/>
      <c r="J95" s="190"/>
      <c r="K95" s="190"/>
      <c r="L95" s="190"/>
      <c r="M95" s="190"/>
      <c r="N95" s="190"/>
      <c r="O95" s="190"/>
      <c r="P95" s="190"/>
      <c r="Q95" s="190"/>
      <c r="R95" s="190"/>
      <c r="S95" s="190"/>
      <c r="T95" s="190"/>
      <c r="U95" s="190"/>
      <c r="V95" s="190"/>
      <c r="W95" s="190"/>
      <c r="AN95" s="94"/>
      <c r="AO95" s="94"/>
      <c r="AP95" s="94"/>
      <c r="AQ95" s="94"/>
      <c r="AR95" s="94"/>
      <c r="AS95" s="94"/>
      <c r="AT95" s="94"/>
      <c r="AU95" s="94"/>
      <c r="AV95" s="94"/>
      <c r="AW95" s="94"/>
      <c r="AX95" s="94"/>
      <c r="AY95" s="94"/>
      <c r="AZ95" s="94"/>
      <c r="BA95" s="94"/>
      <c r="BB95" s="94"/>
      <c r="CH95" s="1020"/>
      <c r="CI95" s="1020"/>
      <c r="CJ95" s="1020"/>
      <c r="CK95" s="1020"/>
      <c r="CL95" s="1020"/>
      <c r="CM95" s="1020"/>
      <c r="CN95" s="1020"/>
    </row>
    <row r="96" spans="1:92" ht="32.1" customHeight="1" x14ac:dyDescent="0.2">
      <c r="B96" s="2154" t="s">
        <v>2448</v>
      </c>
      <c r="C96" s="205"/>
      <c r="D96" s="190"/>
      <c r="E96" s="190"/>
      <c r="F96" s="190"/>
      <c r="G96" s="190"/>
      <c r="H96" s="190"/>
      <c r="I96" s="190"/>
      <c r="J96" s="190"/>
      <c r="K96" s="190"/>
      <c r="L96" s="190"/>
      <c r="M96" s="190"/>
      <c r="N96" s="190"/>
      <c r="O96" s="190"/>
      <c r="P96" s="190"/>
      <c r="Q96" s="190"/>
      <c r="R96" s="190"/>
      <c r="S96" s="190"/>
      <c r="T96" s="190"/>
      <c r="U96" s="190"/>
      <c r="V96" s="190"/>
      <c r="W96" s="190"/>
      <c r="AN96" s="94"/>
      <c r="AO96" s="94"/>
      <c r="AP96" s="94"/>
      <c r="AQ96" s="94"/>
      <c r="AR96" s="94"/>
      <c r="AS96" s="94"/>
      <c r="AT96" s="94"/>
      <c r="AU96" s="94"/>
      <c r="AV96" s="94"/>
      <c r="AW96" s="94"/>
      <c r="AX96" s="94"/>
      <c r="AY96" s="94"/>
      <c r="AZ96" s="94"/>
      <c r="BA96" s="94"/>
      <c r="BB96" s="94"/>
      <c r="CH96" s="1020"/>
      <c r="CI96" s="1020"/>
      <c r="CJ96" s="1020"/>
      <c r="CK96" s="1020"/>
      <c r="CL96" s="1020"/>
      <c r="CM96" s="1020"/>
      <c r="CN96" s="1020"/>
    </row>
    <row r="97" spans="1:92" ht="16.350000000000001" customHeight="1" x14ac:dyDescent="0.2">
      <c r="B97" s="6401" t="s">
        <v>2449</v>
      </c>
      <c r="C97" s="5967"/>
      <c r="D97" s="6402" t="s">
        <v>42</v>
      </c>
      <c r="E97" s="6403"/>
      <c r="F97" s="6404"/>
      <c r="G97" s="6437" t="s">
        <v>5</v>
      </c>
      <c r="H97" s="6438"/>
      <c r="I97" s="6438"/>
      <c r="J97" s="6438"/>
      <c r="K97" s="6438"/>
      <c r="L97" s="6438"/>
      <c r="M97" s="6438"/>
      <c r="N97" s="6438"/>
      <c r="O97" s="6438"/>
      <c r="P97" s="6438"/>
      <c r="Q97" s="6438"/>
      <c r="R97" s="6438"/>
      <c r="S97" s="6438"/>
      <c r="T97" s="6438"/>
      <c r="U97" s="6438"/>
      <c r="V97" s="6438"/>
      <c r="W97" s="6438"/>
      <c r="X97" s="6438"/>
      <c r="Y97" s="6438"/>
      <c r="Z97" s="6438"/>
      <c r="AA97" s="6438"/>
      <c r="AB97" s="6438"/>
      <c r="AC97" s="6438"/>
      <c r="AD97" s="6438"/>
      <c r="AE97" s="6438"/>
      <c r="AF97" s="6438"/>
      <c r="AG97" s="6438"/>
      <c r="AH97" s="6438"/>
      <c r="AI97" s="6438"/>
      <c r="AJ97" s="6438"/>
      <c r="AK97" s="6438"/>
      <c r="AL97" s="6471"/>
      <c r="AM97" s="6484" t="s">
        <v>29</v>
      </c>
      <c r="AN97" s="94"/>
      <c r="AO97" s="94"/>
      <c r="AP97" s="94"/>
      <c r="AQ97" s="94"/>
      <c r="AR97" s="94"/>
      <c r="AS97" s="94"/>
      <c r="AT97" s="94"/>
      <c r="AU97" s="94"/>
      <c r="AV97" s="94"/>
      <c r="AW97" s="94"/>
      <c r="AX97" s="94"/>
      <c r="AY97" s="94"/>
      <c r="AZ97" s="94"/>
      <c r="BA97" s="94"/>
      <c r="BB97" s="94"/>
      <c r="CH97" s="1020"/>
      <c r="CI97" s="1020"/>
      <c r="CJ97" s="1020"/>
      <c r="CK97" s="1020"/>
      <c r="CL97" s="1020"/>
      <c r="CM97" s="1020"/>
      <c r="CN97" s="1020"/>
    </row>
    <row r="98" spans="1:92" ht="16.350000000000001" customHeight="1" x14ac:dyDescent="0.2">
      <c r="B98" s="5547"/>
      <c r="C98" s="5258"/>
      <c r="D98" s="6408"/>
      <c r="E98" s="6409"/>
      <c r="F98" s="6410"/>
      <c r="G98" s="5160" t="s">
        <v>2405</v>
      </c>
      <c r="H98" s="5162"/>
      <c r="I98" s="5160" t="s">
        <v>2406</v>
      </c>
      <c r="J98" s="5162"/>
      <c r="K98" s="5160" t="s">
        <v>2407</v>
      </c>
      <c r="L98" s="5162"/>
      <c r="M98" s="5161" t="s">
        <v>2408</v>
      </c>
      <c r="N98" s="5161"/>
      <c r="O98" s="5160" t="s">
        <v>2409</v>
      </c>
      <c r="P98" s="5162"/>
      <c r="Q98" s="5161" t="s">
        <v>2410</v>
      </c>
      <c r="R98" s="5161"/>
      <c r="S98" s="5160" t="s">
        <v>2411</v>
      </c>
      <c r="T98" s="5162"/>
      <c r="U98" s="5161" t="s">
        <v>663</v>
      </c>
      <c r="V98" s="5161"/>
      <c r="W98" s="5160" t="s">
        <v>664</v>
      </c>
      <c r="X98" s="5162"/>
      <c r="Y98" s="5161" t="s">
        <v>665</v>
      </c>
      <c r="Z98" s="5161"/>
      <c r="AA98" s="5160" t="s">
        <v>666</v>
      </c>
      <c r="AB98" s="5162"/>
      <c r="AC98" s="5161" t="s">
        <v>667</v>
      </c>
      <c r="AD98" s="5161"/>
      <c r="AE98" s="5160" t="s">
        <v>668</v>
      </c>
      <c r="AF98" s="5162"/>
      <c r="AG98" s="5161" t="s">
        <v>669</v>
      </c>
      <c r="AH98" s="5161"/>
      <c r="AI98" s="5160" t="s">
        <v>670</v>
      </c>
      <c r="AJ98" s="5162"/>
      <c r="AK98" s="5161" t="s">
        <v>2412</v>
      </c>
      <c r="AL98" s="5162"/>
      <c r="AM98" s="6485"/>
      <c r="AN98" s="94"/>
      <c r="AO98" s="94"/>
      <c r="AP98" s="94"/>
      <c r="AQ98" s="94"/>
      <c r="AR98" s="94"/>
      <c r="AS98" s="94"/>
      <c r="AT98" s="94"/>
      <c r="AU98" s="94"/>
      <c r="AV98" s="94"/>
      <c r="AW98" s="94"/>
      <c r="AX98" s="94"/>
      <c r="AY98" s="94"/>
      <c r="AZ98" s="94"/>
      <c r="BA98" s="94"/>
      <c r="BB98" s="94"/>
      <c r="CH98" s="1020"/>
      <c r="CI98" s="1020"/>
      <c r="CJ98" s="1020"/>
      <c r="CK98" s="1020"/>
      <c r="CL98" s="1020"/>
      <c r="CM98" s="1020"/>
      <c r="CN98" s="1020"/>
    </row>
    <row r="99" spans="1:92" ht="16.350000000000001" customHeight="1" x14ac:dyDescent="0.2">
      <c r="B99" s="5856"/>
      <c r="C99" s="5878"/>
      <c r="D99" s="1598" t="s">
        <v>184</v>
      </c>
      <c r="E99" s="1599" t="s">
        <v>24</v>
      </c>
      <c r="F99" s="1913" t="s">
        <v>25</v>
      </c>
      <c r="G99" s="1598" t="s">
        <v>24</v>
      </c>
      <c r="H99" s="1913" t="s">
        <v>25</v>
      </c>
      <c r="I99" s="1598" t="s">
        <v>24</v>
      </c>
      <c r="J99" s="1913" t="s">
        <v>25</v>
      </c>
      <c r="K99" s="1598" t="s">
        <v>24</v>
      </c>
      <c r="L99" s="1913" t="s">
        <v>25</v>
      </c>
      <c r="M99" s="1600" t="s">
        <v>24</v>
      </c>
      <c r="N99" s="2014" t="s">
        <v>25</v>
      </c>
      <c r="O99" s="1598" t="s">
        <v>24</v>
      </c>
      <c r="P99" s="1913" t="s">
        <v>25</v>
      </c>
      <c r="Q99" s="1600" t="s">
        <v>24</v>
      </c>
      <c r="R99" s="2014" t="s">
        <v>25</v>
      </c>
      <c r="S99" s="1598" t="s">
        <v>24</v>
      </c>
      <c r="T99" s="1913" t="s">
        <v>25</v>
      </c>
      <c r="U99" s="1600" t="s">
        <v>24</v>
      </c>
      <c r="V99" s="2014" t="s">
        <v>25</v>
      </c>
      <c r="W99" s="1598" t="s">
        <v>24</v>
      </c>
      <c r="X99" s="1913" t="s">
        <v>25</v>
      </c>
      <c r="Y99" s="1600" t="s">
        <v>24</v>
      </c>
      <c r="Z99" s="2014" t="s">
        <v>25</v>
      </c>
      <c r="AA99" s="1598" t="s">
        <v>24</v>
      </c>
      <c r="AB99" s="1913" t="s">
        <v>25</v>
      </c>
      <c r="AC99" s="1600" t="s">
        <v>24</v>
      </c>
      <c r="AD99" s="2014" t="s">
        <v>25</v>
      </c>
      <c r="AE99" s="1598" t="s">
        <v>24</v>
      </c>
      <c r="AF99" s="1913" t="s">
        <v>25</v>
      </c>
      <c r="AG99" s="1600" t="s">
        <v>24</v>
      </c>
      <c r="AH99" s="2014" t="s">
        <v>25</v>
      </c>
      <c r="AI99" s="1598" t="s">
        <v>24</v>
      </c>
      <c r="AJ99" s="1913" t="s">
        <v>25</v>
      </c>
      <c r="AK99" s="1600" t="s">
        <v>24</v>
      </c>
      <c r="AL99" s="1600" t="s">
        <v>25</v>
      </c>
      <c r="AM99" s="6486"/>
      <c r="AN99" s="94"/>
      <c r="AO99" s="94"/>
      <c r="AP99" s="94"/>
      <c r="AQ99" s="94"/>
      <c r="AR99" s="94"/>
      <c r="AS99" s="94"/>
      <c r="AT99" s="94"/>
      <c r="AU99" s="94"/>
      <c r="AV99" s="94"/>
      <c r="AW99" s="94"/>
      <c r="AX99" s="94"/>
      <c r="AY99" s="94"/>
      <c r="AZ99" s="94"/>
      <c r="BA99" s="94"/>
      <c r="BB99" s="94"/>
      <c r="CH99" s="1020"/>
      <c r="CI99" s="1020"/>
      <c r="CJ99" s="1020"/>
      <c r="CK99" s="1020"/>
      <c r="CL99" s="1020"/>
      <c r="CM99" s="1020"/>
      <c r="CN99" s="1020"/>
    </row>
    <row r="100" spans="1:92" ht="16.350000000000001" customHeight="1" x14ac:dyDescent="0.2">
      <c r="A100" s="2458">
        <v>23044000</v>
      </c>
      <c r="B100" s="6336" t="s">
        <v>2450</v>
      </c>
      <c r="C100" s="6337"/>
      <c r="D100" s="3050" t="s">
        <v>2777</v>
      </c>
      <c r="E100" s="3051" t="s">
        <v>2778</v>
      </c>
      <c r="F100" s="3045" t="s">
        <v>2779</v>
      </c>
      <c r="G100" s="3319" t="s">
        <v>2780</v>
      </c>
      <c r="H100" s="3417" t="s">
        <v>2781</v>
      </c>
      <c r="I100" s="3319" t="s">
        <v>2782</v>
      </c>
      <c r="J100" s="3417" t="s">
        <v>2783</v>
      </c>
      <c r="K100" s="3307" t="s">
        <v>2784</v>
      </c>
      <c r="L100" s="3308" t="s">
        <v>2785</v>
      </c>
      <c r="M100" s="3326" t="s">
        <v>2786</v>
      </c>
      <c r="N100" s="3327" t="s">
        <v>2787</v>
      </c>
      <c r="O100" s="3307" t="s">
        <v>2788</v>
      </c>
      <c r="P100" s="3308" t="s">
        <v>2789</v>
      </c>
      <c r="Q100" s="3326" t="s">
        <v>2790</v>
      </c>
      <c r="R100" s="3327" t="s">
        <v>2791</v>
      </c>
      <c r="S100" s="3307" t="s">
        <v>2792</v>
      </c>
      <c r="T100" s="3308" t="s">
        <v>2793</v>
      </c>
      <c r="U100" s="3326" t="s">
        <v>2794</v>
      </c>
      <c r="V100" s="3327" t="s">
        <v>2795</v>
      </c>
      <c r="W100" s="3307" t="s">
        <v>2796</v>
      </c>
      <c r="X100" s="3308" t="s">
        <v>2797</v>
      </c>
      <c r="Y100" s="3326" t="s">
        <v>2798</v>
      </c>
      <c r="Z100" s="3327" t="s">
        <v>2799</v>
      </c>
      <c r="AA100" s="3307" t="s">
        <v>2800</v>
      </c>
      <c r="AB100" s="3308" t="s">
        <v>2801</v>
      </c>
      <c r="AC100" s="3326" t="s">
        <v>2817</v>
      </c>
      <c r="AD100" s="3327" t="s">
        <v>2818</v>
      </c>
      <c r="AE100" s="3307" t="s">
        <v>2819</v>
      </c>
      <c r="AF100" s="3308" t="s">
        <v>2821</v>
      </c>
      <c r="AG100" s="3326" t="s">
        <v>2822</v>
      </c>
      <c r="AH100" s="3327" t="s">
        <v>2823</v>
      </c>
      <c r="AI100" s="3307" t="s">
        <v>2824</v>
      </c>
      <c r="AJ100" s="3308" t="s">
        <v>2825</v>
      </c>
      <c r="AK100" s="3328" t="s">
        <v>2826</v>
      </c>
      <c r="AL100" s="3308" t="s">
        <v>2827</v>
      </c>
      <c r="AM100" s="3418" t="s">
        <v>2831</v>
      </c>
      <c r="AN100" s="1057"/>
      <c r="AO100" s="1058"/>
      <c r="AP100" s="1058"/>
      <c r="AQ100" s="1058"/>
      <c r="AR100" s="1058"/>
      <c r="AS100" s="1058"/>
      <c r="AT100" s="1058"/>
      <c r="AU100" s="1058"/>
      <c r="AV100" s="1058"/>
      <c r="AW100" s="1058"/>
      <c r="AX100" s="1058"/>
      <c r="AY100" s="1058"/>
      <c r="AZ100" s="94"/>
      <c r="BA100" s="94"/>
      <c r="BB100" s="94"/>
      <c r="CH100" s="1020">
        <v>0</v>
      </c>
      <c r="CI100" s="1020"/>
      <c r="CJ100" s="1020"/>
      <c r="CK100" s="1020"/>
      <c r="CL100" s="1020"/>
      <c r="CM100" s="1020"/>
      <c r="CN100" s="1020"/>
    </row>
    <row r="101" spans="1:92" ht="16.350000000000001" customHeight="1" x14ac:dyDescent="0.2">
      <c r="A101" s="2458">
        <v>23044100</v>
      </c>
      <c r="B101" s="5267" t="s">
        <v>2451</v>
      </c>
      <c r="C101" s="5268"/>
      <c r="D101" s="3054" t="s">
        <v>2777</v>
      </c>
      <c r="E101" s="3055" t="s">
        <v>2778</v>
      </c>
      <c r="F101" s="3034" t="s">
        <v>2779</v>
      </c>
      <c r="G101" s="3290" t="s">
        <v>2780</v>
      </c>
      <c r="H101" s="3419" t="s">
        <v>2781</v>
      </c>
      <c r="I101" s="3290" t="s">
        <v>2782</v>
      </c>
      <c r="J101" s="3419" t="s">
        <v>2783</v>
      </c>
      <c r="K101" s="3287" t="s">
        <v>2784</v>
      </c>
      <c r="L101" s="3289" t="s">
        <v>2785</v>
      </c>
      <c r="M101" s="3404" t="s">
        <v>2786</v>
      </c>
      <c r="N101" s="3405" t="s">
        <v>2787</v>
      </c>
      <c r="O101" s="3287" t="s">
        <v>2788</v>
      </c>
      <c r="P101" s="3289" t="s">
        <v>2789</v>
      </c>
      <c r="Q101" s="3404" t="s">
        <v>2790</v>
      </c>
      <c r="R101" s="3405" t="s">
        <v>2791</v>
      </c>
      <c r="S101" s="3287" t="s">
        <v>2792</v>
      </c>
      <c r="T101" s="3289" t="s">
        <v>2793</v>
      </c>
      <c r="U101" s="3404" t="s">
        <v>2794</v>
      </c>
      <c r="V101" s="3405" t="s">
        <v>2795</v>
      </c>
      <c r="W101" s="3287" t="s">
        <v>2796</v>
      </c>
      <c r="X101" s="3289" t="s">
        <v>2797</v>
      </c>
      <c r="Y101" s="3404" t="s">
        <v>2798</v>
      </c>
      <c r="Z101" s="3405" t="s">
        <v>2799</v>
      </c>
      <c r="AA101" s="3287" t="s">
        <v>2800</v>
      </c>
      <c r="AB101" s="3289" t="s">
        <v>2801</v>
      </c>
      <c r="AC101" s="3404" t="s">
        <v>2817</v>
      </c>
      <c r="AD101" s="3405" t="s">
        <v>2818</v>
      </c>
      <c r="AE101" s="3287" t="s">
        <v>2819</v>
      </c>
      <c r="AF101" s="3289" t="s">
        <v>2821</v>
      </c>
      <c r="AG101" s="3404" t="s">
        <v>2822</v>
      </c>
      <c r="AH101" s="3405" t="s">
        <v>2823</v>
      </c>
      <c r="AI101" s="3287" t="s">
        <v>2824</v>
      </c>
      <c r="AJ101" s="3289" t="s">
        <v>2825</v>
      </c>
      <c r="AK101" s="3420" t="s">
        <v>2826</v>
      </c>
      <c r="AL101" s="3289" t="s">
        <v>2827</v>
      </c>
      <c r="AM101" s="3406" t="s">
        <v>2831</v>
      </c>
      <c r="AN101" s="1057"/>
      <c r="AO101" s="1058"/>
      <c r="AP101" s="1058"/>
      <c r="AQ101" s="1058"/>
      <c r="AR101" s="1058"/>
      <c r="AS101" s="1058"/>
      <c r="AT101" s="1058"/>
      <c r="AU101" s="1058"/>
      <c r="AV101" s="1058"/>
      <c r="AW101" s="1058"/>
      <c r="AX101" s="1058"/>
      <c r="AY101" s="1058"/>
      <c r="AZ101" s="94"/>
      <c r="BA101" s="94"/>
      <c r="BB101" s="94"/>
      <c r="CH101" s="1020">
        <v>0</v>
      </c>
      <c r="CI101" s="1020"/>
      <c r="CJ101" s="1020"/>
      <c r="CK101" s="1020"/>
      <c r="CL101" s="1020"/>
      <c r="CM101" s="1020"/>
      <c r="CN101" s="1020"/>
    </row>
    <row r="102" spans="1:92" ht="16.350000000000001" customHeight="1" x14ac:dyDescent="0.2">
      <c r="A102" s="2458">
        <v>23044200</v>
      </c>
      <c r="B102" s="5267" t="s">
        <v>2452</v>
      </c>
      <c r="C102" s="5268"/>
      <c r="D102" s="3052" t="s">
        <v>2777</v>
      </c>
      <c r="E102" s="3053" t="s">
        <v>2778</v>
      </c>
      <c r="F102" s="3029" t="s">
        <v>2779</v>
      </c>
      <c r="G102" s="3290" t="s">
        <v>2780</v>
      </c>
      <c r="H102" s="3419" t="s">
        <v>2781</v>
      </c>
      <c r="I102" s="3290" t="s">
        <v>2782</v>
      </c>
      <c r="J102" s="3419" t="s">
        <v>2783</v>
      </c>
      <c r="K102" s="3287" t="s">
        <v>2784</v>
      </c>
      <c r="L102" s="3289" t="s">
        <v>2785</v>
      </c>
      <c r="M102" s="3404" t="s">
        <v>2786</v>
      </c>
      <c r="N102" s="3405" t="s">
        <v>2787</v>
      </c>
      <c r="O102" s="3287" t="s">
        <v>2788</v>
      </c>
      <c r="P102" s="3289" t="s">
        <v>2789</v>
      </c>
      <c r="Q102" s="3404" t="s">
        <v>2790</v>
      </c>
      <c r="R102" s="3405" t="s">
        <v>2791</v>
      </c>
      <c r="S102" s="3287" t="s">
        <v>2792</v>
      </c>
      <c r="T102" s="3289" t="s">
        <v>2793</v>
      </c>
      <c r="U102" s="3404" t="s">
        <v>2794</v>
      </c>
      <c r="V102" s="3405" t="s">
        <v>2795</v>
      </c>
      <c r="W102" s="3287" t="s">
        <v>2796</v>
      </c>
      <c r="X102" s="3289" t="s">
        <v>2797</v>
      </c>
      <c r="Y102" s="3404" t="s">
        <v>2798</v>
      </c>
      <c r="Z102" s="3405" t="s">
        <v>2799</v>
      </c>
      <c r="AA102" s="3287" t="s">
        <v>2800</v>
      </c>
      <c r="AB102" s="3289" t="s">
        <v>2801</v>
      </c>
      <c r="AC102" s="3404" t="s">
        <v>2817</v>
      </c>
      <c r="AD102" s="3405" t="s">
        <v>2818</v>
      </c>
      <c r="AE102" s="3287" t="s">
        <v>2819</v>
      </c>
      <c r="AF102" s="3289" t="s">
        <v>2821</v>
      </c>
      <c r="AG102" s="3404" t="s">
        <v>2822</v>
      </c>
      <c r="AH102" s="3405" t="s">
        <v>2823</v>
      </c>
      <c r="AI102" s="3287" t="s">
        <v>2824</v>
      </c>
      <c r="AJ102" s="3289" t="s">
        <v>2825</v>
      </c>
      <c r="AK102" s="3420" t="s">
        <v>2826</v>
      </c>
      <c r="AL102" s="3289" t="s">
        <v>2827</v>
      </c>
      <c r="AM102" s="3406" t="s">
        <v>2831</v>
      </c>
      <c r="AN102" s="1057"/>
      <c r="AO102" s="1058"/>
      <c r="AP102" s="1058"/>
      <c r="AQ102" s="1058"/>
      <c r="AR102" s="1058"/>
      <c r="AS102" s="1058"/>
      <c r="AT102" s="1058"/>
      <c r="AU102" s="1058"/>
      <c r="AV102" s="1058"/>
      <c r="AW102" s="1058"/>
      <c r="AX102" s="1058"/>
      <c r="AY102" s="1058"/>
      <c r="AZ102" s="94"/>
      <c r="BA102" s="94"/>
      <c r="BB102" s="94"/>
      <c r="CH102" s="1020">
        <v>0</v>
      </c>
      <c r="CI102" s="1020"/>
      <c r="CJ102" s="1020"/>
      <c r="CK102" s="1020"/>
      <c r="CL102" s="1020"/>
      <c r="CM102" s="1020"/>
      <c r="CN102" s="1020"/>
    </row>
    <row r="103" spans="1:92" ht="16.350000000000001" customHeight="1" x14ac:dyDescent="0.2">
      <c r="A103" s="2458">
        <v>23044300</v>
      </c>
      <c r="B103" s="5267" t="s">
        <v>2453</v>
      </c>
      <c r="C103" s="5268"/>
      <c r="D103" s="3052" t="s">
        <v>2777</v>
      </c>
      <c r="E103" s="3053" t="s">
        <v>2778</v>
      </c>
      <c r="F103" s="3029" t="s">
        <v>2779</v>
      </c>
      <c r="G103" s="3290" t="s">
        <v>2780</v>
      </c>
      <c r="H103" s="3419" t="s">
        <v>2781</v>
      </c>
      <c r="I103" s="3290" t="s">
        <v>2782</v>
      </c>
      <c r="J103" s="3419" t="s">
        <v>2783</v>
      </c>
      <c r="K103" s="3287" t="s">
        <v>2784</v>
      </c>
      <c r="L103" s="3289" t="s">
        <v>2785</v>
      </c>
      <c r="M103" s="3404" t="s">
        <v>2786</v>
      </c>
      <c r="N103" s="3405" t="s">
        <v>2787</v>
      </c>
      <c r="O103" s="3287" t="s">
        <v>2788</v>
      </c>
      <c r="P103" s="3289" t="s">
        <v>2789</v>
      </c>
      <c r="Q103" s="3404" t="s">
        <v>2790</v>
      </c>
      <c r="R103" s="3405" t="s">
        <v>2791</v>
      </c>
      <c r="S103" s="3287" t="s">
        <v>2792</v>
      </c>
      <c r="T103" s="3289" t="s">
        <v>2793</v>
      </c>
      <c r="U103" s="3404" t="s">
        <v>2794</v>
      </c>
      <c r="V103" s="3405" t="s">
        <v>2795</v>
      </c>
      <c r="W103" s="3287" t="s">
        <v>2796</v>
      </c>
      <c r="X103" s="3289" t="s">
        <v>2797</v>
      </c>
      <c r="Y103" s="3404" t="s">
        <v>2798</v>
      </c>
      <c r="Z103" s="3405" t="s">
        <v>2799</v>
      </c>
      <c r="AA103" s="3287" t="s">
        <v>2800</v>
      </c>
      <c r="AB103" s="3289" t="s">
        <v>2801</v>
      </c>
      <c r="AC103" s="3404" t="s">
        <v>2817</v>
      </c>
      <c r="AD103" s="3405" t="s">
        <v>2818</v>
      </c>
      <c r="AE103" s="3287" t="s">
        <v>2819</v>
      </c>
      <c r="AF103" s="3289" t="s">
        <v>2821</v>
      </c>
      <c r="AG103" s="3404" t="s">
        <v>2822</v>
      </c>
      <c r="AH103" s="3405" t="s">
        <v>2823</v>
      </c>
      <c r="AI103" s="3287" t="s">
        <v>2824</v>
      </c>
      <c r="AJ103" s="3289" t="s">
        <v>2825</v>
      </c>
      <c r="AK103" s="3420" t="s">
        <v>2826</v>
      </c>
      <c r="AL103" s="3289" t="s">
        <v>2827</v>
      </c>
      <c r="AM103" s="3406" t="s">
        <v>2831</v>
      </c>
      <c r="AN103" s="1057"/>
      <c r="AO103" s="1058"/>
      <c r="AP103" s="1058"/>
      <c r="AQ103" s="1058"/>
      <c r="AR103" s="1058"/>
      <c r="AS103" s="1058"/>
      <c r="AT103" s="1058"/>
      <c r="AU103" s="1058"/>
      <c r="AV103" s="1058"/>
      <c r="AW103" s="1058"/>
      <c r="AX103" s="1058"/>
      <c r="AY103" s="1058"/>
      <c r="AZ103" s="94"/>
      <c r="BA103" s="94"/>
      <c r="BB103" s="94"/>
      <c r="CH103" s="1020">
        <v>0</v>
      </c>
      <c r="CI103" s="1020"/>
      <c r="CJ103" s="1020"/>
      <c r="CK103" s="1020"/>
      <c r="CL103" s="1020"/>
      <c r="CM103" s="1020"/>
      <c r="CN103" s="1020"/>
    </row>
    <row r="104" spans="1:92" ht="16.350000000000001" customHeight="1" x14ac:dyDescent="0.2">
      <c r="A104" s="2458">
        <v>23080600</v>
      </c>
      <c r="B104" s="5267" t="s">
        <v>2454</v>
      </c>
      <c r="C104" s="5268"/>
      <c r="D104" s="3052" t="s">
        <v>2777</v>
      </c>
      <c r="E104" s="3053" t="s">
        <v>2778</v>
      </c>
      <c r="F104" s="3029" t="s">
        <v>2779</v>
      </c>
      <c r="G104" s="3012" t="s">
        <v>2780</v>
      </c>
      <c r="H104" s="3013" t="s">
        <v>2781</v>
      </c>
      <c r="I104" s="3012" t="s">
        <v>2782</v>
      </c>
      <c r="J104" s="3013" t="s">
        <v>2783</v>
      </c>
      <c r="K104" s="2901" t="s">
        <v>2784</v>
      </c>
      <c r="L104" s="3323" t="s">
        <v>2785</v>
      </c>
      <c r="M104" s="3329" t="s">
        <v>2786</v>
      </c>
      <c r="N104" s="3330" t="s">
        <v>2787</v>
      </c>
      <c r="O104" s="2901" t="s">
        <v>2788</v>
      </c>
      <c r="P104" s="3323" t="s">
        <v>2789</v>
      </c>
      <c r="Q104" s="3329" t="s">
        <v>2790</v>
      </c>
      <c r="R104" s="3330" t="s">
        <v>2791</v>
      </c>
      <c r="S104" s="2901" t="s">
        <v>2792</v>
      </c>
      <c r="T104" s="3323" t="s">
        <v>2793</v>
      </c>
      <c r="U104" s="3329" t="s">
        <v>2794</v>
      </c>
      <c r="V104" s="3330" t="s">
        <v>2795</v>
      </c>
      <c r="W104" s="2901" t="s">
        <v>2796</v>
      </c>
      <c r="X104" s="3323" t="s">
        <v>2797</v>
      </c>
      <c r="Y104" s="3329" t="s">
        <v>2798</v>
      </c>
      <c r="Z104" s="3330" t="s">
        <v>2799</v>
      </c>
      <c r="AA104" s="2901" t="s">
        <v>2800</v>
      </c>
      <c r="AB104" s="3323" t="s">
        <v>2801</v>
      </c>
      <c r="AC104" s="3329" t="s">
        <v>2817</v>
      </c>
      <c r="AD104" s="3330" t="s">
        <v>2818</v>
      </c>
      <c r="AE104" s="2901" t="s">
        <v>2819</v>
      </c>
      <c r="AF104" s="3323" t="s">
        <v>2821</v>
      </c>
      <c r="AG104" s="3329" t="s">
        <v>2822</v>
      </c>
      <c r="AH104" s="3330" t="s">
        <v>2823</v>
      </c>
      <c r="AI104" s="2901" t="s">
        <v>2824</v>
      </c>
      <c r="AJ104" s="3323" t="s">
        <v>2825</v>
      </c>
      <c r="AK104" s="3331" t="s">
        <v>2826</v>
      </c>
      <c r="AL104" s="3323" t="s">
        <v>2827</v>
      </c>
      <c r="AM104" s="3395" t="s">
        <v>2831</v>
      </c>
      <c r="AN104" s="1057"/>
      <c r="AO104" s="1058"/>
      <c r="AP104" s="1058"/>
      <c r="AQ104" s="1058"/>
      <c r="AR104" s="1058"/>
      <c r="AS104" s="1058"/>
      <c r="AT104" s="1058"/>
      <c r="AU104" s="1058"/>
      <c r="AV104" s="1058"/>
      <c r="AW104" s="1058"/>
      <c r="AX104" s="1058"/>
      <c r="AY104" s="1058"/>
      <c r="AZ104" s="94"/>
      <c r="BA104" s="94"/>
      <c r="BB104" s="94"/>
      <c r="CH104" s="1020">
        <v>0</v>
      </c>
      <c r="CI104" s="1020"/>
      <c r="CJ104" s="1020"/>
      <c r="CK104" s="1020"/>
      <c r="CL104" s="1020"/>
      <c r="CM104" s="1020"/>
      <c r="CN104" s="1020"/>
    </row>
    <row r="105" spans="1:92" ht="16.350000000000001" customHeight="1" x14ac:dyDescent="0.2">
      <c r="A105" s="2458">
        <v>23040901</v>
      </c>
      <c r="B105" s="5267" t="s">
        <v>2455</v>
      </c>
      <c r="C105" s="5268"/>
      <c r="D105" s="3052" t="s">
        <v>2777</v>
      </c>
      <c r="E105" s="3053" t="s">
        <v>2778</v>
      </c>
      <c r="F105" s="3029" t="s">
        <v>2779</v>
      </c>
      <c r="G105" s="3012" t="s">
        <v>2780</v>
      </c>
      <c r="H105" s="3013" t="s">
        <v>2781</v>
      </c>
      <c r="I105" s="3012" t="s">
        <v>2782</v>
      </c>
      <c r="J105" s="3013" t="s">
        <v>2783</v>
      </c>
      <c r="K105" s="2901" t="s">
        <v>2784</v>
      </c>
      <c r="L105" s="3323" t="s">
        <v>2785</v>
      </c>
      <c r="M105" s="3329" t="s">
        <v>2786</v>
      </c>
      <c r="N105" s="3330" t="s">
        <v>2787</v>
      </c>
      <c r="O105" s="2901" t="s">
        <v>2788</v>
      </c>
      <c r="P105" s="3323" t="s">
        <v>2789</v>
      </c>
      <c r="Q105" s="3329" t="s">
        <v>2790</v>
      </c>
      <c r="R105" s="3330" t="s">
        <v>2791</v>
      </c>
      <c r="S105" s="2901" t="s">
        <v>2792</v>
      </c>
      <c r="T105" s="3323" t="s">
        <v>2793</v>
      </c>
      <c r="U105" s="3329" t="s">
        <v>2794</v>
      </c>
      <c r="V105" s="3330" t="s">
        <v>2795</v>
      </c>
      <c r="W105" s="2901" t="s">
        <v>2796</v>
      </c>
      <c r="X105" s="3323" t="s">
        <v>2797</v>
      </c>
      <c r="Y105" s="3329" t="s">
        <v>2798</v>
      </c>
      <c r="Z105" s="3330" t="s">
        <v>2799</v>
      </c>
      <c r="AA105" s="2901" t="s">
        <v>2800</v>
      </c>
      <c r="AB105" s="3323" t="s">
        <v>2801</v>
      </c>
      <c r="AC105" s="3329" t="s">
        <v>2817</v>
      </c>
      <c r="AD105" s="3330" t="s">
        <v>2818</v>
      </c>
      <c r="AE105" s="2901" t="s">
        <v>2819</v>
      </c>
      <c r="AF105" s="3323" t="s">
        <v>2821</v>
      </c>
      <c r="AG105" s="3329" t="s">
        <v>2822</v>
      </c>
      <c r="AH105" s="3330" t="s">
        <v>2823</v>
      </c>
      <c r="AI105" s="2901" t="s">
        <v>2824</v>
      </c>
      <c r="AJ105" s="3323" t="s">
        <v>2825</v>
      </c>
      <c r="AK105" s="3331" t="s">
        <v>2826</v>
      </c>
      <c r="AL105" s="3323" t="s">
        <v>2827</v>
      </c>
      <c r="AM105" s="3395" t="s">
        <v>2831</v>
      </c>
      <c r="AN105" s="1057"/>
      <c r="AO105" s="1058"/>
      <c r="AP105" s="1058"/>
      <c r="AQ105" s="1058"/>
      <c r="AR105" s="1058"/>
      <c r="AS105" s="1058"/>
      <c r="AT105" s="1058"/>
      <c r="AU105" s="1058"/>
      <c r="AV105" s="1058"/>
      <c r="AW105" s="1058"/>
      <c r="AX105" s="1058"/>
      <c r="AY105" s="1058"/>
      <c r="AZ105" s="94"/>
      <c r="BA105" s="94"/>
      <c r="BB105" s="94"/>
      <c r="CH105" s="1020">
        <v>0</v>
      </c>
      <c r="CI105" s="1020"/>
      <c r="CJ105" s="1020"/>
      <c r="CK105" s="1020"/>
      <c r="CL105" s="1020"/>
      <c r="CM105" s="1020"/>
      <c r="CN105" s="1020"/>
    </row>
    <row r="106" spans="1:92" ht="16.350000000000001" customHeight="1" x14ac:dyDescent="0.2">
      <c r="A106" s="2458">
        <v>23080700</v>
      </c>
      <c r="B106" s="5267" t="s">
        <v>2456</v>
      </c>
      <c r="C106" s="5268"/>
      <c r="D106" s="3052" t="s">
        <v>2777</v>
      </c>
      <c r="E106" s="3053" t="s">
        <v>2778</v>
      </c>
      <c r="F106" s="3029" t="s">
        <v>2779</v>
      </c>
      <c r="G106" s="3012" t="s">
        <v>2780</v>
      </c>
      <c r="H106" s="3013" t="s">
        <v>2781</v>
      </c>
      <c r="I106" s="3012" t="s">
        <v>2782</v>
      </c>
      <c r="J106" s="3013" t="s">
        <v>2783</v>
      </c>
      <c r="K106" s="2901" t="s">
        <v>2784</v>
      </c>
      <c r="L106" s="3323" t="s">
        <v>2785</v>
      </c>
      <c r="M106" s="3329" t="s">
        <v>2786</v>
      </c>
      <c r="N106" s="3330" t="s">
        <v>2787</v>
      </c>
      <c r="O106" s="2901" t="s">
        <v>2788</v>
      </c>
      <c r="P106" s="3323" t="s">
        <v>2789</v>
      </c>
      <c r="Q106" s="3329" t="s">
        <v>2790</v>
      </c>
      <c r="R106" s="3330" t="s">
        <v>2791</v>
      </c>
      <c r="S106" s="2901" t="s">
        <v>2792</v>
      </c>
      <c r="T106" s="3323" t="s">
        <v>2793</v>
      </c>
      <c r="U106" s="3329" t="s">
        <v>2794</v>
      </c>
      <c r="V106" s="3330" t="s">
        <v>2795</v>
      </c>
      <c r="W106" s="2901" t="s">
        <v>2796</v>
      </c>
      <c r="X106" s="3323" t="s">
        <v>2797</v>
      </c>
      <c r="Y106" s="3329" t="s">
        <v>2798</v>
      </c>
      <c r="Z106" s="3330" t="s">
        <v>2799</v>
      </c>
      <c r="AA106" s="2901" t="s">
        <v>2800</v>
      </c>
      <c r="AB106" s="3323" t="s">
        <v>2801</v>
      </c>
      <c r="AC106" s="3329" t="s">
        <v>2817</v>
      </c>
      <c r="AD106" s="3330" t="s">
        <v>2818</v>
      </c>
      <c r="AE106" s="2901" t="s">
        <v>2819</v>
      </c>
      <c r="AF106" s="3323" t="s">
        <v>2821</v>
      </c>
      <c r="AG106" s="3329" t="s">
        <v>2822</v>
      </c>
      <c r="AH106" s="3330" t="s">
        <v>2823</v>
      </c>
      <c r="AI106" s="2901" t="s">
        <v>2824</v>
      </c>
      <c r="AJ106" s="3323" t="s">
        <v>2825</v>
      </c>
      <c r="AK106" s="3331" t="s">
        <v>2826</v>
      </c>
      <c r="AL106" s="3323" t="s">
        <v>2827</v>
      </c>
      <c r="AM106" s="3395" t="s">
        <v>2831</v>
      </c>
      <c r="AN106" s="1057"/>
      <c r="AO106" s="1058"/>
      <c r="AP106" s="1058"/>
      <c r="AQ106" s="1058"/>
      <c r="AR106" s="1058"/>
      <c r="AS106" s="1058"/>
      <c r="AT106" s="1058"/>
      <c r="AU106" s="1058"/>
      <c r="AV106" s="1058"/>
      <c r="AW106" s="1058"/>
      <c r="AX106" s="1058"/>
      <c r="AY106" s="1058"/>
      <c r="AZ106" s="94"/>
      <c r="BA106" s="94"/>
      <c r="BB106" s="94"/>
      <c r="CH106" s="1020">
        <v>0</v>
      </c>
      <c r="CI106" s="1020"/>
      <c r="CJ106" s="1020"/>
      <c r="CK106" s="1020"/>
      <c r="CL106" s="1020"/>
      <c r="CM106" s="1020"/>
      <c r="CN106" s="1020"/>
    </row>
    <row r="107" spans="1:92" ht="16.350000000000001" customHeight="1" x14ac:dyDescent="0.2">
      <c r="A107" s="2458">
        <v>23090530</v>
      </c>
      <c r="B107" s="5919" t="s">
        <v>2457</v>
      </c>
      <c r="C107" s="5920"/>
      <c r="D107" s="3084" t="s">
        <v>2777</v>
      </c>
      <c r="E107" s="3087" t="s">
        <v>2778</v>
      </c>
      <c r="F107" s="3028" t="s">
        <v>2779</v>
      </c>
      <c r="G107" s="2905" t="s">
        <v>2780</v>
      </c>
      <c r="H107" s="2906" t="s">
        <v>2781</v>
      </c>
      <c r="I107" s="2905" t="s">
        <v>2782</v>
      </c>
      <c r="J107" s="2906" t="s">
        <v>2783</v>
      </c>
      <c r="K107" s="2905" t="s">
        <v>2784</v>
      </c>
      <c r="L107" s="3316" t="s">
        <v>2785</v>
      </c>
      <c r="M107" s="3333" t="s">
        <v>2786</v>
      </c>
      <c r="N107" s="3334" t="s">
        <v>2787</v>
      </c>
      <c r="O107" s="2905" t="s">
        <v>2788</v>
      </c>
      <c r="P107" s="3316" t="s">
        <v>2789</v>
      </c>
      <c r="Q107" s="3333" t="s">
        <v>2790</v>
      </c>
      <c r="R107" s="3334" t="s">
        <v>2791</v>
      </c>
      <c r="S107" s="2905" t="s">
        <v>2792</v>
      </c>
      <c r="T107" s="3316" t="s">
        <v>2793</v>
      </c>
      <c r="U107" s="3333" t="s">
        <v>2794</v>
      </c>
      <c r="V107" s="3334" t="s">
        <v>2795</v>
      </c>
      <c r="W107" s="2905" t="s">
        <v>2796</v>
      </c>
      <c r="X107" s="3316" t="s">
        <v>2797</v>
      </c>
      <c r="Y107" s="3333" t="s">
        <v>2798</v>
      </c>
      <c r="Z107" s="3334" t="s">
        <v>2799</v>
      </c>
      <c r="AA107" s="2905" t="s">
        <v>2800</v>
      </c>
      <c r="AB107" s="3316" t="s">
        <v>2801</v>
      </c>
      <c r="AC107" s="3333" t="s">
        <v>2817</v>
      </c>
      <c r="AD107" s="3334" t="s">
        <v>2818</v>
      </c>
      <c r="AE107" s="2905" t="s">
        <v>2819</v>
      </c>
      <c r="AF107" s="3316" t="s">
        <v>2821</v>
      </c>
      <c r="AG107" s="3333" t="s">
        <v>2822</v>
      </c>
      <c r="AH107" s="3334" t="s">
        <v>2823</v>
      </c>
      <c r="AI107" s="2905" t="s">
        <v>2824</v>
      </c>
      <c r="AJ107" s="3316" t="s">
        <v>2825</v>
      </c>
      <c r="AK107" s="3335" t="s">
        <v>2826</v>
      </c>
      <c r="AL107" s="3316" t="s">
        <v>2827</v>
      </c>
      <c r="AM107" s="3421" t="s">
        <v>2831</v>
      </c>
      <c r="AN107" s="1057"/>
      <c r="AO107" s="1058"/>
      <c r="AP107" s="1058"/>
      <c r="AQ107" s="1058"/>
      <c r="AR107" s="1058"/>
      <c r="AS107" s="1058"/>
      <c r="AT107" s="1058"/>
      <c r="AU107" s="1058"/>
      <c r="AV107" s="1058"/>
      <c r="AW107" s="1058"/>
      <c r="AX107" s="1058"/>
      <c r="AY107" s="1058"/>
      <c r="AZ107" s="94"/>
      <c r="BA107" s="94"/>
      <c r="BB107" s="94"/>
      <c r="CH107" s="1020">
        <v>0</v>
      </c>
      <c r="CI107" s="1020"/>
      <c r="CJ107" s="1020"/>
      <c r="CK107" s="1020"/>
      <c r="CL107" s="1020"/>
      <c r="CM107" s="1020"/>
      <c r="CN107" s="1020"/>
    </row>
    <row r="108" spans="1:92" ht="32.1" customHeight="1" x14ac:dyDescent="0.2">
      <c r="B108" s="85" t="s">
        <v>2458</v>
      </c>
      <c r="C108" s="205"/>
      <c r="D108" s="190"/>
      <c r="E108" s="190"/>
      <c r="F108" s="190"/>
      <c r="G108" s="190"/>
      <c r="H108" s="190"/>
      <c r="I108" s="190"/>
      <c r="J108" s="190"/>
      <c r="K108" s="190"/>
      <c r="L108" s="190"/>
      <c r="M108" s="190"/>
      <c r="N108" s="190"/>
      <c r="O108" s="190"/>
      <c r="P108" s="190"/>
      <c r="Q108" s="190"/>
      <c r="R108" s="190"/>
      <c r="S108" s="190"/>
      <c r="T108" s="190"/>
      <c r="U108" s="190"/>
      <c r="V108" s="190"/>
      <c r="W108" s="190"/>
      <c r="AN108" s="94"/>
      <c r="AO108" s="94"/>
      <c r="AP108" s="94"/>
      <c r="AQ108" s="94"/>
      <c r="AR108" s="94"/>
      <c r="AS108" s="94"/>
      <c r="AT108" s="94"/>
      <c r="AU108" s="94"/>
      <c r="AV108" s="94"/>
      <c r="AW108" s="94"/>
      <c r="AX108" s="94"/>
      <c r="AY108" s="94"/>
      <c r="AZ108" s="94"/>
      <c r="BA108" s="94"/>
      <c r="BB108" s="94"/>
      <c r="CH108" s="1020"/>
      <c r="CI108" s="1020"/>
      <c r="CJ108" s="1020"/>
      <c r="CK108" s="1020"/>
      <c r="CL108" s="1020"/>
      <c r="CM108" s="1020"/>
      <c r="CN108" s="1020"/>
    </row>
    <row r="109" spans="1:92" ht="28.5" customHeight="1" x14ac:dyDescent="0.2">
      <c r="B109" s="5160" t="s">
        <v>2459</v>
      </c>
      <c r="C109" s="5162"/>
      <c r="D109" s="1912" t="s">
        <v>42</v>
      </c>
      <c r="E109" s="1597" t="s">
        <v>2446</v>
      </c>
      <c r="F109" s="1918" t="s">
        <v>2447</v>
      </c>
      <c r="G109" s="1917"/>
      <c r="H109" s="190"/>
      <c r="I109" s="190"/>
      <c r="J109" s="190"/>
      <c r="K109" s="190"/>
      <c r="L109" s="190"/>
      <c r="M109" s="190"/>
      <c r="AN109" s="94"/>
      <c r="AO109" s="94"/>
      <c r="AP109" s="94"/>
      <c r="AQ109" s="94"/>
      <c r="AR109" s="94"/>
      <c r="AS109" s="94"/>
      <c r="AT109" s="94"/>
      <c r="AU109" s="94"/>
      <c r="AV109" s="94"/>
      <c r="AW109" s="94"/>
      <c r="AX109" s="94"/>
      <c r="AY109" s="94"/>
      <c r="AZ109" s="94"/>
      <c r="BA109" s="94"/>
      <c r="BB109" s="94"/>
      <c r="CH109" s="1020"/>
      <c r="CI109" s="1020"/>
      <c r="CJ109" s="1020"/>
      <c r="CK109" s="1020"/>
      <c r="CL109" s="1020"/>
      <c r="CM109" s="1020"/>
      <c r="CN109" s="1020"/>
    </row>
    <row r="110" spans="1:92" ht="16.350000000000001" customHeight="1" x14ac:dyDescent="0.2">
      <c r="A110" s="2458">
        <v>23080900</v>
      </c>
      <c r="B110" s="6487" t="s">
        <v>2460</v>
      </c>
      <c r="C110" s="6488"/>
      <c r="D110" s="3422" t="s">
        <v>2777</v>
      </c>
      <c r="E110" s="3287" t="s">
        <v>2778</v>
      </c>
      <c r="F110" s="3288" t="s">
        <v>2779</v>
      </c>
      <c r="G110" s="558"/>
      <c r="H110" s="190"/>
      <c r="I110" s="190"/>
      <c r="J110" s="190"/>
      <c r="K110" s="190"/>
      <c r="L110" s="190"/>
      <c r="M110" s="190"/>
      <c r="AN110" s="94"/>
      <c r="AO110" s="94"/>
      <c r="AP110" s="94"/>
      <c r="AQ110" s="94"/>
      <c r="AR110" s="94"/>
      <c r="AS110" s="94"/>
      <c r="AT110" s="94"/>
      <c r="AU110" s="94"/>
      <c r="AV110" s="94"/>
      <c r="AW110" s="94"/>
      <c r="AX110" s="94"/>
      <c r="AY110" s="94"/>
      <c r="AZ110" s="94"/>
      <c r="BA110" s="94"/>
      <c r="BB110" s="94"/>
      <c r="CH110" s="1020"/>
      <c r="CI110" s="1020"/>
      <c r="CJ110" s="1020"/>
      <c r="CK110" s="1020"/>
      <c r="CL110" s="1020"/>
      <c r="CM110" s="1020"/>
      <c r="CN110" s="1020"/>
    </row>
    <row r="111" spans="1:92" ht="16.350000000000001" customHeight="1" x14ac:dyDescent="0.2">
      <c r="A111" s="2458">
        <v>23090100</v>
      </c>
      <c r="B111" s="5313" t="s">
        <v>2461</v>
      </c>
      <c r="C111" s="5303"/>
      <c r="D111" s="2431" t="s">
        <v>2777</v>
      </c>
      <c r="E111" s="3287" t="s">
        <v>2778</v>
      </c>
      <c r="F111" s="3288" t="s">
        <v>2779</v>
      </c>
      <c r="G111" s="558"/>
      <c r="H111" s="190"/>
      <c r="I111" s="190"/>
      <c r="J111" s="190"/>
      <c r="K111" s="190"/>
      <c r="L111" s="190"/>
      <c r="M111" s="190"/>
      <c r="AN111" s="94"/>
      <c r="AO111" s="94"/>
      <c r="AP111" s="94"/>
      <c r="AQ111" s="94"/>
      <c r="AR111" s="94"/>
      <c r="AS111" s="94"/>
      <c r="AT111" s="94"/>
      <c r="AU111" s="94"/>
      <c r="AV111" s="94"/>
      <c r="AW111" s="94"/>
      <c r="AX111" s="94"/>
      <c r="AY111" s="94"/>
      <c r="AZ111" s="94"/>
      <c r="BA111" s="94"/>
      <c r="BB111" s="94"/>
      <c r="CH111" s="1020"/>
      <c r="CI111" s="1020"/>
      <c r="CJ111" s="1020"/>
      <c r="CK111" s="1020"/>
      <c r="CL111" s="1020"/>
      <c r="CM111" s="1020"/>
      <c r="CN111" s="1020"/>
    </row>
    <row r="112" spans="1:92" ht="16.350000000000001" customHeight="1" x14ac:dyDescent="0.2">
      <c r="A112" s="2458">
        <v>23060004</v>
      </c>
      <c r="B112" s="5561" t="s">
        <v>2462</v>
      </c>
      <c r="C112" s="5286"/>
      <c r="D112" s="201" t="s">
        <v>2777</v>
      </c>
      <c r="E112" s="3423" t="s">
        <v>2778</v>
      </c>
      <c r="F112" s="3424" t="s">
        <v>2779</v>
      </c>
      <c r="G112" s="558"/>
      <c r="H112" s="190"/>
      <c r="I112" s="190"/>
      <c r="J112" s="190"/>
      <c r="K112" s="190"/>
      <c r="L112" s="190"/>
      <c r="M112" s="190"/>
      <c r="AN112" s="94"/>
      <c r="AO112" s="94"/>
      <c r="AP112" s="94"/>
      <c r="AQ112" s="94"/>
      <c r="AR112" s="94"/>
      <c r="AS112" s="94"/>
      <c r="AT112" s="94"/>
      <c r="AU112" s="94"/>
      <c r="AV112" s="94"/>
      <c r="AW112" s="94"/>
      <c r="AX112" s="94"/>
      <c r="AY112" s="94"/>
      <c r="AZ112" s="94"/>
      <c r="BA112" s="94"/>
      <c r="BB112" s="94"/>
      <c r="CH112" s="1020"/>
      <c r="CI112" s="1020"/>
      <c r="CJ112" s="1020"/>
      <c r="CK112" s="1020"/>
      <c r="CL112" s="1020"/>
      <c r="CM112" s="1020"/>
      <c r="CN112" s="1020"/>
    </row>
    <row r="113" spans="1:92" ht="32.1" customHeight="1" x14ac:dyDescent="0.2">
      <c r="B113" s="85" t="s">
        <v>2463</v>
      </c>
      <c r="C113" s="205"/>
      <c r="D113" s="190"/>
      <c r="E113" s="190"/>
      <c r="F113" s="190"/>
      <c r="G113" s="190"/>
      <c r="AN113" s="94"/>
      <c r="AO113" s="94"/>
      <c r="AP113" s="94"/>
      <c r="AQ113" s="94"/>
      <c r="AR113" s="94"/>
      <c r="AS113" s="94"/>
      <c r="AT113" s="94"/>
      <c r="AU113" s="94"/>
      <c r="AV113" s="94"/>
      <c r="AW113" s="94"/>
      <c r="AX113" s="94"/>
      <c r="AY113" s="94"/>
      <c r="AZ113" s="94"/>
      <c r="BA113" s="94"/>
      <c r="BB113" s="94"/>
      <c r="CH113" s="1020"/>
      <c r="CI113" s="1020"/>
      <c r="CJ113" s="1020"/>
      <c r="CK113" s="1020"/>
      <c r="CL113" s="1020"/>
      <c r="CM113" s="1020"/>
      <c r="CN113" s="1020"/>
    </row>
    <row r="114" spans="1:92" ht="27" customHeight="1" x14ac:dyDescent="0.2">
      <c r="B114" s="5160" t="s">
        <v>2464</v>
      </c>
      <c r="C114" s="5161"/>
      <c r="D114" s="1930" t="s">
        <v>42</v>
      </c>
      <c r="E114" s="1597" t="s">
        <v>2446</v>
      </c>
      <c r="F114" s="1918" t="s">
        <v>2447</v>
      </c>
      <c r="G114" s="1917"/>
      <c r="H114" s="190"/>
      <c r="I114" s="190"/>
      <c r="J114" s="190"/>
      <c r="K114" s="190"/>
      <c r="L114" s="190"/>
      <c r="M114" s="190"/>
      <c r="N114" s="190"/>
      <c r="O114" s="190"/>
      <c r="P114" s="190"/>
      <c r="Q114" s="190"/>
      <c r="CH114" s="1020"/>
      <c r="CI114" s="1020"/>
      <c r="CJ114" s="1020"/>
      <c r="CK114" s="1020"/>
      <c r="CL114" s="1020"/>
      <c r="CM114" s="1020"/>
      <c r="CN114" s="1020"/>
    </row>
    <row r="115" spans="1:92" ht="16.350000000000001" customHeight="1" x14ac:dyDescent="0.2">
      <c r="A115" s="2458">
        <v>23090550</v>
      </c>
      <c r="B115" s="6487" t="s">
        <v>2460</v>
      </c>
      <c r="C115" s="6488"/>
      <c r="D115" s="3425" t="s">
        <v>2777</v>
      </c>
      <c r="E115" s="3307" t="s">
        <v>2778</v>
      </c>
      <c r="F115" s="3295" t="s">
        <v>2779</v>
      </c>
      <c r="G115" s="558"/>
      <c r="H115" s="190"/>
      <c r="I115" s="190"/>
      <c r="J115" s="190"/>
      <c r="K115" s="190"/>
      <c r="L115" s="190"/>
      <c r="M115" s="190"/>
      <c r="N115" s="190"/>
      <c r="O115" s="190"/>
      <c r="P115" s="190"/>
      <c r="Q115" s="190"/>
      <c r="CH115" s="1020"/>
      <c r="CI115" s="1020"/>
      <c r="CJ115" s="1020"/>
      <c r="CK115" s="1020"/>
      <c r="CL115" s="1020"/>
      <c r="CM115" s="1020"/>
      <c r="CN115" s="1020"/>
    </row>
    <row r="116" spans="1:92" ht="16.350000000000001" customHeight="1" x14ac:dyDescent="0.2">
      <c r="A116" s="2458">
        <v>23090560</v>
      </c>
      <c r="B116" s="5313" t="s">
        <v>2465</v>
      </c>
      <c r="C116" s="5303"/>
      <c r="D116" s="2431" t="s">
        <v>2777</v>
      </c>
      <c r="E116" s="2901" t="s">
        <v>2778</v>
      </c>
      <c r="F116" s="2902" t="s">
        <v>2779</v>
      </c>
      <c r="G116" s="558"/>
      <c r="H116" s="190"/>
      <c r="I116" s="190"/>
      <c r="J116" s="190"/>
      <c r="K116" s="190"/>
      <c r="L116" s="190"/>
      <c r="M116" s="190"/>
      <c r="N116" s="190"/>
      <c r="O116" s="190"/>
      <c r="P116" s="190"/>
      <c r="Q116" s="190"/>
      <c r="CH116" s="1020"/>
      <c r="CI116" s="1020"/>
      <c r="CJ116" s="1020"/>
      <c r="CK116" s="1020"/>
      <c r="CL116" s="1020"/>
      <c r="CM116" s="1020"/>
      <c r="CN116" s="1020"/>
    </row>
    <row r="117" spans="1:92" ht="16.350000000000001" customHeight="1" x14ac:dyDescent="0.2">
      <c r="A117" s="2458">
        <v>23090570</v>
      </c>
      <c r="B117" s="5313" t="s">
        <v>673</v>
      </c>
      <c r="C117" s="5303"/>
      <c r="D117" s="2431" t="s">
        <v>2777</v>
      </c>
      <c r="E117" s="3398" t="s">
        <v>2778</v>
      </c>
      <c r="F117" s="3304" t="s">
        <v>2779</v>
      </c>
      <c r="G117" s="558"/>
      <c r="H117" s="190"/>
      <c r="I117" s="190"/>
      <c r="J117" s="190"/>
      <c r="K117" s="190"/>
      <c r="L117" s="190"/>
      <c r="M117" s="190"/>
      <c r="N117" s="190"/>
      <c r="O117" s="190"/>
      <c r="P117" s="190"/>
      <c r="Q117" s="190"/>
      <c r="CH117" s="1020"/>
      <c r="CI117" s="1020"/>
      <c r="CJ117" s="1020"/>
      <c r="CK117" s="1020"/>
      <c r="CL117" s="1020"/>
      <c r="CM117" s="1020"/>
      <c r="CN117" s="1020"/>
    </row>
    <row r="118" spans="1:92" ht="16.350000000000001" customHeight="1" x14ac:dyDescent="0.2">
      <c r="A118" s="2458">
        <v>23090580</v>
      </c>
      <c r="B118" s="6489" t="s">
        <v>2462</v>
      </c>
      <c r="C118" s="6490"/>
      <c r="D118" s="2431" t="s">
        <v>2777</v>
      </c>
      <c r="E118" s="3398" t="s">
        <v>2778</v>
      </c>
      <c r="F118" s="3304" t="s">
        <v>2779</v>
      </c>
      <c r="G118" s="558"/>
      <c r="H118" s="190"/>
      <c r="I118" s="190"/>
      <c r="J118" s="190"/>
      <c r="K118" s="190"/>
      <c r="L118" s="190"/>
      <c r="M118" s="190"/>
      <c r="N118" s="190"/>
      <c r="O118" s="190"/>
      <c r="P118" s="190"/>
      <c r="Q118" s="190"/>
      <c r="CH118" s="1020"/>
      <c r="CI118" s="1020"/>
      <c r="CJ118" s="1020"/>
      <c r="CK118" s="1020"/>
      <c r="CL118" s="1020"/>
      <c r="CM118" s="1020"/>
      <c r="CN118" s="1020"/>
    </row>
    <row r="119" spans="1:92" ht="16.350000000000001" customHeight="1" x14ac:dyDescent="0.2">
      <c r="A119" s="2458">
        <v>23044400</v>
      </c>
      <c r="B119" s="5314" t="s">
        <v>2466</v>
      </c>
      <c r="C119" s="5315"/>
      <c r="D119" s="3426" t="s">
        <v>2777</v>
      </c>
      <c r="E119" s="2905" t="s">
        <v>2778</v>
      </c>
      <c r="F119" s="2906" t="s">
        <v>2779</v>
      </c>
      <c r="G119" s="558"/>
      <c r="H119" s="190"/>
      <c r="I119" s="190"/>
      <c r="J119" s="190"/>
      <c r="K119" s="190"/>
      <c r="L119" s="190"/>
      <c r="M119" s="190"/>
      <c r="N119" s="190"/>
      <c r="O119" s="190"/>
      <c r="P119" s="190"/>
      <c r="Q119" s="190"/>
      <c r="R119" s="190"/>
      <c r="S119" s="190"/>
      <c r="T119" s="190"/>
      <c r="U119" s="190"/>
      <c r="V119" s="190"/>
      <c r="W119" s="190"/>
      <c r="CH119" s="1020"/>
      <c r="CI119" s="1020"/>
      <c r="CJ119" s="1020"/>
      <c r="CK119" s="1020"/>
      <c r="CL119" s="1020"/>
      <c r="CM119" s="1020"/>
      <c r="CN119" s="1020"/>
    </row>
    <row r="120" spans="1:92" ht="32.1" customHeight="1" x14ac:dyDescent="0.2">
      <c r="B120" s="961" t="s">
        <v>2688</v>
      </c>
      <c r="C120" s="190"/>
      <c r="D120" s="190"/>
      <c r="E120" s="190"/>
      <c r="F120" s="190"/>
      <c r="G120" s="2123"/>
      <c r="H120" s="2123"/>
      <c r="I120" s="190"/>
      <c r="J120" s="190"/>
      <c r="K120" s="190"/>
      <c r="L120" s="190"/>
      <c r="M120" s="190"/>
      <c r="N120" s="190"/>
      <c r="O120" s="190"/>
      <c r="P120" s="190"/>
      <c r="Q120" s="190"/>
      <c r="R120" s="190"/>
      <c r="S120" s="190"/>
      <c r="T120" s="190"/>
      <c r="U120" s="190"/>
      <c r="CH120" s="1020"/>
      <c r="CI120" s="1020"/>
      <c r="CJ120" s="1020"/>
      <c r="CK120" s="1020"/>
      <c r="CL120" s="1020"/>
      <c r="CM120" s="1020"/>
      <c r="CN120" s="1020"/>
    </row>
    <row r="121" spans="1:92" ht="16.350000000000001" customHeight="1" x14ac:dyDescent="0.2">
      <c r="B121" s="6402" t="s">
        <v>2403</v>
      </c>
      <c r="C121" s="6404"/>
      <c r="D121" s="6403" t="s">
        <v>42</v>
      </c>
      <c r="E121" s="6403"/>
      <c r="F121" s="6404"/>
      <c r="G121" s="6437" t="s">
        <v>5</v>
      </c>
      <c r="H121" s="6438"/>
      <c r="I121" s="6438"/>
      <c r="J121" s="6438"/>
      <c r="K121" s="6438"/>
      <c r="L121" s="6438"/>
      <c r="M121" s="6438"/>
      <c r="N121" s="6438"/>
      <c r="O121" s="6438"/>
      <c r="P121" s="6438"/>
      <c r="Q121" s="6438"/>
      <c r="R121" s="6438"/>
      <c r="S121" s="6438"/>
      <c r="T121" s="6438"/>
      <c r="U121" s="6438"/>
      <c r="V121" s="6438"/>
      <c r="W121" s="6438"/>
      <c r="X121" s="6438"/>
      <c r="Y121" s="6438"/>
      <c r="Z121" s="6438"/>
      <c r="AA121" s="6438"/>
      <c r="AB121" s="6438"/>
      <c r="AC121" s="6438"/>
      <c r="AD121" s="6438"/>
      <c r="AE121" s="6438"/>
      <c r="AF121" s="6438"/>
      <c r="AG121" s="6438"/>
      <c r="AH121" s="6438"/>
      <c r="AI121" s="6438"/>
      <c r="AJ121" s="6438"/>
      <c r="AK121" s="6438"/>
      <c r="AL121" s="6439"/>
      <c r="AM121" s="6249" t="s">
        <v>1634</v>
      </c>
      <c r="CH121" s="1020"/>
      <c r="CI121" s="1020"/>
      <c r="CJ121" s="1020"/>
      <c r="CK121" s="1020"/>
      <c r="CL121" s="1020"/>
      <c r="CM121" s="1020"/>
      <c r="CN121" s="1020"/>
    </row>
    <row r="122" spans="1:92" ht="16.350000000000001" customHeight="1" x14ac:dyDescent="0.2">
      <c r="B122" s="6405"/>
      <c r="C122" s="6407"/>
      <c r="D122" s="6409"/>
      <c r="E122" s="6409"/>
      <c r="F122" s="6410"/>
      <c r="G122" s="5160" t="s">
        <v>2405</v>
      </c>
      <c r="H122" s="5162"/>
      <c r="I122" s="5160" t="s">
        <v>2406</v>
      </c>
      <c r="J122" s="5162"/>
      <c r="K122" s="5161" t="s">
        <v>2407</v>
      </c>
      <c r="L122" s="5161"/>
      <c r="M122" s="5160" t="s">
        <v>2408</v>
      </c>
      <c r="N122" s="5162"/>
      <c r="O122" s="6208" t="s">
        <v>2409</v>
      </c>
      <c r="P122" s="6208"/>
      <c r="Q122" s="6413" t="s">
        <v>2410</v>
      </c>
      <c r="R122" s="6209"/>
      <c r="S122" s="6208" t="s">
        <v>2411</v>
      </c>
      <c r="T122" s="6208"/>
      <c r="U122" s="6413" t="s">
        <v>663</v>
      </c>
      <c r="V122" s="6209"/>
      <c r="W122" s="6208" t="s">
        <v>664</v>
      </c>
      <c r="X122" s="6208"/>
      <c r="Y122" s="6413" t="s">
        <v>665</v>
      </c>
      <c r="Z122" s="6209"/>
      <c r="AA122" s="6208" t="s">
        <v>666</v>
      </c>
      <c r="AB122" s="6208"/>
      <c r="AC122" s="6413" t="s">
        <v>667</v>
      </c>
      <c r="AD122" s="6209"/>
      <c r="AE122" s="6208" t="s">
        <v>668</v>
      </c>
      <c r="AF122" s="6208"/>
      <c r="AG122" s="6413" t="s">
        <v>669</v>
      </c>
      <c r="AH122" s="6209"/>
      <c r="AI122" s="6208" t="s">
        <v>670</v>
      </c>
      <c r="AJ122" s="6208"/>
      <c r="AK122" s="5165" t="s">
        <v>2412</v>
      </c>
      <c r="AL122" s="6213"/>
      <c r="AM122" s="5416"/>
      <c r="CH122" s="1020"/>
      <c r="CI122" s="1020"/>
      <c r="CJ122" s="1020"/>
      <c r="CK122" s="1020"/>
      <c r="CL122" s="1020"/>
      <c r="CM122" s="1020"/>
      <c r="CN122" s="1020"/>
    </row>
    <row r="123" spans="1:92" ht="16.350000000000001" customHeight="1" x14ac:dyDescent="0.2">
      <c r="B123" s="6408"/>
      <c r="C123" s="6410"/>
      <c r="D123" s="2155" t="s">
        <v>184</v>
      </c>
      <c r="E123" s="2156" t="s">
        <v>24</v>
      </c>
      <c r="F123" s="2157" t="s">
        <v>25</v>
      </c>
      <c r="G123" s="1598" t="s">
        <v>24</v>
      </c>
      <c r="H123" s="1913" t="s">
        <v>25</v>
      </c>
      <c r="I123" s="1598" t="s">
        <v>24</v>
      </c>
      <c r="J123" s="1913" t="s">
        <v>25</v>
      </c>
      <c r="K123" s="1600" t="s">
        <v>24</v>
      </c>
      <c r="L123" s="2014" t="s">
        <v>25</v>
      </c>
      <c r="M123" s="1598" t="s">
        <v>24</v>
      </c>
      <c r="N123" s="1913" t="s">
        <v>25</v>
      </c>
      <c r="O123" s="1600" t="s">
        <v>24</v>
      </c>
      <c r="P123" s="2014" t="s">
        <v>25</v>
      </c>
      <c r="Q123" s="1598" t="s">
        <v>24</v>
      </c>
      <c r="R123" s="1913" t="s">
        <v>25</v>
      </c>
      <c r="S123" s="1600" t="s">
        <v>24</v>
      </c>
      <c r="T123" s="2014" t="s">
        <v>25</v>
      </c>
      <c r="U123" s="1598" t="s">
        <v>24</v>
      </c>
      <c r="V123" s="1913" t="s">
        <v>25</v>
      </c>
      <c r="W123" s="1600" t="s">
        <v>24</v>
      </c>
      <c r="X123" s="2014" t="s">
        <v>25</v>
      </c>
      <c r="Y123" s="1598" t="s">
        <v>24</v>
      </c>
      <c r="Z123" s="1913" t="s">
        <v>25</v>
      </c>
      <c r="AA123" s="1600" t="s">
        <v>24</v>
      </c>
      <c r="AB123" s="2014" t="s">
        <v>25</v>
      </c>
      <c r="AC123" s="1598" t="s">
        <v>24</v>
      </c>
      <c r="AD123" s="1913" t="s">
        <v>25</v>
      </c>
      <c r="AE123" s="1600" t="s">
        <v>24</v>
      </c>
      <c r="AF123" s="2014" t="s">
        <v>25</v>
      </c>
      <c r="AG123" s="1598" t="s">
        <v>24</v>
      </c>
      <c r="AH123" s="1913" t="s">
        <v>25</v>
      </c>
      <c r="AI123" s="1600" t="s">
        <v>24</v>
      </c>
      <c r="AJ123" s="2014" t="s">
        <v>25</v>
      </c>
      <c r="AK123" s="1598" t="s">
        <v>24</v>
      </c>
      <c r="AL123" s="1914" t="s">
        <v>25</v>
      </c>
      <c r="AM123" s="5417"/>
      <c r="CH123" s="1020"/>
      <c r="CI123" s="1020"/>
      <c r="CJ123" s="1020"/>
      <c r="CK123" s="1020"/>
      <c r="CL123" s="1020"/>
      <c r="CM123" s="1020"/>
      <c r="CN123" s="1020"/>
    </row>
    <row r="124" spans="1:92" ht="16.350000000000001" customHeight="1" x14ac:dyDescent="0.2">
      <c r="A124" s="2458" t="s">
        <v>3693</v>
      </c>
      <c r="B124" s="1834" t="s">
        <v>2467</v>
      </c>
      <c r="C124" s="1833"/>
      <c r="D124" s="3070" t="s">
        <v>2777</v>
      </c>
      <c r="E124" s="3086" t="s">
        <v>2778</v>
      </c>
      <c r="F124" s="3047" t="s">
        <v>2779</v>
      </c>
      <c r="G124" s="3307" t="s">
        <v>2780</v>
      </c>
      <c r="H124" s="3295" t="s">
        <v>2781</v>
      </c>
      <c r="I124" s="3307" t="s">
        <v>2782</v>
      </c>
      <c r="J124" s="3308" t="s">
        <v>2783</v>
      </c>
      <c r="K124" s="3326" t="s">
        <v>2784</v>
      </c>
      <c r="L124" s="3327" t="s">
        <v>2785</v>
      </c>
      <c r="M124" s="3307" t="s">
        <v>2786</v>
      </c>
      <c r="N124" s="3308" t="s">
        <v>2787</v>
      </c>
      <c r="O124" s="3326" t="s">
        <v>2788</v>
      </c>
      <c r="P124" s="3327" t="s">
        <v>2789</v>
      </c>
      <c r="Q124" s="3307" t="s">
        <v>2790</v>
      </c>
      <c r="R124" s="3308" t="s">
        <v>2791</v>
      </c>
      <c r="S124" s="3326" t="s">
        <v>2792</v>
      </c>
      <c r="T124" s="3327" t="s">
        <v>2793</v>
      </c>
      <c r="U124" s="3307" t="s">
        <v>2794</v>
      </c>
      <c r="V124" s="3308" t="s">
        <v>2795</v>
      </c>
      <c r="W124" s="3326" t="s">
        <v>2796</v>
      </c>
      <c r="X124" s="3327" t="s">
        <v>2797</v>
      </c>
      <c r="Y124" s="3307" t="s">
        <v>2798</v>
      </c>
      <c r="Z124" s="3308" t="s">
        <v>2799</v>
      </c>
      <c r="AA124" s="3326" t="s">
        <v>2800</v>
      </c>
      <c r="AB124" s="3327" t="s">
        <v>2801</v>
      </c>
      <c r="AC124" s="3307" t="s">
        <v>2817</v>
      </c>
      <c r="AD124" s="3308" t="s">
        <v>2818</v>
      </c>
      <c r="AE124" s="3326" t="s">
        <v>2819</v>
      </c>
      <c r="AF124" s="3327" t="s">
        <v>2821</v>
      </c>
      <c r="AG124" s="3309" t="s">
        <v>2822</v>
      </c>
      <c r="AH124" s="3308" t="s">
        <v>2823</v>
      </c>
      <c r="AI124" s="3326" t="s">
        <v>2824</v>
      </c>
      <c r="AJ124" s="3327" t="s">
        <v>2825</v>
      </c>
      <c r="AK124" s="3309" t="s">
        <v>2826</v>
      </c>
      <c r="AL124" s="3310" t="s">
        <v>2827</v>
      </c>
      <c r="AM124" s="3295" t="s">
        <v>2831</v>
      </c>
      <c r="AN124" s="79"/>
      <c r="CH124" s="1020"/>
      <c r="CI124" s="1020"/>
      <c r="CJ124" s="1020"/>
      <c r="CK124" s="1020"/>
      <c r="CL124" s="1020"/>
      <c r="CM124" s="1020"/>
      <c r="CN124" s="1020"/>
    </row>
    <row r="125" spans="1:92" ht="16.350000000000001" customHeight="1" x14ac:dyDescent="0.2">
      <c r="A125" s="2458">
        <v>23044500</v>
      </c>
      <c r="B125" s="2158" t="s">
        <v>2468</v>
      </c>
      <c r="C125" s="2159"/>
      <c r="D125" s="3427" t="s">
        <v>2777</v>
      </c>
      <c r="E125" s="3428" t="s">
        <v>2778</v>
      </c>
      <c r="F125" s="3047" t="s">
        <v>2779</v>
      </c>
      <c r="G125" s="2901" t="s">
        <v>2780</v>
      </c>
      <c r="H125" s="2902" t="s">
        <v>2781</v>
      </c>
      <c r="I125" s="2901" t="s">
        <v>2782</v>
      </c>
      <c r="J125" s="3323" t="s">
        <v>2783</v>
      </c>
      <c r="K125" s="3015" t="s">
        <v>2784</v>
      </c>
      <c r="L125" s="3332" t="s">
        <v>2785</v>
      </c>
      <c r="M125" s="3012" t="s">
        <v>2786</v>
      </c>
      <c r="N125" s="3014" t="s">
        <v>2787</v>
      </c>
      <c r="O125" s="3015" t="s">
        <v>2788</v>
      </c>
      <c r="P125" s="3332" t="s">
        <v>2789</v>
      </c>
      <c r="Q125" s="3012" t="s">
        <v>2790</v>
      </c>
      <c r="R125" s="3014" t="s">
        <v>2791</v>
      </c>
      <c r="S125" s="3015" t="s">
        <v>2792</v>
      </c>
      <c r="T125" s="3332" t="s">
        <v>2793</v>
      </c>
      <c r="U125" s="3012" t="s">
        <v>2794</v>
      </c>
      <c r="V125" s="3014" t="s">
        <v>2795</v>
      </c>
      <c r="W125" s="3015" t="s">
        <v>2796</v>
      </c>
      <c r="X125" s="3332" t="s">
        <v>2797</v>
      </c>
      <c r="Y125" s="3012" t="s">
        <v>2798</v>
      </c>
      <c r="Z125" s="3014" t="s">
        <v>2799</v>
      </c>
      <c r="AA125" s="3015" t="s">
        <v>2800</v>
      </c>
      <c r="AB125" s="3332" t="s">
        <v>2801</v>
      </c>
      <c r="AC125" s="3012" t="s">
        <v>2817</v>
      </c>
      <c r="AD125" s="3014" t="s">
        <v>2818</v>
      </c>
      <c r="AE125" s="3015" t="s">
        <v>2819</v>
      </c>
      <c r="AF125" s="3332" t="s">
        <v>2821</v>
      </c>
      <c r="AG125" s="3429" t="s">
        <v>2822</v>
      </c>
      <c r="AH125" s="3014" t="s">
        <v>2823</v>
      </c>
      <c r="AI125" s="3015" t="s">
        <v>2824</v>
      </c>
      <c r="AJ125" s="3332" t="s">
        <v>2825</v>
      </c>
      <c r="AK125" s="3429" t="s">
        <v>2826</v>
      </c>
      <c r="AL125" s="3017" t="s">
        <v>2827</v>
      </c>
      <c r="AM125" s="2902" t="s">
        <v>2831</v>
      </c>
      <c r="AN125" s="79"/>
      <c r="CH125" s="1020"/>
      <c r="CI125" s="1020"/>
      <c r="CJ125" s="1020"/>
      <c r="CK125" s="1020"/>
      <c r="CL125" s="1020"/>
      <c r="CM125" s="1020"/>
      <c r="CN125" s="1020"/>
    </row>
    <row r="126" spans="1:92" ht="16.350000000000001" customHeight="1" x14ac:dyDescent="0.2">
      <c r="A126" s="2458">
        <v>23044600</v>
      </c>
      <c r="B126" s="2158" t="s">
        <v>2469</v>
      </c>
      <c r="C126" s="2159"/>
      <c r="D126" s="3427" t="s">
        <v>2777</v>
      </c>
      <c r="E126" s="3428" t="s">
        <v>2778</v>
      </c>
      <c r="F126" s="3047" t="s">
        <v>2779</v>
      </c>
      <c r="G126" s="3311" t="s">
        <v>2780</v>
      </c>
      <c r="H126" s="3312" t="s">
        <v>2781</v>
      </c>
      <c r="I126" s="2901" t="s">
        <v>2782</v>
      </c>
      <c r="J126" s="3323" t="s">
        <v>2783</v>
      </c>
      <c r="K126" s="3329" t="s">
        <v>2784</v>
      </c>
      <c r="L126" s="3330" t="s">
        <v>2785</v>
      </c>
      <c r="M126" s="2901" t="s">
        <v>2786</v>
      </c>
      <c r="N126" s="3323" t="s">
        <v>2787</v>
      </c>
      <c r="O126" s="3329" t="s">
        <v>2788</v>
      </c>
      <c r="P126" s="3330" t="s">
        <v>2789</v>
      </c>
      <c r="Q126" s="2901" t="s">
        <v>2790</v>
      </c>
      <c r="R126" s="3323" t="s">
        <v>2791</v>
      </c>
      <c r="S126" s="3329" t="s">
        <v>2792</v>
      </c>
      <c r="T126" s="3330" t="s">
        <v>2793</v>
      </c>
      <c r="U126" s="2901" t="s">
        <v>2794</v>
      </c>
      <c r="V126" s="3323" t="s">
        <v>2795</v>
      </c>
      <c r="W126" s="3329" t="s">
        <v>2796</v>
      </c>
      <c r="X126" s="3330" t="s">
        <v>2797</v>
      </c>
      <c r="Y126" s="2901" t="s">
        <v>2798</v>
      </c>
      <c r="Z126" s="3323" t="s">
        <v>2799</v>
      </c>
      <c r="AA126" s="3329" t="s">
        <v>2800</v>
      </c>
      <c r="AB126" s="3330" t="s">
        <v>2801</v>
      </c>
      <c r="AC126" s="2901" t="s">
        <v>2817</v>
      </c>
      <c r="AD126" s="3323" t="s">
        <v>2818</v>
      </c>
      <c r="AE126" s="3329" t="s">
        <v>2819</v>
      </c>
      <c r="AF126" s="3330" t="s">
        <v>2821</v>
      </c>
      <c r="AG126" s="3324" t="s">
        <v>2822</v>
      </c>
      <c r="AH126" s="3323" t="s">
        <v>2823</v>
      </c>
      <c r="AI126" s="3329" t="s">
        <v>2824</v>
      </c>
      <c r="AJ126" s="3330" t="s">
        <v>2825</v>
      </c>
      <c r="AK126" s="3324" t="s">
        <v>2826</v>
      </c>
      <c r="AL126" s="3325" t="s">
        <v>2827</v>
      </c>
      <c r="AM126" s="2902" t="s">
        <v>2831</v>
      </c>
      <c r="AN126" s="79"/>
      <c r="CH126" s="1020"/>
      <c r="CI126" s="1020"/>
      <c r="CJ126" s="1020"/>
      <c r="CK126" s="1020"/>
      <c r="CL126" s="1020"/>
      <c r="CM126" s="1020"/>
      <c r="CN126" s="1020"/>
    </row>
    <row r="127" spans="1:92" ht="16.350000000000001" customHeight="1" x14ac:dyDescent="0.2">
      <c r="A127" s="2458">
        <v>23044700</v>
      </c>
      <c r="B127" s="2158" t="s">
        <v>276</v>
      </c>
      <c r="C127" s="2159"/>
      <c r="D127" s="3427" t="s">
        <v>2777</v>
      </c>
      <c r="E127" s="3428" t="s">
        <v>2778</v>
      </c>
      <c r="F127" s="3047" t="s">
        <v>2779</v>
      </c>
      <c r="G127" s="2901" t="s">
        <v>2780</v>
      </c>
      <c r="H127" s="2902" t="s">
        <v>2781</v>
      </c>
      <c r="I127" s="2901" t="s">
        <v>2782</v>
      </c>
      <c r="J127" s="3323" t="s">
        <v>2783</v>
      </c>
      <c r="K127" s="3329" t="s">
        <v>2784</v>
      </c>
      <c r="L127" s="3330" t="s">
        <v>2785</v>
      </c>
      <c r="M127" s="2901" t="s">
        <v>2786</v>
      </c>
      <c r="N127" s="3323" t="s">
        <v>2787</v>
      </c>
      <c r="O127" s="3329" t="s">
        <v>2788</v>
      </c>
      <c r="P127" s="3330" t="s">
        <v>2789</v>
      </c>
      <c r="Q127" s="2901" t="s">
        <v>2790</v>
      </c>
      <c r="R127" s="3323" t="s">
        <v>2791</v>
      </c>
      <c r="S127" s="3329" t="s">
        <v>2792</v>
      </c>
      <c r="T127" s="3330" t="s">
        <v>2793</v>
      </c>
      <c r="U127" s="2901" t="s">
        <v>2794</v>
      </c>
      <c r="V127" s="3323" t="s">
        <v>2795</v>
      </c>
      <c r="W127" s="3329" t="s">
        <v>2796</v>
      </c>
      <c r="X127" s="3330" t="s">
        <v>2797</v>
      </c>
      <c r="Y127" s="2901" t="s">
        <v>2798</v>
      </c>
      <c r="Z127" s="3323" t="s">
        <v>2799</v>
      </c>
      <c r="AA127" s="3329" t="s">
        <v>2800</v>
      </c>
      <c r="AB127" s="3330" t="s">
        <v>2801</v>
      </c>
      <c r="AC127" s="2901" t="s">
        <v>2817</v>
      </c>
      <c r="AD127" s="3323" t="s">
        <v>2818</v>
      </c>
      <c r="AE127" s="3329" t="s">
        <v>2819</v>
      </c>
      <c r="AF127" s="3330" t="s">
        <v>2821</v>
      </c>
      <c r="AG127" s="3324" t="s">
        <v>2822</v>
      </c>
      <c r="AH127" s="3323" t="s">
        <v>2823</v>
      </c>
      <c r="AI127" s="3329" t="s">
        <v>2824</v>
      </c>
      <c r="AJ127" s="3330" t="s">
        <v>2825</v>
      </c>
      <c r="AK127" s="3324" t="s">
        <v>2826</v>
      </c>
      <c r="AL127" s="3325" t="s">
        <v>2827</v>
      </c>
      <c r="AM127" s="2902" t="s">
        <v>2831</v>
      </c>
      <c r="AN127" s="79"/>
      <c r="CH127" s="1020"/>
      <c r="CI127" s="1020"/>
      <c r="CJ127" s="1020"/>
      <c r="CK127" s="1020"/>
      <c r="CL127" s="1020"/>
      <c r="CM127" s="1020"/>
      <c r="CN127" s="1020"/>
    </row>
    <row r="128" spans="1:92" ht="16.350000000000001" customHeight="1" x14ac:dyDescent="0.2">
      <c r="A128" s="2458">
        <v>23044800</v>
      </c>
      <c r="B128" s="2158" t="s">
        <v>2470</v>
      </c>
      <c r="C128" s="2159"/>
      <c r="D128" s="3427" t="s">
        <v>2777</v>
      </c>
      <c r="E128" s="3428" t="s">
        <v>2778</v>
      </c>
      <c r="F128" s="3047" t="s">
        <v>2779</v>
      </c>
      <c r="G128" s="3012" t="s">
        <v>2780</v>
      </c>
      <c r="H128" s="3013" t="s">
        <v>2781</v>
      </c>
      <c r="I128" s="3012" t="s">
        <v>2782</v>
      </c>
      <c r="J128" s="3014" t="s">
        <v>2783</v>
      </c>
      <c r="K128" s="3015" t="s">
        <v>2784</v>
      </c>
      <c r="L128" s="3332" t="s">
        <v>2785</v>
      </c>
      <c r="M128" s="3012" t="s">
        <v>2786</v>
      </c>
      <c r="N128" s="3014" t="s">
        <v>2787</v>
      </c>
      <c r="O128" s="3015" t="s">
        <v>2788</v>
      </c>
      <c r="P128" s="3332" t="s">
        <v>2789</v>
      </c>
      <c r="Q128" s="3012" t="s">
        <v>2790</v>
      </c>
      <c r="R128" s="3014" t="s">
        <v>2791</v>
      </c>
      <c r="S128" s="3015" t="s">
        <v>2792</v>
      </c>
      <c r="T128" s="3332" t="s">
        <v>2793</v>
      </c>
      <c r="U128" s="2901" t="s">
        <v>2794</v>
      </c>
      <c r="V128" s="3323" t="s">
        <v>2795</v>
      </c>
      <c r="W128" s="3329" t="s">
        <v>2796</v>
      </c>
      <c r="X128" s="3330" t="s">
        <v>2797</v>
      </c>
      <c r="Y128" s="2901" t="s">
        <v>2798</v>
      </c>
      <c r="Z128" s="3323" t="s">
        <v>2799</v>
      </c>
      <c r="AA128" s="3329" t="s">
        <v>2800</v>
      </c>
      <c r="AB128" s="3330" t="s">
        <v>2801</v>
      </c>
      <c r="AC128" s="2901" t="s">
        <v>2817</v>
      </c>
      <c r="AD128" s="3323" t="s">
        <v>2818</v>
      </c>
      <c r="AE128" s="3329" t="s">
        <v>2819</v>
      </c>
      <c r="AF128" s="3330" t="s">
        <v>2821</v>
      </c>
      <c r="AG128" s="3324" t="s">
        <v>2822</v>
      </c>
      <c r="AH128" s="3323" t="s">
        <v>2823</v>
      </c>
      <c r="AI128" s="3329" t="s">
        <v>2824</v>
      </c>
      <c r="AJ128" s="3330" t="s">
        <v>2825</v>
      </c>
      <c r="AK128" s="3324" t="s">
        <v>2826</v>
      </c>
      <c r="AL128" s="3325" t="s">
        <v>2827</v>
      </c>
      <c r="AM128" s="2902" t="s">
        <v>2831</v>
      </c>
      <c r="AN128" s="79"/>
      <c r="CH128" s="1020"/>
      <c r="CI128" s="1020"/>
      <c r="CJ128" s="1020"/>
      <c r="CK128" s="1020"/>
      <c r="CL128" s="1020"/>
      <c r="CM128" s="1020"/>
      <c r="CN128" s="1020"/>
    </row>
    <row r="129" spans="1:92" ht="16.350000000000001" customHeight="1" x14ac:dyDescent="0.2">
      <c r="A129" s="2458">
        <v>23044900</v>
      </c>
      <c r="B129" s="2160" t="s">
        <v>279</v>
      </c>
      <c r="C129" s="2161"/>
      <c r="D129" s="3427" t="s">
        <v>2777</v>
      </c>
      <c r="E129" s="3428" t="s">
        <v>2778</v>
      </c>
      <c r="F129" s="3047" t="s">
        <v>2779</v>
      </c>
      <c r="G129" s="2905" t="s">
        <v>2780</v>
      </c>
      <c r="H129" s="2906" t="s">
        <v>2781</v>
      </c>
      <c r="I129" s="2905" t="s">
        <v>2782</v>
      </c>
      <c r="J129" s="3316" t="s">
        <v>2783</v>
      </c>
      <c r="K129" s="3333" t="s">
        <v>2784</v>
      </c>
      <c r="L129" s="3334" t="s">
        <v>2785</v>
      </c>
      <c r="M129" s="2905" t="s">
        <v>2786</v>
      </c>
      <c r="N129" s="3316" t="s">
        <v>2787</v>
      </c>
      <c r="O129" s="3333" t="s">
        <v>2788</v>
      </c>
      <c r="P129" s="3334" t="s">
        <v>2789</v>
      </c>
      <c r="Q129" s="2905" t="s">
        <v>2790</v>
      </c>
      <c r="R129" s="3316" t="s">
        <v>2791</v>
      </c>
      <c r="S129" s="3333" t="s">
        <v>2792</v>
      </c>
      <c r="T129" s="3334" t="s">
        <v>2793</v>
      </c>
      <c r="U129" s="2905" t="s">
        <v>2794</v>
      </c>
      <c r="V129" s="3316" t="s">
        <v>2795</v>
      </c>
      <c r="W129" s="3333" t="s">
        <v>2796</v>
      </c>
      <c r="X129" s="3334" t="s">
        <v>2797</v>
      </c>
      <c r="Y129" s="2905" t="s">
        <v>2798</v>
      </c>
      <c r="Z129" s="3316" t="s">
        <v>2799</v>
      </c>
      <c r="AA129" s="3333" t="s">
        <v>2800</v>
      </c>
      <c r="AB129" s="3334" t="s">
        <v>2801</v>
      </c>
      <c r="AC129" s="2905" t="s">
        <v>2817</v>
      </c>
      <c r="AD129" s="3316" t="s">
        <v>2818</v>
      </c>
      <c r="AE129" s="3333" t="s">
        <v>2819</v>
      </c>
      <c r="AF129" s="3334" t="s">
        <v>2821</v>
      </c>
      <c r="AG129" s="3317" t="s">
        <v>2822</v>
      </c>
      <c r="AH129" s="3316" t="s">
        <v>2823</v>
      </c>
      <c r="AI129" s="3333" t="s">
        <v>2824</v>
      </c>
      <c r="AJ129" s="3334" t="s">
        <v>2825</v>
      </c>
      <c r="AK129" s="3317" t="s">
        <v>2826</v>
      </c>
      <c r="AL129" s="3318" t="s">
        <v>2827</v>
      </c>
      <c r="AM129" s="2906" t="s">
        <v>2831</v>
      </c>
      <c r="AN129" s="79"/>
      <c r="CH129" s="1020"/>
      <c r="CI129" s="1020"/>
      <c r="CJ129" s="1020"/>
      <c r="CK129" s="1020"/>
      <c r="CL129" s="1020"/>
      <c r="CM129" s="1020"/>
      <c r="CN129" s="1020"/>
    </row>
    <row r="130" spans="1:92" ht="16.350000000000001" customHeight="1" x14ac:dyDescent="0.2">
      <c r="A130" s="2527"/>
      <c r="B130" s="6437" t="s">
        <v>42</v>
      </c>
      <c r="C130" s="6471"/>
      <c r="D130" s="2162">
        <f t="shared" ref="D130:AL130" si="5">SUM(D124:D129)</f>
        <v>0</v>
      </c>
      <c r="E130" s="2163">
        <f t="shared" si="5"/>
        <v>0</v>
      </c>
      <c r="F130" s="2164">
        <f t="shared" si="5"/>
        <v>0</v>
      </c>
      <c r="G130" s="2162">
        <f>SUM(G124:G129)</f>
        <v>0</v>
      </c>
      <c r="H130" s="2164">
        <f t="shared" si="5"/>
        <v>0</v>
      </c>
      <c r="I130" s="2162">
        <f>SUM(I124:I129)</f>
        <v>0</v>
      </c>
      <c r="J130" s="2164">
        <f t="shared" si="5"/>
        <v>0</v>
      </c>
      <c r="K130" s="2165">
        <f t="shared" si="5"/>
        <v>0</v>
      </c>
      <c r="L130" s="2166">
        <f t="shared" si="5"/>
        <v>0</v>
      </c>
      <c r="M130" s="2162">
        <f t="shared" si="5"/>
        <v>0</v>
      </c>
      <c r="N130" s="2167">
        <f t="shared" si="5"/>
        <v>0</v>
      </c>
      <c r="O130" s="2165">
        <f t="shared" si="5"/>
        <v>0</v>
      </c>
      <c r="P130" s="2167">
        <f t="shared" si="5"/>
        <v>0</v>
      </c>
      <c r="Q130" s="2165">
        <f t="shared" si="5"/>
        <v>0</v>
      </c>
      <c r="R130" s="2167">
        <f t="shared" si="5"/>
        <v>0</v>
      </c>
      <c r="S130" s="2165">
        <f t="shared" si="5"/>
        <v>0</v>
      </c>
      <c r="T130" s="2166">
        <f t="shared" si="5"/>
        <v>0</v>
      </c>
      <c r="U130" s="2162">
        <f t="shared" si="5"/>
        <v>0</v>
      </c>
      <c r="V130" s="2167">
        <f t="shared" si="5"/>
        <v>0</v>
      </c>
      <c r="W130" s="2165">
        <f t="shared" si="5"/>
        <v>0</v>
      </c>
      <c r="X130" s="2166">
        <f t="shared" si="5"/>
        <v>0</v>
      </c>
      <c r="Y130" s="2162">
        <f t="shared" si="5"/>
        <v>0</v>
      </c>
      <c r="Z130" s="2167">
        <f t="shared" si="5"/>
        <v>0</v>
      </c>
      <c r="AA130" s="2165">
        <f t="shared" si="5"/>
        <v>0</v>
      </c>
      <c r="AB130" s="2166">
        <f t="shared" si="5"/>
        <v>0</v>
      </c>
      <c r="AC130" s="2162">
        <f t="shared" si="5"/>
        <v>0</v>
      </c>
      <c r="AD130" s="2167">
        <f t="shared" si="5"/>
        <v>0</v>
      </c>
      <c r="AE130" s="2165">
        <f t="shared" si="5"/>
        <v>0</v>
      </c>
      <c r="AF130" s="2166">
        <f t="shared" si="5"/>
        <v>0</v>
      </c>
      <c r="AG130" s="2162">
        <f t="shared" si="5"/>
        <v>0</v>
      </c>
      <c r="AH130" s="2167">
        <f t="shared" si="5"/>
        <v>0</v>
      </c>
      <c r="AI130" s="2165">
        <f t="shared" si="5"/>
        <v>0</v>
      </c>
      <c r="AJ130" s="2166">
        <f t="shared" si="5"/>
        <v>0</v>
      </c>
      <c r="AK130" s="2168">
        <f t="shared" si="5"/>
        <v>0</v>
      </c>
      <c r="AL130" s="2169">
        <f t="shared" si="5"/>
        <v>0</v>
      </c>
      <c r="AM130" s="2164">
        <f>SUM(AM124:AM129)</f>
        <v>0</v>
      </c>
      <c r="CH130" s="1020"/>
      <c r="CI130" s="1020"/>
      <c r="CJ130" s="1020"/>
      <c r="CK130" s="1020"/>
      <c r="CL130" s="1020"/>
      <c r="CM130" s="1020"/>
      <c r="CN130" s="1020"/>
    </row>
    <row r="131" spans="1:92" ht="32.1" customHeight="1" x14ac:dyDescent="0.2">
      <c r="B131" s="324" t="s">
        <v>2471</v>
      </c>
      <c r="C131" s="470"/>
      <c r="D131" s="470"/>
      <c r="E131" s="470"/>
      <c r="F131" s="526"/>
      <c r="G131" s="526"/>
      <c r="H131" s="526"/>
      <c r="I131" s="526"/>
      <c r="J131" s="526"/>
      <c r="K131" s="526"/>
      <c r="L131" s="526"/>
      <c r="M131" s="205"/>
      <c r="N131" s="205"/>
      <c r="O131" s="205"/>
      <c r="P131" s="331"/>
      <c r="Q131" s="190"/>
      <c r="R131" s="190"/>
      <c r="S131" s="190"/>
      <c r="T131" s="190"/>
      <c r="U131" s="190"/>
      <c r="V131" s="190"/>
      <c r="W131" s="190"/>
      <c r="CH131" s="1020"/>
      <c r="CI131" s="1020"/>
      <c r="CJ131" s="1020"/>
      <c r="CK131" s="1020"/>
      <c r="CL131" s="1020"/>
      <c r="CM131" s="1020"/>
      <c r="CN131" s="1020"/>
    </row>
    <row r="132" spans="1:92" ht="32.1" customHeight="1" x14ac:dyDescent="0.2">
      <c r="B132" s="308" t="s">
        <v>2472</v>
      </c>
      <c r="C132" s="190"/>
      <c r="D132" s="190"/>
      <c r="E132" s="190"/>
      <c r="F132" s="190"/>
      <c r="G132" s="190"/>
      <c r="H132" s="526"/>
      <c r="I132" s="526"/>
      <c r="J132" s="526"/>
      <c r="K132" s="526"/>
      <c r="L132" s="526"/>
      <c r="M132" s="205"/>
      <c r="N132" s="205"/>
      <c r="O132" s="205"/>
      <c r="P132" s="331"/>
      <c r="CH132" s="1020"/>
      <c r="CI132" s="1020"/>
      <c r="CJ132" s="1020"/>
      <c r="CK132" s="1020"/>
      <c r="CL132" s="1020"/>
      <c r="CM132" s="1020"/>
      <c r="CN132" s="1020"/>
    </row>
    <row r="133" spans="1:92" ht="29.25" customHeight="1" x14ac:dyDescent="0.2">
      <c r="B133" s="6501" t="s">
        <v>674</v>
      </c>
      <c r="C133" s="6502"/>
      <c r="D133" s="6503"/>
      <c r="E133" s="1931" t="s">
        <v>42</v>
      </c>
      <c r="F133" s="1597" t="s">
        <v>2446</v>
      </c>
      <c r="G133" s="1918" t="s">
        <v>2447</v>
      </c>
      <c r="H133" s="526"/>
      <c r="I133" s="526"/>
      <c r="J133" s="526"/>
      <c r="K133" s="526"/>
      <c r="L133" s="526"/>
      <c r="M133" s="526"/>
      <c r="N133" s="526"/>
      <c r="O133" s="526"/>
      <c r="P133" s="526"/>
      <c r="Q133" s="526"/>
      <c r="R133" s="526"/>
      <c r="S133" s="526"/>
      <c r="CH133" s="1020"/>
      <c r="CI133" s="1020"/>
      <c r="CJ133" s="1020"/>
      <c r="CK133" s="1020"/>
      <c r="CL133" s="1020"/>
      <c r="CM133" s="1020"/>
      <c r="CN133" s="1020"/>
    </row>
    <row r="134" spans="1:92" ht="16.350000000000001" customHeight="1" x14ac:dyDescent="0.2">
      <c r="A134" s="2458">
        <v>23090590</v>
      </c>
      <c r="B134" s="6491" t="s">
        <v>2473</v>
      </c>
      <c r="C134" s="6492"/>
      <c r="D134" s="6493"/>
      <c r="E134" s="1922" t="s">
        <v>2777</v>
      </c>
      <c r="F134" s="273" t="s">
        <v>2778</v>
      </c>
      <c r="G134" s="467" t="s">
        <v>2779</v>
      </c>
      <c r="H134" s="526"/>
      <c r="I134" s="526"/>
      <c r="J134" s="526"/>
      <c r="K134" s="526"/>
      <c r="L134" s="526"/>
      <c r="M134" s="526"/>
      <c r="N134" s="526"/>
      <c r="O134" s="526"/>
      <c r="P134" s="526"/>
      <c r="Q134" s="526"/>
      <c r="R134" s="526"/>
      <c r="S134" s="526"/>
      <c r="CH134" s="1020"/>
      <c r="CI134" s="1020"/>
      <c r="CJ134" s="1020"/>
      <c r="CK134" s="1020"/>
      <c r="CL134" s="1020"/>
      <c r="CM134" s="1020"/>
      <c r="CN134" s="1020"/>
    </row>
    <row r="135" spans="1:92" ht="16.350000000000001" customHeight="1" x14ac:dyDescent="0.2">
      <c r="A135" s="2458">
        <v>23090600</v>
      </c>
      <c r="B135" s="5313" t="s">
        <v>731</v>
      </c>
      <c r="C135" s="5302"/>
      <c r="D135" s="5303"/>
      <c r="E135" s="466" t="s">
        <v>2777</v>
      </c>
      <c r="F135" s="182" t="s">
        <v>2778</v>
      </c>
      <c r="G135" s="240" t="s">
        <v>2779</v>
      </c>
      <c r="H135" s="526"/>
      <c r="I135" s="526"/>
      <c r="J135" s="526"/>
      <c r="K135" s="526"/>
      <c r="L135" s="526"/>
      <c r="M135" s="526"/>
      <c r="N135" s="526"/>
      <c r="O135" s="526"/>
      <c r="P135" s="526"/>
      <c r="Q135" s="526"/>
      <c r="R135" s="526"/>
      <c r="S135" s="526"/>
      <c r="CH135" s="1020"/>
      <c r="CI135" s="1020"/>
      <c r="CJ135" s="1020"/>
      <c r="CK135" s="1020"/>
      <c r="CL135" s="1020"/>
      <c r="CM135" s="1020"/>
      <c r="CN135" s="1020"/>
    </row>
    <row r="136" spans="1:92" ht="16.350000000000001" customHeight="1" x14ac:dyDescent="0.2">
      <c r="A136" s="2458">
        <v>23090620</v>
      </c>
      <c r="B136" s="6494" t="s">
        <v>2474</v>
      </c>
      <c r="C136" s="6495"/>
      <c r="D136" s="6496"/>
      <c r="E136" s="466" t="s">
        <v>2777</v>
      </c>
      <c r="F136" s="182" t="s">
        <v>2778</v>
      </c>
      <c r="G136" s="240" t="s">
        <v>2779</v>
      </c>
      <c r="H136" s="526"/>
      <c r="I136" s="526"/>
      <c r="J136" s="526"/>
      <c r="K136" s="526"/>
      <c r="L136" s="526"/>
      <c r="M136" s="526"/>
      <c r="N136" s="526"/>
      <c r="O136" s="526"/>
      <c r="P136" s="526"/>
      <c r="Q136" s="526"/>
      <c r="R136" s="526"/>
      <c r="S136" s="526"/>
      <c r="CH136" s="1020"/>
      <c r="CI136" s="1020"/>
      <c r="CJ136" s="1020"/>
      <c r="CK136" s="1020"/>
      <c r="CL136" s="1020"/>
      <c r="CM136" s="1020"/>
      <c r="CN136" s="1020"/>
    </row>
    <row r="137" spans="1:92" ht="16.350000000000001" customHeight="1" x14ac:dyDescent="0.2">
      <c r="A137" s="2458">
        <v>23045000</v>
      </c>
      <c r="B137" s="5313" t="s">
        <v>2689</v>
      </c>
      <c r="C137" s="5302"/>
      <c r="D137" s="5303"/>
      <c r="E137" s="466" t="s">
        <v>2777</v>
      </c>
      <c r="F137" s="182" t="s">
        <v>2778</v>
      </c>
      <c r="G137" s="240" t="s">
        <v>2779</v>
      </c>
      <c r="H137" s="526"/>
      <c r="I137" s="526"/>
      <c r="J137" s="526"/>
      <c r="K137" s="526"/>
      <c r="L137" s="526"/>
      <c r="M137" s="526"/>
      <c r="N137" s="526"/>
      <c r="O137" s="526"/>
      <c r="P137" s="526"/>
      <c r="Q137" s="526"/>
      <c r="R137" s="526"/>
      <c r="S137" s="526"/>
      <c r="CH137" s="1020"/>
      <c r="CI137" s="1020"/>
      <c r="CJ137" s="1020"/>
      <c r="CK137" s="1020"/>
      <c r="CL137" s="1020"/>
      <c r="CM137" s="1020"/>
      <c r="CN137" s="1020"/>
    </row>
    <row r="138" spans="1:92" ht="16.350000000000001" customHeight="1" x14ac:dyDescent="0.2">
      <c r="A138" s="2458">
        <v>23045100</v>
      </c>
      <c r="B138" s="6497" t="s">
        <v>2475</v>
      </c>
      <c r="C138" s="6146"/>
      <c r="D138" s="6147"/>
      <c r="E138" s="466" t="s">
        <v>2777</v>
      </c>
      <c r="F138" s="182" t="s">
        <v>2778</v>
      </c>
      <c r="G138" s="240" t="s">
        <v>2779</v>
      </c>
      <c r="H138" s="526"/>
      <c r="I138" s="526"/>
      <c r="J138" s="526"/>
      <c r="K138" s="526"/>
      <c r="L138" s="526"/>
      <c r="M138" s="526"/>
      <c r="N138" s="526"/>
      <c r="O138" s="526"/>
      <c r="P138" s="526"/>
      <c r="Q138" s="526"/>
      <c r="R138" s="526"/>
      <c r="S138" s="526"/>
      <c r="CH138" s="1020"/>
      <c r="CI138" s="1020"/>
      <c r="CJ138" s="1020"/>
      <c r="CK138" s="1020"/>
      <c r="CL138" s="1020"/>
      <c r="CM138" s="1020"/>
      <c r="CN138" s="1020"/>
    </row>
    <row r="139" spans="1:92" ht="16.350000000000001" customHeight="1" x14ac:dyDescent="0.2">
      <c r="A139" s="2458">
        <v>23090630</v>
      </c>
      <c r="B139" s="6498" t="s">
        <v>109</v>
      </c>
      <c r="C139" s="6499"/>
      <c r="D139" s="6500"/>
      <c r="E139" s="466" t="s">
        <v>2777</v>
      </c>
      <c r="F139" s="182" t="s">
        <v>2778</v>
      </c>
      <c r="G139" s="240" t="s">
        <v>2779</v>
      </c>
      <c r="H139" s="526"/>
      <c r="I139" s="526"/>
      <c r="J139" s="526"/>
      <c r="K139" s="526"/>
      <c r="L139" s="526"/>
      <c r="M139" s="526"/>
      <c r="N139" s="526"/>
      <c r="O139" s="526"/>
      <c r="P139" s="526"/>
      <c r="Q139" s="526"/>
      <c r="R139" s="526"/>
      <c r="S139" s="526"/>
      <c r="CH139" s="1020"/>
      <c r="CI139" s="1020"/>
      <c r="CJ139" s="1020"/>
      <c r="CK139" s="1020"/>
      <c r="CL139" s="1020"/>
      <c r="CM139" s="1020"/>
      <c r="CN139" s="1020"/>
    </row>
    <row r="140" spans="1:92" ht="16.350000000000001" customHeight="1" x14ac:dyDescent="0.2">
      <c r="A140" s="2527"/>
      <c r="B140" s="6512" t="s">
        <v>42</v>
      </c>
      <c r="C140" s="6513"/>
      <c r="D140" s="6514"/>
      <c r="E140" s="1807">
        <f>SUM(E134:E139)</f>
        <v>0</v>
      </c>
      <c r="F140" s="1810">
        <f>SUM(F134:F139)</f>
        <v>0</v>
      </c>
      <c r="G140" s="1807">
        <f>SUM(G134:G139)</f>
        <v>0</v>
      </c>
      <c r="H140" s="526"/>
      <c r="I140" s="526"/>
      <c r="J140" s="526"/>
      <c r="K140" s="526"/>
      <c r="L140" s="526"/>
      <c r="M140" s="526"/>
      <c r="N140" s="526"/>
      <c r="O140" s="526"/>
      <c r="P140" s="526"/>
      <c r="Q140" s="526"/>
      <c r="R140" s="526"/>
      <c r="S140" s="526"/>
      <c r="CH140" s="1020"/>
      <c r="CI140" s="1020"/>
      <c r="CJ140" s="1020"/>
      <c r="CK140" s="1020"/>
      <c r="CL140" s="1020"/>
      <c r="CM140" s="1020"/>
      <c r="CN140" s="1020"/>
    </row>
    <row r="141" spans="1:92" ht="32.1" customHeight="1" x14ac:dyDescent="0.2">
      <c r="B141" s="324" t="s">
        <v>2476</v>
      </c>
      <c r="C141" s="470"/>
      <c r="D141" s="470"/>
      <c r="E141" s="470"/>
      <c r="F141" s="526"/>
      <c r="G141" s="526"/>
      <c r="H141" s="526"/>
      <c r="I141" s="526"/>
      <c r="J141" s="526"/>
      <c r="K141" s="526"/>
      <c r="L141" s="526"/>
      <c r="M141" s="205"/>
      <c r="N141" s="205"/>
      <c r="O141" s="205"/>
      <c r="P141" s="331"/>
      <c r="CH141" s="1020"/>
      <c r="CI141" s="1020"/>
      <c r="CJ141" s="1020"/>
      <c r="CK141" s="1020"/>
      <c r="CL141" s="1020"/>
      <c r="CM141" s="1020"/>
      <c r="CN141" s="1020"/>
    </row>
    <row r="142" spans="1:92" ht="36" customHeight="1" x14ac:dyDescent="0.2">
      <c r="B142" s="6515" t="s">
        <v>674</v>
      </c>
      <c r="C142" s="6515"/>
      <c r="D142" s="6515"/>
      <c r="E142" s="1815" t="s">
        <v>2477</v>
      </c>
      <c r="F142" s="1814" t="s">
        <v>2478</v>
      </c>
      <c r="G142" s="1814" t="s">
        <v>675</v>
      </c>
      <c r="H142" s="2256" t="s">
        <v>2125</v>
      </c>
      <c r="I142" s="881"/>
      <c r="J142" s="881"/>
      <c r="K142" s="881"/>
      <c r="L142" s="881"/>
      <c r="M142" s="881"/>
      <c r="N142" s="881"/>
      <c r="O142" s="881"/>
      <c r="P142" s="881"/>
      <c r="Q142" s="94"/>
      <c r="R142" s="94"/>
      <c r="S142" s="94"/>
      <c r="T142" s="94"/>
      <c r="U142" s="94"/>
      <c r="V142" s="94"/>
      <c r="W142" s="94"/>
      <c r="X142" s="94"/>
      <c r="CH142" s="1020"/>
      <c r="CI142" s="1020"/>
      <c r="CJ142" s="1020"/>
      <c r="CK142" s="1020"/>
      <c r="CL142" s="1020"/>
      <c r="CM142" s="1020"/>
      <c r="CN142" s="1020"/>
    </row>
    <row r="143" spans="1:92" ht="16.350000000000001" customHeight="1" x14ac:dyDescent="0.2">
      <c r="A143" s="2458">
        <v>23045200</v>
      </c>
      <c r="B143" s="6506" t="s">
        <v>2689</v>
      </c>
      <c r="C143" s="6507" t="s">
        <v>2479</v>
      </c>
      <c r="D143" s="6508"/>
      <c r="E143" s="3307" t="s">
        <v>2777</v>
      </c>
      <c r="F143" s="3430" t="s">
        <v>2778</v>
      </c>
      <c r="G143" s="3430" t="s">
        <v>2779</v>
      </c>
      <c r="H143" s="3295" t="s">
        <v>2780</v>
      </c>
      <c r="I143" s="1057"/>
      <c r="J143" s="1058"/>
      <c r="K143" s="1058"/>
      <c r="L143" s="1058"/>
      <c r="M143" s="1058"/>
      <c r="N143" s="1058"/>
      <c r="O143" s="1058"/>
      <c r="P143" s="1058"/>
      <c r="Q143" s="1058"/>
      <c r="R143" s="1058"/>
      <c r="S143" s="1058"/>
      <c r="T143" s="1058"/>
      <c r="U143" s="881"/>
      <c r="V143" s="881"/>
      <c r="W143" s="94"/>
      <c r="X143" s="94"/>
      <c r="CH143" s="1020">
        <v>0</v>
      </c>
      <c r="CI143" s="1020"/>
      <c r="CJ143" s="1020"/>
      <c r="CK143" s="1020"/>
      <c r="CL143" s="1020"/>
      <c r="CM143" s="1020"/>
      <c r="CN143" s="1020"/>
    </row>
    <row r="144" spans="1:92" ht="16.350000000000001" customHeight="1" x14ac:dyDescent="0.2">
      <c r="A144" s="2458">
        <v>23045300</v>
      </c>
      <c r="B144" s="5983"/>
      <c r="C144" s="6509" t="s">
        <v>2480</v>
      </c>
      <c r="D144" s="5961"/>
      <c r="E144" s="2901" t="s">
        <v>2777</v>
      </c>
      <c r="F144" s="3431" t="s">
        <v>2778</v>
      </c>
      <c r="G144" s="3431" t="s">
        <v>2779</v>
      </c>
      <c r="H144" s="2902" t="s">
        <v>2780</v>
      </c>
      <c r="I144" s="1057"/>
      <c r="J144" s="1058"/>
      <c r="K144" s="1058"/>
      <c r="L144" s="1058"/>
      <c r="M144" s="1058"/>
      <c r="N144" s="1058"/>
      <c r="O144" s="1058"/>
      <c r="P144" s="1058"/>
      <c r="Q144" s="1058"/>
      <c r="R144" s="1058"/>
      <c r="S144" s="1058"/>
      <c r="T144" s="1058"/>
      <c r="U144" s="881"/>
      <c r="V144" s="881"/>
      <c r="W144" s="94"/>
      <c r="X144" s="94"/>
      <c r="CH144" s="1020">
        <v>0</v>
      </c>
      <c r="CI144" s="1020"/>
      <c r="CJ144" s="1020"/>
      <c r="CK144" s="1020"/>
      <c r="CL144" s="1020"/>
      <c r="CM144" s="1020"/>
      <c r="CN144" s="1020"/>
    </row>
    <row r="145" spans="1:105" ht="16.350000000000001" customHeight="1" x14ac:dyDescent="0.2">
      <c r="A145" s="2458">
        <v>23045400</v>
      </c>
      <c r="B145" s="5983"/>
      <c r="C145" s="6509" t="s">
        <v>661</v>
      </c>
      <c r="D145" s="5961"/>
      <c r="E145" s="2901" t="s">
        <v>2777</v>
      </c>
      <c r="F145" s="3431" t="s">
        <v>2778</v>
      </c>
      <c r="G145" s="3431" t="s">
        <v>2779</v>
      </c>
      <c r="H145" s="2902" t="s">
        <v>2780</v>
      </c>
      <c r="I145" s="1057"/>
      <c r="J145" s="1058"/>
      <c r="K145" s="1058"/>
      <c r="L145" s="1058"/>
      <c r="M145" s="1058"/>
      <c r="N145" s="1058"/>
      <c r="O145" s="1058"/>
      <c r="P145" s="1058"/>
      <c r="Q145" s="1058"/>
      <c r="R145" s="1058"/>
      <c r="S145" s="1058"/>
      <c r="T145" s="1058"/>
      <c r="U145" s="881"/>
      <c r="V145" s="881"/>
      <c r="W145" s="94"/>
      <c r="X145" s="94"/>
      <c r="CH145" s="1020">
        <v>0</v>
      </c>
      <c r="CI145" s="1020"/>
      <c r="CJ145" s="1020"/>
      <c r="CK145" s="1020"/>
      <c r="CL145" s="1020"/>
      <c r="CM145" s="1020"/>
      <c r="CN145" s="1020"/>
    </row>
    <row r="146" spans="1:105" ht="16.350000000000001" customHeight="1" x14ac:dyDescent="0.2">
      <c r="A146" s="2458">
        <v>23045500</v>
      </c>
      <c r="B146" s="5996"/>
      <c r="C146" s="6510" t="s">
        <v>2481</v>
      </c>
      <c r="D146" s="6511"/>
      <c r="E146" s="3398" t="s">
        <v>2777</v>
      </c>
      <c r="F146" s="3432" t="s">
        <v>2778</v>
      </c>
      <c r="G146" s="3432" t="s">
        <v>2779</v>
      </c>
      <c r="H146" s="3304" t="s">
        <v>2780</v>
      </c>
      <c r="I146" s="1057"/>
      <c r="J146" s="1058"/>
      <c r="K146" s="1058"/>
      <c r="L146" s="1058"/>
      <c r="M146" s="1058"/>
      <c r="N146" s="1058"/>
      <c r="O146" s="1058"/>
      <c r="P146" s="1058"/>
      <c r="Q146" s="1058"/>
      <c r="R146" s="1058"/>
      <c r="S146" s="1058"/>
      <c r="T146" s="1058"/>
      <c r="U146" s="881"/>
      <c r="V146" s="881"/>
      <c r="W146" s="94"/>
      <c r="X146" s="94"/>
      <c r="CH146" s="1020">
        <v>0</v>
      </c>
      <c r="CI146" s="1020"/>
      <c r="CJ146" s="1020"/>
      <c r="CK146" s="1020"/>
      <c r="CL146" s="1020"/>
      <c r="CM146" s="1020"/>
      <c r="CN146" s="1020"/>
    </row>
    <row r="147" spans="1:105" ht="16.350000000000001" customHeight="1" x14ac:dyDescent="0.2">
      <c r="A147" s="2458">
        <v>23045600</v>
      </c>
      <c r="B147" s="2170" t="s">
        <v>2690</v>
      </c>
      <c r="C147" s="6504" t="s">
        <v>2482</v>
      </c>
      <c r="D147" s="6505"/>
      <c r="E147" s="3384" t="s">
        <v>2777</v>
      </c>
      <c r="F147" s="3433" t="s">
        <v>2778</v>
      </c>
      <c r="G147" s="3433" t="s">
        <v>2779</v>
      </c>
      <c r="H147" s="3385" t="s">
        <v>2780</v>
      </c>
      <c r="I147" s="1057"/>
      <c r="J147" s="1058"/>
      <c r="K147" s="1058"/>
      <c r="L147" s="1058"/>
      <c r="M147" s="1058"/>
      <c r="N147" s="1058"/>
      <c r="O147" s="1058"/>
      <c r="P147" s="1058"/>
      <c r="Q147" s="1058"/>
      <c r="R147" s="1058"/>
      <c r="S147" s="1058"/>
      <c r="T147" s="1058"/>
      <c r="U147" s="881"/>
      <c r="V147" s="881"/>
      <c r="W147" s="94"/>
      <c r="X147" s="94"/>
      <c r="CH147" s="1020">
        <v>0</v>
      </c>
      <c r="CI147" s="1020"/>
      <c r="CJ147" s="1020"/>
      <c r="CK147" s="1020"/>
      <c r="CL147" s="1020"/>
      <c r="CM147" s="1020"/>
      <c r="CN147" s="1020"/>
    </row>
    <row r="148" spans="1:105" ht="16.350000000000001" customHeight="1" x14ac:dyDescent="0.2">
      <c r="A148" s="2458">
        <v>23045700</v>
      </c>
      <c r="B148" s="6506" t="s">
        <v>2473</v>
      </c>
      <c r="C148" s="6507" t="s">
        <v>2479</v>
      </c>
      <c r="D148" s="6508"/>
      <c r="E148" s="3287" t="s">
        <v>2777</v>
      </c>
      <c r="F148" s="3434" t="s">
        <v>2778</v>
      </c>
      <c r="G148" s="3434" t="s">
        <v>2779</v>
      </c>
      <c r="H148" s="3288" t="s">
        <v>2780</v>
      </c>
      <c r="I148" s="1057"/>
      <c r="J148" s="1058"/>
      <c r="K148" s="1058"/>
      <c r="L148" s="1058"/>
      <c r="M148" s="1058"/>
      <c r="N148" s="1058"/>
      <c r="O148" s="1058"/>
      <c r="P148" s="1058"/>
      <c r="Q148" s="1058"/>
      <c r="R148" s="1058"/>
      <c r="S148" s="1058"/>
      <c r="T148" s="1058"/>
      <c r="U148" s="881"/>
      <c r="V148" s="881"/>
      <c r="W148" s="94"/>
      <c r="X148" s="94"/>
      <c r="CH148" s="1020">
        <v>0</v>
      </c>
      <c r="CI148" s="1020"/>
      <c r="CJ148" s="1020"/>
      <c r="CK148" s="1020"/>
      <c r="CL148" s="1020"/>
      <c r="CM148" s="1020"/>
      <c r="CN148" s="1020"/>
    </row>
    <row r="149" spans="1:105" ht="16.350000000000001" customHeight="1" x14ac:dyDescent="0.2">
      <c r="A149" s="2458">
        <v>23045800</v>
      </c>
      <c r="B149" s="5983"/>
      <c r="C149" s="6509" t="s">
        <v>2480</v>
      </c>
      <c r="D149" s="5961"/>
      <c r="E149" s="2901" t="s">
        <v>2777</v>
      </c>
      <c r="F149" s="3431" t="s">
        <v>2778</v>
      </c>
      <c r="G149" s="3431" t="s">
        <v>2779</v>
      </c>
      <c r="H149" s="2902" t="s">
        <v>2780</v>
      </c>
      <c r="I149" s="1057"/>
      <c r="J149" s="1058"/>
      <c r="K149" s="1058"/>
      <c r="L149" s="1058"/>
      <c r="M149" s="1058"/>
      <c r="N149" s="1058"/>
      <c r="O149" s="1058"/>
      <c r="P149" s="1058"/>
      <c r="Q149" s="1058"/>
      <c r="R149" s="1058"/>
      <c r="S149" s="1058"/>
      <c r="T149" s="1058"/>
      <c r="U149" s="881"/>
      <c r="V149" s="881"/>
      <c r="W149" s="94"/>
      <c r="X149" s="94"/>
      <c r="CH149" s="1020">
        <v>0</v>
      </c>
      <c r="CI149" s="1020"/>
      <c r="CJ149" s="1020"/>
      <c r="CK149" s="1020"/>
      <c r="CL149" s="1020"/>
      <c r="CM149" s="1020"/>
      <c r="CN149" s="1020"/>
    </row>
    <row r="150" spans="1:105" ht="16.350000000000001" customHeight="1" x14ac:dyDescent="0.2">
      <c r="A150" s="2458">
        <v>23045900</v>
      </c>
      <c r="B150" s="5983"/>
      <c r="C150" s="6509" t="s">
        <v>661</v>
      </c>
      <c r="D150" s="5961"/>
      <c r="E150" s="2901" t="s">
        <v>2777</v>
      </c>
      <c r="F150" s="3431" t="s">
        <v>2778</v>
      </c>
      <c r="G150" s="3431" t="s">
        <v>2779</v>
      </c>
      <c r="H150" s="2902" t="s">
        <v>2780</v>
      </c>
      <c r="I150" s="1057"/>
      <c r="J150" s="1058"/>
      <c r="K150" s="1058"/>
      <c r="L150" s="1058"/>
      <c r="M150" s="1058"/>
      <c r="N150" s="1058"/>
      <c r="O150" s="1058"/>
      <c r="P150" s="1058"/>
      <c r="Q150" s="1058"/>
      <c r="R150" s="1058"/>
      <c r="S150" s="1058"/>
      <c r="T150" s="1058"/>
      <c r="U150" s="881"/>
      <c r="V150" s="881"/>
      <c r="W150" s="94"/>
      <c r="X150" s="94"/>
      <c r="CH150" s="1020">
        <v>0</v>
      </c>
      <c r="CI150" s="1020"/>
      <c r="CJ150" s="1020"/>
      <c r="CK150" s="1020"/>
      <c r="CL150" s="1020"/>
      <c r="CM150" s="1020"/>
      <c r="CN150" s="1020"/>
    </row>
    <row r="151" spans="1:105" ht="16.350000000000001" customHeight="1" x14ac:dyDescent="0.2">
      <c r="A151" s="2458">
        <v>23046000</v>
      </c>
      <c r="B151" s="5996"/>
      <c r="C151" s="6510" t="s">
        <v>2481</v>
      </c>
      <c r="D151" s="6511"/>
      <c r="E151" s="2905" t="s">
        <v>2777</v>
      </c>
      <c r="F151" s="3435" t="s">
        <v>2778</v>
      </c>
      <c r="G151" s="3435" t="s">
        <v>2779</v>
      </c>
      <c r="H151" s="2906" t="s">
        <v>2780</v>
      </c>
      <c r="I151" s="1057"/>
      <c r="J151" s="1058"/>
      <c r="K151" s="1058"/>
      <c r="L151" s="1058"/>
      <c r="M151" s="1058"/>
      <c r="N151" s="1058"/>
      <c r="O151" s="1058"/>
      <c r="P151" s="1058"/>
      <c r="Q151" s="1058"/>
      <c r="R151" s="1058"/>
      <c r="S151" s="1058"/>
      <c r="T151" s="1058"/>
      <c r="U151" s="881"/>
      <c r="V151" s="881"/>
      <c r="W151" s="94"/>
      <c r="X151" s="94"/>
      <c r="CH151" s="1020">
        <v>0</v>
      </c>
      <c r="CI151" s="1020"/>
      <c r="CJ151" s="1020"/>
      <c r="CK151" s="1020"/>
      <c r="CL151" s="1020"/>
      <c r="CM151" s="1020"/>
      <c r="CN151" s="1020"/>
    </row>
    <row r="152" spans="1:105" ht="16.350000000000001" customHeight="1" x14ac:dyDescent="0.2">
      <c r="A152" s="2527"/>
      <c r="B152" s="6516" t="s">
        <v>42</v>
      </c>
      <c r="C152" s="6517"/>
      <c r="D152" s="6518"/>
      <c r="E152" s="2171">
        <f>SUM(E143:E151)</f>
        <v>0</v>
      </c>
      <c r="F152" s="2172">
        <f>SUM(F143:F151)</f>
        <v>0</v>
      </c>
      <c r="G152" s="2172">
        <f>SUM(G143:G151)</f>
        <v>0</v>
      </c>
      <c r="H152" s="1475">
        <f>SUM(H143:H151)</f>
        <v>0</v>
      </c>
      <c r="I152" s="924"/>
      <c r="J152" s="881"/>
      <c r="K152" s="881"/>
      <c r="L152" s="881"/>
      <c r="M152" s="881"/>
      <c r="N152" s="881"/>
      <c r="O152" s="881"/>
      <c r="P152" s="881"/>
      <c r="Q152" s="881"/>
      <c r="R152" s="881"/>
      <c r="S152" s="881"/>
      <c r="T152" s="881"/>
      <c r="U152" s="881"/>
      <c r="V152" s="881"/>
      <c r="W152" s="94"/>
      <c r="X152" s="94"/>
      <c r="CH152" s="1020"/>
      <c r="CI152" s="1020"/>
      <c r="CJ152" s="1020"/>
      <c r="CK152" s="1020"/>
      <c r="CL152" s="1020"/>
      <c r="CM152" s="1020"/>
      <c r="CN152" s="1020"/>
    </row>
    <row r="153" spans="1:105" ht="32.1" customHeight="1" x14ac:dyDescent="0.2">
      <c r="B153" s="767" t="s">
        <v>2483</v>
      </c>
      <c r="C153" s="470"/>
      <c r="D153" s="470"/>
      <c r="E153" s="470"/>
      <c r="F153" s="526"/>
      <c r="G153" s="526"/>
      <c r="H153" s="331"/>
      <c r="I153" s="2173"/>
      <c r="J153" s="881"/>
      <c r="K153" s="2173"/>
      <c r="L153" s="1080"/>
      <c r="M153" s="1080"/>
      <c r="N153" s="1080"/>
      <c r="O153" s="935"/>
      <c r="P153" s="881"/>
      <c r="Q153" s="881"/>
      <c r="R153" s="881"/>
      <c r="S153" s="881"/>
      <c r="T153" s="881"/>
      <c r="U153" s="881"/>
      <c r="V153" s="881"/>
      <c r="W153" s="94"/>
      <c r="X153" s="94"/>
      <c r="CH153" s="1020"/>
      <c r="CI153" s="1020"/>
      <c r="CJ153" s="1020"/>
      <c r="CK153" s="1020"/>
      <c r="CL153" s="1020"/>
      <c r="CM153" s="1020"/>
      <c r="CN153" s="1020"/>
    </row>
    <row r="154" spans="1:105" ht="18" customHeight="1" x14ac:dyDescent="0.2">
      <c r="B154" s="6519" t="s">
        <v>676</v>
      </c>
      <c r="C154" s="6520"/>
      <c r="D154" s="6522" t="s">
        <v>42</v>
      </c>
      <c r="E154" s="6522"/>
      <c r="F154" s="6523"/>
      <c r="G154" s="6526" t="s">
        <v>5</v>
      </c>
      <c r="H154" s="6527"/>
      <c r="I154" s="6527"/>
      <c r="J154" s="6527"/>
      <c r="K154" s="6527"/>
      <c r="L154" s="6527"/>
      <c r="M154" s="6527"/>
      <c r="N154" s="6527"/>
      <c r="O154" s="6527"/>
      <c r="P154" s="6527"/>
      <c r="Q154" s="6527"/>
      <c r="R154" s="6527"/>
      <c r="S154" s="6527"/>
      <c r="T154" s="6527"/>
      <c r="U154" s="6527"/>
      <c r="V154" s="6527"/>
      <c r="W154" s="6527"/>
      <c r="X154" s="6527"/>
      <c r="Y154" s="6527"/>
      <c r="Z154" s="6527"/>
      <c r="AA154" s="6527"/>
      <c r="AB154" s="6527"/>
      <c r="AC154" s="6527"/>
      <c r="AD154" s="6527"/>
      <c r="AE154" s="6527"/>
      <c r="AF154" s="6527"/>
      <c r="AG154" s="6527"/>
      <c r="AH154" s="6527"/>
      <c r="AI154" s="6527"/>
      <c r="AJ154" s="6527"/>
      <c r="AK154" s="6527"/>
      <c r="AL154" s="6528"/>
      <c r="BZ154" s="80"/>
      <c r="CA154" s="80"/>
      <c r="CB154" s="79"/>
      <c r="CC154" s="79"/>
      <c r="CJ154" s="1020"/>
      <c r="CK154" s="1020"/>
      <c r="CL154" s="1020"/>
      <c r="CM154" s="1020"/>
      <c r="CN154" s="1020"/>
      <c r="CO154" s="1020"/>
      <c r="CP154" s="1020"/>
    </row>
    <row r="155" spans="1:105" ht="15" customHeight="1" x14ac:dyDescent="0.2">
      <c r="B155" s="6521"/>
      <c r="C155" s="5860"/>
      <c r="D155" s="6524"/>
      <c r="E155" s="6524"/>
      <c r="F155" s="6525"/>
      <c r="G155" s="6234" t="s">
        <v>2405</v>
      </c>
      <c r="H155" s="6237"/>
      <c r="I155" s="6235" t="s">
        <v>2406</v>
      </c>
      <c r="J155" s="6235"/>
      <c r="K155" s="6234" t="s">
        <v>2407</v>
      </c>
      <c r="L155" s="6237"/>
      <c r="M155" s="6235" t="s">
        <v>2408</v>
      </c>
      <c r="N155" s="6235"/>
      <c r="O155" s="6234" t="s">
        <v>2409</v>
      </c>
      <c r="P155" s="6237"/>
      <c r="Q155" s="6263" t="s">
        <v>2410</v>
      </c>
      <c r="R155" s="6263"/>
      <c r="S155" s="6529" t="s">
        <v>2411</v>
      </c>
      <c r="T155" s="6264"/>
      <c r="U155" s="6529" t="s">
        <v>663</v>
      </c>
      <c r="V155" s="6264"/>
      <c r="W155" s="6263" t="s">
        <v>664</v>
      </c>
      <c r="X155" s="6263"/>
      <c r="Y155" s="6529" t="s">
        <v>665</v>
      </c>
      <c r="Z155" s="6264"/>
      <c r="AA155" s="6263" t="s">
        <v>666</v>
      </c>
      <c r="AB155" s="6263"/>
      <c r="AC155" s="6529" t="s">
        <v>667</v>
      </c>
      <c r="AD155" s="6264"/>
      <c r="AE155" s="6263" t="s">
        <v>668</v>
      </c>
      <c r="AF155" s="6263"/>
      <c r="AG155" s="6529" t="s">
        <v>669</v>
      </c>
      <c r="AH155" s="6264"/>
      <c r="AI155" s="6263" t="s">
        <v>670</v>
      </c>
      <c r="AJ155" s="6263"/>
      <c r="AK155" s="6529" t="s">
        <v>2412</v>
      </c>
      <c r="AL155" s="6264"/>
      <c r="BZ155" s="80"/>
      <c r="CA155" s="80"/>
      <c r="CB155" s="79"/>
      <c r="CC155" s="79"/>
      <c r="CJ155" s="1020"/>
      <c r="CK155" s="1020"/>
      <c r="CL155" s="1020"/>
      <c r="CM155" s="1020"/>
      <c r="CN155" s="1020"/>
      <c r="CO155" s="1020"/>
      <c r="CP155" s="1020"/>
    </row>
    <row r="156" spans="1:105" ht="15.75" customHeight="1" x14ac:dyDescent="0.2">
      <c r="B156" s="2174"/>
      <c r="C156" s="2175"/>
      <c r="D156" s="2176" t="s">
        <v>184</v>
      </c>
      <c r="E156" s="2177" t="s">
        <v>24</v>
      </c>
      <c r="F156" s="2178" t="s">
        <v>25</v>
      </c>
      <c r="G156" s="2179" t="s">
        <v>24</v>
      </c>
      <c r="H156" s="2180" t="s">
        <v>25</v>
      </c>
      <c r="I156" s="2179" t="s">
        <v>24</v>
      </c>
      <c r="J156" s="2180" t="s">
        <v>25</v>
      </c>
      <c r="K156" s="2179" t="s">
        <v>24</v>
      </c>
      <c r="L156" s="2180" t="s">
        <v>25</v>
      </c>
      <c r="M156" s="2179" t="s">
        <v>24</v>
      </c>
      <c r="N156" s="2180" t="s">
        <v>25</v>
      </c>
      <c r="O156" s="2179" t="s">
        <v>24</v>
      </c>
      <c r="P156" s="2180" t="s">
        <v>25</v>
      </c>
      <c r="Q156" s="2179" t="s">
        <v>24</v>
      </c>
      <c r="R156" s="2180" t="s">
        <v>25</v>
      </c>
      <c r="S156" s="2179" t="s">
        <v>24</v>
      </c>
      <c r="T156" s="2180" t="s">
        <v>25</v>
      </c>
      <c r="U156" s="2179" t="s">
        <v>24</v>
      </c>
      <c r="V156" s="2180" t="s">
        <v>25</v>
      </c>
      <c r="W156" s="2179" t="s">
        <v>24</v>
      </c>
      <c r="X156" s="2180" t="s">
        <v>25</v>
      </c>
      <c r="Y156" s="2179" t="s">
        <v>24</v>
      </c>
      <c r="Z156" s="2180" t="s">
        <v>25</v>
      </c>
      <c r="AA156" s="2179" t="s">
        <v>24</v>
      </c>
      <c r="AB156" s="2180" t="s">
        <v>25</v>
      </c>
      <c r="AC156" s="2179" t="s">
        <v>24</v>
      </c>
      <c r="AD156" s="2180" t="s">
        <v>25</v>
      </c>
      <c r="AE156" s="2179" t="s">
        <v>24</v>
      </c>
      <c r="AF156" s="2180" t="s">
        <v>25</v>
      </c>
      <c r="AG156" s="2179" t="s">
        <v>24</v>
      </c>
      <c r="AH156" s="2180" t="s">
        <v>25</v>
      </c>
      <c r="AI156" s="2179" t="s">
        <v>24</v>
      </c>
      <c r="AJ156" s="2180" t="s">
        <v>25</v>
      </c>
      <c r="AK156" s="2179" t="s">
        <v>24</v>
      </c>
      <c r="AL156" s="1936" t="s">
        <v>25</v>
      </c>
      <c r="BZ156" s="80"/>
      <c r="CA156" s="80"/>
      <c r="CB156" s="79"/>
      <c r="CC156" s="79"/>
      <c r="CJ156" s="1020"/>
      <c r="CK156" s="1020"/>
      <c r="CL156" s="1020"/>
      <c r="CM156" s="1020"/>
      <c r="CN156" s="1020"/>
      <c r="CO156" s="1020"/>
      <c r="CP156" s="1020"/>
    </row>
    <row r="157" spans="1:105" ht="16.350000000000001" customHeight="1" x14ac:dyDescent="0.2">
      <c r="A157" s="2458">
        <v>23090690</v>
      </c>
      <c r="B157" s="6530" t="s">
        <v>2484</v>
      </c>
      <c r="C157" s="6530"/>
      <c r="D157" s="3048" t="s">
        <v>2777</v>
      </c>
      <c r="E157" s="3436" t="s">
        <v>2778</v>
      </c>
      <c r="F157" s="3437" t="s">
        <v>2779</v>
      </c>
      <c r="G157" s="3438" t="s">
        <v>2780</v>
      </c>
      <c r="H157" s="3439" t="s">
        <v>2781</v>
      </c>
      <c r="I157" s="3438" t="s">
        <v>2782</v>
      </c>
      <c r="J157" s="3439" t="s">
        <v>2783</v>
      </c>
      <c r="K157" s="3438" t="s">
        <v>2784</v>
      </c>
      <c r="L157" s="3439" t="s">
        <v>2785</v>
      </c>
      <c r="M157" s="3438" t="s">
        <v>2786</v>
      </c>
      <c r="N157" s="3439" t="s">
        <v>2787</v>
      </c>
      <c r="O157" s="3438" t="s">
        <v>2788</v>
      </c>
      <c r="P157" s="3439" t="s">
        <v>2789</v>
      </c>
      <c r="Q157" s="3438" t="s">
        <v>2790</v>
      </c>
      <c r="R157" s="3439" t="s">
        <v>2791</v>
      </c>
      <c r="S157" s="3438" t="s">
        <v>2792</v>
      </c>
      <c r="T157" s="3439" t="s">
        <v>2793</v>
      </c>
      <c r="U157" s="3438" t="s">
        <v>2794</v>
      </c>
      <c r="V157" s="3439" t="s">
        <v>2795</v>
      </c>
      <c r="W157" s="3438" t="s">
        <v>2796</v>
      </c>
      <c r="X157" s="3439" t="s">
        <v>2797</v>
      </c>
      <c r="Y157" s="3438" t="s">
        <v>2798</v>
      </c>
      <c r="Z157" s="3439" t="s">
        <v>2799</v>
      </c>
      <c r="AA157" s="3438" t="s">
        <v>2800</v>
      </c>
      <c r="AB157" s="3439" t="s">
        <v>2801</v>
      </c>
      <c r="AC157" s="3438" t="s">
        <v>2817</v>
      </c>
      <c r="AD157" s="3439" t="s">
        <v>2818</v>
      </c>
      <c r="AE157" s="3438" t="s">
        <v>2819</v>
      </c>
      <c r="AF157" s="3439" t="s">
        <v>2821</v>
      </c>
      <c r="AG157" s="3438" t="s">
        <v>2822</v>
      </c>
      <c r="AH157" s="3439" t="s">
        <v>2823</v>
      </c>
      <c r="AI157" s="3438" t="s">
        <v>2824</v>
      </c>
      <c r="AJ157" s="3439" t="s">
        <v>2825</v>
      </c>
      <c r="AK157" s="3440" t="s">
        <v>2826</v>
      </c>
      <c r="AL157" s="3439" t="s">
        <v>2827</v>
      </c>
      <c r="AM157" s="79"/>
      <c r="BY157" s="79"/>
      <c r="CA157" s="889"/>
      <c r="CG157" s="1020"/>
      <c r="CH157" s="1020"/>
      <c r="CI157" s="1020"/>
      <c r="CJ157" s="1020"/>
      <c r="CK157" s="1020"/>
      <c r="CL157" s="1020"/>
      <c r="CM157" s="1020"/>
      <c r="DA157" s="79"/>
    </row>
    <row r="158" spans="1:105" ht="16.350000000000001" customHeight="1" x14ac:dyDescent="0.2">
      <c r="A158" s="2458">
        <v>23090700</v>
      </c>
      <c r="B158" s="6531" t="s">
        <v>2485</v>
      </c>
      <c r="C158" s="6532"/>
      <c r="D158" s="3441" t="s">
        <v>2777</v>
      </c>
      <c r="E158" s="3442" t="s">
        <v>2778</v>
      </c>
      <c r="F158" s="3443" t="s">
        <v>2779</v>
      </c>
      <c r="G158" s="3444" t="s">
        <v>2780</v>
      </c>
      <c r="H158" s="3445" t="s">
        <v>2781</v>
      </c>
      <c r="I158" s="3444" t="s">
        <v>2782</v>
      </c>
      <c r="J158" s="3445" t="s">
        <v>2783</v>
      </c>
      <c r="K158" s="3444" t="s">
        <v>2784</v>
      </c>
      <c r="L158" s="3445" t="s">
        <v>2785</v>
      </c>
      <c r="M158" s="3444" t="s">
        <v>2786</v>
      </c>
      <c r="N158" s="3445" t="s">
        <v>2787</v>
      </c>
      <c r="O158" s="3444" t="s">
        <v>2788</v>
      </c>
      <c r="P158" s="3445" t="s">
        <v>2789</v>
      </c>
      <c r="Q158" s="3444" t="s">
        <v>2790</v>
      </c>
      <c r="R158" s="3445" t="s">
        <v>2791</v>
      </c>
      <c r="S158" s="3444" t="s">
        <v>2792</v>
      </c>
      <c r="T158" s="3445" t="s">
        <v>2793</v>
      </c>
      <c r="U158" s="3444" t="s">
        <v>2794</v>
      </c>
      <c r="V158" s="3445" t="s">
        <v>2795</v>
      </c>
      <c r="W158" s="3444" t="s">
        <v>2796</v>
      </c>
      <c r="X158" s="3445" t="s">
        <v>2797</v>
      </c>
      <c r="Y158" s="3444" t="s">
        <v>2798</v>
      </c>
      <c r="Z158" s="3445" t="s">
        <v>2799</v>
      </c>
      <c r="AA158" s="3444" t="s">
        <v>2800</v>
      </c>
      <c r="AB158" s="3445" t="s">
        <v>2801</v>
      </c>
      <c r="AC158" s="3444" t="s">
        <v>2817</v>
      </c>
      <c r="AD158" s="3445" t="s">
        <v>2818</v>
      </c>
      <c r="AE158" s="3444" t="s">
        <v>2819</v>
      </c>
      <c r="AF158" s="3445" t="s">
        <v>2821</v>
      </c>
      <c r="AG158" s="3444" t="s">
        <v>2822</v>
      </c>
      <c r="AH158" s="3445" t="s">
        <v>2823</v>
      </c>
      <c r="AI158" s="3444" t="s">
        <v>2824</v>
      </c>
      <c r="AJ158" s="3445" t="s">
        <v>2825</v>
      </c>
      <c r="AK158" s="3444" t="s">
        <v>2826</v>
      </c>
      <c r="AL158" s="3445" t="s">
        <v>2827</v>
      </c>
      <c r="AM158" s="79"/>
      <c r="BY158" s="79"/>
      <c r="CA158" s="889"/>
      <c r="CG158" s="1020"/>
      <c r="CH158" s="1020"/>
      <c r="CI158" s="1020"/>
      <c r="CJ158" s="1020"/>
      <c r="CK158" s="1020"/>
      <c r="CL158" s="1020"/>
      <c r="CM158" s="1020"/>
      <c r="DA158" s="79"/>
    </row>
    <row r="159" spans="1:105" ht="16.350000000000001" customHeight="1" x14ac:dyDescent="0.2">
      <c r="A159" s="2458">
        <v>23090710</v>
      </c>
      <c r="B159" s="6058" t="s">
        <v>2486</v>
      </c>
      <c r="C159" s="6060"/>
      <c r="D159" s="3441" t="s">
        <v>2777</v>
      </c>
      <c r="E159" s="3446" t="s">
        <v>2778</v>
      </c>
      <c r="F159" s="3447" t="s">
        <v>2779</v>
      </c>
      <c r="G159" s="3448" t="s">
        <v>2780</v>
      </c>
      <c r="H159" s="3449" t="s">
        <v>2781</v>
      </c>
      <c r="I159" s="3448" t="s">
        <v>2782</v>
      </c>
      <c r="J159" s="3449" t="s">
        <v>2783</v>
      </c>
      <c r="K159" s="3448" t="s">
        <v>2784</v>
      </c>
      <c r="L159" s="3449" t="s">
        <v>2785</v>
      </c>
      <c r="M159" s="3448" t="s">
        <v>2786</v>
      </c>
      <c r="N159" s="3449" t="s">
        <v>2787</v>
      </c>
      <c r="O159" s="3448" t="s">
        <v>2788</v>
      </c>
      <c r="P159" s="3449" t="s">
        <v>2789</v>
      </c>
      <c r="Q159" s="3448" t="s">
        <v>2790</v>
      </c>
      <c r="R159" s="3449" t="s">
        <v>2791</v>
      </c>
      <c r="S159" s="3448" t="s">
        <v>2792</v>
      </c>
      <c r="T159" s="3449" t="s">
        <v>2793</v>
      </c>
      <c r="U159" s="3448" t="s">
        <v>2794</v>
      </c>
      <c r="V159" s="3449" t="s">
        <v>2795</v>
      </c>
      <c r="W159" s="3448" t="s">
        <v>2796</v>
      </c>
      <c r="X159" s="3449" t="s">
        <v>2797</v>
      </c>
      <c r="Y159" s="3448" t="s">
        <v>2798</v>
      </c>
      <c r="Z159" s="3449" t="s">
        <v>2799</v>
      </c>
      <c r="AA159" s="3448" t="s">
        <v>2800</v>
      </c>
      <c r="AB159" s="3449" t="s">
        <v>2801</v>
      </c>
      <c r="AC159" s="3448" t="s">
        <v>2817</v>
      </c>
      <c r="AD159" s="3449" t="s">
        <v>2818</v>
      </c>
      <c r="AE159" s="3448" t="s">
        <v>2819</v>
      </c>
      <c r="AF159" s="3449" t="s">
        <v>2821</v>
      </c>
      <c r="AG159" s="3448" t="s">
        <v>2822</v>
      </c>
      <c r="AH159" s="3449" t="s">
        <v>2823</v>
      </c>
      <c r="AI159" s="3448" t="s">
        <v>2824</v>
      </c>
      <c r="AJ159" s="3449" t="s">
        <v>2825</v>
      </c>
      <c r="AK159" s="3448" t="s">
        <v>2826</v>
      </c>
      <c r="AL159" s="3449" t="s">
        <v>2827</v>
      </c>
      <c r="AM159" s="79"/>
      <c r="BY159" s="79"/>
      <c r="CA159" s="889"/>
      <c r="CG159" s="1020"/>
      <c r="CH159" s="1020"/>
      <c r="CI159" s="1020"/>
      <c r="CJ159" s="1020"/>
      <c r="CK159" s="1020"/>
      <c r="CL159" s="1020"/>
      <c r="CM159" s="1020"/>
      <c r="DA159" s="79"/>
    </row>
    <row r="160" spans="1:105" ht="16.350000000000001" customHeight="1" x14ac:dyDescent="0.2">
      <c r="A160" s="2458">
        <v>23090720</v>
      </c>
      <c r="B160" s="6536" t="s">
        <v>2487</v>
      </c>
      <c r="C160" s="6537"/>
      <c r="D160" s="3450" t="s">
        <v>2777</v>
      </c>
      <c r="E160" s="3451" t="s">
        <v>2778</v>
      </c>
      <c r="F160" s="3452" t="s">
        <v>2779</v>
      </c>
      <c r="G160" s="3453" t="s">
        <v>2780</v>
      </c>
      <c r="H160" s="3454" t="s">
        <v>2781</v>
      </c>
      <c r="I160" s="3453" t="s">
        <v>2782</v>
      </c>
      <c r="J160" s="3454" t="s">
        <v>2783</v>
      </c>
      <c r="K160" s="3453" t="s">
        <v>2784</v>
      </c>
      <c r="L160" s="3454" t="s">
        <v>2785</v>
      </c>
      <c r="M160" s="3453" t="s">
        <v>2786</v>
      </c>
      <c r="N160" s="3454" t="s">
        <v>2787</v>
      </c>
      <c r="O160" s="3453" t="s">
        <v>2788</v>
      </c>
      <c r="P160" s="3454" t="s">
        <v>2789</v>
      </c>
      <c r="Q160" s="3453" t="s">
        <v>2790</v>
      </c>
      <c r="R160" s="3454" t="s">
        <v>2791</v>
      </c>
      <c r="S160" s="3453" t="s">
        <v>2792</v>
      </c>
      <c r="T160" s="3454" t="s">
        <v>2793</v>
      </c>
      <c r="U160" s="3453" t="s">
        <v>2794</v>
      </c>
      <c r="V160" s="3454" t="s">
        <v>2795</v>
      </c>
      <c r="W160" s="3453" t="s">
        <v>2796</v>
      </c>
      <c r="X160" s="3454" t="s">
        <v>2797</v>
      </c>
      <c r="Y160" s="3453" t="s">
        <v>2798</v>
      </c>
      <c r="Z160" s="3454" t="s">
        <v>2799</v>
      </c>
      <c r="AA160" s="3453" t="s">
        <v>2800</v>
      </c>
      <c r="AB160" s="3454" t="s">
        <v>2801</v>
      </c>
      <c r="AC160" s="3453" t="s">
        <v>2817</v>
      </c>
      <c r="AD160" s="3454" t="s">
        <v>2818</v>
      </c>
      <c r="AE160" s="3453" t="s">
        <v>2819</v>
      </c>
      <c r="AF160" s="3454" t="s">
        <v>2821</v>
      </c>
      <c r="AG160" s="3453" t="s">
        <v>2822</v>
      </c>
      <c r="AH160" s="3454" t="s">
        <v>2823</v>
      </c>
      <c r="AI160" s="3453" t="s">
        <v>2824</v>
      </c>
      <c r="AJ160" s="3454" t="s">
        <v>2825</v>
      </c>
      <c r="AK160" s="3453" t="s">
        <v>2826</v>
      </c>
      <c r="AL160" s="3454" t="s">
        <v>2827</v>
      </c>
      <c r="AM160" s="79"/>
      <c r="BY160" s="79"/>
      <c r="CA160" s="889"/>
      <c r="DA160" s="79"/>
    </row>
    <row r="161" spans="1:23" ht="32.1" customHeight="1" x14ac:dyDescent="0.2">
      <c r="B161" s="85" t="s">
        <v>2691</v>
      </c>
      <c r="C161" s="190"/>
      <c r="D161" s="190"/>
      <c r="E161" s="190"/>
      <c r="F161" s="190"/>
      <c r="G161" s="190"/>
    </row>
    <row r="162" spans="1:23" x14ac:dyDescent="0.2">
      <c r="B162" s="6402" t="s">
        <v>148</v>
      </c>
      <c r="C162" s="6403"/>
      <c r="D162" s="6404"/>
      <c r="E162" s="5163" t="s">
        <v>111</v>
      </c>
      <c r="F162" s="6515" t="s">
        <v>326</v>
      </c>
      <c r="G162" s="6515"/>
    </row>
    <row r="163" spans="1:23" ht="24.75" customHeight="1" x14ac:dyDescent="0.2">
      <c r="B163" s="6408"/>
      <c r="C163" s="6409"/>
      <c r="D163" s="6410"/>
      <c r="E163" s="5825"/>
      <c r="F163" s="1815" t="s">
        <v>2488</v>
      </c>
      <c r="G163" s="2181" t="s">
        <v>982</v>
      </c>
      <c r="H163" s="457"/>
      <c r="I163" s="457"/>
      <c r="J163" s="457"/>
      <c r="K163" s="457"/>
      <c r="L163" s="457"/>
      <c r="M163" s="457"/>
      <c r="N163" s="457"/>
      <c r="O163" s="457"/>
      <c r="P163" s="457"/>
      <c r="Q163" s="457"/>
      <c r="R163" s="190"/>
      <c r="S163" s="190"/>
      <c r="T163" s="190"/>
      <c r="U163" s="190"/>
      <c r="V163" s="190"/>
      <c r="W163" s="190"/>
    </row>
    <row r="164" spans="1:23" ht="23.25" customHeight="1" x14ac:dyDescent="0.2">
      <c r="A164" s="2458">
        <v>23046200</v>
      </c>
      <c r="B164" s="6538" t="s">
        <v>2489</v>
      </c>
      <c r="C164" s="6539"/>
      <c r="D164" s="6540"/>
      <c r="E164" s="3455" t="s">
        <v>2777</v>
      </c>
      <c r="F164" s="3149" t="s">
        <v>2778</v>
      </c>
      <c r="G164" s="3380" t="s">
        <v>2779</v>
      </c>
      <c r="H164" s="136"/>
      <c r="I164" s="190"/>
      <c r="J164" s="190"/>
      <c r="K164" s="190"/>
      <c r="L164" s="190"/>
      <c r="M164" s="190"/>
      <c r="N164" s="190"/>
      <c r="O164" s="190"/>
      <c r="P164" s="190"/>
      <c r="Q164" s="190"/>
      <c r="R164" s="190"/>
      <c r="S164" s="190"/>
      <c r="T164" s="190"/>
      <c r="U164" s="190"/>
      <c r="V164" s="190"/>
      <c r="W164" s="190"/>
    </row>
    <row r="165" spans="1:23" ht="32.1" customHeight="1" x14ac:dyDescent="0.2">
      <c r="B165" s="324" t="s">
        <v>2490</v>
      </c>
      <c r="C165" s="2182"/>
      <c r="D165" s="2182"/>
      <c r="E165" s="2182"/>
      <c r="F165" s="2183"/>
      <c r="G165" s="352"/>
      <c r="H165" s="190"/>
      <c r="I165" s="190"/>
      <c r="J165" s="190"/>
      <c r="K165" s="190"/>
      <c r="L165" s="190"/>
      <c r="M165" s="190"/>
      <c r="N165" s="190"/>
      <c r="O165" s="190"/>
      <c r="P165" s="190"/>
      <c r="Q165" s="190"/>
      <c r="R165" s="190"/>
      <c r="S165" s="190"/>
      <c r="T165" s="190"/>
      <c r="U165" s="190"/>
      <c r="V165" s="190"/>
      <c r="W165" s="190"/>
    </row>
    <row r="166" spans="1:23" x14ac:dyDescent="0.2">
      <c r="B166" s="6226" t="s">
        <v>2491</v>
      </c>
      <c r="C166" s="6226"/>
      <c r="D166" s="5818" t="s">
        <v>42</v>
      </c>
      <c r="E166" s="6533" t="s">
        <v>2492</v>
      </c>
      <c r="F166" s="6533"/>
      <c r="G166" s="190"/>
      <c r="H166" s="190"/>
      <c r="I166" s="190"/>
      <c r="J166" s="190"/>
      <c r="K166" s="190"/>
      <c r="L166" s="190"/>
      <c r="M166" s="190"/>
      <c r="N166" s="190"/>
      <c r="O166" s="190"/>
      <c r="P166" s="190"/>
      <c r="Q166" s="190"/>
      <c r="R166" s="190"/>
      <c r="S166" s="190"/>
      <c r="T166" s="190"/>
    </row>
    <row r="167" spans="1:23" x14ac:dyDescent="0.2">
      <c r="B167" s="6226"/>
      <c r="C167" s="6226"/>
      <c r="D167" s="5818"/>
      <c r="E167" s="1911" t="s">
        <v>2493</v>
      </c>
      <c r="F167" s="2036" t="s">
        <v>2494</v>
      </c>
      <c r="G167" s="190"/>
      <c r="H167" s="190"/>
      <c r="I167" s="190"/>
      <c r="J167" s="190"/>
      <c r="K167" s="190"/>
      <c r="L167" s="190"/>
      <c r="M167" s="190"/>
      <c r="N167" s="190"/>
      <c r="O167" s="190"/>
      <c r="P167" s="190"/>
      <c r="Q167" s="190"/>
      <c r="R167" s="190"/>
      <c r="S167" s="190"/>
      <c r="T167" s="190"/>
    </row>
    <row r="168" spans="1:23" ht="16.350000000000001" customHeight="1" x14ac:dyDescent="0.2">
      <c r="A168" s="2458">
        <v>23090740</v>
      </c>
      <c r="B168" s="6534" t="s">
        <v>2495</v>
      </c>
      <c r="C168" s="6534"/>
      <c r="D168" s="3418" t="s">
        <v>2777</v>
      </c>
      <c r="E168" s="3319" t="s">
        <v>2778</v>
      </c>
      <c r="F168" s="3320" t="s">
        <v>2779</v>
      </c>
      <c r="G168" s="136"/>
      <c r="H168" s="190"/>
      <c r="I168" s="190"/>
      <c r="J168" s="190"/>
      <c r="K168" s="190"/>
      <c r="L168" s="190"/>
      <c r="M168" s="190"/>
      <c r="N168" s="190"/>
      <c r="O168" s="190"/>
      <c r="P168" s="190"/>
      <c r="Q168" s="190"/>
      <c r="R168" s="190"/>
      <c r="S168" s="190"/>
      <c r="T168" s="190"/>
    </row>
    <row r="169" spans="1:23" ht="16.350000000000001" customHeight="1" x14ac:dyDescent="0.2">
      <c r="A169" s="2458">
        <v>23046300</v>
      </c>
      <c r="B169" s="6535" t="s">
        <v>2496</v>
      </c>
      <c r="C169" s="6535"/>
      <c r="D169" s="3456" t="s">
        <v>2777</v>
      </c>
      <c r="E169" s="3457" t="s">
        <v>2778</v>
      </c>
      <c r="F169" s="3458" t="s">
        <v>2779</v>
      </c>
      <c r="G169" s="136"/>
      <c r="H169" s="190"/>
      <c r="I169" s="190"/>
      <c r="J169" s="190"/>
      <c r="K169" s="190"/>
      <c r="L169" s="190"/>
      <c r="M169" s="190"/>
      <c r="N169" s="190"/>
      <c r="O169" s="190"/>
      <c r="P169" s="190"/>
      <c r="Q169" s="190"/>
      <c r="R169" s="190"/>
      <c r="S169" s="190"/>
      <c r="T169" s="190"/>
    </row>
    <row r="196" spans="2:105" ht="12" customHeight="1" x14ac:dyDescent="0.2"/>
    <row r="197" spans="2:105" s="206" customFormat="1" hidden="1" x14ac:dyDescent="0.2">
      <c r="B197" s="206">
        <f>SUM(D24,D43,D49:D56,D62,D70,D75:D77,D88,D95,D100:D107,D110:D112,D115:D119,D130,E140,E152:H152,D157:D160,D169,E164:G164)</f>
        <v>0</v>
      </c>
      <c r="C197" s="206">
        <f>SUM(CH28:CN159)</f>
        <v>0</v>
      </c>
      <c r="BZ197" s="1016"/>
      <c r="CA197" s="1016"/>
      <c r="CB197" s="1016"/>
      <c r="CC197" s="1016"/>
      <c r="CD197" s="1016"/>
      <c r="CE197" s="1016"/>
      <c r="CF197" s="1016"/>
      <c r="CG197" s="1016"/>
      <c r="CH197" s="1016"/>
      <c r="CI197" s="1016"/>
      <c r="CJ197" s="1016"/>
      <c r="CK197" s="1016"/>
      <c r="CL197" s="1016"/>
      <c r="CM197" s="1016"/>
      <c r="CN197" s="1016"/>
      <c r="CO197" s="1016"/>
      <c r="CP197" s="1016"/>
      <c r="CQ197" s="1016"/>
      <c r="CR197" s="1016"/>
      <c r="CS197" s="1016"/>
      <c r="CT197" s="1016"/>
      <c r="CU197" s="1016"/>
      <c r="CV197" s="1016"/>
      <c r="CW197" s="1016"/>
      <c r="CX197" s="1016"/>
      <c r="CY197" s="1016"/>
      <c r="CZ197" s="1016"/>
      <c r="DA197" s="1016"/>
    </row>
  </sheetData>
  <mergeCells count="317">
    <mergeCell ref="B157:C157"/>
    <mergeCell ref="B158:C158"/>
    <mergeCell ref="B166:C167"/>
    <mergeCell ref="D166:D167"/>
    <mergeCell ref="E166:F166"/>
    <mergeCell ref="B168:C168"/>
    <mergeCell ref="B169:C169"/>
    <mergeCell ref="B159:C159"/>
    <mergeCell ref="B160:C160"/>
    <mergeCell ref="B162:D163"/>
    <mergeCell ref="E162:E163"/>
    <mergeCell ref="F162:G162"/>
    <mergeCell ref="B164:D164"/>
    <mergeCell ref="B152:D152"/>
    <mergeCell ref="B154:C155"/>
    <mergeCell ref="D154:F155"/>
    <mergeCell ref="G154:AL154"/>
    <mergeCell ref="G155:H155"/>
    <mergeCell ref="I155:J155"/>
    <mergeCell ref="K155:L155"/>
    <mergeCell ref="M155:N155"/>
    <mergeCell ref="O155:P155"/>
    <mergeCell ref="Q155:R155"/>
    <mergeCell ref="AE155:AF155"/>
    <mergeCell ref="AG155:AH155"/>
    <mergeCell ref="AI155:AJ155"/>
    <mergeCell ref="AK155:AL155"/>
    <mergeCell ref="S155:T155"/>
    <mergeCell ref="U155:V155"/>
    <mergeCell ref="W155:X155"/>
    <mergeCell ref="Y155:Z155"/>
    <mergeCell ref="AA155:AB155"/>
    <mergeCell ref="AC155:AD155"/>
    <mergeCell ref="C147:D147"/>
    <mergeCell ref="B148:B151"/>
    <mergeCell ref="C148:D148"/>
    <mergeCell ref="C149:D149"/>
    <mergeCell ref="C150:D150"/>
    <mergeCell ref="C151:D151"/>
    <mergeCell ref="B140:D140"/>
    <mergeCell ref="B142:D142"/>
    <mergeCell ref="B143:B146"/>
    <mergeCell ref="C143:D143"/>
    <mergeCell ref="C144:D144"/>
    <mergeCell ref="C145:D145"/>
    <mergeCell ref="C146:D146"/>
    <mergeCell ref="B134:D134"/>
    <mergeCell ref="B135:D135"/>
    <mergeCell ref="B136:D136"/>
    <mergeCell ref="B137:D137"/>
    <mergeCell ref="B138:D138"/>
    <mergeCell ref="B139:D139"/>
    <mergeCell ref="AE122:AF122"/>
    <mergeCell ref="AG122:AH122"/>
    <mergeCell ref="AI122:AJ122"/>
    <mergeCell ref="B130:C130"/>
    <mergeCell ref="B133:D133"/>
    <mergeCell ref="S122:T122"/>
    <mergeCell ref="U122:V122"/>
    <mergeCell ref="W122:X122"/>
    <mergeCell ref="Y122:Z122"/>
    <mergeCell ref="AA122:AB122"/>
    <mergeCell ref="AC122:AD122"/>
    <mergeCell ref="B121:C123"/>
    <mergeCell ref="D121:F122"/>
    <mergeCell ref="G121:AL121"/>
    <mergeCell ref="AM121:AM123"/>
    <mergeCell ref="G122:H122"/>
    <mergeCell ref="I122:J122"/>
    <mergeCell ref="K122:L122"/>
    <mergeCell ref="M122:N122"/>
    <mergeCell ref="O122:P122"/>
    <mergeCell ref="Q122:R122"/>
    <mergeCell ref="B114:C114"/>
    <mergeCell ref="B115:C115"/>
    <mergeCell ref="B116:C116"/>
    <mergeCell ref="B117:C117"/>
    <mergeCell ref="B118:C118"/>
    <mergeCell ref="B119:C119"/>
    <mergeCell ref="AK122:AL122"/>
    <mergeCell ref="B106:C106"/>
    <mergeCell ref="B107:C107"/>
    <mergeCell ref="B109:C109"/>
    <mergeCell ref="B110:C110"/>
    <mergeCell ref="B111:C111"/>
    <mergeCell ref="B112:C112"/>
    <mergeCell ref="B100:C100"/>
    <mergeCell ref="B101:C101"/>
    <mergeCell ref="B102:C102"/>
    <mergeCell ref="B103:C103"/>
    <mergeCell ref="B104:C104"/>
    <mergeCell ref="B105:C105"/>
    <mergeCell ref="B94:C94"/>
    <mergeCell ref="B95:C95"/>
    <mergeCell ref="B97:C99"/>
    <mergeCell ref="D97:F98"/>
    <mergeCell ref="G97:AL97"/>
    <mergeCell ref="AM97:AM99"/>
    <mergeCell ref="G98:H98"/>
    <mergeCell ref="I98:J98"/>
    <mergeCell ref="K98:L98"/>
    <mergeCell ref="M98:N98"/>
    <mergeCell ref="AA98:AB98"/>
    <mergeCell ref="AC98:AD98"/>
    <mergeCell ref="AE98:AF98"/>
    <mergeCell ref="AG98:AH98"/>
    <mergeCell ref="AI98:AJ98"/>
    <mergeCell ref="AK98:AL98"/>
    <mergeCell ref="O98:P98"/>
    <mergeCell ref="Q98:R98"/>
    <mergeCell ref="S98:T98"/>
    <mergeCell ref="U98:V98"/>
    <mergeCell ref="W98:X98"/>
    <mergeCell ref="Y98:Z98"/>
    <mergeCell ref="L90:L91"/>
    <mergeCell ref="M90:M91"/>
    <mergeCell ref="N90:N91"/>
    <mergeCell ref="O90:P90"/>
    <mergeCell ref="B92:C92"/>
    <mergeCell ref="B93:C93"/>
    <mergeCell ref="E90:E91"/>
    <mergeCell ref="F90:F91"/>
    <mergeCell ref="G90:G91"/>
    <mergeCell ref="H90:H91"/>
    <mergeCell ref="I90:I91"/>
    <mergeCell ref="J90:J91"/>
    <mergeCell ref="B85:C85"/>
    <mergeCell ref="B86:C86"/>
    <mergeCell ref="B87:C87"/>
    <mergeCell ref="B88:C88"/>
    <mergeCell ref="B90:C91"/>
    <mergeCell ref="D90:D91"/>
    <mergeCell ref="AG80:AH80"/>
    <mergeCell ref="AI80:AJ80"/>
    <mergeCell ref="AK80:AL80"/>
    <mergeCell ref="B82:C82"/>
    <mergeCell ref="B83:C83"/>
    <mergeCell ref="B84:C84"/>
    <mergeCell ref="U80:V80"/>
    <mergeCell ref="W80:X80"/>
    <mergeCell ref="Y80:Z80"/>
    <mergeCell ref="AA80:AB80"/>
    <mergeCell ref="AC80:AD80"/>
    <mergeCell ref="AE80:AF80"/>
    <mergeCell ref="B79:C81"/>
    <mergeCell ref="D79:F80"/>
    <mergeCell ref="G79:AL79"/>
    <mergeCell ref="G80:H80"/>
    <mergeCell ref="I80:J80"/>
    <mergeCell ref="K80:L80"/>
    <mergeCell ref="M80:N80"/>
    <mergeCell ref="O80:P80"/>
    <mergeCell ref="Q80:R80"/>
    <mergeCell ref="S80:T80"/>
    <mergeCell ref="AG73:AH73"/>
    <mergeCell ref="AI73:AJ73"/>
    <mergeCell ref="AK73:AL73"/>
    <mergeCell ref="B75:C75"/>
    <mergeCell ref="B76:C76"/>
    <mergeCell ref="B77:C77"/>
    <mergeCell ref="AN72:AN74"/>
    <mergeCell ref="G73:H73"/>
    <mergeCell ref="I73:J73"/>
    <mergeCell ref="K73:L73"/>
    <mergeCell ref="M73:N73"/>
    <mergeCell ref="O73:P73"/>
    <mergeCell ref="Q73:R73"/>
    <mergeCell ref="S73:T73"/>
    <mergeCell ref="U73:V73"/>
    <mergeCell ref="W73:X73"/>
    <mergeCell ref="B69:C69"/>
    <mergeCell ref="B70:C70"/>
    <mergeCell ref="B72:C74"/>
    <mergeCell ref="D72:F73"/>
    <mergeCell ref="G72:AL72"/>
    <mergeCell ref="AM72:AM74"/>
    <mergeCell ref="Y73:Z73"/>
    <mergeCell ref="AA73:AB73"/>
    <mergeCell ref="AC73:AD73"/>
    <mergeCell ref="AE73:AF73"/>
    <mergeCell ref="B67:C67"/>
    <mergeCell ref="B68:C68"/>
    <mergeCell ref="AM64:AM66"/>
    <mergeCell ref="G65:H65"/>
    <mergeCell ref="I65:J65"/>
    <mergeCell ref="K65:L65"/>
    <mergeCell ref="M65:N65"/>
    <mergeCell ref="O65:P65"/>
    <mergeCell ref="Q65:R65"/>
    <mergeCell ref="S65:T65"/>
    <mergeCell ref="U65:V65"/>
    <mergeCell ref="W65:X65"/>
    <mergeCell ref="B62:C62"/>
    <mergeCell ref="B64:C66"/>
    <mergeCell ref="D64:F65"/>
    <mergeCell ref="G64:AL64"/>
    <mergeCell ref="Y65:Z65"/>
    <mergeCell ref="AA65:AB65"/>
    <mergeCell ref="AC65:AD65"/>
    <mergeCell ref="AE65:AF65"/>
    <mergeCell ref="AG65:AH65"/>
    <mergeCell ref="AI65:AJ65"/>
    <mergeCell ref="AK65:AL65"/>
    <mergeCell ref="AM58:AM61"/>
    <mergeCell ref="G59:H60"/>
    <mergeCell ref="I59:J60"/>
    <mergeCell ref="K59:L60"/>
    <mergeCell ref="M59:N60"/>
    <mergeCell ref="O59:P60"/>
    <mergeCell ref="Q59:R60"/>
    <mergeCell ref="S59:T60"/>
    <mergeCell ref="U59:V60"/>
    <mergeCell ref="W59:X60"/>
    <mergeCell ref="AG59:AH60"/>
    <mergeCell ref="AI59:AJ60"/>
    <mergeCell ref="AK59:AL60"/>
    <mergeCell ref="B54:C54"/>
    <mergeCell ref="B55:C55"/>
    <mergeCell ref="B56:C56"/>
    <mergeCell ref="B58:C61"/>
    <mergeCell ref="D58:F60"/>
    <mergeCell ref="G58:AL58"/>
    <mergeCell ref="Y59:Z60"/>
    <mergeCell ref="AA59:AB60"/>
    <mergeCell ref="AC59:AD60"/>
    <mergeCell ref="AE59:AF60"/>
    <mergeCell ref="B49:C49"/>
    <mergeCell ref="B50:C50"/>
    <mergeCell ref="B51:C51"/>
    <mergeCell ref="B52:C52"/>
    <mergeCell ref="B53:C53"/>
    <mergeCell ref="AC46:AD47"/>
    <mergeCell ref="AE46:AF47"/>
    <mergeCell ref="AG46:AH47"/>
    <mergeCell ref="AI46:AJ47"/>
    <mergeCell ref="Q46:R47"/>
    <mergeCell ref="S46:T47"/>
    <mergeCell ref="U46:V47"/>
    <mergeCell ref="W46:X47"/>
    <mergeCell ref="Y46:Z47"/>
    <mergeCell ref="AA46:AB47"/>
    <mergeCell ref="B43:C43"/>
    <mergeCell ref="B45:C48"/>
    <mergeCell ref="D45:F47"/>
    <mergeCell ref="G45:AL45"/>
    <mergeCell ref="AM45:AN46"/>
    <mergeCell ref="G46:H47"/>
    <mergeCell ref="I46:J47"/>
    <mergeCell ref="K46:L47"/>
    <mergeCell ref="M46:N47"/>
    <mergeCell ref="O46:P47"/>
    <mergeCell ref="AN47:AN48"/>
    <mergeCell ref="AK46:AL47"/>
    <mergeCell ref="AM47:AM48"/>
    <mergeCell ref="B36:B37"/>
    <mergeCell ref="B38:C38"/>
    <mergeCell ref="B39:C39"/>
    <mergeCell ref="B40:C40"/>
    <mergeCell ref="B41:C41"/>
    <mergeCell ref="B42:C42"/>
    <mergeCell ref="AE27:AF28"/>
    <mergeCell ref="AG27:AH28"/>
    <mergeCell ref="AI27:AJ28"/>
    <mergeCell ref="B30:B32"/>
    <mergeCell ref="B33:B35"/>
    <mergeCell ref="S27:T28"/>
    <mergeCell ref="U27:V28"/>
    <mergeCell ref="W27:X28"/>
    <mergeCell ref="Y27:Z28"/>
    <mergeCell ref="AA27:AB28"/>
    <mergeCell ref="AC27:AD28"/>
    <mergeCell ref="B26:C29"/>
    <mergeCell ref="D26:F28"/>
    <mergeCell ref="G26:AL26"/>
    <mergeCell ref="AM26:AM29"/>
    <mergeCell ref="G27:H28"/>
    <mergeCell ref="I27:J28"/>
    <mergeCell ref="K27:L28"/>
    <mergeCell ref="M27:N28"/>
    <mergeCell ref="O27:P28"/>
    <mergeCell ref="Q27:R28"/>
    <mergeCell ref="B19:C19"/>
    <mergeCell ref="B20:C20"/>
    <mergeCell ref="B21:C21"/>
    <mergeCell ref="B22:C22"/>
    <mergeCell ref="B23:C23"/>
    <mergeCell ref="B24:C24"/>
    <mergeCell ref="AK27:AL28"/>
    <mergeCell ref="B13:C13"/>
    <mergeCell ref="B14:C14"/>
    <mergeCell ref="B15:C15"/>
    <mergeCell ref="B16:C16"/>
    <mergeCell ref="B17:C17"/>
    <mergeCell ref="B18:C18"/>
    <mergeCell ref="AA10:AB11"/>
    <mergeCell ref="AC10:AD11"/>
    <mergeCell ref="AE10:AF11"/>
    <mergeCell ref="A11:A12"/>
    <mergeCell ref="B6:W6"/>
    <mergeCell ref="B9:C12"/>
    <mergeCell ref="D9:F11"/>
    <mergeCell ref="G9:AL9"/>
    <mergeCell ref="AM9:AM12"/>
    <mergeCell ref="AN9:AN12"/>
    <mergeCell ref="G10:H11"/>
    <mergeCell ref="I10:J11"/>
    <mergeCell ref="K10:L11"/>
    <mergeCell ref="M10:N11"/>
    <mergeCell ref="AG10:AH11"/>
    <mergeCell ref="AI10:AJ11"/>
    <mergeCell ref="AK10:AL11"/>
    <mergeCell ref="O10:P11"/>
    <mergeCell ref="Q10:R11"/>
    <mergeCell ref="S10:T11"/>
    <mergeCell ref="U10:V11"/>
    <mergeCell ref="W10:X11"/>
    <mergeCell ref="Y10:Z11"/>
  </mergeCells>
  <dataValidations count="2">
    <dataValidation type="whole" operator="greaterThanOrEqual" allowBlank="1" showInputMessage="1" showErrorMessage="1" error="Valor no Permitido" sqref="H143:H169 I9:AN169 H9:H141 B9:G169" xr:uid="{00000000-0002-0000-0E00-000000000000}">
      <formula1>0</formula1>
    </dataValidation>
    <dataValidation operator="greaterThanOrEqual" allowBlank="1" showInputMessage="1" showErrorMessage="1" error="Valor no Permitido" sqref="H142 B1:B5" xr:uid="{00000000-0002-0000-0E00-000001000000}"/>
  </dataValidation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Hoja16">
    <tabColor theme="0"/>
    <pageSetUpPr fitToPage="1"/>
  </sheetPr>
  <dimension ref="A1:DA200"/>
  <sheetViews>
    <sheetView zoomScale="90" zoomScaleNormal="90" workbookViewId="0"/>
  </sheetViews>
  <sheetFormatPr baseColWidth="10" defaultColWidth="11.42578125" defaultRowHeight="14.25" x14ac:dyDescent="0.2"/>
  <cols>
    <col min="1" max="1" width="13" style="80" customWidth="1"/>
    <col min="2" max="2" width="49.140625" style="80" customWidth="1"/>
    <col min="3" max="14" width="14" style="80" customWidth="1"/>
    <col min="15" max="15" width="14.28515625" style="80" customWidth="1"/>
    <col min="16" max="16" width="13" style="80" customWidth="1"/>
    <col min="17" max="17" width="12" style="80" customWidth="1"/>
    <col min="18" max="18" width="11" style="80" customWidth="1"/>
    <col min="19" max="19" width="14" style="80" customWidth="1"/>
    <col min="20" max="20" width="12.42578125" style="80" customWidth="1"/>
    <col min="21" max="21" width="11.42578125" style="80"/>
    <col min="22" max="77" width="11.28515625" style="94" customWidth="1"/>
    <col min="78" max="79" width="11.28515625" style="891" customWidth="1"/>
    <col min="80" max="105" width="11.28515625" style="889" customWidth="1"/>
    <col min="106" max="107" width="11.28515625" style="80" customWidth="1"/>
    <col min="108" max="16384" width="11.42578125" style="80"/>
  </cols>
  <sheetData>
    <row r="1" spans="1:91" ht="16.350000000000001" customHeight="1" x14ac:dyDescent="0.2">
      <c r="B1" s="78" t="s">
        <v>910</v>
      </c>
    </row>
    <row r="2" spans="1:91" ht="16.350000000000001" customHeight="1" x14ac:dyDescent="0.2">
      <c r="B2" s="78" t="str">
        <f>CONCATENATE("COMUNA: ",NOMBRE!B2," - ","( ",NOMBRE!C2,NOMBRE!D2,NOMBRE!E2,NOMBRE!F2,NOMBRE!G2," )")</f>
        <v>COMUNA:  - (  )</v>
      </c>
    </row>
    <row r="3" spans="1:91" ht="16.350000000000001" customHeight="1" x14ac:dyDescent="0.2">
      <c r="B3" s="78" t="str">
        <f>CONCATENATE("ESTABLECIMIENTO/ESTRATEGIA: ",NOMBRE!B3," - ","( ",NOMBRE!C3,NOMBRE!D3,NOMBRE!E3,NOMBRE!F3,NOMBRE!G3,NOMBRE!H3," )")</f>
        <v>ESTABLECIMIENTO/ESTRATEGIA:  - (  )</v>
      </c>
    </row>
    <row r="4" spans="1:91" ht="16.350000000000001" customHeight="1" x14ac:dyDescent="0.2">
      <c r="B4" s="78" t="str">
        <f>CONCATENATE("MES: ",NOMBRE!B6," - ","( ",NOMBRE!C6,NOMBRE!D6," )")</f>
        <v>MES:  - (  )</v>
      </c>
    </row>
    <row r="5" spans="1:91" ht="16.350000000000001" customHeight="1" x14ac:dyDescent="0.2">
      <c r="B5" s="78" t="str">
        <f>CONCATENATE("AÑO: ",NOMBRE!B7)</f>
        <v>AÑO: 2020</v>
      </c>
    </row>
    <row r="6" spans="1:91" ht="15" customHeight="1" x14ac:dyDescent="0.2">
      <c r="B6" s="5148" t="s">
        <v>677</v>
      </c>
      <c r="C6" s="5148"/>
      <c r="D6" s="5148"/>
      <c r="E6" s="5148"/>
      <c r="F6" s="5148"/>
      <c r="G6" s="5148"/>
      <c r="H6" s="5148"/>
      <c r="I6" s="5148"/>
      <c r="J6" s="5148"/>
      <c r="K6" s="5148"/>
      <c r="L6" s="5148"/>
      <c r="M6" s="5148"/>
      <c r="N6" s="559"/>
      <c r="O6" s="205"/>
      <c r="P6" s="190"/>
      <c r="Q6" s="138"/>
      <c r="R6" s="190"/>
    </row>
    <row r="7" spans="1:91" ht="15" x14ac:dyDescent="0.2">
      <c r="B7" s="82"/>
      <c r="C7" s="82"/>
      <c r="D7" s="82"/>
      <c r="E7" s="82"/>
      <c r="F7" s="82"/>
      <c r="G7" s="82"/>
      <c r="H7" s="82"/>
      <c r="I7" s="82"/>
      <c r="J7" s="82"/>
      <c r="K7" s="82"/>
      <c r="L7" s="82"/>
      <c r="M7" s="82"/>
      <c r="N7" s="559"/>
      <c r="O7" s="205"/>
      <c r="P7" s="190"/>
      <c r="Q7" s="138"/>
      <c r="R7" s="190"/>
    </row>
    <row r="8" spans="1:91" ht="36" customHeight="1" x14ac:dyDescent="0.2">
      <c r="B8" s="4923" t="s">
        <v>678</v>
      </c>
      <c r="C8" s="324"/>
      <c r="D8" s="324"/>
      <c r="E8" s="324"/>
      <c r="F8" s="324"/>
      <c r="G8" s="324"/>
      <c r="H8" s="324"/>
      <c r="I8" s="324"/>
      <c r="J8" s="324"/>
      <c r="K8" s="324"/>
      <c r="L8" s="324"/>
      <c r="M8" s="324"/>
      <c r="N8" s="470"/>
      <c r="O8" s="470"/>
      <c r="P8" s="190"/>
      <c r="Q8" s="138"/>
      <c r="R8" s="190"/>
    </row>
    <row r="9" spans="1:91" ht="24.75" customHeight="1" x14ac:dyDescent="0.2">
      <c r="A9" s="5168" t="s">
        <v>2775</v>
      </c>
      <c r="B9" s="5112" t="s">
        <v>679</v>
      </c>
      <c r="C9" s="6554" t="s">
        <v>680</v>
      </c>
      <c r="D9" s="6555"/>
      <c r="E9" s="6558" t="s">
        <v>681</v>
      </c>
      <c r="F9" s="6559"/>
      <c r="G9" s="6559"/>
      <c r="H9" s="6560"/>
      <c r="I9" s="6556" t="s">
        <v>682</v>
      </c>
      <c r="J9" s="6556"/>
      <c r="K9" s="6556"/>
      <c r="L9" s="6556"/>
      <c r="M9" s="6557"/>
      <c r="N9" s="6554" t="s">
        <v>683</v>
      </c>
      <c r="O9" s="6556"/>
      <c r="P9" s="6557"/>
      <c r="Q9" s="6564" t="s">
        <v>684</v>
      </c>
      <c r="R9" s="6565"/>
      <c r="S9" s="6566"/>
      <c r="T9" s="6483" t="s">
        <v>1359</v>
      </c>
      <c r="U9" s="6541" t="s">
        <v>1358</v>
      </c>
      <c r="V9" s="80"/>
      <c r="W9" s="80"/>
      <c r="X9" s="80"/>
      <c r="BZ9" s="94"/>
      <c r="CA9" s="94"/>
    </row>
    <row r="10" spans="1:91" ht="45" x14ac:dyDescent="0.2">
      <c r="A10" s="5168"/>
      <c r="B10" s="5136"/>
      <c r="C10" s="91" t="s">
        <v>1151</v>
      </c>
      <c r="D10" s="135" t="s">
        <v>1150</v>
      </c>
      <c r="E10" s="1197" t="s">
        <v>1493</v>
      </c>
      <c r="F10" s="775" t="s">
        <v>1494</v>
      </c>
      <c r="G10" s="1198" t="s">
        <v>1495</v>
      </c>
      <c r="H10" s="1294" t="s">
        <v>1698</v>
      </c>
      <c r="I10" s="133" t="s">
        <v>1152</v>
      </c>
      <c r="J10" s="88" t="s">
        <v>1153</v>
      </c>
      <c r="K10" s="88" t="s">
        <v>1154</v>
      </c>
      <c r="L10" s="88" t="s">
        <v>1155</v>
      </c>
      <c r="M10" s="191" t="s">
        <v>1156</v>
      </c>
      <c r="N10" s="253" t="s">
        <v>1157</v>
      </c>
      <c r="O10" s="88" t="s">
        <v>1158</v>
      </c>
      <c r="P10" s="191" t="s">
        <v>1159</v>
      </c>
      <c r="Q10" s="757" t="s">
        <v>1160</v>
      </c>
      <c r="R10" s="1154" t="s">
        <v>1161</v>
      </c>
      <c r="S10" s="1199" t="s">
        <v>1648</v>
      </c>
      <c r="T10" s="5432"/>
      <c r="U10" s="5550"/>
      <c r="V10" s="1061"/>
      <c r="BZ10" s="94"/>
      <c r="CA10" s="94"/>
      <c r="CH10" s="1020"/>
      <c r="CI10" s="1020"/>
      <c r="CJ10" s="1020"/>
      <c r="CK10" s="1020"/>
      <c r="CL10" s="1020"/>
      <c r="CM10" s="1020"/>
    </row>
    <row r="11" spans="1:91" ht="24" customHeight="1" x14ac:dyDescent="0.2">
      <c r="A11" s="2527"/>
      <c r="B11" s="130" t="s">
        <v>685</v>
      </c>
      <c r="C11" s="561">
        <f t="shared" ref="C11:G11" si="0">SUM(C12:C15)</f>
        <v>0</v>
      </c>
      <c r="D11" s="382">
        <f t="shared" si="0"/>
        <v>0</v>
      </c>
      <c r="E11" s="1092">
        <f t="shared" si="0"/>
        <v>0</v>
      </c>
      <c r="F11" s="1094">
        <f t="shared" si="0"/>
        <v>0</v>
      </c>
      <c r="G11" s="1094">
        <f t="shared" si="0"/>
        <v>0</v>
      </c>
      <c r="H11" s="382">
        <f>SUM(H12:H15)</f>
        <v>0</v>
      </c>
      <c r="I11" s="562">
        <f t="shared" ref="I11:U11" si="1">SUM(I12:I15)</f>
        <v>0</v>
      </c>
      <c r="J11" s="561">
        <f t="shared" si="1"/>
        <v>0</v>
      </c>
      <c r="K11" s="561">
        <f t="shared" si="1"/>
        <v>0</v>
      </c>
      <c r="L11" s="561">
        <f t="shared" si="1"/>
        <v>0</v>
      </c>
      <c r="M11" s="382">
        <f t="shared" si="1"/>
        <v>0</v>
      </c>
      <c r="N11" s="381">
        <f t="shared" si="1"/>
        <v>0</v>
      </c>
      <c r="O11" s="561">
        <f t="shared" si="1"/>
        <v>0</v>
      </c>
      <c r="P11" s="382">
        <f t="shared" si="1"/>
        <v>0</v>
      </c>
      <c r="Q11" s="381">
        <f t="shared" si="1"/>
        <v>0</v>
      </c>
      <c r="R11" s="1155">
        <f t="shared" si="1"/>
        <v>0</v>
      </c>
      <c r="S11" s="380">
        <f t="shared" ref="S11" si="2">SUM(S12:S15)</f>
        <v>0</v>
      </c>
      <c r="T11" s="381">
        <f t="shared" si="1"/>
        <v>0</v>
      </c>
      <c r="U11" s="380">
        <f t="shared" si="1"/>
        <v>0</v>
      </c>
      <c r="BZ11" s="94"/>
      <c r="CA11" s="94"/>
      <c r="CH11" s="1020"/>
      <c r="CI11" s="1020"/>
      <c r="CJ11" s="1020"/>
      <c r="CK11" s="1020"/>
      <c r="CL11" s="1020"/>
      <c r="CM11" s="1020"/>
    </row>
    <row r="12" spans="1:91" ht="24" customHeight="1" x14ac:dyDescent="0.2">
      <c r="A12" s="4667" t="s">
        <v>3928</v>
      </c>
      <c r="B12" s="563" t="s">
        <v>686</v>
      </c>
      <c r="C12" s="170" t="s">
        <v>2777</v>
      </c>
      <c r="D12" s="123" t="s">
        <v>2778</v>
      </c>
      <c r="E12" s="137" t="s">
        <v>2779</v>
      </c>
      <c r="F12" s="110" t="s">
        <v>2780</v>
      </c>
      <c r="G12" s="124" t="s">
        <v>2781</v>
      </c>
      <c r="H12" s="171" t="s">
        <v>2782</v>
      </c>
      <c r="I12" s="564" t="s">
        <v>2783</v>
      </c>
      <c r="J12" s="97" t="s">
        <v>2784</v>
      </c>
      <c r="K12" s="97" t="s">
        <v>2785</v>
      </c>
      <c r="L12" s="97" t="s">
        <v>2786</v>
      </c>
      <c r="M12" s="171" t="s">
        <v>2787</v>
      </c>
      <c r="N12" s="647" t="s">
        <v>2788</v>
      </c>
      <c r="O12" s="97" t="s">
        <v>2789</v>
      </c>
      <c r="P12" s="171" t="s">
        <v>2790</v>
      </c>
      <c r="Q12" s="170" t="s">
        <v>2791</v>
      </c>
      <c r="R12" s="97" t="s">
        <v>2792</v>
      </c>
      <c r="S12" s="197" t="s">
        <v>2793</v>
      </c>
      <c r="T12" s="170" t="s">
        <v>2794</v>
      </c>
      <c r="U12" s="197" t="s">
        <v>2795</v>
      </c>
      <c r="V12" s="1165" t="str">
        <f>CB12&amp;CC12&amp;CD12&amp;CE12&amp;CF12&amp;CG12</f>
        <v xml:space="preserve">* El número de Partos prematuros menos de 24 semanas NO DEBE ser mayor que el Total. * El número de Partos prematuros de 24 a 28 semanas NO DEBE ser mayor que el Total. * El número de Partos prematuros de 29 a 32 semanas NO DEBE ser mayor que el Total. * El número de Partos prematuros de 33 a 36 semanas NO DEBE ser mayor que el Total. * El Número de Beneficiarias NO DEBE ser mayor que el Total. * Pueblo Originario y/o Migrantes NO DEBEN ser mayor que el Total. </v>
      </c>
      <c r="W12" s="1058"/>
      <c r="X12" s="1058"/>
      <c r="Y12" s="1058"/>
      <c r="Z12" s="1058"/>
      <c r="AA12" s="1058"/>
      <c r="AB12" s="1058"/>
      <c r="AC12" s="1058"/>
      <c r="AD12" s="1058"/>
      <c r="AE12" s="1058"/>
      <c r="AF12" s="1058"/>
      <c r="AG12" s="1058"/>
      <c r="BZ12" s="94"/>
      <c r="CA12" s="94"/>
      <c r="CB12" s="1031" t="str">
        <f>IF($C12&lt;$E12,"* El número de "&amp;E$10&amp;" NO DEBE ser mayor que el Total. ","")</f>
        <v xml:space="preserve">* El número de Partos prematuros menos de 24 semanas NO DEBE ser mayor que el Total. </v>
      </c>
      <c r="CC12" s="1031" t="str">
        <f>IF($C12&lt;$F12,"* El número de "&amp;F$10&amp;" NO DEBE ser mayor que el Total. ","")</f>
        <v xml:space="preserve">* El número de Partos prematuros de 24 a 28 semanas NO DEBE ser mayor que el Total. </v>
      </c>
      <c r="CD12" s="1031" t="str">
        <f>IF($C12&lt;$G12,"* El número de "&amp;G$10&amp;" NO DEBE ser mayor que el Total. ","")</f>
        <v xml:space="preserve">* El número de Partos prematuros de 29 a 32 semanas NO DEBE ser mayor que el Total. </v>
      </c>
      <c r="CE12" s="1031" t="str">
        <f>IF($C12&lt;$H12,"* El número de "&amp;H$10&amp;" NO DEBE ser mayor que el Total. ","")</f>
        <v xml:space="preserve">* El número de Partos prematuros de 33 a 36 semanas NO DEBE ser mayor que el Total. </v>
      </c>
      <c r="CF12" s="1031" t="str">
        <f>IF(AND($C12&lt;&gt;"",$D12=""),"* No olvide digitar las beneficiarias (Digite Cero si no tiene). ",IF($C12&lt;$D12,"* El Número de Beneficiarias NO DEBE ser mayor que el Total. ",""))</f>
        <v xml:space="preserve">* El Número de Beneficiarias NO DEBE ser mayor que el Total. </v>
      </c>
      <c r="CG12" s="1031" t="str">
        <f>IF(AND($C12&lt;&gt;0,OR($T12="",$U12="")),"* No olvide digitar los campos Pueblo Originario y/o Migrantes (Digite Cero si no tiene). ",IF(OR($C12&lt;$T12,$C12&lt;$U12),"* Pueblo Originario y/o Migrantes NO DEBEN ser mayor que el Total. ",""))</f>
        <v xml:space="preserve">* Pueblo Originario y/o Migrantes NO DEBEN ser mayor que el Total. </v>
      </c>
      <c r="CH12" s="1163">
        <f>IF($C12&lt;$E12,1,0)</f>
        <v>1</v>
      </c>
      <c r="CI12" s="1163">
        <f>IF($C12&lt;$F12,1,0)</f>
        <v>1</v>
      </c>
      <c r="CJ12" s="1163">
        <f>IF($C12&lt;$G12,1,0)</f>
        <v>1</v>
      </c>
      <c r="CK12" s="1163">
        <f>IF($C12&lt;$H12,1,0)</f>
        <v>1</v>
      </c>
      <c r="CL12" s="1163">
        <f>IF(AND($C12&lt;&gt;"",$D12=""),1,IF($C12&lt;$D12,1,0))</f>
        <v>1</v>
      </c>
      <c r="CM12" s="1163">
        <f>IF(AND($C12&lt;&gt;0,OR($T12="",$U12="")),1,IF(OR($C12&lt;$T12,$C12&lt;$U12),1,0))</f>
        <v>1</v>
      </c>
    </row>
    <row r="13" spans="1:91" ht="24" customHeight="1" x14ac:dyDescent="0.2">
      <c r="A13" s="4667" t="s">
        <v>3929</v>
      </c>
      <c r="B13" s="160" t="s">
        <v>687</v>
      </c>
      <c r="C13" s="141" t="s">
        <v>2777</v>
      </c>
      <c r="D13" s="163" t="s">
        <v>2778</v>
      </c>
      <c r="E13" s="141" t="s">
        <v>2779</v>
      </c>
      <c r="F13" s="142" t="s">
        <v>2780</v>
      </c>
      <c r="G13" s="180" t="s">
        <v>2781</v>
      </c>
      <c r="H13" s="163" t="s">
        <v>2782</v>
      </c>
      <c r="I13" s="565" t="s">
        <v>2783</v>
      </c>
      <c r="J13" s="142" t="s">
        <v>2784</v>
      </c>
      <c r="K13" s="142" t="s">
        <v>2785</v>
      </c>
      <c r="L13" s="142" t="s">
        <v>2786</v>
      </c>
      <c r="M13" s="163" t="s">
        <v>2787</v>
      </c>
      <c r="N13" s="646" t="s">
        <v>2788</v>
      </c>
      <c r="O13" s="97" t="s">
        <v>2789</v>
      </c>
      <c r="P13" s="171" t="s">
        <v>2790</v>
      </c>
      <c r="Q13" s="170" t="s">
        <v>2791</v>
      </c>
      <c r="R13" s="97" t="s">
        <v>2792</v>
      </c>
      <c r="S13" s="197" t="s">
        <v>2793</v>
      </c>
      <c r="T13" s="170" t="s">
        <v>2794</v>
      </c>
      <c r="U13" s="197" t="s">
        <v>2795</v>
      </c>
      <c r="V13" s="1165" t="str">
        <f t="shared" ref="V13:V20" si="3">CB13&amp;CC13&amp;CD13&amp;CE13&amp;CF13&amp;CG13</f>
        <v xml:space="preserve">* El número de Partos prematuros menos de 24 semanas NO DEBE ser mayor que el Total. * El número de Partos prematuros de 24 a 28 semanas NO DEBE ser mayor que el Total. * El número de Partos prematuros de 29 a 32 semanas NO DEBE ser mayor que el Total. * El número de Partos prematuros de 33 a 36 semanas NO DEBE ser mayor que el Total. * El Número de Beneficiarias NO DEBE ser mayor que el Total. * Pueblo Originario y/o Migrantes NO DEBEN ser mayor que el Total. </v>
      </c>
      <c r="W13" s="1058"/>
      <c r="X13" s="1058"/>
      <c r="Y13" s="1058"/>
      <c r="Z13" s="1058"/>
      <c r="AA13" s="1058"/>
      <c r="AB13" s="1058"/>
      <c r="AC13" s="1058"/>
      <c r="AD13" s="1058"/>
      <c r="AE13" s="1058"/>
      <c r="AF13" s="1058"/>
      <c r="AG13" s="1058"/>
      <c r="BZ13" s="94"/>
      <c r="CA13" s="94"/>
      <c r="CB13" s="1031" t="str">
        <f t="shared" ref="CB13:CB15" si="4">IF($C13&lt;$E13,"* El número de "&amp;E$10&amp;" NO DEBE ser mayor que el Total. ","")</f>
        <v xml:space="preserve">* El número de Partos prematuros menos de 24 semanas NO DEBE ser mayor que el Total. </v>
      </c>
      <c r="CC13" s="1031" t="str">
        <f t="shared" ref="CC13:CC15" si="5">IF($C13&lt;$F13,"* El número de "&amp;F$10&amp;" NO DEBE ser mayor que el Total. ","")</f>
        <v xml:space="preserve">* El número de Partos prematuros de 24 a 28 semanas NO DEBE ser mayor que el Total. </v>
      </c>
      <c r="CD13" s="1031" t="str">
        <f t="shared" ref="CD13:CD15" si="6">IF($C13&lt;$G13,"* El número de "&amp;G$10&amp;" NO DEBE ser mayor que el Total. ","")</f>
        <v xml:space="preserve">* El número de Partos prematuros de 29 a 32 semanas NO DEBE ser mayor que el Total. </v>
      </c>
      <c r="CE13" s="1031" t="str">
        <f t="shared" ref="CE13:CE15" si="7">IF($C13&lt;$H13,"* El número de "&amp;H$10&amp;" NO DEBE ser mayor que el Total. ","")</f>
        <v xml:space="preserve">* El número de Partos prematuros de 33 a 36 semanas NO DEBE ser mayor que el Total. </v>
      </c>
      <c r="CF13" s="1031" t="str">
        <f t="shared" ref="CF13:CF16" si="8">IF(AND($C13&lt;&gt;"",$D13=""),"* No olvide digitar las beneficiarias (Digite Cero si no tiene). ",IF($C13&lt;$D13,"* El Número de Beneficiarias NO DEBE ser mayor que el Total. ",""))</f>
        <v xml:space="preserve">* El Número de Beneficiarias NO DEBE ser mayor que el Total. </v>
      </c>
      <c r="CG13" s="1031" t="str">
        <f t="shared" ref="CG13:CG15" si="9">IF(AND($C13&lt;&gt;0,OR($T13="",$U13="")),"* No olvide digitar los campos Pueblo Originario y/o Migrantes (Digite Cero si no tiene). ",IF(OR($C13&lt;$T13,$C13&lt;$U13),"* Pueblo Originario y/o Migrantes NO DEBEN ser mayor que el Total. ",""))</f>
        <v xml:space="preserve">* Pueblo Originario y/o Migrantes NO DEBEN ser mayor que el Total. </v>
      </c>
      <c r="CH13" s="1163">
        <f t="shared" ref="CH13:CH15" si="10">IF($C13&lt;$E13,1,0)</f>
        <v>1</v>
      </c>
      <c r="CI13" s="1163">
        <f t="shared" ref="CI13:CI15" si="11">IF($C13&lt;$F13,1,0)</f>
        <v>1</v>
      </c>
      <c r="CJ13" s="1163">
        <f t="shared" ref="CJ13:CJ15" si="12">IF($C13&lt;$G13,1,0)</f>
        <v>1</v>
      </c>
      <c r="CK13" s="1163">
        <f t="shared" ref="CK13:CK15" si="13">IF($C13&lt;$H13,1,0)</f>
        <v>1</v>
      </c>
      <c r="CL13" s="1163">
        <f t="shared" ref="CL13:CL16" si="14">IF(AND($C13&lt;&gt;"",$D13=""),1,IF($C13&lt;$D13,1,0))</f>
        <v>1</v>
      </c>
      <c r="CM13" s="1163">
        <f t="shared" ref="CM13:CM15" si="15">IF(AND($C13&lt;&gt;0,OR($T13="",$U13="")),1,IF(OR($C13&lt;$T13,$C13&lt;$U13),1,0))</f>
        <v>1</v>
      </c>
    </row>
    <row r="14" spans="1:91" ht="24" customHeight="1" x14ac:dyDescent="0.2">
      <c r="A14" s="4667" t="s">
        <v>3930</v>
      </c>
      <c r="B14" s="160" t="s">
        <v>688</v>
      </c>
      <c r="C14" s="141" t="s">
        <v>2777</v>
      </c>
      <c r="D14" s="163" t="s">
        <v>2778</v>
      </c>
      <c r="E14" s="141" t="s">
        <v>2779</v>
      </c>
      <c r="F14" s="142" t="s">
        <v>2780</v>
      </c>
      <c r="G14" s="180" t="s">
        <v>2781</v>
      </c>
      <c r="H14" s="163" t="s">
        <v>2782</v>
      </c>
      <c r="I14" s="565" t="s">
        <v>2783</v>
      </c>
      <c r="J14" s="142" t="s">
        <v>2784</v>
      </c>
      <c r="K14" s="142" t="s">
        <v>2785</v>
      </c>
      <c r="L14" s="142" t="s">
        <v>2786</v>
      </c>
      <c r="M14" s="163" t="s">
        <v>2787</v>
      </c>
      <c r="N14" s="646" t="s">
        <v>2788</v>
      </c>
      <c r="O14" s="97" t="s">
        <v>2789</v>
      </c>
      <c r="P14" s="171" t="s">
        <v>2790</v>
      </c>
      <c r="Q14" s="170" t="s">
        <v>2791</v>
      </c>
      <c r="R14" s="97" t="s">
        <v>2792</v>
      </c>
      <c r="S14" s="197" t="s">
        <v>2793</v>
      </c>
      <c r="T14" s="170" t="s">
        <v>2794</v>
      </c>
      <c r="U14" s="197" t="s">
        <v>2795</v>
      </c>
      <c r="V14" s="1165" t="str">
        <f t="shared" si="3"/>
        <v xml:space="preserve">* El número de Partos prematuros menos de 24 semanas NO DEBE ser mayor que el Total. * El número de Partos prematuros de 24 a 28 semanas NO DEBE ser mayor que el Total. * El número de Partos prematuros de 29 a 32 semanas NO DEBE ser mayor que el Total. * El número de Partos prematuros de 33 a 36 semanas NO DEBE ser mayor que el Total. * El Número de Beneficiarias NO DEBE ser mayor que el Total. * Pueblo Originario y/o Migrantes NO DEBEN ser mayor que el Total. </v>
      </c>
      <c r="W14" s="1058"/>
      <c r="X14" s="1058"/>
      <c r="Y14" s="1058"/>
      <c r="Z14" s="1058"/>
      <c r="AA14" s="1058"/>
      <c r="AB14" s="1058"/>
      <c r="AC14" s="1058"/>
      <c r="AD14" s="1058"/>
      <c r="AE14" s="1058"/>
      <c r="AF14" s="1058"/>
      <c r="AG14" s="1058"/>
      <c r="BZ14" s="94"/>
      <c r="CA14" s="94"/>
      <c r="CB14" s="1031" t="str">
        <f t="shared" si="4"/>
        <v xml:space="preserve">* El número de Partos prematuros menos de 24 semanas NO DEBE ser mayor que el Total. </v>
      </c>
      <c r="CC14" s="1031" t="str">
        <f t="shared" si="5"/>
        <v xml:space="preserve">* El número de Partos prematuros de 24 a 28 semanas NO DEBE ser mayor que el Total. </v>
      </c>
      <c r="CD14" s="1031" t="str">
        <f t="shared" si="6"/>
        <v xml:space="preserve">* El número de Partos prematuros de 29 a 32 semanas NO DEBE ser mayor que el Total. </v>
      </c>
      <c r="CE14" s="1031" t="str">
        <f t="shared" si="7"/>
        <v xml:space="preserve">* El número de Partos prematuros de 33 a 36 semanas NO DEBE ser mayor que el Total. </v>
      </c>
      <c r="CF14" s="1031" t="str">
        <f t="shared" si="8"/>
        <v xml:space="preserve">* El Número de Beneficiarias NO DEBE ser mayor que el Total. </v>
      </c>
      <c r="CG14" s="1031" t="str">
        <f t="shared" si="9"/>
        <v xml:space="preserve">* Pueblo Originario y/o Migrantes NO DEBEN ser mayor que el Total. </v>
      </c>
      <c r="CH14" s="1163">
        <f t="shared" si="10"/>
        <v>1</v>
      </c>
      <c r="CI14" s="1163">
        <f t="shared" si="11"/>
        <v>1</v>
      </c>
      <c r="CJ14" s="1163">
        <f t="shared" si="12"/>
        <v>1</v>
      </c>
      <c r="CK14" s="1163">
        <f t="shared" si="13"/>
        <v>1</v>
      </c>
      <c r="CL14" s="1163">
        <f t="shared" si="14"/>
        <v>1</v>
      </c>
      <c r="CM14" s="1163">
        <f t="shared" si="15"/>
        <v>1</v>
      </c>
    </row>
    <row r="15" spans="1:91" ht="24" customHeight="1" thickBot="1" x14ac:dyDescent="0.25">
      <c r="A15" s="2458">
        <v>24090700</v>
      </c>
      <c r="B15" s="566" t="s">
        <v>689</v>
      </c>
      <c r="C15" s="536" t="s">
        <v>2777</v>
      </c>
      <c r="D15" s="538" t="s">
        <v>2778</v>
      </c>
      <c r="E15" s="536" t="s">
        <v>2779</v>
      </c>
      <c r="F15" s="568" t="s">
        <v>2780</v>
      </c>
      <c r="G15" s="537" t="s">
        <v>2781</v>
      </c>
      <c r="H15" s="538" t="s">
        <v>2782</v>
      </c>
      <c r="I15" s="567" t="s">
        <v>2783</v>
      </c>
      <c r="J15" s="568" t="s">
        <v>2784</v>
      </c>
      <c r="K15" s="568" t="s">
        <v>2785</v>
      </c>
      <c r="L15" s="568" t="s">
        <v>2786</v>
      </c>
      <c r="M15" s="538" t="s">
        <v>2787</v>
      </c>
      <c r="N15" s="569" t="s">
        <v>2788</v>
      </c>
      <c r="O15" s="97" t="s">
        <v>2789</v>
      </c>
      <c r="P15" s="171" t="s">
        <v>2790</v>
      </c>
      <c r="Q15" s="170" t="s">
        <v>2791</v>
      </c>
      <c r="R15" s="97" t="s">
        <v>2792</v>
      </c>
      <c r="S15" s="97" t="s">
        <v>2793</v>
      </c>
      <c r="T15" s="170" t="s">
        <v>2794</v>
      </c>
      <c r="U15" s="197" t="s">
        <v>2795</v>
      </c>
      <c r="V15" s="1165" t="str">
        <f t="shared" si="3"/>
        <v xml:space="preserve">* El número de Partos prematuros menos de 24 semanas NO DEBE ser mayor que el Total. * El número de Partos prematuros de 24 a 28 semanas NO DEBE ser mayor que el Total. * El número de Partos prematuros de 29 a 32 semanas NO DEBE ser mayor que el Total. * El número de Partos prematuros de 33 a 36 semanas NO DEBE ser mayor que el Total. * El Número de Beneficiarias NO DEBE ser mayor que el Total. * Pueblo Originario y/o Migrantes NO DEBEN ser mayor que el Total. </v>
      </c>
      <c r="W15" s="1058"/>
      <c r="X15" s="1058"/>
      <c r="Y15" s="1058"/>
      <c r="Z15" s="1058"/>
      <c r="AA15" s="1058"/>
      <c r="AB15" s="1058"/>
      <c r="AC15" s="1058"/>
      <c r="AD15" s="1058"/>
      <c r="AE15" s="1058"/>
      <c r="AF15" s="1058"/>
      <c r="AG15" s="1058"/>
      <c r="BZ15" s="94"/>
      <c r="CA15" s="94"/>
      <c r="CB15" s="1031" t="str">
        <f t="shared" si="4"/>
        <v xml:space="preserve">* El número de Partos prematuros menos de 24 semanas NO DEBE ser mayor que el Total. </v>
      </c>
      <c r="CC15" s="1031" t="str">
        <f t="shared" si="5"/>
        <v xml:space="preserve">* El número de Partos prematuros de 24 a 28 semanas NO DEBE ser mayor que el Total. </v>
      </c>
      <c r="CD15" s="1031" t="str">
        <f t="shared" si="6"/>
        <v xml:space="preserve">* El número de Partos prematuros de 29 a 32 semanas NO DEBE ser mayor que el Total. </v>
      </c>
      <c r="CE15" s="1031" t="str">
        <f t="shared" si="7"/>
        <v xml:space="preserve">* El número de Partos prematuros de 33 a 36 semanas NO DEBE ser mayor que el Total. </v>
      </c>
      <c r="CF15" s="1031" t="str">
        <f t="shared" si="8"/>
        <v xml:space="preserve">* El Número de Beneficiarias NO DEBE ser mayor que el Total. </v>
      </c>
      <c r="CG15" s="1031" t="str">
        <f t="shared" si="9"/>
        <v xml:space="preserve">* Pueblo Originario y/o Migrantes NO DEBEN ser mayor que el Total. </v>
      </c>
      <c r="CH15" s="1163">
        <f t="shared" si="10"/>
        <v>1</v>
      </c>
      <c r="CI15" s="1163">
        <f t="shared" si="11"/>
        <v>1</v>
      </c>
      <c r="CJ15" s="1163">
        <f t="shared" si="12"/>
        <v>1</v>
      </c>
      <c r="CK15" s="1163">
        <f t="shared" si="13"/>
        <v>1</v>
      </c>
      <c r="CL15" s="1163">
        <f t="shared" si="14"/>
        <v>1</v>
      </c>
      <c r="CM15" s="1163">
        <f t="shared" si="15"/>
        <v>1</v>
      </c>
    </row>
    <row r="16" spans="1:91" ht="24" customHeight="1" thickTop="1" thickBot="1" x14ac:dyDescent="0.25">
      <c r="A16" s="4667" t="s">
        <v>3931</v>
      </c>
      <c r="B16" s="570" t="s">
        <v>690</v>
      </c>
      <c r="C16" s="388" t="s">
        <v>2777</v>
      </c>
      <c r="D16" s="574" t="s">
        <v>2778</v>
      </c>
      <c r="E16" s="743" t="s">
        <v>2779</v>
      </c>
      <c r="F16" s="1093" t="s">
        <v>2780</v>
      </c>
      <c r="G16" s="571" t="s">
        <v>2781</v>
      </c>
      <c r="H16" s="578" t="s">
        <v>2782</v>
      </c>
      <c r="I16" s="572" t="s">
        <v>2783</v>
      </c>
      <c r="J16" s="573" t="s">
        <v>2784</v>
      </c>
      <c r="K16" s="573" t="s">
        <v>2785</v>
      </c>
      <c r="L16" s="573" t="s">
        <v>2786</v>
      </c>
      <c r="M16" s="574" t="s">
        <v>2787</v>
      </c>
      <c r="N16" s="575" t="s">
        <v>2788</v>
      </c>
      <c r="O16" s="576" t="s">
        <v>2789</v>
      </c>
      <c r="P16" s="577" t="s">
        <v>2790</v>
      </c>
      <c r="Q16" s="758" t="s">
        <v>2791</v>
      </c>
      <c r="R16" s="1156" t="s">
        <v>2792</v>
      </c>
      <c r="S16" s="578" t="s">
        <v>2793</v>
      </c>
      <c r="T16" s="743" t="s">
        <v>2794</v>
      </c>
      <c r="U16" s="578" t="s">
        <v>2795</v>
      </c>
      <c r="V16" s="1165" t="str">
        <f t="shared" si="3"/>
        <v xml:space="preserve">* El Número de Beneficiarias NO DEBE ser mayor que el Total. </v>
      </c>
      <c r="BZ16" s="94"/>
      <c r="CA16" s="94"/>
      <c r="CB16" s="1031"/>
      <c r="CC16" s="1031"/>
      <c r="CD16" s="1031"/>
      <c r="CE16" s="1031"/>
      <c r="CF16" s="1031" t="str">
        <f t="shared" si="8"/>
        <v xml:space="preserve">* El Número de Beneficiarias NO DEBE ser mayor que el Total. </v>
      </c>
      <c r="CG16" s="1031"/>
      <c r="CH16" s="1163"/>
      <c r="CI16" s="1163"/>
      <c r="CJ16" s="1163"/>
      <c r="CK16" s="1163"/>
      <c r="CL16" s="1163">
        <f t="shared" si="14"/>
        <v>1</v>
      </c>
      <c r="CM16" s="1163"/>
    </row>
    <row r="17" spans="1:91" ht="24" customHeight="1" thickTop="1" x14ac:dyDescent="0.2">
      <c r="A17" s="2458">
        <v>24090800</v>
      </c>
      <c r="B17" s="759" t="s">
        <v>691</v>
      </c>
      <c r="C17" s="271" t="s">
        <v>2777</v>
      </c>
      <c r="D17" s="755" t="s">
        <v>2778</v>
      </c>
      <c r="E17" s="756" t="s">
        <v>2779</v>
      </c>
      <c r="F17" s="754" t="s">
        <v>2780</v>
      </c>
      <c r="G17" s="753" t="s">
        <v>2781</v>
      </c>
      <c r="H17" s="261" t="s">
        <v>2782</v>
      </c>
      <c r="I17" s="753" t="s">
        <v>2783</v>
      </c>
      <c r="J17" s="754" t="s">
        <v>2784</v>
      </c>
      <c r="K17" s="754" t="s">
        <v>2785</v>
      </c>
      <c r="L17" s="754" t="s">
        <v>2786</v>
      </c>
      <c r="M17" s="755" t="s">
        <v>2787</v>
      </c>
      <c r="N17" s="756" t="s">
        <v>2788</v>
      </c>
      <c r="O17" s="754" t="s">
        <v>2789</v>
      </c>
      <c r="P17" s="755" t="s">
        <v>2790</v>
      </c>
      <c r="Q17" s="756" t="s">
        <v>2791</v>
      </c>
      <c r="R17" s="754" t="s">
        <v>2792</v>
      </c>
      <c r="S17" s="261" t="s">
        <v>2793</v>
      </c>
      <c r="T17" s="756" t="s">
        <v>2794</v>
      </c>
      <c r="U17" s="261" t="s">
        <v>2795</v>
      </c>
      <c r="V17" s="1165" t="str">
        <f t="shared" si="3"/>
        <v/>
      </c>
      <c r="BZ17" s="94"/>
      <c r="CA17" s="94"/>
      <c r="CB17" s="1031"/>
      <c r="CC17" s="1031"/>
      <c r="CD17" s="1031"/>
      <c r="CE17" s="1031"/>
      <c r="CF17" s="1031"/>
      <c r="CG17" s="1031"/>
      <c r="CH17" s="1163"/>
      <c r="CI17" s="1163"/>
      <c r="CJ17" s="1163"/>
      <c r="CK17" s="1163"/>
      <c r="CL17" s="1163"/>
      <c r="CM17" s="1163"/>
    </row>
    <row r="18" spans="1:91" ht="24" customHeight="1" x14ac:dyDescent="0.2">
      <c r="A18" s="2458">
        <v>24200121</v>
      </c>
      <c r="B18" s="760" t="s">
        <v>1342</v>
      </c>
      <c r="C18" s="180" t="s">
        <v>2777</v>
      </c>
      <c r="D18" s="162" t="s">
        <v>2778</v>
      </c>
      <c r="E18" s="173" t="s">
        <v>2779</v>
      </c>
      <c r="F18" s="145" t="s">
        <v>2780</v>
      </c>
      <c r="G18" s="161" t="s">
        <v>2781</v>
      </c>
      <c r="H18" s="174" t="s">
        <v>2782</v>
      </c>
      <c r="I18" s="161" t="s">
        <v>2783</v>
      </c>
      <c r="J18" s="145" t="s">
        <v>2784</v>
      </c>
      <c r="K18" s="145" t="s">
        <v>2785</v>
      </c>
      <c r="L18" s="145" t="s">
        <v>2786</v>
      </c>
      <c r="M18" s="162" t="s">
        <v>2787</v>
      </c>
      <c r="N18" s="173" t="s">
        <v>2788</v>
      </c>
      <c r="O18" s="145" t="s">
        <v>2789</v>
      </c>
      <c r="P18" s="162" t="s">
        <v>2790</v>
      </c>
      <c r="Q18" s="173" t="s">
        <v>2791</v>
      </c>
      <c r="R18" s="145" t="s">
        <v>2792</v>
      </c>
      <c r="S18" s="174" t="s">
        <v>2793</v>
      </c>
      <c r="T18" s="141" t="s">
        <v>2794</v>
      </c>
      <c r="U18" s="198" t="s">
        <v>2795</v>
      </c>
      <c r="V18" s="1165" t="str">
        <f t="shared" si="3"/>
        <v xml:space="preserve">* Pueblo Originario y/o Migrantes NO DEBEN ser mayor que el Total. </v>
      </c>
      <c r="W18" s="1058"/>
      <c r="X18" s="1058"/>
      <c r="Y18" s="1058"/>
      <c r="Z18" s="1058"/>
      <c r="AA18" s="1058"/>
      <c r="AB18" s="1058"/>
      <c r="AC18" s="1058"/>
      <c r="AD18" s="1058"/>
      <c r="AE18" s="1058"/>
      <c r="AF18" s="1058"/>
      <c r="AG18" s="1058"/>
      <c r="BZ18" s="94"/>
      <c r="CA18" s="94"/>
      <c r="CB18" s="1031"/>
      <c r="CC18" s="1031"/>
      <c r="CD18" s="1031"/>
      <c r="CE18" s="1031"/>
      <c r="CF18" s="1031"/>
      <c r="CG18" s="1031" t="str">
        <f>IF(AND($C18&lt;&gt;0,OR($T18="",$U18="")),"* No olvide digitar los campos Pueblo Originario y/o Migrantes (Digite Cero si no tiene). ",IF(OR($C18&lt;$T18,$C18&lt;$U18),"* Pueblo Originario y/o Migrantes NO DEBEN ser mayor que el Total. ",""))</f>
        <v xml:space="preserve">* Pueblo Originario y/o Migrantes NO DEBEN ser mayor que el Total. </v>
      </c>
      <c r="CH18" s="1163"/>
      <c r="CI18" s="1163"/>
      <c r="CJ18" s="1163"/>
      <c r="CK18" s="1163"/>
      <c r="CL18" s="1163"/>
      <c r="CM18" s="1163">
        <f>IF(AND($C18&lt;&gt;0,OR($T18="",$U18="")),1,IF(OR($C18&lt;$T18,$C18&lt;$U18),1,0))</f>
        <v>1</v>
      </c>
    </row>
    <row r="19" spans="1:91" ht="24" customHeight="1" x14ac:dyDescent="0.2">
      <c r="A19" s="2458">
        <v>24090900</v>
      </c>
      <c r="B19" s="371" t="s">
        <v>692</v>
      </c>
      <c r="C19" s="180" t="s">
        <v>2777</v>
      </c>
      <c r="D19" s="162" t="s">
        <v>2778</v>
      </c>
      <c r="E19" s="173" t="s">
        <v>2779</v>
      </c>
      <c r="F19" s="145" t="s">
        <v>2780</v>
      </c>
      <c r="G19" s="161" t="s">
        <v>2781</v>
      </c>
      <c r="H19" s="174" t="s">
        <v>2782</v>
      </c>
      <c r="I19" s="161" t="s">
        <v>2783</v>
      </c>
      <c r="J19" s="161" t="s">
        <v>2784</v>
      </c>
      <c r="K19" s="145" t="s">
        <v>2785</v>
      </c>
      <c r="L19" s="145" t="s">
        <v>2786</v>
      </c>
      <c r="M19" s="162" t="s">
        <v>2787</v>
      </c>
      <c r="N19" s="173" t="s">
        <v>2788</v>
      </c>
      <c r="O19" s="145" t="s">
        <v>2789</v>
      </c>
      <c r="P19" s="162" t="s">
        <v>2790</v>
      </c>
      <c r="Q19" s="173" t="s">
        <v>2791</v>
      </c>
      <c r="R19" s="145" t="s">
        <v>2792</v>
      </c>
      <c r="S19" s="174" t="s">
        <v>2793</v>
      </c>
      <c r="T19" s="173" t="s">
        <v>2794</v>
      </c>
      <c r="U19" s="174" t="s">
        <v>2795</v>
      </c>
      <c r="V19" s="1165" t="str">
        <f t="shared" si="3"/>
        <v/>
      </c>
      <c r="BZ19" s="94"/>
      <c r="CA19" s="94"/>
      <c r="CH19" s="1020"/>
      <c r="CI19" s="1020"/>
      <c r="CJ19" s="1020"/>
      <c r="CK19" s="1020"/>
      <c r="CL19" s="1020"/>
      <c r="CM19" s="1020"/>
    </row>
    <row r="20" spans="1:91" ht="24" customHeight="1" x14ac:dyDescent="0.2">
      <c r="A20" s="2458">
        <v>24100100</v>
      </c>
      <c r="B20" s="167" t="s">
        <v>693</v>
      </c>
      <c r="C20" s="126" t="s">
        <v>2777</v>
      </c>
      <c r="D20" s="104" t="s">
        <v>2778</v>
      </c>
      <c r="E20" s="101" t="s">
        <v>2779</v>
      </c>
      <c r="F20" s="103" t="s">
        <v>2780</v>
      </c>
      <c r="G20" s="599" t="s">
        <v>2781</v>
      </c>
      <c r="H20" s="169" t="s">
        <v>2782</v>
      </c>
      <c r="I20" s="599" t="s">
        <v>2783</v>
      </c>
      <c r="J20" s="103" t="s">
        <v>2784</v>
      </c>
      <c r="K20" s="103" t="s">
        <v>2785</v>
      </c>
      <c r="L20" s="103" t="s">
        <v>2786</v>
      </c>
      <c r="M20" s="104" t="s">
        <v>2787</v>
      </c>
      <c r="N20" s="101" t="s">
        <v>2788</v>
      </c>
      <c r="O20" s="103" t="s">
        <v>2789</v>
      </c>
      <c r="P20" s="104" t="s">
        <v>2790</v>
      </c>
      <c r="Q20" s="101" t="s">
        <v>2791</v>
      </c>
      <c r="R20" s="103" t="s">
        <v>2792</v>
      </c>
      <c r="S20" s="169" t="s">
        <v>2793</v>
      </c>
      <c r="T20" s="101" t="s">
        <v>2794</v>
      </c>
      <c r="U20" s="169" t="s">
        <v>2795</v>
      </c>
      <c r="V20" s="1165" t="str">
        <f t="shared" si="3"/>
        <v/>
      </c>
      <c r="BZ20" s="94"/>
      <c r="CA20" s="94"/>
      <c r="CH20" s="1020"/>
      <c r="CI20" s="1020"/>
      <c r="CJ20" s="1020"/>
      <c r="CK20" s="1020"/>
      <c r="CL20" s="1020"/>
      <c r="CM20" s="1020"/>
    </row>
    <row r="21" spans="1:91" ht="15" customHeight="1" x14ac:dyDescent="0.2">
      <c r="B21" s="579" t="s">
        <v>694</v>
      </c>
      <c r="C21" s="579" t="s">
        <v>695</v>
      </c>
      <c r="D21" s="580"/>
      <c r="E21" s="580"/>
      <c r="F21" s="510"/>
      <c r="G21" s="580"/>
      <c r="H21" s="580"/>
      <c r="I21" s="580"/>
      <c r="J21" s="580"/>
      <c r="K21" s="510"/>
      <c r="L21" s="580"/>
      <c r="M21" s="580"/>
      <c r="N21" s="457"/>
      <c r="O21" s="190"/>
      <c r="P21" s="190"/>
      <c r="Q21" s="138"/>
      <c r="R21" s="190"/>
      <c r="S21" s="94"/>
      <c r="T21" s="94"/>
      <c r="U21" s="94"/>
      <c r="CH21" s="1020"/>
      <c r="CI21" s="1020"/>
      <c r="CJ21" s="1020"/>
      <c r="CK21" s="1020"/>
      <c r="CL21" s="1020"/>
      <c r="CM21" s="1020"/>
    </row>
    <row r="22" spans="1:91" ht="36" customHeight="1" x14ac:dyDescent="0.2">
      <c r="B22" s="324" t="s">
        <v>2692</v>
      </c>
      <c r="C22" s="579"/>
      <c r="D22" s="580"/>
      <c r="E22" s="841"/>
      <c r="F22" s="842"/>
      <c r="G22" s="841"/>
      <c r="H22" s="841"/>
      <c r="I22" s="841"/>
      <c r="J22" s="841"/>
      <c r="K22" s="842"/>
      <c r="L22" s="841"/>
      <c r="M22" s="841"/>
      <c r="N22" s="843"/>
      <c r="O22" s="208"/>
      <c r="P22" s="208"/>
      <c r="Q22" s="208"/>
      <c r="R22" s="190"/>
      <c r="CH22" s="1020"/>
      <c r="CI22" s="1020"/>
      <c r="CJ22" s="1020"/>
      <c r="CK22" s="1020"/>
      <c r="CL22" s="1020"/>
      <c r="CM22" s="1020"/>
    </row>
    <row r="23" spans="1:91" ht="34.35" customHeight="1" x14ac:dyDescent="0.2">
      <c r="B23" s="5529" t="s">
        <v>1384</v>
      </c>
      <c r="C23" s="5529" t="s">
        <v>4</v>
      </c>
      <c r="D23" s="6547" t="s">
        <v>1446</v>
      </c>
      <c r="E23" s="6548"/>
      <c r="F23" s="6548"/>
      <c r="G23" s="6548"/>
      <c r="H23" s="6548"/>
      <c r="I23" s="6548"/>
      <c r="J23" s="6548"/>
      <c r="K23" s="6548"/>
      <c r="L23" s="6548"/>
      <c r="M23" s="6549"/>
      <c r="N23" s="5774" t="s">
        <v>1470</v>
      </c>
      <c r="O23" s="5775"/>
      <c r="P23" s="5776"/>
      <c r="Q23" s="5774" t="s">
        <v>1471</v>
      </c>
      <c r="R23" s="5776"/>
      <c r="S23" s="6550" t="s">
        <v>1472</v>
      </c>
      <c r="T23" s="6550" t="s">
        <v>1359</v>
      </c>
      <c r="U23" s="6541" t="s">
        <v>1358</v>
      </c>
      <c r="V23" s="881"/>
      <c r="BZ23" s="94"/>
      <c r="CA23" s="94"/>
      <c r="CH23" s="1020"/>
      <c r="CI23" s="1020"/>
      <c r="CJ23" s="1020"/>
      <c r="CK23" s="1020"/>
      <c r="CL23" s="1020"/>
      <c r="CM23" s="1020"/>
    </row>
    <row r="24" spans="1:91" ht="50.1" customHeight="1" x14ac:dyDescent="0.2">
      <c r="B24" s="5810"/>
      <c r="C24" s="5530"/>
      <c r="D24" s="768" t="s">
        <v>1447</v>
      </c>
      <c r="E24" s="773" t="s">
        <v>1478</v>
      </c>
      <c r="F24" s="773" t="s">
        <v>167</v>
      </c>
      <c r="G24" s="769" t="s">
        <v>651</v>
      </c>
      <c r="H24" s="773" t="s">
        <v>652</v>
      </c>
      <c r="I24" s="773" t="s">
        <v>653</v>
      </c>
      <c r="J24" s="769" t="s">
        <v>654</v>
      </c>
      <c r="K24" s="773" t="s">
        <v>655</v>
      </c>
      <c r="L24" s="769" t="s">
        <v>656</v>
      </c>
      <c r="M24" s="839" t="s">
        <v>1448</v>
      </c>
      <c r="N24" s="253" t="s">
        <v>1473</v>
      </c>
      <c r="O24" s="88" t="s">
        <v>1474</v>
      </c>
      <c r="P24" s="191" t="s">
        <v>1475</v>
      </c>
      <c r="Q24" s="132" t="s">
        <v>1476</v>
      </c>
      <c r="R24" s="235" t="s">
        <v>1469</v>
      </c>
      <c r="S24" s="5114"/>
      <c r="T24" s="5114"/>
      <c r="U24" s="5550"/>
      <c r="V24" s="881"/>
      <c r="BZ24" s="94"/>
      <c r="CA24" s="94"/>
      <c r="CH24" s="1020"/>
      <c r="CI24" s="1020"/>
      <c r="CJ24" s="1020"/>
      <c r="CK24" s="1020"/>
      <c r="CL24" s="1020"/>
      <c r="CM24" s="1020"/>
    </row>
    <row r="25" spans="1:91" ht="15" customHeight="1" x14ac:dyDescent="0.2">
      <c r="A25" s="2527"/>
      <c r="B25" s="5530"/>
      <c r="C25" s="854">
        <f>SUM(C26:C28)</f>
        <v>0</v>
      </c>
      <c r="D25" s="855">
        <f>SUM(D26:D28)</f>
        <v>0</v>
      </c>
      <c r="E25" s="1009">
        <f>SUM(E26:E28)</f>
        <v>0</v>
      </c>
      <c r="F25" s="1009">
        <f>SUM(F26:F28)</f>
        <v>0</v>
      </c>
      <c r="G25" s="1009">
        <f t="shared" ref="G25:P25" si="16">SUM(G26:G28)</f>
        <v>0</v>
      </c>
      <c r="H25" s="1009">
        <f t="shared" si="16"/>
        <v>0</v>
      </c>
      <c r="I25" s="1009">
        <f t="shared" si="16"/>
        <v>0</v>
      </c>
      <c r="J25" s="1009">
        <f t="shared" si="16"/>
        <v>0</v>
      </c>
      <c r="K25" s="1009">
        <f t="shared" si="16"/>
        <v>0</v>
      </c>
      <c r="L25" s="1009">
        <f t="shared" si="16"/>
        <v>0</v>
      </c>
      <c r="M25" s="856">
        <f t="shared" si="16"/>
        <v>0</v>
      </c>
      <c r="N25" s="855">
        <f t="shared" si="16"/>
        <v>0</v>
      </c>
      <c r="O25" s="1009">
        <f t="shared" si="16"/>
        <v>0</v>
      </c>
      <c r="P25" s="856">
        <f t="shared" si="16"/>
        <v>0</v>
      </c>
      <c r="Q25" s="944">
        <f>SUM(Q26:Q27)</f>
        <v>0</v>
      </c>
      <c r="R25" s="945">
        <f>SUM(R26:R27)</f>
        <v>0</v>
      </c>
      <c r="S25" s="946">
        <f>SUM(S26:S28)</f>
        <v>0</v>
      </c>
      <c r="T25" s="946">
        <f>SUM(T26:T28)</f>
        <v>0</v>
      </c>
      <c r="U25" s="945">
        <f>SUM(U26:U28)</f>
        <v>0</v>
      </c>
      <c r="V25" s="881"/>
      <c r="BZ25" s="94"/>
      <c r="CA25" s="94"/>
      <c r="CH25" s="1020"/>
      <c r="CI25" s="1020"/>
      <c r="CJ25" s="1020"/>
      <c r="CK25" s="1020"/>
      <c r="CL25" s="1020"/>
      <c r="CM25" s="1020"/>
    </row>
    <row r="26" spans="1:91" ht="21.75" customHeight="1" x14ac:dyDescent="0.2">
      <c r="A26" s="2458">
        <v>24200200</v>
      </c>
      <c r="B26" s="844" t="s">
        <v>1415</v>
      </c>
      <c r="C26" s="3474" t="s">
        <v>2777</v>
      </c>
      <c r="D26" s="2937" t="s">
        <v>2778</v>
      </c>
      <c r="E26" s="3459" t="s">
        <v>2779</v>
      </c>
      <c r="F26" s="3460" t="s">
        <v>2780</v>
      </c>
      <c r="G26" s="3459" t="s">
        <v>2781</v>
      </c>
      <c r="H26" s="3460" t="s">
        <v>2782</v>
      </c>
      <c r="I26" s="3460" t="s">
        <v>2783</v>
      </c>
      <c r="J26" s="3459" t="s">
        <v>2784</v>
      </c>
      <c r="K26" s="3460" t="s">
        <v>2785</v>
      </c>
      <c r="L26" s="3459" t="s">
        <v>2786</v>
      </c>
      <c r="M26" s="2939" t="s">
        <v>2787</v>
      </c>
      <c r="N26" s="3461" t="s">
        <v>2788</v>
      </c>
      <c r="O26" s="3462" t="s">
        <v>2789</v>
      </c>
      <c r="P26" s="3463" t="s">
        <v>2790</v>
      </c>
      <c r="Q26" s="3464" t="s">
        <v>2791</v>
      </c>
      <c r="R26" s="3463" t="s">
        <v>2792</v>
      </c>
      <c r="S26" s="3465" t="s">
        <v>2793</v>
      </c>
      <c r="T26" s="3465" t="s">
        <v>2794</v>
      </c>
      <c r="U26" s="3466" t="s">
        <v>2795</v>
      </c>
      <c r="V26" s="1165" t="e">
        <f t="shared" ref="V26:V28" si="17">CB26&amp;CC26&amp;CD26&amp;CE26&amp;CF26&amp;CG26</f>
        <v>#VALUE!</v>
      </c>
      <c r="W26" s="1058"/>
      <c r="X26" s="1058"/>
      <c r="Y26" s="1058"/>
      <c r="Z26" s="1058"/>
      <c r="AA26" s="1058"/>
      <c r="AB26" s="1058"/>
      <c r="AC26" s="1058"/>
      <c r="AD26" s="1058"/>
      <c r="AE26" s="1058"/>
      <c r="AF26" s="1058"/>
      <c r="AG26" s="1058"/>
      <c r="BZ26" s="94"/>
      <c r="CA26" s="94"/>
      <c r="CB26" s="1031" t="e">
        <f>IF(CH26=1,"* La suma de los Abortos y Partos DEBE ser igual al Total de IVE realizada según causal. ","")</f>
        <v>#VALUE!</v>
      </c>
      <c r="CC26" s="1031" t="str">
        <f>IF(CI26=1,"* No olvide digitar los campos Beneficiarios y/o Pueblo Originario y/o Migrantes (Digite CEROS si no tiene). ","")</f>
        <v/>
      </c>
      <c r="CD26" s="1031" t="str">
        <f>IF(CJ26=1,"* Beneficiarios y/o Pueblo Originario y/o Migrantes NO DEBEN ser Mayor al Total. ","")</f>
        <v xml:space="preserve">* Beneficiarios y/o Pueblo Originario y/o Migrantes NO DEBEN ser Mayor al Total. </v>
      </c>
      <c r="CE26" s="1031"/>
      <c r="CF26" s="1031"/>
      <c r="CG26" s="1031"/>
      <c r="CH26" s="1163" t="e">
        <f>IF(C26&lt;&gt;(N26+O26+P26+Q26+R26),1,0)</f>
        <v>#VALUE!</v>
      </c>
      <c r="CI26" s="1163">
        <f>IF(AND(C26&lt;&gt;0,OR(S26="",T26="",U26="")),1,0)</f>
        <v>0</v>
      </c>
      <c r="CJ26" s="1163">
        <f>IF(OR(C26&lt;S26,C26&lt;T26,C26&lt;U26),1,0)</f>
        <v>1</v>
      </c>
      <c r="CK26" s="1020"/>
      <c r="CL26" s="1020"/>
      <c r="CM26" s="1020"/>
    </row>
    <row r="27" spans="1:91" ht="21.75" customHeight="1" x14ac:dyDescent="0.2">
      <c r="A27" s="2458">
        <v>24200201</v>
      </c>
      <c r="B27" s="845" t="s">
        <v>1414</v>
      </c>
      <c r="C27" s="3475" t="s">
        <v>2777</v>
      </c>
      <c r="D27" s="3467" t="s">
        <v>2778</v>
      </c>
      <c r="E27" s="3444" t="s">
        <v>2779</v>
      </c>
      <c r="F27" s="3468" t="s">
        <v>2780</v>
      </c>
      <c r="G27" s="3444" t="s">
        <v>2781</v>
      </c>
      <c r="H27" s="3468" t="s">
        <v>2782</v>
      </c>
      <c r="I27" s="3468" t="s">
        <v>2783</v>
      </c>
      <c r="J27" s="3444" t="s">
        <v>2784</v>
      </c>
      <c r="K27" s="3468" t="s">
        <v>2785</v>
      </c>
      <c r="L27" s="3444" t="s">
        <v>2786</v>
      </c>
      <c r="M27" s="3445" t="s">
        <v>2787</v>
      </c>
      <c r="N27" s="2901" t="s">
        <v>2788</v>
      </c>
      <c r="O27" s="3431" t="s">
        <v>2789</v>
      </c>
      <c r="P27" s="3323" t="s">
        <v>2790</v>
      </c>
      <c r="Q27" s="3329" t="s">
        <v>2791</v>
      </c>
      <c r="R27" s="3323" t="s">
        <v>2792</v>
      </c>
      <c r="S27" s="3395" t="s">
        <v>2793</v>
      </c>
      <c r="T27" s="3395" t="s">
        <v>2794</v>
      </c>
      <c r="U27" s="2902" t="s">
        <v>2795</v>
      </c>
      <c r="V27" s="1165" t="e">
        <f t="shared" si="17"/>
        <v>#VALUE!</v>
      </c>
      <c r="W27" s="1058"/>
      <c r="X27" s="1058"/>
      <c r="Y27" s="1058"/>
      <c r="Z27" s="1058"/>
      <c r="AA27" s="1058"/>
      <c r="AB27" s="1058"/>
      <c r="AC27" s="1058"/>
      <c r="AD27" s="1058"/>
      <c r="AE27" s="1058"/>
      <c r="AF27" s="1058"/>
      <c r="AG27" s="1058"/>
      <c r="BZ27" s="94"/>
      <c r="CA27" s="94"/>
      <c r="CB27" s="1031" t="e">
        <f t="shared" ref="CB27" si="18">IF(CH27=1,"* La suma de los Abortos y Partos DEBE ser igual al Total de IVE realizada según causal. ","")</f>
        <v>#VALUE!</v>
      </c>
      <c r="CC27" s="1031" t="str">
        <f t="shared" ref="CC27:CC28" si="19">IF(CI27=1,"* No olvide digitar los campos Beneficiarios y/o Pueblo Originario y/o Migrantes (Digite CEROS si no tiene). ","")</f>
        <v/>
      </c>
      <c r="CD27" s="1031" t="str">
        <f t="shared" ref="CD27:CD28" si="20">IF(CJ27=1,"* Beneficiarios y/o Pueblo Originario y/o Migrantes NO DEBEN ser Mayor al Total. ","")</f>
        <v xml:space="preserve">* Beneficiarios y/o Pueblo Originario y/o Migrantes NO DEBEN ser Mayor al Total. </v>
      </c>
      <c r="CE27" s="1031"/>
      <c r="CF27" s="1031"/>
      <c r="CG27" s="1031"/>
      <c r="CH27" s="1163" t="e">
        <f t="shared" ref="CH27:CH28" si="21">IF(C27&lt;&gt;(N27+O27+P27+Q27+R27),1,0)</f>
        <v>#VALUE!</v>
      </c>
      <c r="CI27" s="1163">
        <f t="shared" ref="CI27:CI28" si="22">IF(AND(C27&lt;&gt;0,OR(S27="",T27="",U27="")),1,0)</f>
        <v>0</v>
      </c>
      <c r="CJ27" s="1163">
        <f t="shared" ref="CJ27:CJ28" si="23">IF(OR(C27&lt;S27,C27&lt;T27,C27&lt;U27),1,0)</f>
        <v>1</v>
      </c>
      <c r="CK27" s="1020"/>
      <c r="CL27" s="1020"/>
      <c r="CM27" s="1020"/>
    </row>
    <row r="28" spans="1:91" ht="21.75" customHeight="1" x14ac:dyDescent="0.2">
      <c r="A28" s="2458">
        <v>24200202</v>
      </c>
      <c r="B28" s="846" t="s">
        <v>2693</v>
      </c>
      <c r="C28" s="3476" t="s">
        <v>2777</v>
      </c>
      <c r="D28" s="3469" t="s">
        <v>2778</v>
      </c>
      <c r="E28" s="3453" t="s">
        <v>2779</v>
      </c>
      <c r="F28" s="3470" t="s">
        <v>2780</v>
      </c>
      <c r="G28" s="3453" t="s">
        <v>2781</v>
      </c>
      <c r="H28" s="3470" t="s">
        <v>2782</v>
      </c>
      <c r="I28" s="3470" t="s">
        <v>2783</v>
      </c>
      <c r="J28" s="3453" t="s">
        <v>2784</v>
      </c>
      <c r="K28" s="3470" t="s">
        <v>2785</v>
      </c>
      <c r="L28" s="3453" t="s">
        <v>2786</v>
      </c>
      <c r="M28" s="3454" t="s">
        <v>2787</v>
      </c>
      <c r="N28" s="3471" t="s">
        <v>2788</v>
      </c>
      <c r="O28" s="2913" t="s">
        <v>2789</v>
      </c>
      <c r="P28" s="3472" t="s">
        <v>2790</v>
      </c>
      <c r="Q28" s="3473" t="s">
        <v>2791</v>
      </c>
      <c r="R28" s="3073" t="s">
        <v>2792</v>
      </c>
      <c r="S28" s="3421" t="s">
        <v>2793</v>
      </c>
      <c r="T28" s="3421" t="s">
        <v>2794</v>
      </c>
      <c r="U28" s="2906" t="s">
        <v>2795</v>
      </c>
      <c r="V28" s="1165" t="e">
        <f t="shared" si="17"/>
        <v>#VALUE!</v>
      </c>
      <c r="W28" s="1058"/>
      <c r="X28" s="1058"/>
      <c r="Y28" s="1058"/>
      <c r="Z28" s="1058"/>
      <c r="AA28" s="1058"/>
      <c r="AB28" s="1058"/>
      <c r="AC28" s="1058"/>
      <c r="AD28" s="1058"/>
      <c r="AE28" s="1058"/>
      <c r="AF28" s="1058"/>
      <c r="AG28" s="1058"/>
      <c r="BZ28" s="94"/>
      <c r="CA28" s="94"/>
      <c r="CB28" s="1031" t="e">
        <f>IF(CH28=1,"* La suma de los Abortos y Partos DEBE ser igual al Total de IVE realizada según causal. ","")</f>
        <v>#VALUE!</v>
      </c>
      <c r="CC28" s="1031" t="str">
        <f t="shared" si="19"/>
        <v/>
      </c>
      <c r="CD28" s="1031" t="str">
        <f t="shared" si="20"/>
        <v xml:space="preserve">* Beneficiarios y/o Pueblo Originario y/o Migrantes NO DEBEN ser Mayor al Total. </v>
      </c>
      <c r="CE28" s="1031"/>
      <c r="CF28" s="1031"/>
      <c r="CG28" s="1031"/>
      <c r="CH28" s="1163" t="e">
        <f t="shared" si="21"/>
        <v>#VALUE!</v>
      </c>
      <c r="CI28" s="1163">
        <f t="shared" si="22"/>
        <v>0</v>
      </c>
      <c r="CJ28" s="1163">
        <f t="shared" si="23"/>
        <v>1</v>
      </c>
      <c r="CK28" s="1020"/>
      <c r="CL28" s="1020"/>
      <c r="CM28" s="1020"/>
    </row>
    <row r="29" spans="1:91" ht="36" customHeight="1" x14ac:dyDescent="0.2">
      <c r="B29" s="324" t="s">
        <v>696</v>
      </c>
      <c r="E29" s="1081"/>
      <c r="F29" s="1081"/>
      <c r="G29" s="881"/>
      <c r="H29" s="881"/>
      <c r="I29" s="881"/>
      <c r="J29" s="881"/>
      <c r="K29" s="881"/>
      <c r="L29" s="881"/>
      <c r="M29" s="881"/>
      <c r="N29" s="881"/>
      <c r="O29" s="881"/>
      <c r="P29" s="881"/>
      <c r="Q29" s="956"/>
      <c r="R29" s="190"/>
      <c r="CH29" s="1020"/>
      <c r="CI29" s="1020"/>
      <c r="CJ29" s="1020"/>
      <c r="CK29" s="1020"/>
      <c r="CL29" s="1020"/>
      <c r="CM29" s="1020"/>
    </row>
    <row r="30" spans="1:91" ht="21" x14ac:dyDescent="0.2">
      <c r="B30" s="93" t="s">
        <v>697</v>
      </c>
      <c r="C30" s="252" t="s">
        <v>42</v>
      </c>
      <c r="D30" s="252" t="s">
        <v>698</v>
      </c>
      <c r="E30" s="1037" t="s">
        <v>211</v>
      </c>
      <c r="F30" s="1082"/>
      <c r="G30" s="881"/>
      <c r="H30" s="881"/>
      <c r="I30" s="881"/>
      <c r="J30" s="881"/>
      <c r="K30" s="881"/>
      <c r="L30" s="881"/>
      <c r="M30" s="881"/>
      <c r="N30" s="881"/>
      <c r="O30" s="881"/>
      <c r="P30" s="881"/>
      <c r="Q30" s="956"/>
      <c r="R30" s="190"/>
      <c r="CH30" s="1020"/>
      <c r="CI30" s="1020"/>
      <c r="CJ30" s="1020"/>
      <c r="CK30" s="1020"/>
      <c r="CL30" s="1020"/>
      <c r="CM30" s="1020"/>
    </row>
    <row r="31" spans="1:91" ht="21" customHeight="1" x14ac:dyDescent="0.2">
      <c r="A31" s="4667" t="s">
        <v>3932</v>
      </c>
      <c r="B31" s="740" t="s">
        <v>699</v>
      </c>
      <c r="C31" s="3477" t="s">
        <v>2777</v>
      </c>
      <c r="D31" s="3477" t="s">
        <v>2778</v>
      </c>
      <c r="E31" s="1057"/>
      <c r="F31" s="1058"/>
      <c r="G31" s="1058"/>
      <c r="H31" s="1058"/>
      <c r="I31" s="1058"/>
      <c r="J31" s="1058"/>
      <c r="K31" s="1058"/>
      <c r="L31" s="1058"/>
      <c r="M31" s="1058"/>
      <c r="N31" s="1058"/>
      <c r="O31" s="1058"/>
      <c r="P31" s="1058"/>
      <c r="Q31" s="956"/>
      <c r="R31" s="190"/>
      <c r="CB31" s="889" t="str">
        <f>IF(C31=0,"",IF(D31="",IF(C31="","","* No olvide digitar la columna Beneficiarios. "),""))</f>
        <v/>
      </c>
      <c r="CC31" s="889" t="str">
        <f>IF(C31&lt;D31,"* El número de Beneficiarios NO DEBE ser mayor que el Total. ","")</f>
        <v xml:space="preserve">* El número de Beneficiarios NO DEBE ser mayor que el Total. </v>
      </c>
      <c r="CD31" s="1031"/>
      <c r="CE31" s="1031"/>
      <c r="CF31" s="1031"/>
      <c r="CG31" s="1031"/>
      <c r="CH31" s="1020">
        <f>IF(C31=0,"",IF(D31="",IF(C23="","",1),0))</f>
        <v>0</v>
      </c>
      <c r="CI31" s="1020">
        <f>IF(C31&lt;D31,1,0)</f>
        <v>1</v>
      </c>
      <c r="CJ31" s="1020"/>
      <c r="CK31" s="1020"/>
      <c r="CL31" s="1020"/>
      <c r="CM31" s="1020"/>
    </row>
    <row r="32" spans="1:91" ht="19.5" customHeight="1" x14ac:dyDescent="0.2">
      <c r="A32" s="4667" t="s">
        <v>3933</v>
      </c>
      <c r="B32" s="741" t="s">
        <v>700</v>
      </c>
      <c r="C32" s="3478" t="s">
        <v>2777</v>
      </c>
      <c r="D32" s="3478" t="s">
        <v>2778</v>
      </c>
      <c r="E32" s="1057"/>
      <c r="F32" s="1058"/>
      <c r="G32" s="1058"/>
      <c r="H32" s="1058"/>
      <c r="I32" s="1058"/>
      <c r="J32" s="1058"/>
      <c r="K32" s="1058"/>
      <c r="L32" s="1058"/>
      <c r="M32" s="1058"/>
      <c r="N32" s="1058"/>
      <c r="O32" s="1058"/>
      <c r="P32" s="1058"/>
      <c r="Q32" s="956"/>
      <c r="R32" s="190"/>
      <c r="CB32" s="889" t="str">
        <f>IF(C32=0,"",IF(D32="",IF(C32="","","* No olvide digitar la columna Beneficiarios. "),""))</f>
        <v/>
      </c>
      <c r="CC32" s="889" t="str">
        <f>IF(C32&lt;D32,"* El número de Beneficiarios NO DEBE ser mayor que el Total. ","")</f>
        <v xml:space="preserve">* El número de Beneficiarios NO DEBE ser mayor que el Total. </v>
      </c>
      <c r="CD32" s="1031"/>
      <c r="CE32" s="1031"/>
      <c r="CF32" s="1031"/>
      <c r="CG32" s="1031"/>
      <c r="CH32" s="1163"/>
      <c r="CI32" s="1163"/>
      <c r="CJ32" s="1020"/>
      <c r="CK32" s="1020"/>
      <c r="CL32" s="1020"/>
      <c r="CM32" s="1020"/>
    </row>
    <row r="33" spans="1:91" ht="36" customHeight="1" x14ac:dyDescent="0.2">
      <c r="B33" s="6551" t="s">
        <v>1163</v>
      </c>
      <c r="C33" s="6225"/>
      <c r="D33" s="6225"/>
      <c r="E33" s="6225"/>
      <c r="F33" s="6225"/>
      <c r="G33" s="6225"/>
      <c r="H33" s="1064"/>
      <c r="I33" s="1064"/>
      <c r="J33" s="1064"/>
      <c r="K33" s="1064"/>
      <c r="L33" s="928"/>
      <c r="M33" s="928"/>
      <c r="N33" s="1080"/>
      <c r="O33" s="1080"/>
      <c r="P33" s="881"/>
      <c r="Q33" s="956"/>
      <c r="R33" s="190"/>
      <c r="CH33" s="1020"/>
      <c r="CI33" s="1020"/>
      <c r="CJ33" s="1020"/>
      <c r="CK33" s="1020"/>
      <c r="CL33" s="1020"/>
      <c r="CM33" s="1020"/>
    </row>
    <row r="34" spans="1:91" ht="36" customHeight="1" x14ac:dyDescent="0.2">
      <c r="B34" s="6552" t="s">
        <v>701</v>
      </c>
      <c r="C34" s="6553"/>
      <c r="D34" s="6553"/>
      <c r="E34" s="6553"/>
      <c r="F34" s="6553"/>
      <c r="G34" s="6553"/>
      <c r="M34" s="190"/>
      <c r="N34" s="190"/>
      <c r="O34" s="190"/>
      <c r="P34" s="190"/>
      <c r="Q34" s="138"/>
      <c r="R34" s="190"/>
      <c r="CH34" s="1020"/>
      <c r="CI34" s="1020"/>
      <c r="CJ34" s="1020"/>
      <c r="CK34" s="1020"/>
      <c r="CL34" s="1020"/>
      <c r="CM34" s="1020"/>
    </row>
    <row r="35" spans="1:91" ht="41.1" customHeight="1" x14ac:dyDescent="0.2">
      <c r="B35" s="5112" t="s">
        <v>218</v>
      </c>
      <c r="C35" s="5134" t="s">
        <v>42</v>
      </c>
      <c r="D35" s="5774" t="s">
        <v>1492</v>
      </c>
      <c r="E35" s="5775"/>
      <c r="F35" s="5775"/>
      <c r="G35" s="5775"/>
      <c r="H35" s="5775"/>
      <c r="I35" s="5775"/>
      <c r="J35" s="5775"/>
      <c r="K35" s="5776"/>
      <c r="L35" s="5138" t="s">
        <v>2694</v>
      </c>
      <c r="M35" s="5139"/>
      <c r="N35" s="881"/>
      <c r="O35" s="881"/>
      <c r="P35" s="881"/>
      <c r="Q35" s="881"/>
      <c r="R35" s="956"/>
      <c r="S35" s="881"/>
      <c r="T35" s="94"/>
      <c r="U35" s="94"/>
      <c r="BZ35" s="94"/>
      <c r="CH35" s="1020"/>
      <c r="CI35" s="1020"/>
      <c r="CJ35" s="1020"/>
      <c r="CK35" s="1020"/>
      <c r="CL35" s="1020"/>
      <c r="CM35" s="1020"/>
    </row>
    <row r="36" spans="1:91" ht="31.5" customHeight="1" x14ac:dyDescent="0.2">
      <c r="B36" s="5114"/>
      <c r="C36" s="5136"/>
      <c r="D36" s="768" t="s">
        <v>1490</v>
      </c>
      <c r="E36" s="768" t="s">
        <v>1491</v>
      </c>
      <c r="F36" s="88" t="s">
        <v>702</v>
      </c>
      <c r="G36" s="88" t="s">
        <v>703</v>
      </c>
      <c r="H36" s="88" t="s">
        <v>704</v>
      </c>
      <c r="I36" s="88" t="s">
        <v>705</v>
      </c>
      <c r="J36" s="88" t="s">
        <v>706</v>
      </c>
      <c r="K36" s="191" t="s">
        <v>707</v>
      </c>
      <c r="L36" s="88" t="s">
        <v>708</v>
      </c>
      <c r="M36" s="191" t="s">
        <v>709</v>
      </c>
      <c r="N36" s="881"/>
      <c r="O36" s="881"/>
      <c r="P36" s="881"/>
      <c r="Q36" s="881"/>
      <c r="R36" s="956"/>
      <c r="S36" s="881"/>
      <c r="T36" s="94"/>
      <c r="U36" s="94"/>
      <c r="BZ36" s="94"/>
      <c r="CH36" s="1020"/>
      <c r="CI36" s="1020"/>
      <c r="CJ36" s="1020"/>
      <c r="CK36" s="1020"/>
      <c r="CL36" s="1020"/>
      <c r="CM36" s="1020"/>
    </row>
    <row r="37" spans="1:91" ht="19.5" customHeight="1" x14ac:dyDescent="0.2">
      <c r="A37" s="4667" t="s">
        <v>3934</v>
      </c>
      <c r="B37" s="481" t="s">
        <v>710</v>
      </c>
      <c r="C37" s="368" t="s">
        <v>2777</v>
      </c>
      <c r="D37" s="137" t="s">
        <v>2778</v>
      </c>
      <c r="E37" s="137" t="s">
        <v>2779</v>
      </c>
      <c r="F37" s="110" t="s">
        <v>2780</v>
      </c>
      <c r="G37" s="110" t="s">
        <v>2781</v>
      </c>
      <c r="H37" s="110" t="s">
        <v>2782</v>
      </c>
      <c r="I37" s="110" t="s">
        <v>2783</v>
      </c>
      <c r="J37" s="110" t="s">
        <v>2784</v>
      </c>
      <c r="K37" s="123" t="s">
        <v>2785</v>
      </c>
      <c r="L37" s="110" t="s">
        <v>2786</v>
      </c>
      <c r="M37" s="123" t="s">
        <v>2787</v>
      </c>
      <c r="N37" s="1165" t="str">
        <f>CB37&amp;CC37</f>
        <v/>
      </c>
      <c r="O37" s="1058"/>
      <c r="P37" s="1058"/>
      <c r="Q37" s="1058"/>
      <c r="R37" s="1058"/>
      <c r="S37" s="1058"/>
      <c r="T37" s="1058"/>
      <c r="U37" s="1058"/>
      <c r="V37" s="1058"/>
      <c r="W37" s="1058"/>
      <c r="X37" s="1058"/>
      <c r="Y37" s="1058"/>
      <c r="BZ37" s="94"/>
      <c r="CB37" s="1031" t="str">
        <f>IF(CH37=1,"* Los Recién Nacidos de 2.500 y más gramos NO DEBE ser menot al Total de partos con Apego Precoz de RN del mismo peso Sección A. ","")</f>
        <v/>
      </c>
      <c r="CC37" s="1031" t="str">
        <f>IF(CI37=1,"* Los Recién Nacidos de menor o igual a 2.499 gramos NO DEBE ser menot al Total de partos con Apego Precoz de RN del mismo peso Sección A. ","")</f>
        <v/>
      </c>
      <c r="CD37" s="1031"/>
      <c r="CE37" s="1031"/>
      <c r="CF37" s="1031"/>
      <c r="CG37" s="1031"/>
      <c r="CH37" s="1163">
        <f>IF(SUM(I37:K37)&gt;=R11,0,1)</f>
        <v>0</v>
      </c>
      <c r="CI37" s="1163">
        <f>IF(SUM(D37:H37)&gt;=Q11,0,1)</f>
        <v>0</v>
      </c>
      <c r="CJ37" s="1163"/>
      <c r="CK37" s="1020"/>
      <c r="CL37" s="1020"/>
      <c r="CM37" s="1020"/>
    </row>
    <row r="38" spans="1:91" ht="21" customHeight="1" x14ac:dyDescent="0.2">
      <c r="A38" s="4667" t="s">
        <v>3935</v>
      </c>
      <c r="B38" s="1161" t="s">
        <v>711</v>
      </c>
      <c r="C38" s="369" t="s">
        <v>2777</v>
      </c>
      <c r="D38" s="203" t="s">
        <v>2778</v>
      </c>
      <c r="E38" s="203" t="s">
        <v>2779</v>
      </c>
      <c r="F38" s="117" t="s">
        <v>2780</v>
      </c>
      <c r="G38" s="117" t="s">
        <v>2781</v>
      </c>
      <c r="H38" s="117" t="s">
        <v>2782</v>
      </c>
      <c r="I38" s="117" t="s">
        <v>2783</v>
      </c>
      <c r="J38" s="117" t="s">
        <v>2784</v>
      </c>
      <c r="K38" s="204" t="s">
        <v>2785</v>
      </c>
      <c r="L38" s="121" t="s">
        <v>2786</v>
      </c>
      <c r="M38" s="122" t="s">
        <v>2787</v>
      </c>
      <c r="N38" s="94"/>
      <c r="O38" s="94"/>
      <c r="P38" s="94"/>
      <c r="Q38" s="94"/>
      <c r="R38" s="94"/>
      <c r="S38" s="94"/>
      <c r="T38" s="94"/>
      <c r="U38" s="94"/>
      <c r="BZ38" s="94"/>
      <c r="CH38" s="1020"/>
      <c r="CI38" s="1020"/>
      <c r="CJ38" s="1020"/>
      <c r="CK38" s="1020"/>
      <c r="CL38" s="1020"/>
      <c r="CM38" s="1020"/>
    </row>
    <row r="39" spans="1:91" ht="36" customHeight="1" x14ac:dyDescent="0.2">
      <c r="B39" s="782" t="s">
        <v>1162</v>
      </c>
      <c r="C39" s="293"/>
      <c r="D39" s="293"/>
      <c r="E39" s="293"/>
      <c r="F39" s="293"/>
      <c r="G39" s="293"/>
      <c r="H39" s="293"/>
      <c r="I39" s="293"/>
      <c r="J39" s="293"/>
      <c r="K39" s="293"/>
      <c r="L39" s="293"/>
      <c r="M39" s="881"/>
      <c r="N39" s="881"/>
      <c r="O39" s="881"/>
      <c r="P39" s="881"/>
      <c r="Q39" s="956"/>
      <c r="R39" s="881"/>
      <c r="S39" s="94"/>
      <c r="T39" s="94"/>
      <c r="U39" s="94"/>
      <c r="CH39" s="1020"/>
      <c r="CI39" s="1020"/>
      <c r="CJ39" s="1020"/>
      <c r="CK39" s="1020"/>
      <c r="CL39" s="1020"/>
      <c r="CM39" s="1020"/>
    </row>
    <row r="40" spans="1:91" x14ac:dyDescent="0.2">
      <c r="B40" s="5112" t="s">
        <v>218</v>
      </c>
      <c r="C40" s="5134" t="s">
        <v>42</v>
      </c>
      <c r="D40" s="190"/>
      <c r="E40" s="190"/>
      <c r="F40" s="190"/>
      <c r="G40" s="190"/>
      <c r="H40" s="190"/>
      <c r="I40" s="190"/>
      <c r="J40" s="190"/>
      <c r="K40" s="190"/>
      <c r="L40" s="190"/>
      <c r="M40" s="190"/>
      <c r="N40" s="190"/>
      <c r="O40" s="190"/>
      <c r="P40" s="190"/>
      <c r="Q40" s="138"/>
      <c r="R40" s="190"/>
      <c r="CH40" s="1020"/>
      <c r="CI40" s="1020"/>
      <c r="CJ40" s="1020"/>
      <c r="CK40" s="1020"/>
      <c r="CL40" s="1020"/>
      <c r="CM40" s="1020"/>
    </row>
    <row r="41" spans="1:91" x14ac:dyDescent="0.2">
      <c r="B41" s="5114"/>
      <c r="C41" s="5136"/>
      <c r="D41" s="956" t="s">
        <v>211</v>
      </c>
      <c r="E41" s="881"/>
      <c r="F41" s="881"/>
      <c r="G41" s="881"/>
      <c r="H41" s="881"/>
      <c r="I41" s="881"/>
      <c r="J41" s="881"/>
      <c r="K41" s="956"/>
      <c r="L41" s="881"/>
      <c r="M41" s="94"/>
      <c r="N41" s="94"/>
      <c r="O41" s="94"/>
      <c r="P41" s="881"/>
      <c r="Q41" s="138"/>
      <c r="R41" s="190"/>
      <c r="CH41" s="1020"/>
      <c r="CI41" s="1020"/>
      <c r="CJ41" s="1020"/>
      <c r="CK41" s="1020"/>
      <c r="CL41" s="1020"/>
      <c r="CM41" s="1020"/>
    </row>
    <row r="42" spans="1:91" ht="15" customHeight="1" x14ac:dyDescent="0.2">
      <c r="A42" s="2458">
        <v>24200110</v>
      </c>
      <c r="B42" s="481" t="s">
        <v>710</v>
      </c>
      <c r="C42" s="496" t="s">
        <v>2777</v>
      </c>
      <c r="D42" s="1165" t="str">
        <f>CB42</f>
        <v/>
      </c>
      <c r="E42" s="1058"/>
      <c r="F42" s="1058"/>
      <c r="G42" s="1058"/>
      <c r="H42" s="1058"/>
      <c r="I42" s="1058"/>
      <c r="J42" s="1058"/>
      <c r="K42" s="1058"/>
      <c r="L42" s="1058"/>
      <c r="M42" s="1058"/>
      <c r="N42" s="1058"/>
      <c r="O42" s="1058"/>
      <c r="P42" s="94"/>
      <c r="CB42" s="889" t="str">
        <f>IF(CH42=1,"* Total Nacidos Vivos con Malformación Congénita NO DEBE ser MAYOR a Nacidos Vivos según peso al Nacer. ","")</f>
        <v/>
      </c>
      <c r="CH42" s="1020">
        <f>IF(C42&gt;C37,1,0)</f>
        <v>0</v>
      </c>
      <c r="CI42" s="1020"/>
      <c r="CJ42" s="1020"/>
      <c r="CK42" s="1020"/>
      <c r="CL42" s="1020"/>
      <c r="CM42" s="1020"/>
    </row>
    <row r="43" spans="1:91" ht="15" customHeight="1" x14ac:dyDescent="0.2">
      <c r="A43" s="2458">
        <v>24200120</v>
      </c>
      <c r="B43" s="742" t="s">
        <v>711</v>
      </c>
      <c r="C43" s="582" t="s">
        <v>2777</v>
      </c>
      <c r="D43" s="1165" t="str">
        <f>CB43</f>
        <v/>
      </c>
      <c r="E43" s="928"/>
      <c r="F43" s="928"/>
      <c r="G43" s="1083"/>
      <c r="H43" s="928"/>
      <c r="I43" s="928"/>
      <c r="J43" s="928"/>
      <c r="K43" s="928"/>
      <c r="L43" s="1084"/>
      <c r="M43" s="928"/>
      <c r="N43" s="1080"/>
      <c r="O43" s="1080"/>
      <c r="P43" s="881"/>
      <c r="Q43" s="138"/>
      <c r="R43" s="190"/>
      <c r="CB43" s="889" t="str">
        <f>IF(CH43=1,"* Total Nacidos Fallecidos con Malformación Congénita NO DEBE ser MAYOR a Nacidos fallecidos según peso al Nacer. ","")</f>
        <v/>
      </c>
      <c r="CH43" s="1020">
        <f>IF(C43&gt;C38,1,0)</f>
        <v>0</v>
      </c>
      <c r="CI43" s="1020"/>
      <c r="CJ43" s="1020"/>
      <c r="CK43" s="1020"/>
      <c r="CL43" s="1020"/>
      <c r="CM43" s="1020"/>
    </row>
    <row r="44" spans="1:91" ht="36" customHeight="1" x14ac:dyDescent="0.2">
      <c r="B44" s="324" t="s">
        <v>712</v>
      </c>
      <c r="E44" s="190"/>
      <c r="F44" s="190"/>
      <c r="G44" s="325"/>
      <c r="H44" s="190"/>
      <c r="I44" s="190"/>
      <c r="J44" s="190"/>
      <c r="K44" s="190"/>
      <c r="L44" s="331"/>
      <c r="M44" s="190"/>
      <c r="N44" s="190"/>
      <c r="O44" s="190"/>
      <c r="P44" s="190"/>
      <c r="Q44" s="138"/>
      <c r="R44" s="190"/>
      <c r="CH44" s="1020"/>
      <c r="CI44" s="1020"/>
      <c r="CJ44" s="1020"/>
      <c r="CK44" s="1020"/>
      <c r="CL44" s="1020"/>
      <c r="CM44" s="1020"/>
    </row>
    <row r="45" spans="1:91" ht="42" x14ac:dyDescent="0.2">
      <c r="B45" s="130" t="s">
        <v>218</v>
      </c>
      <c r="C45" s="92" t="s">
        <v>713</v>
      </c>
      <c r="D45" s="131" t="s">
        <v>714</v>
      </c>
      <c r="E45" s="138"/>
      <c r="F45" s="190"/>
      <c r="G45" s="325"/>
      <c r="H45" s="190"/>
      <c r="I45" s="190"/>
      <c r="J45" s="190"/>
      <c r="K45" s="190"/>
      <c r="L45" s="331"/>
      <c r="M45" s="190"/>
      <c r="N45" s="190"/>
      <c r="O45" s="190"/>
      <c r="P45" s="190"/>
      <c r="Q45" s="138"/>
      <c r="R45" s="190"/>
      <c r="CH45" s="1020"/>
      <c r="CI45" s="1020"/>
      <c r="CJ45" s="1020"/>
      <c r="CK45" s="1020"/>
      <c r="CL45" s="1020"/>
      <c r="CM45" s="1020"/>
    </row>
    <row r="46" spans="1:91" ht="26.25" customHeight="1" x14ac:dyDescent="0.2">
      <c r="A46" s="3097">
        <v>1090030</v>
      </c>
      <c r="B46" s="581" t="s">
        <v>710</v>
      </c>
      <c r="C46" s="744" t="s">
        <v>2777</v>
      </c>
      <c r="D46" s="583" t="s">
        <v>2778</v>
      </c>
      <c r="E46" s="85"/>
      <c r="F46" s="85"/>
      <c r="G46" s="85"/>
      <c r="H46" s="85"/>
      <c r="I46" s="85"/>
      <c r="J46" s="85"/>
      <c r="K46" s="85"/>
      <c r="L46" s="85"/>
      <c r="M46" s="85"/>
      <c r="N46" s="205" t="s">
        <v>284</v>
      </c>
      <c r="O46" s="205"/>
      <c r="P46" s="190"/>
      <c r="Q46" s="138"/>
      <c r="R46" s="190"/>
      <c r="CH46" s="1020"/>
      <c r="CI46" s="1020"/>
      <c r="CJ46" s="1020"/>
      <c r="CK46" s="1020"/>
      <c r="CL46" s="1020"/>
      <c r="CM46" s="1020"/>
    </row>
    <row r="47" spans="1:91" ht="36" customHeight="1" x14ac:dyDescent="0.2">
      <c r="B47" s="324" t="s">
        <v>715</v>
      </c>
      <c r="F47" s="313"/>
      <c r="G47" s="6041"/>
      <c r="H47" s="190"/>
      <c r="I47" s="190"/>
      <c r="J47" s="190"/>
      <c r="K47" s="190"/>
      <c r="L47" s="190"/>
      <c r="M47" s="190"/>
      <c r="N47" s="190"/>
      <c r="O47" s="190"/>
      <c r="P47" s="190"/>
      <c r="Q47" s="138"/>
      <c r="R47" s="190"/>
      <c r="CH47" s="1020"/>
      <c r="CI47" s="1020"/>
      <c r="CJ47" s="1020"/>
      <c r="CK47" s="1020"/>
      <c r="CL47" s="1020"/>
      <c r="CM47" s="1020"/>
    </row>
    <row r="48" spans="1:91" ht="21" customHeight="1" x14ac:dyDescent="0.2">
      <c r="B48" s="5112" t="s">
        <v>40</v>
      </c>
      <c r="C48" s="5112" t="s">
        <v>4</v>
      </c>
      <c r="D48" s="5107" t="s">
        <v>716</v>
      </c>
      <c r="E48" s="5117"/>
      <c r="F48" s="5108"/>
      <c r="G48" s="6567"/>
      <c r="H48" s="190"/>
      <c r="I48" s="190"/>
      <c r="J48" s="190"/>
      <c r="K48" s="190"/>
      <c r="L48" s="190"/>
      <c r="M48" s="190"/>
      <c r="N48" s="190"/>
      <c r="O48" s="190"/>
      <c r="P48" s="190"/>
      <c r="Q48" s="138"/>
      <c r="R48" s="190"/>
      <c r="CH48" s="1020"/>
      <c r="CI48" s="1020"/>
      <c r="CJ48" s="1020"/>
      <c r="CK48" s="1020"/>
      <c r="CL48" s="1020"/>
      <c r="CM48" s="1020"/>
    </row>
    <row r="49" spans="1:91" ht="21" x14ac:dyDescent="0.2">
      <c r="B49" s="5114"/>
      <c r="C49" s="5114"/>
      <c r="D49" s="253" t="s">
        <v>717</v>
      </c>
      <c r="E49" s="89" t="s">
        <v>718</v>
      </c>
      <c r="F49" s="90" t="s">
        <v>719</v>
      </c>
      <c r="G49" s="948"/>
      <c r="H49" s="584"/>
      <c r="I49" s="190"/>
      <c r="J49" s="190"/>
      <c r="K49" s="190"/>
      <c r="L49" s="190"/>
      <c r="M49" s="190"/>
      <c r="N49" s="190"/>
      <c r="O49" s="190"/>
      <c r="P49" s="190"/>
      <c r="Q49" s="138"/>
      <c r="R49" s="190"/>
      <c r="CH49" s="1020"/>
      <c r="CI49" s="1020"/>
      <c r="CJ49" s="1020"/>
      <c r="CK49" s="1020"/>
      <c r="CL49" s="1020"/>
      <c r="CM49" s="1020"/>
    </row>
    <row r="50" spans="1:91" ht="23.25" customHeight="1" x14ac:dyDescent="0.2">
      <c r="A50" s="4667" t="s">
        <v>3936</v>
      </c>
      <c r="B50" s="740" t="s">
        <v>720</v>
      </c>
      <c r="C50" s="95" t="s">
        <v>2777</v>
      </c>
      <c r="D50" s="137" t="s">
        <v>2778</v>
      </c>
      <c r="E50" s="110" t="s">
        <v>2779</v>
      </c>
      <c r="F50" s="123" t="s">
        <v>2780</v>
      </c>
      <c r="G50" s="948"/>
      <c r="H50" s="584"/>
      <c r="I50" s="190"/>
      <c r="J50" s="190"/>
      <c r="K50" s="190"/>
      <c r="L50" s="190"/>
      <c r="M50" s="190"/>
      <c r="N50" s="190"/>
      <c r="O50" s="190"/>
      <c r="P50" s="190"/>
      <c r="Q50" s="138"/>
      <c r="R50" s="190"/>
      <c r="CH50" s="1020"/>
      <c r="CI50" s="1020"/>
      <c r="CJ50" s="1020"/>
      <c r="CK50" s="1020"/>
      <c r="CL50" s="1020"/>
      <c r="CM50" s="1020"/>
    </row>
    <row r="51" spans="1:91" ht="23.25" customHeight="1" x14ac:dyDescent="0.2">
      <c r="A51" s="4667" t="s">
        <v>3937</v>
      </c>
      <c r="B51" s="167" t="s">
        <v>721</v>
      </c>
      <c r="C51" s="100" t="s">
        <v>2777</v>
      </c>
      <c r="D51" s="166" t="s">
        <v>2778</v>
      </c>
      <c r="E51" s="102" t="s">
        <v>2779</v>
      </c>
      <c r="F51" s="125" t="s">
        <v>2780</v>
      </c>
      <c r="G51" s="190"/>
      <c r="H51" s="190"/>
      <c r="I51" s="190"/>
      <c r="J51" s="190"/>
      <c r="K51" s="190"/>
      <c r="L51" s="190"/>
      <c r="M51" s="190"/>
      <c r="N51" s="190"/>
      <c r="O51" s="190"/>
      <c r="P51" s="190"/>
      <c r="Q51" s="138"/>
      <c r="R51" s="190"/>
      <c r="CH51" s="1020"/>
      <c r="CI51" s="1020"/>
      <c r="CJ51" s="1020"/>
      <c r="CK51" s="1020"/>
      <c r="CL51" s="1020"/>
      <c r="CM51" s="1020"/>
    </row>
    <row r="52" spans="1:91" ht="36" customHeight="1" x14ac:dyDescent="0.2">
      <c r="B52" s="85" t="s">
        <v>1164</v>
      </c>
      <c r="E52" s="81"/>
      <c r="F52" s="81"/>
      <c r="G52" s="190"/>
      <c r="H52" s="190"/>
      <c r="I52" s="190"/>
      <c r="J52" s="190"/>
      <c r="K52" s="190"/>
      <c r="L52" s="190"/>
      <c r="M52" s="190"/>
      <c r="N52" s="190"/>
      <c r="O52" s="190"/>
      <c r="P52" s="190"/>
      <c r="Q52" s="138"/>
      <c r="R52" s="190"/>
      <c r="CH52" s="1020"/>
      <c r="CI52" s="1020"/>
      <c r="CJ52" s="1020"/>
      <c r="CK52" s="1020"/>
      <c r="CL52" s="1020"/>
      <c r="CM52" s="1020"/>
    </row>
    <row r="53" spans="1:91" ht="37.35" customHeight="1" x14ac:dyDescent="0.2">
      <c r="B53" s="130" t="s">
        <v>201</v>
      </c>
      <c r="C53" s="93" t="s">
        <v>722</v>
      </c>
      <c r="D53" s="93" t="s">
        <v>723</v>
      </c>
      <c r="E53" s="949"/>
      <c r="F53" s="81"/>
      <c r="G53" s="190"/>
      <c r="H53" s="190"/>
      <c r="I53" s="190"/>
      <c r="J53" s="190"/>
      <c r="K53" s="190"/>
      <c r="L53" s="190"/>
      <c r="M53" s="190"/>
      <c r="N53" s="190"/>
      <c r="O53" s="190"/>
      <c r="P53" s="190"/>
      <c r="Q53" s="138"/>
      <c r="R53" s="190"/>
      <c r="CH53" s="1020"/>
      <c r="CI53" s="1020"/>
      <c r="CJ53" s="1020"/>
      <c r="CK53" s="1020"/>
      <c r="CL53" s="1020"/>
      <c r="CM53" s="1020"/>
    </row>
    <row r="54" spans="1:91" ht="19.5" customHeight="1" x14ac:dyDescent="0.2">
      <c r="A54" s="2458">
        <v>24200134</v>
      </c>
      <c r="B54" s="3479" t="s">
        <v>724</v>
      </c>
      <c r="C54" s="3480" t="s">
        <v>2777</v>
      </c>
      <c r="D54" s="3481" t="s">
        <v>2778</v>
      </c>
      <c r="E54" s="94"/>
      <c r="F54" s="81"/>
      <c r="G54" s="81"/>
      <c r="H54" s="81"/>
      <c r="I54" s="81"/>
      <c r="J54" s="81"/>
      <c r="K54" s="81"/>
      <c r="L54" s="81"/>
      <c r="M54" s="81"/>
      <c r="N54" s="190"/>
      <c r="O54" s="190"/>
      <c r="P54" s="190"/>
      <c r="Q54" s="138"/>
      <c r="R54" s="190"/>
      <c r="CH54" s="1020"/>
      <c r="CI54" s="1020"/>
      <c r="CJ54" s="1020"/>
      <c r="CK54" s="1020"/>
      <c r="CL54" s="1020"/>
      <c r="CM54" s="1020"/>
    </row>
    <row r="55" spans="1:91" ht="19.5" customHeight="1" x14ac:dyDescent="0.2">
      <c r="A55" s="2458">
        <v>24200100</v>
      </c>
      <c r="B55" s="282" t="s">
        <v>725</v>
      </c>
      <c r="C55" s="105" t="s">
        <v>2777</v>
      </c>
      <c r="D55" s="168" t="s">
        <v>2778</v>
      </c>
      <c r="E55" s="1165" t="str">
        <f>CB55&amp;CC55</f>
        <v/>
      </c>
      <c r="P55" s="190"/>
      <c r="Q55" s="138"/>
      <c r="R55" s="190"/>
      <c r="CB55" s="1031" t="str">
        <f>IF(C55&gt;C54,"* Egresos con LME NO DEBE ser mayor que Total de Egresos Maternidad. ","")</f>
        <v/>
      </c>
      <c r="CC55" s="1031" t="str">
        <f>IF(D55&gt;D54,"* Egresos con LME NO DEBE ser mayor que Total de Egresos Neonatología. ","")</f>
        <v/>
      </c>
      <c r="CD55" s="1031"/>
      <c r="CE55" s="1031"/>
      <c r="CF55" s="1031"/>
      <c r="CG55" s="1031"/>
      <c r="CH55" s="1163">
        <f>IF(C55&gt;C54,1,0)</f>
        <v>0</v>
      </c>
      <c r="CI55" s="1163">
        <f>IF(D55&gt;D54,1,0)</f>
        <v>0</v>
      </c>
      <c r="CJ55" s="1020"/>
      <c r="CK55" s="1020"/>
      <c r="CL55" s="1020"/>
      <c r="CM55" s="1020"/>
    </row>
    <row r="56" spans="1:91" ht="11.25" hidden="1" customHeight="1" x14ac:dyDescent="0.2">
      <c r="B56" s="892"/>
      <c r="C56" s="128"/>
      <c r="D56" s="881"/>
      <c r="E56" s="94"/>
      <c r="F56" s="94"/>
      <c r="P56" s="190"/>
      <c r="Q56" s="138"/>
      <c r="R56" s="190"/>
      <c r="CH56" s="1020"/>
      <c r="CI56" s="1020"/>
      <c r="CJ56" s="1020"/>
      <c r="CK56" s="1020"/>
      <c r="CL56" s="1020"/>
      <c r="CM56" s="1020"/>
    </row>
    <row r="57" spans="1:91" ht="36" customHeight="1" x14ac:dyDescent="0.2">
      <c r="B57" s="928" t="s">
        <v>822</v>
      </c>
      <c r="C57" s="128"/>
      <c r="D57" s="881"/>
      <c r="E57" s="94"/>
      <c r="F57" s="94"/>
      <c r="G57" s="313"/>
      <c r="H57" s="313"/>
      <c r="I57" s="313"/>
      <c r="J57" s="313"/>
      <c r="K57" s="313"/>
      <c r="L57" s="313"/>
      <c r="M57" s="313"/>
      <c r="N57" s="313"/>
      <c r="O57" s="313"/>
      <c r="P57" s="313"/>
      <c r="CH57" s="1020"/>
      <c r="CI57" s="1020"/>
      <c r="CJ57" s="1020"/>
      <c r="CK57" s="1020"/>
      <c r="CL57" s="1020"/>
      <c r="CM57" s="1020"/>
    </row>
    <row r="58" spans="1:91" ht="14.25" customHeight="1" x14ac:dyDescent="0.2">
      <c r="B58" s="5118" t="s">
        <v>201</v>
      </c>
      <c r="C58" s="5119"/>
      <c r="D58" s="5118" t="s">
        <v>42</v>
      </c>
      <c r="E58" s="5119"/>
      <c r="F58" s="5120"/>
      <c r="G58" s="5413" t="s">
        <v>1297</v>
      </c>
      <c r="H58" s="6542"/>
      <c r="I58" s="6542"/>
      <c r="J58" s="6542"/>
      <c r="K58" s="6542"/>
      <c r="L58" s="6542"/>
      <c r="M58" s="6542"/>
      <c r="N58" s="6542"/>
      <c r="O58" s="6542"/>
      <c r="P58" s="6543"/>
      <c r="Q58" s="6561" t="s">
        <v>1359</v>
      </c>
      <c r="R58" s="5729" t="s">
        <v>1358</v>
      </c>
      <c r="CH58" s="1020"/>
      <c r="CI58" s="1020"/>
      <c r="CJ58" s="1020"/>
      <c r="CK58" s="1020"/>
      <c r="CL58" s="1020"/>
      <c r="CM58" s="1020"/>
    </row>
    <row r="59" spans="1:91" ht="14.25" customHeight="1" x14ac:dyDescent="0.2">
      <c r="B59" s="5121"/>
      <c r="C59" s="5122"/>
      <c r="D59" s="5125"/>
      <c r="E59" s="5598"/>
      <c r="F59" s="5126"/>
      <c r="G59" s="6544" t="s">
        <v>1276</v>
      </c>
      <c r="H59" s="6545"/>
      <c r="I59" s="6544" t="s">
        <v>1275</v>
      </c>
      <c r="J59" s="6545"/>
      <c r="K59" s="6544" t="s">
        <v>1274</v>
      </c>
      <c r="L59" s="6545"/>
      <c r="M59" s="6544" t="s">
        <v>1277</v>
      </c>
      <c r="N59" s="6545"/>
      <c r="O59" s="6544" t="s">
        <v>1278</v>
      </c>
      <c r="P59" s="6546"/>
      <c r="Q59" s="6562"/>
      <c r="R59" s="5416"/>
      <c r="CH59" s="1020"/>
      <c r="CI59" s="1020"/>
      <c r="CJ59" s="1020"/>
      <c r="CK59" s="1020"/>
      <c r="CL59" s="1020"/>
      <c r="CM59" s="1020"/>
    </row>
    <row r="60" spans="1:91" x14ac:dyDescent="0.2">
      <c r="B60" s="5125"/>
      <c r="C60" s="5598"/>
      <c r="D60" s="93" t="s">
        <v>184</v>
      </c>
      <c r="E60" s="314" t="s">
        <v>24</v>
      </c>
      <c r="F60" s="93" t="s">
        <v>25</v>
      </c>
      <c r="G60" s="1116" t="s">
        <v>24</v>
      </c>
      <c r="H60" s="1157" t="s">
        <v>25</v>
      </c>
      <c r="I60" s="1116" t="s">
        <v>24</v>
      </c>
      <c r="J60" s="1157" t="s">
        <v>25</v>
      </c>
      <c r="K60" s="1116" t="s">
        <v>24</v>
      </c>
      <c r="L60" s="1157" t="s">
        <v>25</v>
      </c>
      <c r="M60" s="1116" t="s">
        <v>24</v>
      </c>
      <c r="N60" s="1157" t="s">
        <v>25</v>
      </c>
      <c r="O60" s="1116" t="s">
        <v>24</v>
      </c>
      <c r="P60" s="1158" t="s">
        <v>25</v>
      </c>
      <c r="Q60" s="6563"/>
      <c r="R60" s="6325" t="s">
        <v>25</v>
      </c>
      <c r="CH60" s="1020"/>
      <c r="CI60" s="1020"/>
      <c r="CJ60" s="1020"/>
      <c r="CK60" s="1020"/>
      <c r="CL60" s="1020"/>
      <c r="CM60" s="1020"/>
    </row>
    <row r="61" spans="1:91" ht="21.75" customHeight="1" x14ac:dyDescent="0.2">
      <c r="A61" s="2458">
        <v>24200130</v>
      </c>
      <c r="B61" s="5127" t="s">
        <v>26</v>
      </c>
      <c r="C61" s="5313"/>
      <c r="D61" s="472" t="s">
        <v>2777</v>
      </c>
      <c r="E61" s="472" t="s">
        <v>2778</v>
      </c>
      <c r="F61" s="244" t="s">
        <v>2779</v>
      </c>
      <c r="G61" s="170" t="s">
        <v>2780</v>
      </c>
      <c r="H61" s="171" t="s">
        <v>2781</v>
      </c>
      <c r="I61" s="170" t="s">
        <v>2782</v>
      </c>
      <c r="J61" s="171" t="s">
        <v>2783</v>
      </c>
      <c r="K61" s="170" t="s">
        <v>2784</v>
      </c>
      <c r="L61" s="171" t="s">
        <v>2785</v>
      </c>
      <c r="M61" s="170" t="s">
        <v>2786</v>
      </c>
      <c r="N61" s="171" t="s">
        <v>2787</v>
      </c>
      <c r="O61" s="170" t="s">
        <v>2788</v>
      </c>
      <c r="P61" s="317" t="s">
        <v>2789</v>
      </c>
      <c r="Q61" s="124" t="s">
        <v>2790</v>
      </c>
      <c r="R61" s="171" t="s">
        <v>2791</v>
      </c>
      <c r="S61" s="1165" t="str">
        <f>CB61&amp;CC61</f>
        <v xml:space="preserve">* Pueblo Originario y/o Migrante NO DEBE ser mayor al Total. </v>
      </c>
      <c r="CB61" s="1031" t="str">
        <f>IF(CH61=1,"* Recuerde digitar los campos Pueblo Originario y/o Migrantes (Digite Cero si no tiene). ","")</f>
        <v/>
      </c>
      <c r="CC61" s="1031" t="str">
        <f>IF(CI61=1,"* Pueblo Originario y/o Migrante NO DEBE ser mayor al Total. ","")</f>
        <v xml:space="preserve">* Pueblo Originario y/o Migrante NO DEBE ser mayor al Total. </v>
      </c>
      <c r="CD61" s="1031"/>
      <c r="CE61" s="1031"/>
      <c r="CF61" s="1031"/>
      <c r="CG61" s="1031"/>
      <c r="CH61" s="1163">
        <f>IF(AND(D61&lt;&gt;0,OR(Q61="",R61="")),1,0)</f>
        <v>0</v>
      </c>
      <c r="CI61" s="1163">
        <f>IF(OR(D61&lt;Q61,D61&lt;R61),1,0)</f>
        <v>1</v>
      </c>
      <c r="CJ61" s="1020"/>
      <c r="CK61" s="1020"/>
      <c r="CL61" s="1020"/>
      <c r="CM61" s="1020"/>
    </row>
    <row r="62" spans="1:91" ht="21.75" customHeight="1" x14ac:dyDescent="0.2">
      <c r="A62" s="2458">
        <v>24200131</v>
      </c>
      <c r="B62" s="5556" t="s">
        <v>726</v>
      </c>
      <c r="C62" s="5557"/>
      <c r="D62" s="745" t="s">
        <v>2777</v>
      </c>
      <c r="E62" s="745" t="s">
        <v>2778</v>
      </c>
      <c r="F62" s="266" t="s">
        <v>2779</v>
      </c>
      <c r="G62" s="182" t="s">
        <v>2780</v>
      </c>
      <c r="H62" s="163" t="s">
        <v>2781</v>
      </c>
      <c r="I62" s="182" t="s">
        <v>2782</v>
      </c>
      <c r="J62" s="183" t="s">
        <v>2783</v>
      </c>
      <c r="K62" s="182" t="s">
        <v>2784</v>
      </c>
      <c r="L62" s="183" t="s">
        <v>2785</v>
      </c>
      <c r="M62" s="141" t="s">
        <v>2786</v>
      </c>
      <c r="N62" s="163" t="s">
        <v>2787</v>
      </c>
      <c r="O62" s="141" t="s">
        <v>2788</v>
      </c>
      <c r="P62" s="318" t="s">
        <v>2789</v>
      </c>
      <c r="Q62" s="180" t="s">
        <v>2790</v>
      </c>
      <c r="R62" s="163" t="s">
        <v>2791</v>
      </c>
      <c r="S62" s="1165" t="str">
        <f t="shared" ref="S62:S64" si="24">CB62&amp;CC62</f>
        <v xml:space="preserve">* Pueblo Originario y/o Migrante NO DEBE ser mayor al Total. </v>
      </c>
      <c r="CB62" s="1031" t="str">
        <f t="shared" ref="CB62:CB64" si="25">IF(CH62=1,"* Recuerde digitar los campos Pueblo Originario y/o Migrantes (Digite Cero si no tiene). ","")</f>
        <v/>
      </c>
      <c r="CC62" s="1031" t="str">
        <f t="shared" ref="CC62:CC64" si="26">IF(CI62=1,"* Pueblo Originario y/o Migrante NO DEBE ser mayor al Total. ","")</f>
        <v xml:space="preserve">* Pueblo Originario y/o Migrante NO DEBE ser mayor al Total. </v>
      </c>
      <c r="CD62" s="1031"/>
      <c r="CE62" s="1031"/>
      <c r="CF62" s="1031"/>
      <c r="CG62" s="1031"/>
      <c r="CH62" s="1163">
        <f t="shared" ref="CH62:CH64" si="27">IF(AND(D62&lt;&gt;0,OR(Q62="",R62="")),1,0)</f>
        <v>0</v>
      </c>
      <c r="CI62" s="1163">
        <f t="shared" ref="CI62:CI64" si="28">IF(OR(D62&lt;Q62,D62&lt;R62),1,0)</f>
        <v>1</v>
      </c>
      <c r="CJ62" s="1020"/>
      <c r="CK62" s="1020"/>
      <c r="CL62" s="1020"/>
      <c r="CM62" s="1020"/>
    </row>
    <row r="63" spans="1:91" ht="21.75" customHeight="1" x14ac:dyDescent="0.2">
      <c r="A63" s="2458">
        <v>24200132</v>
      </c>
      <c r="B63" s="5127" t="s">
        <v>27</v>
      </c>
      <c r="C63" s="5127"/>
      <c r="D63" s="225" t="s">
        <v>2777</v>
      </c>
      <c r="E63" s="225" t="s">
        <v>2778</v>
      </c>
      <c r="F63" s="241" t="s">
        <v>2779</v>
      </c>
      <c r="G63" s="1159" t="s">
        <v>2780</v>
      </c>
      <c r="H63" s="1160" t="s">
        <v>2781</v>
      </c>
      <c r="I63" s="746" t="s">
        <v>2782</v>
      </c>
      <c r="J63" s="747" t="s">
        <v>2783</v>
      </c>
      <c r="K63" s="748" t="s">
        <v>2784</v>
      </c>
      <c r="L63" s="749" t="s">
        <v>2785</v>
      </c>
      <c r="M63" s="141" t="s">
        <v>2786</v>
      </c>
      <c r="N63" s="163" t="s">
        <v>2787</v>
      </c>
      <c r="O63" s="141" t="s">
        <v>2788</v>
      </c>
      <c r="P63" s="318" t="s">
        <v>2789</v>
      </c>
      <c r="Q63" s="180" t="s">
        <v>2790</v>
      </c>
      <c r="R63" s="163" t="s">
        <v>2791</v>
      </c>
      <c r="S63" s="1165" t="str">
        <f t="shared" si="24"/>
        <v xml:space="preserve">* Pueblo Originario y/o Migrante NO DEBE ser mayor al Total. </v>
      </c>
      <c r="CB63" s="1031" t="str">
        <f t="shared" si="25"/>
        <v/>
      </c>
      <c r="CC63" s="1031" t="str">
        <f t="shared" si="26"/>
        <v xml:space="preserve">* Pueblo Originario y/o Migrante NO DEBE ser mayor al Total. </v>
      </c>
      <c r="CD63" s="1031"/>
      <c r="CE63" s="1031"/>
      <c r="CF63" s="1031"/>
      <c r="CG63" s="1031"/>
      <c r="CH63" s="1163">
        <f t="shared" si="27"/>
        <v>0</v>
      </c>
      <c r="CI63" s="1163">
        <f t="shared" si="28"/>
        <v>1</v>
      </c>
      <c r="CJ63" s="1020"/>
      <c r="CK63" s="1020"/>
      <c r="CL63" s="1020"/>
      <c r="CM63" s="1020"/>
    </row>
    <row r="64" spans="1:91" ht="21.75" customHeight="1" x14ac:dyDescent="0.2">
      <c r="A64" s="2458">
        <v>24200133</v>
      </c>
      <c r="B64" s="5666" t="s">
        <v>1279</v>
      </c>
      <c r="C64" s="5666"/>
      <c r="D64" s="750" t="s">
        <v>2777</v>
      </c>
      <c r="E64" s="750" t="s">
        <v>2778</v>
      </c>
      <c r="F64" s="242" t="s">
        <v>2779</v>
      </c>
      <c r="G64" s="101" t="s">
        <v>2780</v>
      </c>
      <c r="H64" s="150" t="s">
        <v>2781</v>
      </c>
      <c r="I64" s="101" t="s">
        <v>2782</v>
      </c>
      <c r="J64" s="104" t="s">
        <v>2783</v>
      </c>
      <c r="K64" s="751" t="s">
        <v>2784</v>
      </c>
      <c r="L64" s="752" t="s">
        <v>2785</v>
      </c>
      <c r="M64" s="166" t="s">
        <v>2786</v>
      </c>
      <c r="N64" s="125" t="s">
        <v>2787</v>
      </c>
      <c r="O64" s="166" t="s">
        <v>2788</v>
      </c>
      <c r="P64" s="319" t="s">
        <v>2789</v>
      </c>
      <c r="Q64" s="126" t="s">
        <v>2790</v>
      </c>
      <c r="R64" s="125" t="s">
        <v>2791</v>
      </c>
      <c r="S64" s="1165" t="str">
        <f t="shared" si="24"/>
        <v xml:space="preserve">* Pueblo Originario y/o Migrante NO DEBE ser mayor al Total. </v>
      </c>
      <c r="CB64" s="1031" t="str">
        <f t="shared" si="25"/>
        <v/>
      </c>
      <c r="CC64" s="1031" t="str">
        <f t="shared" si="26"/>
        <v xml:space="preserve">* Pueblo Originario y/o Migrante NO DEBE ser mayor al Total. </v>
      </c>
      <c r="CD64" s="1031"/>
      <c r="CE64" s="1031"/>
      <c r="CF64" s="1031"/>
      <c r="CG64" s="1031"/>
      <c r="CH64" s="1163">
        <f t="shared" si="27"/>
        <v>0</v>
      </c>
      <c r="CI64" s="1163">
        <f t="shared" si="28"/>
        <v>1</v>
      </c>
      <c r="CJ64" s="1020"/>
      <c r="CK64" s="1020"/>
      <c r="CL64" s="1020"/>
      <c r="CM64" s="1020"/>
    </row>
    <row r="65" spans="1:91" ht="26.25" customHeight="1" x14ac:dyDescent="0.2">
      <c r="B65" s="1200" t="s">
        <v>1602</v>
      </c>
      <c r="C65" s="643"/>
      <c r="CH65" s="1020"/>
      <c r="CI65" s="1020"/>
      <c r="CJ65" s="1020"/>
      <c r="CK65" s="1020"/>
      <c r="CL65" s="1020"/>
      <c r="CM65" s="1020"/>
    </row>
    <row r="66" spans="1:91" ht="27" customHeight="1" x14ac:dyDescent="0.2">
      <c r="B66" s="786" t="s">
        <v>1566</v>
      </c>
      <c r="C66" s="1201" t="s">
        <v>729</v>
      </c>
      <c r="D66" s="1201" t="s">
        <v>1359</v>
      </c>
      <c r="E66" s="1201" t="s">
        <v>1358</v>
      </c>
      <c r="U66" s="94"/>
      <c r="BY66" s="891"/>
      <c r="CH66" s="1020"/>
      <c r="CI66" s="1020"/>
      <c r="CJ66" s="1020"/>
      <c r="CK66" s="1020"/>
      <c r="CL66" s="1020"/>
      <c r="CM66" s="1020"/>
    </row>
    <row r="67" spans="1:91" ht="23.25" customHeight="1" x14ac:dyDescent="0.2">
      <c r="A67" s="2458">
        <v>24300100</v>
      </c>
      <c r="B67" s="766" t="s">
        <v>1661</v>
      </c>
      <c r="C67" s="3482" t="s">
        <v>2777</v>
      </c>
      <c r="D67" s="3482" t="s">
        <v>2778</v>
      </c>
      <c r="E67" s="3482" t="s">
        <v>2779</v>
      </c>
      <c r="F67" s="1165" t="str">
        <f>CB67&amp;CC67</f>
        <v xml:space="preserve">* Pueblo Originario NO DEBE ser mayor al Total de Menores de 1 mes. *Migrantes NO DEBE ser mayor al Total de Menores de 1 mes. </v>
      </c>
      <c r="U67" s="94"/>
      <c r="BY67" s="891"/>
      <c r="CB67" s="1031" t="str">
        <f>IF(CH67=1,"* Pueblo Originario NO DEBE ser mayor al Total de Menores de 1 mes. ","")</f>
        <v xml:space="preserve">* Pueblo Originario NO DEBE ser mayor al Total de Menores de 1 mes. </v>
      </c>
      <c r="CC67" s="1031" t="str">
        <f>IF(CI67=1,"*Migrantes NO DEBE ser mayor al Total de Menores de 1 mes. ","")</f>
        <v xml:space="preserve">*Migrantes NO DEBE ser mayor al Total de Menores de 1 mes. </v>
      </c>
      <c r="CH67" s="1163">
        <f>IF(C67&lt;D67,1,0)</f>
        <v>1</v>
      </c>
      <c r="CI67" s="1163">
        <f>IF(C67&lt;E67,1,0)</f>
        <v>1</v>
      </c>
    </row>
    <row r="68" spans="1:91" ht="21" customHeight="1" x14ac:dyDescent="0.2">
      <c r="A68" s="2458">
        <v>24300101</v>
      </c>
      <c r="B68" s="788" t="s">
        <v>1603</v>
      </c>
      <c r="C68" s="852" t="s">
        <v>2777</v>
      </c>
      <c r="D68" s="852" t="s">
        <v>2778</v>
      </c>
      <c r="E68" s="852" t="s">
        <v>2779</v>
      </c>
      <c r="F68" s="1165" t="str">
        <f t="shared" ref="F68:F69" si="29">CB68&amp;CC68</f>
        <v xml:space="preserve">* Pueblo Originario NO DEBE ser mayor al Total de Menores de 1 mes. *Migrantes NO DEBE ser mayor al Total de Menores de 1 mes. </v>
      </c>
      <c r="U68" s="94"/>
      <c r="BY68" s="891"/>
      <c r="CB68" s="1031" t="str">
        <f t="shared" ref="CB68:CB69" si="30">IF(CH68=1,"* Pueblo Originario NO DEBE ser mayor al Total de Menores de 1 mes. ","")</f>
        <v xml:space="preserve">* Pueblo Originario NO DEBE ser mayor al Total de Menores de 1 mes. </v>
      </c>
      <c r="CC68" s="1031" t="str">
        <f t="shared" ref="CC68:CC69" si="31">IF(CI68=1,"*Migrantes NO DEBE ser mayor al Total de Menores de 1 mes. ","")</f>
        <v xml:space="preserve">*Migrantes NO DEBE ser mayor al Total de Menores de 1 mes. </v>
      </c>
      <c r="CH68" s="1163">
        <f t="shared" ref="CH68:CH69" si="32">IF(C68&lt;D68,1,0)</f>
        <v>1</v>
      </c>
      <c r="CI68" s="1163">
        <f t="shared" ref="CI68:CI69" si="33">IF(C68&lt;E68,1,0)</f>
        <v>1</v>
      </c>
    </row>
    <row r="69" spans="1:91" ht="24" customHeight="1" x14ac:dyDescent="0.2">
      <c r="A69" s="2458">
        <v>24300102</v>
      </c>
      <c r="B69" s="1202" t="s">
        <v>1647</v>
      </c>
      <c r="C69" s="1203" t="s">
        <v>2777</v>
      </c>
      <c r="D69" s="1203" t="s">
        <v>2778</v>
      </c>
      <c r="E69" s="1203" t="s">
        <v>2779</v>
      </c>
      <c r="F69" s="1165" t="str">
        <f t="shared" si="29"/>
        <v xml:space="preserve">* Pueblo Originario NO DEBE ser mayor al Total de Menores de 1 mes. *Migrantes NO DEBE ser mayor al Total de Menores de 1 mes. </v>
      </c>
      <c r="CB69" s="1031" t="str">
        <f t="shared" si="30"/>
        <v xml:space="preserve">* Pueblo Originario NO DEBE ser mayor al Total de Menores de 1 mes. </v>
      </c>
      <c r="CC69" s="1031" t="str">
        <f t="shared" si="31"/>
        <v xml:space="preserve">*Migrantes NO DEBE ser mayor al Total de Menores de 1 mes. </v>
      </c>
      <c r="CH69" s="1163">
        <f t="shared" si="32"/>
        <v>1</v>
      </c>
      <c r="CI69" s="1163">
        <f t="shared" si="33"/>
        <v>1</v>
      </c>
    </row>
    <row r="199" spans="2:105" ht="12" customHeight="1" x14ac:dyDescent="0.2"/>
    <row r="200" spans="2:105" s="206" customFormat="1" hidden="1" x14ac:dyDescent="0.2">
      <c r="B200" s="206">
        <f>SUM(C11:U11,C37:C38,D61:D64,C26:C28,C54:C55,C50:C51,C31:C32,C42:C43,C46:D46,C16:C20,C67:E69)</f>
        <v>0</v>
      </c>
      <c r="C200" s="206" t="e">
        <f>SUM(CH10:CM69)</f>
        <v>#VALUE!</v>
      </c>
      <c r="BZ200" s="1016"/>
      <c r="CA200" s="1016"/>
      <c r="CB200" s="1016"/>
      <c r="CC200" s="1016"/>
      <c r="CD200" s="1016"/>
      <c r="CE200" s="1016"/>
      <c r="CF200" s="1016"/>
      <c r="CG200" s="1016"/>
      <c r="CH200" s="1016"/>
      <c r="CI200" s="1016"/>
      <c r="CJ200" s="1016"/>
      <c r="CK200" s="1016"/>
      <c r="CL200" s="1016"/>
      <c r="CM200" s="1016"/>
      <c r="CN200" s="1016"/>
      <c r="CO200" s="1016"/>
      <c r="CP200" s="1016"/>
      <c r="CQ200" s="1016"/>
      <c r="CR200" s="1016"/>
      <c r="CS200" s="1016"/>
      <c r="CT200" s="1016"/>
      <c r="CU200" s="1016"/>
      <c r="CV200" s="1016"/>
      <c r="CW200" s="1016"/>
      <c r="CX200" s="1016"/>
      <c r="CY200" s="1016"/>
      <c r="CZ200" s="1016"/>
      <c r="DA200" s="1016"/>
    </row>
  </sheetData>
  <dataConsolidate/>
  <mergeCells count="44">
    <mergeCell ref="Q58:Q60"/>
    <mergeCell ref="R58:R60"/>
    <mergeCell ref="Q9:S9"/>
    <mergeCell ref="B62:C62"/>
    <mergeCell ref="B63:C63"/>
    <mergeCell ref="G47:G48"/>
    <mergeCell ref="B35:B36"/>
    <mergeCell ref="B40:B41"/>
    <mergeCell ref="D35:K35"/>
    <mergeCell ref="B61:C61"/>
    <mergeCell ref="B48:B49"/>
    <mergeCell ref="D48:F48"/>
    <mergeCell ref="C48:C49"/>
    <mergeCell ref="C40:C41"/>
    <mergeCell ref="C35:C36"/>
    <mergeCell ref="B23:B25"/>
    <mergeCell ref="B34:G34"/>
    <mergeCell ref="C23:C24"/>
    <mergeCell ref="U9:U10"/>
    <mergeCell ref="B6:M6"/>
    <mergeCell ref="B9:B10"/>
    <mergeCell ref="C9:D9"/>
    <mergeCell ref="I9:M9"/>
    <mergeCell ref="N9:P9"/>
    <mergeCell ref="T9:T10"/>
    <mergeCell ref="E9:H9"/>
    <mergeCell ref="N23:P23"/>
    <mergeCell ref="Q23:R23"/>
    <mergeCell ref="A9:A10"/>
    <mergeCell ref="B64:C64"/>
    <mergeCell ref="B58:C60"/>
    <mergeCell ref="U23:U24"/>
    <mergeCell ref="D58:F59"/>
    <mergeCell ref="G58:P58"/>
    <mergeCell ref="G59:H59"/>
    <mergeCell ref="I59:J59"/>
    <mergeCell ref="K59:L59"/>
    <mergeCell ref="M59:N59"/>
    <mergeCell ref="O59:P59"/>
    <mergeCell ref="D23:M23"/>
    <mergeCell ref="S23:S24"/>
    <mergeCell ref="T23:T24"/>
    <mergeCell ref="L35:M35"/>
    <mergeCell ref="B33:G33"/>
  </mergeCells>
  <dataValidations count="2">
    <dataValidation operator="greaterThanOrEqual" allowBlank="1" showInputMessage="1" showErrorMessage="1" error="Valor no Permitido" sqref="A1:A8 A11 A21:A25 B1:B1048576 V1:XFD1048576 C1:U25 A29:A30 A70:A1048576 C29:D30 A33:A36 A39:A41 A44:A45 A47:A49 A52:A53 C33:D53 A56:A60 A65:A66 F29:U1048576 E29:E66 C56:D66 C70:E1048576" xr:uid="{00000000-0002-0000-0F00-000000000000}"/>
    <dataValidation type="whole" operator="greaterThanOrEqual" allowBlank="1" showInputMessage="1" showErrorMessage="1" error="Valor no Permitido" sqref="C26:U28 C31:D32 C54:D55 C67:E69" xr:uid="{00000000-0002-0000-0F00-000001000000}">
      <formula1>0</formula1>
    </dataValidation>
  </dataValidations>
  <pageMargins left="0.70866141732283472" right="0.70866141732283472" top="0.74803149606299213" bottom="0.74803149606299213" header="0.31496062992125984" footer="0.31496062992125984"/>
  <extLst>
    <ext xmlns:mx="http://schemas.microsoft.com/office/mac/excel/2008/main" uri="{64002731-A6B0-56B0-2670-7721B7C09600}">
      <mx:PLV Mode="0" OnePage="0" WScale="0"/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Hoja19">
    <tabColor theme="0"/>
  </sheetPr>
  <dimension ref="A1:DA195"/>
  <sheetViews>
    <sheetView zoomScale="90" zoomScaleNormal="90" workbookViewId="0"/>
  </sheetViews>
  <sheetFormatPr baseColWidth="10" defaultColWidth="11.42578125" defaultRowHeight="14.25" x14ac:dyDescent="0.2"/>
  <cols>
    <col min="1" max="1" width="14.28515625" style="80" customWidth="1"/>
    <col min="2" max="2" width="39.42578125" style="80" customWidth="1"/>
    <col min="3" max="3" width="18.140625" style="80" customWidth="1"/>
    <col min="4" max="4" width="23.85546875" style="80" customWidth="1"/>
    <col min="5" max="5" width="13" style="80" customWidth="1"/>
    <col min="6" max="6" width="12.42578125" style="80" customWidth="1"/>
    <col min="7" max="7" width="12.7109375" style="80" customWidth="1"/>
    <col min="8" max="8" width="11.42578125" style="80"/>
    <col min="9" max="9" width="13.42578125" style="80" customWidth="1"/>
    <col min="10" max="77" width="11.42578125" style="80"/>
    <col min="78" max="78" width="11.42578125" style="79"/>
    <col min="79" max="79" width="11.140625" style="79" customWidth="1"/>
    <col min="80" max="94" width="11.140625" style="889" hidden="1" customWidth="1"/>
    <col min="95" max="105" width="11.140625" style="1031" hidden="1" customWidth="1"/>
    <col min="106" max="106" width="11.140625" style="80" customWidth="1"/>
    <col min="107" max="16384" width="11.42578125" style="80"/>
  </cols>
  <sheetData>
    <row r="1" spans="1:93" ht="16.350000000000001" customHeight="1" x14ac:dyDescent="0.2">
      <c r="B1" s="78" t="s">
        <v>910</v>
      </c>
      <c r="CB1" s="889" t="s">
        <v>2497</v>
      </c>
    </row>
    <row r="2" spans="1:93" ht="16.350000000000001" customHeight="1" x14ac:dyDescent="0.2">
      <c r="B2" s="78" t="str">
        <f>CONCATENATE("COMUNA: ",NOMBRE!B2," - ","( ",NOMBRE!C2,NOMBRE!D2,NOMBRE!E2,NOMBRE!F2,NOMBRE!G2," )")</f>
        <v>COMUNA:  - (  )</v>
      </c>
    </row>
    <row r="3" spans="1:93" ht="16.350000000000001" customHeight="1" x14ac:dyDescent="0.2">
      <c r="B3" s="78" t="str">
        <f>CONCATENATE("ESTABLECIMIENTO/ESTRATEGIA: ",NOMBRE!B3," - ","( ",NOMBRE!C3,NOMBRE!D3,NOMBRE!E3,NOMBRE!F3,NOMBRE!G3,NOMBRE!H3," )")</f>
        <v>ESTABLECIMIENTO/ESTRATEGIA:  - (  )</v>
      </c>
    </row>
    <row r="4" spans="1:93" ht="16.350000000000001" customHeight="1" x14ac:dyDescent="0.2">
      <c r="B4" s="78" t="str">
        <f>CONCATENATE("MES: ",NOMBRE!B6," - ","( ",NOMBRE!C6,NOMBRE!D6," )")</f>
        <v>MES:  - (  )</v>
      </c>
    </row>
    <row r="5" spans="1:93" ht="16.350000000000001" customHeight="1" x14ac:dyDescent="0.2">
      <c r="B5" s="78" t="str">
        <f>CONCATENATE("AÑO: ",NOMBRE!B7)</f>
        <v>AÑO: 2020</v>
      </c>
      <c r="CH5" s="1020"/>
      <c r="CI5" s="1020"/>
      <c r="CJ5" s="1020"/>
      <c r="CK5" s="1020"/>
      <c r="CL5" s="1020"/>
      <c r="CM5" s="1020"/>
      <c r="CN5" s="1020"/>
      <c r="CO5" s="1020"/>
    </row>
    <row r="6" spans="1:93" ht="15" x14ac:dyDescent="0.2">
      <c r="B6" s="1741"/>
      <c r="C6" s="1741"/>
      <c r="D6" s="1741"/>
      <c r="E6" s="1741"/>
      <c r="F6" s="1741"/>
      <c r="G6" s="539" t="s">
        <v>2498</v>
      </c>
      <c r="H6" s="1741"/>
      <c r="I6" s="1741"/>
      <c r="J6" s="1741"/>
      <c r="K6" s="1909"/>
      <c r="L6" s="2184"/>
      <c r="M6" s="190"/>
      <c r="CH6" s="1020"/>
      <c r="CI6" s="1020"/>
      <c r="CJ6" s="1020"/>
      <c r="CK6" s="1020"/>
      <c r="CL6" s="1020"/>
      <c r="CM6" s="1020"/>
      <c r="CN6" s="1020"/>
      <c r="CO6" s="1020"/>
    </row>
    <row r="7" spans="1:93" ht="15" x14ac:dyDescent="0.2">
      <c r="B7" s="1909"/>
      <c r="C7" s="1909"/>
      <c r="D7" s="1909"/>
      <c r="E7" s="1909"/>
      <c r="F7" s="1909"/>
      <c r="G7" s="1909"/>
      <c r="H7" s="1909"/>
      <c r="I7" s="1909"/>
      <c r="J7" s="1909"/>
      <c r="K7" s="1909"/>
      <c r="L7" s="2184"/>
      <c r="M7" s="190"/>
      <c r="CH7" s="1020"/>
      <c r="CI7" s="1020"/>
      <c r="CJ7" s="1020"/>
      <c r="CK7" s="1020"/>
      <c r="CL7" s="1020"/>
      <c r="CM7" s="1020"/>
      <c r="CN7" s="1020"/>
      <c r="CO7" s="1020"/>
    </row>
    <row r="8" spans="1:93" ht="32.1" customHeight="1" x14ac:dyDescent="0.2">
      <c r="B8" s="2185" t="s">
        <v>2499</v>
      </c>
      <c r="C8" s="2185"/>
      <c r="D8" s="2185"/>
      <c r="E8" s="2185"/>
      <c r="F8" s="2185"/>
      <c r="G8" s="2185"/>
      <c r="H8" s="2185"/>
      <c r="I8" s="2185"/>
      <c r="J8" s="2185"/>
      <c r="K8" s="2186"/>
      <c r="L8" s="2187"/>
      <c r="M8" s="2123"/>
      <c r="N8" s="1946"/>
      <c r="O8" s="1946"/>
      <c r="P8" s="1946"/>
      <c r="Q8" s="1946"/>
      <c r="R8" s="1946"/>
      <c r="S8" s="1946"/>
      <c r="T8" s="1946"/>
      <c r="U8" s="1946"/>
      <c r="V8" s="1946"/>
      <c r="W8" s="1946"/>
      <c r="X8" s="1946"/>
      <c r="Y8" s="1946"/>
      <c r="Z8" s="1946"/>
      <c r="AA8" s="1946"/>
      <c r="CH8" s="1020"/>
      <c r="CI8" s="1020"/>
      <c r="CJ8" s="1020"/>
      <c r="CK8" s="1020"/>
      <c r="CL8" s="1020"/>
      <c r="CM8" s="1020"/>
      <c r="CN8" s="1020"/>
      <c r="CO8" s="1020"/>
    </row>
    <row r="9" spans="1:93" ht="16.350000000000001" customHeight="1" x14ac:dyDescent="0.2">
      <c r="B9" s="5818" t="s">
        <v>2291</v>
      </c>
      <c r="C9" s="5818" t="s">
        <v>2500</v>
      </c>
      <c r="D9" s="5818"/>
      <c r="E9" s="6218" t="s">
        <v>42</v>
      </c>
      <c r="F9" s="5737"/>
      <c r="G9" s="6219"/>
      <c r="H9" s="6569" t="s">
        <v>5</v>
      </c>
      <c r="I9" s="6570"/>
      <c r="J9" s="6570"/>
      <c r="K9" s="6570"/>
      <c r="L9" s="6570"/>
      <c r="M9" s="6570"/>
      <c r="N9" s="6570"/>
      <c r="O9" s="6570"/>
      <c r="P9" s="6570"/>
      <c r="Q9" s="6570"/>
      <c r="R9" s="6570"/>
      <c r="S9" s="6570"/>
      <c r="T9" s="6570"/>
      <c r="U9" s="6570"/>
      <c r="V9" s="6570"/>
      <c r="W9" s="6570"/>
      <c r="X9" s="6570"/>
      <c r="Y9" s="6570"/>
      <c r="Z9" s="6570"/>
      <c r="AA9" s="6571"/>
      <c r="CH9" s="1020"/>
      <c r="CI9" s="1020"/>
      <c r="CJ9" s="1020"/>
      <c r="CK9" s="1020"/>
      <c r="CL9" s="1020"/>
      <c r="CM9" s="1020"/>
      <c r="CN9" s="1020"/>
      <c r="CO9" s="1020"/>
    </row>
    <row r="10" spans="1:93" ht="16.350000000000001" customHeight="1" x14ac:dyDescent="0.2">
      <c r="A10" s="5168" t="s">
        <v>2775</v>
      </c>
      <c r="B10" s="5818"/>
      <c r="C10" s="5818"/>
      <c r="D10" s="5818"/>
      <c r="E10" s="5799"/>
      <c r="F10" s="6568"/>
      <c r="G10" s="5403"/>
      <c r="H10" s="6226" t="s">
        <v>2501</v>
      </c>
      <c r="I10" s="6226"/>
      <c r="J10" s="6226" t="s">
        <v>320</v>
      </c>
      <c r="K10" s="6226"/>
      <c r="L10" s="6226" t="s">
        <v>741</v>
      </c>
      <c r="M10" s="6226"/>
      <c r="N10" s="6226" t="s">
        <v>742</v>
      </c>
      <c r="O10" s="6226"/>
      <c r="P10" s="6226" t="s">
        <v>2034</v>
      </c>
      <c r="Q10" s="6226"/>
      <c r="R10" s="6226" t="s">
        <v>2502</v>
      </c>
      <c r="S10" s="6226"/>
      <c r="T10" s="6226" t="s">
        <v>2503</v>
      </c>
      <c r="U10" s="6226"/>
      <c r="V10" s="6226" t="s">
        <v>2504</v>
      </c>
      <c r="W10" s="6226"/>
      <c r="X10" s="6226" t="s">
        <v>2038</v>
      </c>
      <c r="Y10" s="6226"/>
      <c r="Z10" s="6226" t="s">
        <v>2505</v>
      </c>
      <c r="AA10" s="6226"/>
      <c r="CH10" s="1020"/>
      <c r="CI10" s="1020"/>
      <c r="CJ10" s="1020"/>
      <c r="CK10" s="1020"/>
      <c r="CL10" s="1020"/>
      <c r="CM10" s="1020"/>
      <c r="CN10" s="1020"/>
      <c r="CO10" s="1020"/>
    </row>
    <row r="11" spans="1:93" ht="16.350000000000001" customHeight="1" x14ac:dyDescent="0.2">
      <c r="A11" s="5168"/>
      <c r="B11" s="5818"/>
      <c r="C11" s="5818"/>
      <c r="D11" s="5818"/>
      <c r="E11" s="1597" t="s">
        <v>184</v>
      </c>
      <c r="F11" s="1695" t="s">
        <v>24</v>
      </c>
      <c r="G11" s="1918" t="s">
        <v>25</v>
      </c>
      <c r="H11" s="2188" t="s">
        <v>24</v>
      </c>
      <c r="I11" s="1928" t="s">
        <v>25</v>
      </c>
      <c r="J11" s="1899" t="s">
        <v>24</v>
      </c>
      <c r="K11" s="1900" t="s">
        <v>25</v>
      </c>
      <c r="L11" s="1899" t="s">
        <v>24</v>
      </c>
      <c r="M11" s="1900" t="s">
        <v>25</v>
      </c>
      <c r="N11" s="1899" t="s">
        <v>24</v>
      </c>
      <c r="O11" s="1900" t="s">
        <v>25</v>
      </c>
      <c r="P11" s="1899" t="s">
        <v>24</v>
      </c>
      <c r="Q11" s="1900" t="s">
        <v>25</v>
      </c>
      <c r="R11" s="1899" t="s">
        <v>24</v>
      </c>
      <c r="S11" s="1900" t="s">
        <v>25</v>
      </c>
      <c r="T11" s="1899" t="s">
        <v>24</v>
      </c>
      <c r="U11" s="1900" t="s">
        <v>25</v>
      </c>
      <c r="V11" s="1899" t="s">
        <v>24</v>
      </c>
      <c r="W11" s="1900" t="s">
        <v>25</v>
      </c>
      <c r="X11" s="1899" t="s">
        <v>24</v>
      </c>
      <c r="Y11" s="1900" t="s">
        <v>25</v>
      </c>
      <c r="Z11" s="1899" t="s">
        <v>24</v>
      </c>
      <c r="AA11" s="1900" t="s">
        <v>25</v>
      </c>
      <c r="AB11" s="79"/>
      <c r="CH11" s="1020"/>
      <c r="CI11" s="1020"/>
      <c r="CJ11" s="1020"/>
      <c r="CK11" s="1020"/>
      <c r="CL11" s="1020"/>
      <c r="CM11" s="1020"/>
      <c r="CN11" s="1020"/>
      <c r="CO11" s="1020"/>
    </row>
    <row r="12" spans="1:93" ht="16.350000000000001" customHeight="1" x14ac:dyDescent="0.2">
      <c r="A12" s="3097">
        <v>25100100</v>
      </c>
      <c r="B12" s="5396" t="s">
        <v>2506</v>
      </c>
      <c r="C12" s="2076" t="s">
        <v>2507</v>
      </c>
      <c r="D12" s="1615" t="s">
        <v>2508</v>
      </c>
      <c r="E12" s="3117" t="s">
        <v>2777</v>
      </c>
      <c r="F12" s="3118" t="s">
        <v>2778</v>
      </c>
      <c r="G12" s="3110" t="s">
        <v>2779</v>
      </c>
      <c r="H12" s="3307" t="s">
        <v>2780</v>
      </c>
      <c r="I12" s="3295" t="s">
        <v>2781</v>
      </c>
      <c r="J12" s="3307" t="s">
        <v>2782</v>
      </c>
      <c r="K12" s="3295" t="s">
        <v>2783</v>
      </c>
      <c r="L12" s="3307" t="s">
        <v>2784</v>
      </c>
      <c r="M12" s="3295" t="s">
        <v>2785</v>
      </c>
      <c r="N12" s="3307" t="s">
        <v>2786</v>
      </c>
      <c r="O12" s="3295" t="s">
        <v>2787</v>
      </c>
      <c r="P12" s="3307" t="s">
        <v>2788</v>
      </c>
      <c r="Q12" s="3295" t="s">
        <v>2789</v>
      </c>
      <c r="R12" s="3307" t="s">
        <v>2790</v>
      </c>
      <c r="S12" s="3295" t="s">
        <v>2791</v>
      </c>
      <c r="T12" s="3307" t="s">
        <v>2792</v>
      </c>
      <c r="U12" s="3295" t="s">
        <v>2793</v>
      </c>
      <c r="V12" s="3307" t="s">
        <v>2794</v>
      </c>
      <c r="W12" s="3295" t="s">
        <v>2795</v>
      </c>
      <c r="X12" s="3307" t="s">
        <v>2796</v>
      </c>
      <c r="Y12" s="3295" t="s">
        <v>2797</v>
      </c>
      <c r="Z12" s="3307" t="s">
        <v>2798</v>
      </c>
      <c r="AA12" s="3295" t="s">
        <v>2799</v>
      </c>
      <c r="AB12" s="79"/>
      <c r="CH12" s="1020"/>
      <c r="CI12" s="1020"/>
      <c r="CJ12" s="1020"/>
      <c r="CK12" s="1020"/>
      <c r="CL12" s="1020"/>
      <c r="CM12" s="1020"/>
      <c r="CN12" s="1020"/>
      <c r="CO12" s="1020"/>
    </row>
    <row r="13" spans="1:93" ht="16.350000000000001" customHeight="1" x14ac:dyDescent="0.2">
      <c r="A13" s="3097">
        <v>25100300</v>
      </c>
      <c r="B13" s="5135"/>
      <c r="C13" s="1893" t="s">
        <v>2509</v>
      </c>
      <c r="D13" s="107" t="s">
        <v>2508</v>
      </c>
      <c r="E13" s="3115" t="s">
        <v>2777</v>
      </c>
      <c r="F13" s="3116" t="s">
        <v>2778</v>
      </c>
      <c r="G13" s="3108" t="s">
        <v>2779</v>
      </c>
      <c r="H13" s="3423" t="s">
        <v>2780</v>
      </c>
      <c r="I13" s="3424" t="s">
        <v>2781</v>
      </c>
      <c r="J13" s="3287" t="s">
        <v>2782</v>
      </c>
      <c r="K13" s="3288" t="s">
        <v>2783</v>
      </c>
      <c r="L13" s="3287" t="s">
        <v>2784</v>
      </c>
      <c r="M13" s="3288" t="s">
        <v>2785</v>
      </c>
      <c r="N13" s="3287" t="s">
        <v>2786</v>
      </c>
      <c r="O13" s="3289" t="s">
        <v>2787</v>
      </c>
      <c r="P13" s="3287" t="s">
        <v>2788</v>
      </c>
      <c r="Q13" s="3289" t="s">
        <v>2789</v>
      </c>
      <c r="R13" s="3287" t="s">
        <v>2790</v>
      </c>
      <c r="S13" s="3289" t="s">
        <v>2791</v>
      </c>
      <c r="T13" s="3287" t="s">
        <v>2792</v>
      </c>
      <c r="U13" s="3289" t="s">
        <v>2793</v>
      </c>
      <c r="V13" s="3287" t="s">
        <v>2794</v>
      </c>
      <c r="W13" s="3289" t="s">
        <v>2795</v>
      </c>
      <c r="X13" s="3287" t="s">
        <v>2796</v>
      </c>
      <c r="Y13" s="3289" t="s">
        <v>2797</v>
      </c>
      <c r="Z13" s="3287" t="s">
        <v>2798</v>
      </c>
      <c r="AA13" s="3289" t="s">
        <v>2799</v>
      </c>
      <c r="AB13" s="79"/>
      <c r="CH13" s="1020"/>
      <c r="CI13" s="1020"/>
      <c r="CJ13" s="1020"/>
      <c r="CK13" s="1020"/>
      <c r="CL13" s="1020"/>
      <c r="CM13" s="1020"/>
      <c r="CN13" s="1020"/>
      <c r="CO13" s="1020"/>
    </row>
    <row r="14" spans="1:93" ht="16.350000000000001" customHeight="1" x14ac:dyDescent="0.2">
      <c r="A14" s="2458">
        <v>25100500</v>
      </c>
      <c r="B14" s="5165" t="s">
        <v>2510</v>
      </c>
      <c r="C14" s="5167"/>
      <c r="D14" s="1808" t="s">
        <v>2508</v>
      </c>
      <c r="E14" s="3509" t="s">
        <v>2777</v>
      </c>
      <c r="F14" s="3510" t="s">
        <v>2778</v>
      </c>
      <c r="G14" s="3383" t="s">
        <v>2779</v>
      </c>
      <c r="H14" s="3384" t="s">
        <v>2780</v>
      </c>
      <c r="I14" s="3385" t="s">
        <v>2781</v>
      </c>
      <c r="J14" s="3384" t="s">
        <v>2782</v>
      </c>
      <c r="K14" s="3385" t="s">
        <v>2783</v>
      </c>
      <c r="L14" s="3384" t="s">
        <v>2784</v>
      </c>
      <c r="M14" s="3385" t="s">
        <v>2785</v>
      </c>
      <c r="N14" s="3511" t="s">
        <v>2786</v>
      </c>
      <c r="O14" s="3388" t="s">
        <v>2787</v>
      </c>
      <c r="P14" s="3511" t="s">
        <v>2788</v>
      </c>
      <c r="Q14" s="3388" t="s">
        <v>2789</v>
      </c>
      <c r="R14" s="3511" t="s">
        <v>2790</v>
      </c>
      <c r="S14" s="3388" t="s">
        <v>2791</v>
      </c>
      <c r="T14" s="3511" t="s">
        <v>2792</v>
      </c>
      <c r="U14" s="3388" t="s">
        <v>2793</v>
      </c>
      <c r="V14" s="3511" t="s">
        <v>2794</v>
      </c>
      <c r="W14" s="3388" t="s">
        <v>2795</v>
      </c>
      <c r="X14" s="3511" t="s">
        <v>2796</v>
      </c>
      <c r="Y14" s="3388" t="s">
        <v>2797</v>
      </c>
      <c r="Z14" s="3511" t="s">
        <v>2798</v>
      </c>
      <c r="AA14" s="3388" t="s">
        <v>2799</v>
      </c>
      <c r="AB14" s="79"/>
      <c r="CH14" s="1020"/>
      <c r="CI14" s="1020"/>
      <c r="CJ14" s="1020"/>
      <c r="CK14" s="1020"/>
      <c r="CL14" s="1020"/>
      <c r="CM14" s="1020"/>
      <c r="CN14" s="1020"/>
      <c r="CO14" s="1020"/>
    </row>
    <row r="15" spans="1:93" ht="16.350000000000001" customHeight="1" thickBot="1" x14ac:dyDescent="0.25">
      <c r="A15" s="2518"/>
      <c r="B15" s="6572" t="s">
        <v>42</v>
      </c>
      <c r="C15" s="6573"/>
      <c r="D15" s="6574"/>
      <c r="E15" s="3512">
        <v>0</v>
      </c>
      <c r="F15" s="3513">
        <v>0</v>
      </c>
      <c r="G15" s="3514">
        <v>0</v>
      </c>
      <c r="H15" s="3512">
        <v>0</v>
      </c>
      <c r="I15" s="3514">
        <v>0</v>
      </c>
      <c r="J15" s="3512">
        <v>0</v>
      </c>
      <c r="K15" s="3514">
        <v>0</v>
      </c>
      <c r="L15" s="3512">
        <v>0</v>
      </c>
      <c r="M15" s="3514">
        <v>0</v>
      </c>
      <c r="N15" s="3515">
        <v>0</v>
      </c>
      <c r="O15" s="3516">
        <v>0</v>
      </c>
      <c r="P15" s="3515">
        <v>0</v>
      </c>
      <c r="Q15" s="3516">
        <v>0</v>
      </c>
      <c r="R15" s="3515">
        <v>0</v>
      </c>
      <c r="S15" s="3516">
        <v>0</v>
      </c>
      <c r="T15" s="3515">
        <v>0</v>
      </c>
      <c r="U15" s="3516">
        <v>0</v>
      </c>
      <c r="V15" s="3515">
        <v>0</v>
      </c>
      <c r="W15" s="3516">
        <v>0</v>
      </c>
      <c r="X15" s="3515">
        <v>0</v>
      </c>
      <c r="Y15" s="3516">
        <v>0</v>
      </c>
      <c r="Z15" s="3515">
        <v>0</v>
      </c>
      <c r="AA15" s="3516">
        <v>0</v>
      </c>
      <c r="AB15" s="79"/>
      <c r="CH15" s="1020"/>
      <c r="CI15" s="1020"/>
      <c r="CJ15" s="1020"/>
      <c r="CK15" s="1020"/>
      <c r="CL15" s="1020"/>
      <c r="CM15" s="1020"/>
      <c r="CN15" s="1020"/>
      <c r="CO15" s="1020"/>
    </row>
    <row r="16" spans="1:93" ht="16.350000000000001" customHeight="1" thickTop="1" x14ac:dyDescent="0.2">
      <c r="A16" s="2458">
        <v>25502201</v>
      </c>
      <c r="B16" s="6575" t="s">
        <v>2511</v>
      </c>
      <c r="C16" s="6576"/>
      <c r="D16" s="6577"/>
      <c r="E16" s="3517" t="s">
        <v>2777</v>
      </c>
      <c r="F16" s="3518" t="s">
        <v>2778</v>
      </c>
      <c r="G16" s="3519" t="s">
        <v>2779</v>
      </c>
      <c r="H16" s="3518" t="s">
        <v>2780</v>
      </c>
      <c r="I16" s="3518" t="s">
        <v>2781</v>
      </c>
      <c r="J16" s="3518" t="s">
        <v>2782</v>
      </c>
      <c r="K16" s="3518" t="s">
        <v>2783</v>
      </c>
      <c r="L16" s="3518" t="s">
        <v>2784</v>
      </c>
      <c r="M16" s="3518" t="s">
        <v>2785</v>
      </c>
      <c r="N16" s="3518" t="s">
        <v>2786</v>
      </c>
      <c r="O16" s="3518" t="s">
        <v>2787</v>
      </c>
      <c r="P16" s="3518" t="s">
        <v>2788</v>
      </c>
      <c r="Q16" s="3518" t="s">
        <v>2789</v>
      </c>
      <c r="R16" s="3518" t="s">
        <v>2790</v>
      </c>
      <c r="S16" s="3518" t="s">
        <v>2791</v>
      </c>
      <c r="T16" s="3518" t="s">
        <v>2792</v>
      </c>
      <c r="U16" s="3518" t="s">
        <v>2793</v>
      </c>
      <c r="V16" s="3518" t="s">
        <v>2794</v>
      </c>
      <c r="W16" s="3518" t="s">
        <v>2795</v>
      </c>
      <c r="X16" s="3518" t="s">
        <v>2796</v>
      </c>
      <c r="Y16" s="3518" t="s">
        <v>2797</v>
      </c>
      <c r="Z16" s="3518" t="s">
        <v>2798</v>
      </c>
      <c r="AA16" s="3520" t="s">
        <v>2799</v>
      </c>
      <c r="AB16" s="79"/>
      <c r="CH16" s="1020"/>
      <c r="CI16" s="1020"/>
      <c r="CJ16" s="1020"/>
      <c r="CK16" s="1020"/>
      <c r="CL16" s="1020"/>
      <c r="CM16" s="1020"/>
      <c r="CN16" s="1020"/>
      <c r="CO16" s="1020"/>
    </row>
    <row r="17" spans="1:93" ht="16.350000000000001" customHeight="1" x14ac:dyDescent="0.2">
      <c r="A17" s="2458">
        <v>25502202</v>
      </c>
      <c r="B17" s="6578" t="s">
        <v>2512</v>
      </c>
      <c r="C17" s="6579"/>
      <c r="D17" s="6580"/>
      <c r="E17" s="3423" t="s">
        <v>2777</v>
      </c>
      <c r="F17" s="3521" t="s">
        <v>2778</v>
      </c>
      <c r="G17" s="3522" t="s">
        <v>2779</v>
      </c>
      <c r="H17" s="3521" t="s">
        <v>2780</v>
      </c>
      <c r="I17" s="3521" t="s">
        <v>2781</v>
      </c>
      <c r="J17" s="3521" t="s">
        <v>2782</v>
      </c>
      <c r="K17" s="3521" t="s">
        <v>2783</v>
      </c>
      <c r="L17" s="3521" t="s">
        <v>2784</v>
      </c>
      <c r="M17" s="3521" t="s">
        <v>2785</v>
      </c>
      <c r="N17" s="3521" t="s">
        <v>2786</v>
      </c>
      <c r="O17" s="3521" t="s">
        <v>2787</v>
      </c>
      <c r="P17" s="3521" t="s">
        <v>2788</v>
      </c>
      <c r="Q17" s="3521" t="s">
        <v>2789</v>
      </c>
      <c r="R17" s="3521" t="s">
        <v>2790</v>
      </c>
      <c r="S17" s="3521" t="s">
        <v>2791</v>
      </c>
      <c r="T17" s="3521" t="s">
        <v>2792</v>
      </c>
      <c r="U17" s="3521" t="s">
        <v>2793</v>
      </c>
      <c r="V17" s="3521" t="s">
        <v>2794</v>
      </c>
      <c r="W17" s="3521" t="s">
        <v>2795</v>
      </c>
      <c r="X17" s="3521" t="s">
        <v>2796</v>
      </c>
      <c r="Y17" s="3521" t="s">
        <v>2797</v>
      </c>
      <c r="Z17" s="3521" t="s">
        <v>2798</v>
      </c>
      <c r="AA17" s="3523" t="s">
        <v>2799</v>
      </c>
      <c r="AB17" s="79"/>
      <c r="CH17" s="1020"/>
      <c r="CI17" s="1020"/>
      <c r="CJ17" s="1020"/>
      <c r="CK17" s="1020"/>
      <c r="CL17" s="1020"/>
      <c r="CM17" s="1020"/>
      <c r="CN17" s="1020"/>
      <c r="CO17" s="1020"/>
    </row>
    <row r="18" spans="1:93" ht="32.1" customHeight="1" x14ac:dyDescent="0.2">
      <c r="B18" s="485" t="s">
        <v>2513</v>
      </c>
      <c r="C18" s="2189"/>
      <c r="CH18" s="1020"/>
      <c r="CI18" s="1020"/>
      <c r="CJ18" s="1020"/>
      <c r="CK18" s="1020"/>
      <c r="CL18" s="1020"/>
      <c r="CM18" s="1020"/>
      <c r="CN18" s="1020"/>
      <c r="CO18" s="1020"/>
    </row>
    <row r="19" spans="1:93" ht="16.350000000000001" customHeight="1" x14ac:dyDescent="0.2">
      <c r="B19" s="5818" t="s">
        <v>2291</v>
      </c>
      <c r="C19" s="5818" t="s">
        <v>2500</v>
      </c>
      <c r="D19" s="5818"/>
      <c r="E19" s="6218" t="s">
        <v>42</v>
      </c>
      <c r="F19" s="5737"/>
      <c r="G19" s="6219"/>
      <c r="H19" s="5165" t="s">
        <v>5</v>
      </c>
      <c r="I19" s="5540"/>
      <c r="J19" s="5540"/>
      <c r="K19" s="5540"/>
      <c r="L19" s="5540"/>
      <c r="M19" s="5540"/>
      <c r="N19" s="5540"/>
      <c r="O19" s="5540"/>
      <c r="P19" s="5540"/>
      <c r="Q19" s="5540"/>
      <c r="R19" s="5540"/>
      <c r="S19" s="5540"/>
      <c r="T19" s="5540"/>
      <c r="U19" s="5540"/>
      <c r="V19" s="5540"/>
      <c r="W19" s="5540"/>
      <c r="X19" s="5540"/>
      <c r="Y19" s="5540"/>
      <c r="Z19" s="5540"/>
      <c r="AA19" s="5167"/>
      <c r="CH19" s="1020"/>
      <c r="CI19" s="1020"/>
      <c r="CJ19" s="1020"/>
      <c r="CK19" s="1020"/>
      <c r="CL19" s="1020"/>
      <c r="CM19" s="1020"/>
      <c r="CN19" s="1020"/>
      <c r="CO19" s="1020"/>
    </row>
    <row r="20" spans="1:93" ht="16.350000000000001" customHeight="1" x14ac:dyDescent="0.2">
      <c r="B20" s="5818"/>
      <c r="C20" s="5818"/>
      <c r="D20" s="5818"/>
      <c r="E20" s="5799"/>
      <c r="F20" s="6568"/>
      <c r="G20" s="6568"/>
      <c r="H20" s="6226" t="s">
        <v>2501</v>
      </c>
      <c r="I20" s="6226"/>
      <c r="J20" s="6226" t="s">
        <v>320</v>
      </c>
      <c r="K20" s="6226"/>
      <c r="L20" s="6226" t="s">
        <v>741</v>
      </c>
      <c r="M20" s="6226"/>
      <c r="N20" s="6226" t="s">
        <v>742</v>
      </c>
      <c r="O20" s="6226"/>
      <c r="P20" s="6226" t="s">
        <v>2034</v>
      </c>
      <c r="Q20" s="6226"/>
      <c r="R20" s="6226" t="s">
        <v>2502</v>
      </c>
      <c r="S20" s="6226"/>
      <c r="T20" s="6226" t="s">
        <v>2503</v>
      </c>
      <c r="U20" s="6226"/>
      <c r="V20" s="6226" t="s">
        <v>2504</v>
      </c>
      <c r="W20" s="6226"/>
      <c r="X20" s="6226" t="s">
        <v>2038</v>
      </c>
      <c r="Y20" s="6226"/>
      <c r="Z20" s="6226" t="s">
        <v>2505</v>
      </c>
      <c r="AA20" s="6226"/>
      <c r="CH20" s="1020"/>
      <c r="CI20" s="1020"/>
      <c r="CJ20" s="1020"/>
      <c r="CK20" s="1020"/>
      <c r="CL20" s="1020"/>
      <c r="CM20" s="1020"/>
      <c r="CN20" s="1020"/>
      <c r="CO20" s="1020"/>
    </row>
    <row r="21" spans="1:93" ht="16.350000000000001" customHeight="1" x14ac:dyDescent="0.2">
      <c r="B21" s="5818"/>
      <c r="C21" s="5818"/>
      <c r="D21" s="5818"/>
      <c r="E21" s="1597" t="s">
        <v>184</v>
      </c>
      <c r="F21" s="1695" t="s">
        <v>24</v>
      </c>
      <c r="G21" s="1907" t="s">
        <v>25</v>
      </c>
      <c r="H21" s="2188" t="s">
        <v>24</v>
      </c>
      <c r="I21" s="1928" t="s">
        <v>25</v>
      </c>
      <c r="J21" s="2188" t="s">
        <v>24</v>
      </c>
      <c r="K21" s="2190" t="s">
        <v>25</v>
      </c>
      <c r="L21" s="2188" t="s">
        <v>24</v>
      </c>
      <c r="M21" s="1928" t="s">
        <v>25</v>
      </c>
      <c r="N21" s="2188" t="s">
        <v>24</v>
      </c>
      <c r="O21" s="1928" t="s">
        <v>25</v>
      </c>
      <c r="P21" s="2188" t="s">
        <v>24</v>
      </c>
      <c r="Q21" s="1928" t="s">
        <v>25</v>
      </c>
      <c r="R21" s="2188" t="s">
        <v>24</v>
      </c>
      <c r="S21" s="1928" t="s">
        <v>25</v>
      </c>
      <c r="T21" s="2188" t="s">
        <v>24</v>
      </c>
      <c r="U21" s="1928" t="s">
        <v>25</v>
      </c>
      <c r="V21" s="2188" t="s">
        <v>24</v>
      </c>
      <c r="W21" s="1928" t="s">
        <v>25</v>
      </c>
      <c r="X21" s="2188" t="s">
        <v>24</v>
      </c>
      <c r="Y21" s="1928" t="s">
        <v>25</v>
      </c>
      <c r="Z21" s="2188" t="s">
        <v>24</v>
      </c>
      <c r="AA21" s="1928" t="s">
        <v>25</v>
      </c>
      <c r="CH21" s="1020"/>
      <c r="CI21" s="1020"/>
      <c r="CJ21" s="1020"/>
      <c r="CK21" s="1020"/>
      <c r="CL21" s="1020"/>
      <c r="CM21" s="1020"/>
      <c r="CN21" s="1020"/>
      <c r="CO21" s="1020"/>
    </row>
    <row r="22" spans="1:93" ht="16.350000000000001" customHeight="1" x14ac:dyDescent="0.2">
      <c r="A22" s="2458">
        <v>25100200</v>
      </c>
      <c r="B22" s="5135" t="s">
        <v>2506</v>
      </c>
      <c r="C22" s="5113" t="s">
        <v>2507</v>
      </c>
      <c r="D22" s="2191" t="s">
        <v>2514</v>
      </c>
      <c r="E22" s="527" t="s">
        <v>2777</v>
      </c>
      <c r="F22" s="694" t="s">
        <v>2778</v>
      </c>
      <c r="G22" s="2192" t="s">
        <v>2779</v>
      </c>
      <c r="H22" s="170" t="s">
        <v>2780</v>
      </c>
      <c r="I22" s="171" t="s">
        <v>2781</v>
      </c>
      <c r="J22" s="137" t="s">
        <v>2782</v>
      </c>
      <c r="K22" s="1603" t="s">
        <v>2783</v>
      </c>
      <c r="L22" s="1680" t="s">
        <v>2784</v>
      </c>
      <c r="M22" s="123" t="s">
        <v>2785</v>
      </c>
      <c r="N22" s="1680" t="s">
        <v>2786</v>
      </c>
      <c r="O22" s="123" t="s">
        <v>2787</v>
      </c>
      <c r="P22" s="1680" t="s">
        <v>2788</v>
      </c>
      <c r="Q22" s="123" t="s">
        <v>2789</v>
      </c>
      <c r="R22" s="1680" t="s">
        <v>2790</v>
      </c>
      <c r="S22" s="123" t="s">
        <v>2791</v>
      </c>
      <c r="T22" s="1680" t="s">
        <v>2792</v>
      </c>
      <c r="U22" s="123" t="s">
        <v>2793</v>
      </c>
      <c r="V22" s="1680" t="s">
        <v>2794</v>
      </c>
      <c r="W22" s="123" t="s">
        <v>2795</v>
      </c>
      <c r="X22" s="1680" t="s">
        <v>2796</v>
      </c>
      <c r="Y22" s="123" t="s">
        <v>2797</v>
      </c>
      <c r="Z22" s="137" t="s">
        <v>2798</v>
      </c>
      <c r="AA22" s="123" t="s">
        <v>2799</v>
      </c>
      <c r="AB22" s="79"/>
      <c r="CH22" s="1020"/>
      <c r="CI22" s="1020"/>
      <c r="CJ22" s="1020"/>
      <c r="CK22" s="1020"/>
      <c r="CL22" s="1020"/>
      <c r="CM22" s="1020"/>
      <c r="CN22" s="1020"/>
      <c r="CO22" s="1020"/>
    </row>
    <row r="23" spans="1:93" ht="16.350000000000001" customHeight="1" x14ac:dyDescent="0.2">
      <c r="A23" s="2458">
        <v>25400010</v>
      </c>
      <c r="B23" s="5135"/>
      <c r="C23" s="5159"/>
      <c r="D23" s="2193" t="s">
        <v>2515</v>
      </c>
      <c r="E23" s="529" t="s">
        <v>2777</v>
      </c>
      <c r="F23" s="696" t="s">
        <v>2778</v>
      </c>
      <c r="G23" s="2194" t="s">
        <v>2779</v>
      </c>
      <c r="H23" s="166" t="s">
        <v>2780</v>
      </c>
      <c r="I23" s="125" t="s">
        <v>2781</v>
      </c>
      <c r="J23" s="203" t="s">
        <v>2782</v>
      </c>
      <c r="K23" s="1367" t="s">
        <v>2783</v>
      </c>
      <c r="L23" s="1684" t="s">
        <v>2784</v>
      </c>
      <c r="M23" s="204" t="s">
        <v>2785</v>
      </c>
      <c r="N23" s="1684" t="s">
        <v>2786</v>
      </c>
      <c r="O23" s="204" t="s">
        <v>2787</v>
      </c>
      <c r="P23" s="1684" t="s">
        <v>2788</v>
      </c>
      <c r="Q23" s="204" t="s">
        <v>2789</v>
      </c>
      <c r="R23" s="1684" t="s">
        <v>2790</v>
      </c>
      <c r="S23" s="204" t="s">
        <v>2791</v>
      </c>
      <c r="T23" s="1684" t="s">
        <v>2792</v>
      </c>
      <c r="U23" s="204" t="s">
        <v>2793</v>
      </c>
      <c r="V23" s="1684" t="s">
        <v>2794</v>
      </c>
      <c r="W23" s="204" t="s">
        <v>2795</v>
      </c>
      <c r="X23" s="1684" t="s">
        <v>2796</v>
      </c>
      <c r="Y23" s="204" t="s">
        <v>2797</v>
      </c>
      <c r="Z23" s="1684" t="s">
        <v>2798</v>
      </c>
      <c r="AA23" s="204" t="s">
        <v>2799</v>
      </c>
      <c r="AB23" s="79"/>
      <c r="CH23" s="1020"/>
      <c r="CI23" s="1020"/>
      <c r="CJ23" s="1020"/>
      <c r="CK23" s="1020"/>
      <c r="CL23" s="1020"/>
      <c r="CM23" s="1020"/>
      <c r="CN23" s="1020"/>
      <c r="CO23" s="1020"/>
    </row>
    <row r="24" spans="1:93" ht="16.350000000000001" customHeight="1" x14ac:dyDescent="0.2">
      <c r="A24" s="2458">
        <v>25100400</v>
      </c>
      <c r="B24" s="5135"/>
      <c r="C24" s="5113" t="s">
        <v>2509</v>
      </c>
      <c r="D24" s="371" t="s">
        <v>2514</v>
      </c>
      <c r="E24" s="528" t="s">
        <v>2777</v>
      </c>
      <c r="F24" s="695" t="s">
        <v>2778</v>
      </c>
      <c r="G24" s="2195" t="s">
        <v>2779</v>
      </c>
      <c r="H24" s="141" t="s">
        <v>2780</v>
      </c>
      <c r="I24" s="163" t="s">
        <v>2781</v>
      </c>
      <c r="J24" s="141" t="s">
        <v>2782</v>
      </c>
      <c r="K24" s="198" t="s">
        <v>2783</v>
      </c>
      <c r="L24" s="224" t="s">
        <v>2784</v>
      </c>
      <c r="M24" s="163" t="s">
        <v>2785</v>
      </c>
      <c r="N24" s="224" t="s">
        <v>2786</v>
      </c>
      <c r="O24" s="163" t="s">
        <v>2787</v>
      </c>
      <c r="P24" s="224" t="s">
        <v>2788</v>
      </c>
      <c r="Q24" s="163" t="s">
        <v>2789</v>
      </c>
      <c r="R24" s="224" t="s">
        <v>2790</v>
      </c>
      <c r="S24" s="163" t="s">
        <v>2791</v>
      </c>
      <c r="T24" s="224" t="s">
        <v>2792</v>
      </c>
      <c r="U24" s="163" t="s">
        <v>2793</v>
      </c>
      <c r="V24" s="224" t="s">
        <v>2794</v>
      </c>
      <c r="W24" s="163" t="s">
        <v>2795</v>
      </c>
      <c r="X24" s="224" t="s">
        <v>2796</v>
      </c>
      <c r="Y24" s="163" t="s">
        <v>2797</v>
      </c>
      <c r="Z24" s="224" t="s">
        <v>2798</v>
      </c>
      <c r="AA24" s="163" t="s">
        <v>2799</v>
      </c>
      <c r="AB24" s="79"/>
      <c r="CH24" s="1020"/>
      <c r="CI24" s="1020"/>
      <c r="CJ24" s="1020"/>
      <c r="CK24" s="1020"/>
      <c r="CL24" s="1020"/>
      <c r="CM24" s="1020"/>
      <c r="CN24" s="1020"/>
      <c r="CO24" s="1020"/>
    </row>
    <row r="25" spans="1:93" ht="16.350000000000001" customHeight="1" x14ac:dyDescent="0.2">
      <c r="A25" s="2458">
        <v>25400020</v>
      </c>
      <c r="B25" s="6307"/>
      <c r="C25" s="5159"/>
      <c r="D25" s="282" t="s">
        <v>2515</v>
      </c>
      <c r="E25" s="529" t="s">
        <v>2777</v>
      </c>
      <c r="F25" s="696" t="s">
        <v>2778</v>
      </c>
      <c r="G25" s="2194" t="s">
        <v>2779</v>
      </c>
      <c r="H25" s="166" t="s">
        <v>2780</v>
      </c>
      <c r="I25" s="125" t="s">
        <v>2781</v>
      </c>
      <c r="J25" s="166" t="s">
        <v>2782</v>
      </c>
      <c r="K25" s="168" t="s">
        <v>2783</v>
      </c>
      <c r="L25" s="227" t="s">
        <v>2784</v>
      </c>
      <c r="M25" s="125" t="s">
        <v>2785</v>
      </c>
      <c r="N25" s="227" t="s">
        <v>2786</v>
      </c>
      <c r="O25" s="125" t="s">
        <v>2787</v>
      </c>
      <c r="P25" s="227" t="s">
        <v>2788</v>
      </c>
      <c r="Q25" s="125" t="s">
        <v>2789</v>
      </c>
      <c r="R25" s="227" t="s">
        <v>2790</v>
      </c>
      <c r="S25" s="125" t="s">
        <v>2791</v>
      </c>
      <c r="T25" s="227" t="s">
        <v>2792</v>
      </c>
      <c r="U25" s="125" t="s">
        <v>2793</v>
      </c>
      <c r="V25" s="227" t="s">
        <v>2794</v>
      </c>
      <c r="W25" s="125" t="s">
        <v>2795</v>
      </c>
      <c r="X25" s="227" t="s">
        <v>2796</v>
      </c>
      <c r="Y25" s="125" t="s">
        <v>2797</v>
      </c>
      <c r="Z25" s="227" t="s">
        <v>2798</v>
      </c>
      <c r="AA25" s="125" t="s">
        <v>2799</v>
      </c>
      <c r="AB25" s="79"/>
      <c r="CH25" s="1020"/>
      <c r="CI25" s="1020"/>
      <c r="CJ25" s="1020"/>
      <c r="CK25" s="1020"/>
      <c r="CL25" s="1020"/>
      <c r="CM25" s="1020"/>
      <c r="CN25" s="1020"/>
      <c r="CO25" s="1020"/>
    </row>
    <row r="26" spans="1:93" ht="16.350000000000001" customHeight="1" x14ac:dyDescent="0.2">
      <c r="A26" s="2458">
        <v>25100600</v>
      </c>
      <c r="B26" s="5121" t="s">
        <v>2510</v>
      </c>
      <c r="C26" s="5123"/>
      <c r="D26" s="371" t="s">
        <v>2514</v>
      </c>
      <c r="E26" s="648" t="s">
        <v>2777</v>
      </c>
      <c r="F26" s="700" t="s">
        <v>2778</v>
      </c>
      <c r="G26" s="358" t="s">
        <v>2779</v>
      </c>
      <c r="H26" s="342" t="s">
        <v>2780</v>
      </c>
      <c r="I26" s="276" t="s">
        <v>2781</v>
      </c>
      <c r="J26" s="273" t="s">
        <v>2782</v>
      </c>
      <c r="K26" s="467" t="s">
        <v>2783</v>
      </c>
      <c r="L26" s="342" t="s">
        <v>2784</v>
      </c>
      <c r="M26" s="276" t="s">
        <v>2785</v>
      </c>
      <c r="N26" s="342" t="s">
        <v>2786</v>
      </c>
      <c r="O26" s="276" t="s">
        <v>2787</v>
      </c>
      <c r="P26" s="342" t="s">
        <v>2788</v>
      </c>
      <c r="Q26" s="276" t="s">
        <v>2789</v>
      </c>
      <c r="R26" s="342" t="s">
        <v>2790</v>
      </c>
      <c r="S26" s="276" t="s">
        <v>2791</v>
      </c>
      <c r="T26" s="342" t="s">
        <v>2792</v>
      </c>
      <c r="U26" s="276" t="s">
        <v>2793</v>
      </c>
      <c r="V26" s="342" t="s">
        <v>2794</v>
      </c>
      <c r="W26" s="276" t="s">
        <v>2795</v>
      </c>
      <c r="X26" s="342" t="s">
        <v>2796</v>
      </c>
      <c r="Y26" s="276" t="s">
        <v>2797</v>
      </c>
      <c r="Z26" s="342" t="s">
        <v>2798</v>
      </c>
      <c r="AA26" s="276" t="s">
        <v>2799</v>
      </c>
      <c r="AB26" s="79"/>
      <c r="CH26" s="1020"/>
      <c r="CI26" s="1020"/>
      <c r="CJ26" s="1020"/>
      <c r="CK26" s="1020"/>
      <c r="CL26" s="1020"/>
      <c r="CM26" s="1020"/>
      <c r="CN26" s="1020"/>
      <c r="CO26" s="1020"/>
    </row>
    <row r="27" spans="1:93" ht="16.350000000000001" customHeight="1" x14ac:dyDescent="0.2">
      <c r="A27" s="2458">
        <v>25400030</v>
      </c>
      <c r="B27" s="5799"/>
      <c r="C27" s="5403"/>
      <c r="D27" s="282" t="s">
        <v>2515</v>
      </c>
      <c r="E27" s="529" t="s">
        <v>2777</v>
      </c>
      <c r="F27" s="696" t="s">
        <v>2778</v>
      </c>
      <c r="G27" s="2194" t="s">
        <v>2779</v>
      </c>
      <c r="H27" s="227" t="s">
        <v>2780</v>
      </c>
      <c r="I27" s="125" t="s">
        <v>2781</v>
      </c>
      <c r="J27" s="166" t="s">
        <v>2782</v>
      </c>
      <c r="K27" s="168" t="s">
        <v>2783</v>
      </c>
      <c r="L27" s="227" t="s">
        <v>2784</v>
      </c>
      <c r="M27" s="125" t="s">
        <v>2785</v>
      </c>
      <c r="N27" s="227" t="s">
        <v>2786</v>
      </c>
      <c r="O27" s="125" t="s">
        <v>2787</v>
      </c>
      <c r="P27" s="227" t="s">
        <v>2788</v>
      </c>
      <c r="Q27" s="125" t="s">
        <v>2789</v>
      </c>
      <c r="R27" s="227" t="s">
        <v>2790</v>
      </c>
      <c r="S27" s="125" t="s">
        <v>2791</v>
      </c>
      <c r="T27" s="227" t="s">
        <v>2792</v>
      </c>
      <c r="U27" s="125" t="s">
        <v>2793</v>
      </c>
      <c r="V27" s="227" t="s">
        <v>2794</v>
      </c>
      <c r="W27" s="125" t="s">
        <v>2795</v>
      </c>
      <c r="X27" s="227" t="s">
        <v>2796</v>
      </c>
      <c r="Y27" s="125" t="s">
        <v>2797</v>
      </c>
      <c r="Z27" s="227" t="s">
        <v>2798</v>
      </c>
      <c r="AA27" s="125" t="s">
        <v>2799</v>
      </c>
      <c r="AB27" s="79"/>
      <c r="CH27" s="1020"/>
      <c r="CI27" s="1020"/>
      <c r="CJ27" s="1020"/>
      <c r="CK27" s="1020"/>
      <c r="CL27" s="1020"/>
      <c r="CM27" s="1020"/>
      <c r="CN27" s="1020"/>
      <c r="CO27" s="1020"/>
    </row>
    <row r="28" spans="1:93" ht="16.350000000000001" customHeight="1" x14ac:dyDescent="0.2">
      <c r="A28" s="2527"/>
      <c r="B28" s="6578" t="s">
        <v>42</v>
      </c>
      <c r="C28" s="6579"/>
      <c r="D28" s="6580"/>
      <c r="E28" s="656">
        <f t="shared" ref="E28:AA28" si="0">SUM(E22:E27)</f>
        <v>0</v>
      </c>
      <c r="F28" s="659">
        <f t="shared" si="0"/>
        <v>0</v>
      </c>
      <c r="G28" s="2196">
        <f t="shared" si="0"/>
        <v>0</v>
      </c>
      <c r="H28" s="2064">
        <f t="shared" si="0"/>
        <v>0</v>
      </c>
      <c r="I28" s="586">
        <f t="shared" si="0"/>
        <v>0</v>
      </c>
      <c r="J28" s="587">
        <f t="shared" si="0"/>
        <v>0</v>
      </c>
      <c r="K28" s="1853">
        <f t="shared" si="0"/>
        <v>0</v>
      </c>
      <c r="L28" s="2064">
        <f t="shared" si="0"/>
        <v>0</v>
      </c>
      <c r="M28" s="586">
        <f t="shared" si="0"/>
        <v>0</v>
      </c>
      <c r="N28" s="2064">
        <f t="shared" si="0"/>
        <v>0</v>
      </c>
      <c r="O28" s="586">
        <f t="shared" si="0"/>
        <v>0</v>
      </c>
      <c r="P28" s="2064">
        <f t="shared" si="0"/>
        <v>0</v>
      </c>
      <c r="Q28" s="586">
        <f t="shared" si="0"/>
        <v>0</v>
      </c>
      <c r="R28" s="2064">
        <f t="shared" si="0"/>
        <v>0</v>
      </c>
      <c r="S28" s="586">
        <f t="shared" si="0"/>
        <v>0</v>
      </c>
      <c r="T28" s="2064">
        <f t="shared" si="0"/>
        <v>0</v>
      </c>
      <c r="U28" s="586">
        <f t="shared" si="0"/>
        <v>0</v>
      </c>
      <c r="V28" s="2064">
        <f t="shared" si="0"/>
        <v>0</v>
      </c>
      <c r="W28" s="586">
        <f t="shared" si="0"/>
        <v>0</v>
      </c>
      <c r="X28" s="2064">
        <f t="shared" si="0"/>
        <v>0</v>
      </c>
      <c r="Y28" s="586">
        <f t="shared" si="0"/>
        <v>0</v>
      </c>
      <c r="Z28" s="2064">
        <f t="shared" si="0"/>
        <v>0</v>
      </c>
      <c r="AA28" s="586">
        <f t="shared" si="0"/>
        <v>0</v>
      </c>
      <c r="AB28" s="79"/>
      <c r="CH28" s="1020"/>
      <c r="CI28" s="1020"/>
      <c r="CJ28" s="1020"/>
      <c r="CK28" s="1020"/>
      <c r="CL28" s="1020"/>
      <c r="CM28" s="1020"/>
      <c r="CN28" s="1020"/>
      <c r="CO28" s="1020"/>
    </row>
    <row r="29" spans="1:93" ht="32.1" customHeight="1" x14ac:dyDescent="0.2">
      <c r="B29" s="6581" t="s">
        <v>2516</v>
      </c>
      <c r="C29" s="6581"/>
      <c r="D29" s="6581"/>
      <c r="E29" s="6581"/>
      <c r="F29" s="6581"/>
      <c r="G29" s="6581"/>
      <c r="H29" s="6581"/>
      <c r="I29" s="6581"/>
      <c r="J29" s="6581"/>
      <c r="K29" s="6581"/>
      <c r="L29" s="2197"/>
      <c r="M29" s="190"/>
      <c r="CH29" s="1020"/>
      <c r="CI29" s="1020"/>
      <c r="CJ29" s="1020"/>
      <c r="CK29" s="1020"/>
      <c r="CL29" s="1020"/>
      <c r="CM29" s="1020"/>
      <c r="CN29" s="1020"/>
      <c r="CO29" s="1020"/>
    </row>
    <row r="30" spans="1:93" ht="16.350000000000001" customHeight="1" x14ac:dyDescent="0.2">
      <c r="B30" s="6582" t="s">
        <v>218</v>
      </c>
      <c r="C30" s="6582"/>
      <c r="D30" s="6582"/>
      <c r="E30" s="2198" t="s">
        <v>42</v>
      </c>
      <c r="F30" s="2199" t="s">
        <v>2517</v>
      </c>
      <c r="G30" s="2200" t="s">
        <v>2518</v>
      </c>
      <c r="H30" s="2201"/>
      <c r="I30" s="2202"/>
      <c r="J30" s="2202"/>
      <c r="K30" s="2203"/>
      <c r="L30" s="2197"/>
      <c r="M30" s="190"/>
      <c r="CH30" s="1020"/>
      <c r="CI30" s="1020"/>
      <c r="CJ30" s="1020"/>
      <c r="CK30" s="1020"/>
      <c r="CL30" s="1020"/>
      <c r="CM30" s="1020"/>
      <c r="CN30" s="1020"/>
      <c r="CO30" s="1020"/>
    </row>
    <row r="31" spans="1:93" ht="16.350000000000001" customHeight="1" x14ac:dyDescent="0.2">
      <c r="A31" s="2458">
        <v>25501000</v>
      </c>
      <c r="B31" s="5158" t="s">
        <v>2519</v>
      </c>
      <c r="C31" s="6583" t="s">
        <v>2520</v>
      </c>
      <c r="D31" s="6584"/>
      <c r="E31" s="3526" t="s">
        <v>2777</v>
      </c>
      <c r="F31" s="3527" t="s">
        <v>2778</v>
      </c>
      <c r="G31" s="3528" t="s">
        <v>2779</v>
      </c>
      <c r="CH31" s="1020"/>
      <c r="CI31" s="1020"/>
      <c r="CJ31" s="1020"/>
      <c r="CK31" s="1020"/>
      <c r="CL31" s="1020"/>
      <c r="CM31" s="1020"/>
      <c r="CN31" s="1020"/>
      <c r="CO31" s="1020"/>
    </row>
    <row r="32" spans="1:93" ht="16.350000000000001" customHeight="1" x14ac:dyDescent="0.2">
      <c r="A32" s="2458">
        <v>25501100</v>
      </c>
      <c r="B32" s="5113"/>
      <c r="C32" s="6585" t="s">
        <v>2521</v>
      </c>
      <c r="D32" s="6586"/>
      <c r="E32" s="3529" t="s">
        <v>2777</v>
      </c>
      <c r="F32" s="3530" t="s">
        <v>2778</v>
      </c>
      <c r="G32" s="3531" t="s">
        <v>2779</v>
      </c>
      <c r="CH32" s="1020"/>
      <c r="CI32" s="1020"/>
      <c r="CJ32" s="1020"/>
      <c r="CK32" s="1020"/>
      <c r="CL32" s="1020"/>
      <c r="CM32" s="1020"/>
      <c r="CN32" s="1020"/>
      <c r="CO32" s="1020"/>
    </row>
    <row r="33" spans="1:93" ht="16.350000000000001" customHeight="1" x14ac:dyDescent="0.2">
      <c r="A33" s="2458">
        <v>25501200</v>
      </c>
      <c r="B33" s="5113"/>
      <c r="C33" s="6585" t="s">
        <v>2522</v>
      </c>
      <c r="D33" s="6586"/>
      <c r="E33" s="3529" t="s">
        <v>2777</v>
      </c>
      <c r="F33" s="3530" t="s">
        <v>2778</v>
      </c>
      <c r="G33" s="3531" t="s">
        <v>2779</v>
      </c>
      <c r="CH33" s="1020"/>
      <c r="CI33" s="1020"/>
      <c r="CJ33" s="1020"/>
      <c r="CK33" s="1020"/>
      <c r="CL33" s="1020"/>
      <c r="CM33" s="1020"/>
      <c r="CN33" s="1020"/>
      <c r="CO33" s="1020"/>
    </row>
    <row r="34" spans="1:93" ht="16.350000000000001" customHeight="1" x14ac:dyDescent="0.2">
      <c r="A34" s="2458">
        <v>25501300</v>
      </c>
      <c r="B34" s="5113"/>
      <c r="C34" s="6585" t="s">
        <v>2696</v>
      </c>
      <c r="D34" s="6586"/>
      <c r="E34" s="3529" t="s">
        <v>2777</v>
      </c>
      <c r="F34" s="3329" t="s">
        <v>2778</v>
      </c>
      <c r="G34" s="3323" t="s">
        <v>2779</v>
      </c>
      <c r="CH34" s="1020"/>
      <c r="CI34" s="1020"/>
      <c r="CJ34" s="1020"/>
      <c r="CK34" s="1020"/>
      <c r="CL34" s="1020"/>
      <c r="CM34" s="1020"/>
      <c r="CN34" s="1020"/>
      <c r="CO34" s="1020"/>
    </row>
    <row r="35" spans="1:93" ht="16.350000000000001" customHeight="1" x14ac:dyDescent="0.2">
      <c r="A35" s="2458">
        <v>25501400</v>
      </c>
      <c r="B35" s="5113"/>
      <c r="C35" s="6585" t="s">
        <v>2523</v>
      </c>
      <c r="D35" s="6586"/>
      <c r="E35" s="3529" t="s">
        <v>2777</v>
      </c>
      <c r="F35" s="3329" t="s">
        <v>2778</v>
      </c>
      <c r="G35" s="3323" t="s">
        <v>2779</v>
      </c>
      <c r="CH35" s="1020"/>
      <c r="CI35" s="1020"/>
      <c r="CJ35" s="1020"/>
      <c r="CK35" s="1020"/>
      <c r="CL35" s="1020"/>
      <c r="CM35" s="1020"/>
      <c r="CN35" s="1020"/>
      <c r="CO35" s="1020"/>
    </row>
    <row r="36" spans="1:93" ht="16.350000000000001" customHeight="1" x14ac:dyDescent="0.2">
      <c r="A36" s="2458">
        <v>25501500</v>
      </c>
      <c r="B36" s="5113"/>
      <c r="C36" s="6585" t="s">
        <v>2524</v>
      </c>
      <c r="D36" s="6586"/>
      <c r="E36" s="3529" t="s">
        <v>2777</v>
      </c>
      <c r="F36" s="3329" t="s">
        <v>2778</v>
      </c>
      <c r="G36" s="3323" t="s">
        <v>2779</v>
      </c>
      <c r="CH36" s="1020"/>
      <c r="CI36" s="1020"/>
      <c r="CJ36" s="1020"/>
      <c r="CK36" s="1020"/>
      <c r="CL36" s="1020"/>
      <c r="CM36" s="1020"/>
      <c r="CN36" s="1020"/>
      <c r="CO36" s="1020"/>
    </row>
    <row r="37" spans="1:93" ht="16.350000000000001" customHeight="1" x14ac:dyDescent="0.2">
      <c r="A37" s="2458">
        <v>25501600</v>
      </c>
      <c r="B37" s="5113"/>
      <c r="C37" s="6585" t="s">
        <v>2525</v>
      </c>
      <c r="D37" s="6586"/>
      <c r="E37" s="3529" t="s">
        <v>2777</v>
      </c>
      <c r="F37" s="3329" t="s">
        <v>2778</v>
      </c>
      <c r="G37" s="3323" t="s">
        <v>2779</v>
      </c>
      <c r="CH37" s="1020"/>
      <c r="CI37" s="1020"/>
      <c r="CJ37" s="1020"/>
      <c r="CK37" s="1020"/>
      <c r="CL37" s="1020"/>
      <c r="CM37" s="1020"/>
      <c r="CN37" s="1020"/>
      <c r="CO37" s="1020"/>
    </row>
    <row r="38" spans="1:93" ht="16.350000000000001" customHeight="1" x14ac:dyDescent="0.2">
      <c r="A38" s="2458">
        <v>25501700</v>
      </c>
      <c r="B38" s="5113"/>
      <c r="C38" s="6585" t="s">
        <v>2526</v>
      </c>
      <c r="D38" s="6586"/>
      <c r="E38" s="3529" t="s">
        <v>2777</v>
      </c>
      <c r="F38" s="3329" t="s">
        <v>2778</v>
      </c>
      <c r="G38" s="3323" t="s">
        <v>2779</v>
      </c>
      <c r="CH38" s="1020"/>
      <c r="CI38" s="1020"/>
      <c r="CJ38" s="1020"/>
      <c r="CK38" s="1020"/>
      <c r="CL38" s="1020"/>
      <c r="CM38" s="1020"/>
      <c r="CN38" s="1020"/>
      <c r="CO38" s="1020"/>
    </row>
    <row r="39" spans="1:93" ht="16.350000000000001" customHeight="1" x14ac:dyDescent="0.2">
      <c r="A39" s="2458">
        <v>25501800</v>
      </c>
      <c r="B39" s="5159"/>
      <c r="C39" s="6589" t="s">
        <v>2527</v>
      </c>
      <c r="D39" s="6590"/>
      <c r="E39" s="3532" t="s">
        <v>2777</v>
      </c>
      <c r="F39" s="3333" t="s">
        <v>2778</v>
      </c>
      <c r="G39" s="3316" t="s">
        <v>2779</v>
      </c>
      <c r="CH39" s="1020"/>
      <c r="CI39" s="1020"/>
      <c r="CJ39" s="1020"/>
      <c r="CK39" s="1020"/>
      <c r="CL39" s="1020"/>
      <c r="CM39" s="1020"/>
      <c r="CN39" s="1020"/>
      <c r="CO39" s="1020"/>
    </row>
    <row r="40" spans="1:93" ht="16.350000000000001" customHeight="1" x14ac:dyDescent="0.2">
      <c r="A40" s="2458">
        <v>25501900</v>
      </c>
      <c r="B40" s="5158" t="s">
        <v>2528</v>
      </c>
      <c r="C40" s="5158" t="s">
        <v>2529</v>
      </c>
      <c r="D40" s="2076" t="s">
        <v>2530</v>
      </c>
      <c r="E40" s="3526" t="s">
        <v>2777</v>
      </c>
      <c r="F40" s="3307" t="s">
        <v>2778</v>
      </c>
      <c r="G40" s="3308" t="s">
        <v>2779</v>
      </c>
      <c r="CH40" s="1020"/>
      <c r="CI40" s="1020"/>
      <c r="CJ40" s="1020"/>
      <c r="CK40" s="1020"/>
      <c r="CL40" s="1020"/>
      <c r="CM40" s="1020"/>
      <c r="CN40" s="1020"/>
      <c r="CO40" s="1020"/>
    </row>
    <row r="41" spans="1:93" ht="16.350000000000001" customHeight="1" x14ac:dyDescent="0.2">
      <c r="A41" s="2458">
        <v>25502000</v>
      </c>
      <c r="B41" s="5113"/>
      <c r="C41" s="5159"/>
      <c r="D41" s="1893" t="s">
        <v>2531</v>
      </c>
      <c r="E41" s="3532" t="s">
        <v>2777</v>
      </c>
      <c r="F41" s="2905" t="s">
        <v>2778</v>
      </c>
      <c r="G41" s="3316" t="s">
        <v>2779</v>
      </c>
      <c r="J41" s="94"/>
      <c r="K41" s="94"/>
      <c r="L41" s="94"/>
      <c r="CH41" s="1020"/>
      <c r="CI41" s="1020"/>
      <c r="CJ41" s="1020"/>
      <c r="CK41" s="1020"/>
      <c r="CL41" s="1020"/>
      <c r="CM41" s="1020"/>
      <c r="CN41" s="1020"/>
      <c r="CO41" s="1020"/>
    </row>
    <row r="42" spans="1:93" ht="16.350000000000001" customHeight="1" x14ac:dyDescent="0.2">
      <c r="A42" s="2458">
        <v>25502100</v>
      </c>
      <c r="B42" s="5113"/>
      <c r="C42" s="5158" t="s">
        <v>2532</v>
      </c>
      <c r="D42" s="2076" t="s">
        <v>2530</v>
      </c>
      <c r="E42" s="3526" t="s">
        <v>2777</v>
      </c>
      <c r="F42" s="3307" t="s">
        <v>2778</v>
      </c>
      <c r="G42" s="3308" t="s">
        <v>2779</v>
      </c>
      <c r="J42" s="94"/>
      <c r="K42" s="94"/>
      <c r="L42" s="94"/>
      <c r="CH42" s="1020"/>
      <c r="CI42" s="1020"/>
      <c r="CJ42" s="1020"/>
      <c r="CK42" s="1020"/>
      <c r="CL42" s="1020"/>
      <c r="CM42" s="1020"/>
      <c r="CN42" s="1020"/>
      <c r="CO42" s="1020"/>
    </row>
    <row r="43" spans="1:93" ht="16.350000000000001" customHeight="1" x14ac:dyDescent="0.2">
      <c r="A43" s="2458">
        <v>25502200</v>
      </c>
      <c r="B43" s="5159"/>
      <c r="C43" s="5159"/>
      <c r="D43" s="1898" t="s">
        <v>2531</v>
      </c>
      <c r="E43" s="3532" t="s">
        <v>2777</v>
      </c>
      <c r="F43" s="2905" t="s">
        <v>2778</v>
      </c>
      <c r="G43" s="3316" t="s">
        <v>2779</v>
      </c>
      <c r="J43" s="94"/>
      <c r="K43" s="94"/>
      <c r="L43" s="94"/>
      <c r="CH43" s="1020"/>
      <c r="CI43" s="1020"/>
      <c r="CJ43" s="1020"/>
      <c r="CK43" s="1020"/>
      <c r="CL43" s="1020"/>
      <c r="CM43" s="1020"/>
      <c r="CN43" s="1020"/>
      <c r="CO43" s="1020"/>
    </row>
    <row r="44" spans="1:93" ht="32.1" customHeight="1" x14ac:dyDescent="0.2">
      <c r="B44" s="6581" t="s">
        <v>2533</v>
      </c>
      <c r="C44" s="6581"/>
      <c r="D44" s="6581"/>
      <c r="E44" s="6581"/>
      <c r="F44" s="6581"/>
      <c r="G44" s="6581"/>
      <c r="H44" s="6581"/>
      <c r="I44" s="6581"/>
      <c r="J44" s="881"/>
      <c r="K44" s="881"/>
      <c r="L44" s="1037"/>
      <c r="M44" s="190"/>
      <c r="CH44" s="1020"/>
      <c r="CI44" s="1020"/>
      <c r="CJ44" s="1020"/>
      <c r="CK44" s="1020"/>
      <c r="CL44" s="1020"/>
      <c r="CM44" s="1020"/>
      <c r="CN44" s="1020"/>
      <c r="CO44" s="1020"/>
    </row>
    <row r="45" spans="1:93" ht="16.350000000000001" customHeight="1" x14ac:dyDescent="0.2">
      <c r="B45" s="5163" t="s">
        <v>2534</v>
      </c>
      <c r="C45" s="6587" t="s">
        <v>42</v>
      </c>
      <c r="D45" s="190"/>
      <c r="J45" s="94"/>
      <c r="K45" s="94"/>
      <c r="L45" s="94"/>
      <c r="CH45" s="1020"/>
      <c r="CI45" s="1020"/>
      <c r="CJ45" s="1020"/>
      <c r="CK45" s="1020"/>
      <c r="CL45" s="1020"/>
      <c r="CM45" s="1020"/>
      <c r="CN45" s="1020"/>
      <c r="CO45" s="1020"/>
    </row>
    <row r="46" spans="1:93" ht="16.350000000000001" customHeight="1" x14ac:dyDescent="0.2">
      <c r="B46" s="5164"/>
      <c r="C46" s="6588"/>
      <c r="D46" s="352"/>
      <c r="E46" s="190"/>
      <c r="J46" s="94"/>
      <c r="K46" s="94"/>
      <c r="L46" s="94"/>
      <c r="CH46" s="1020"/>
      <c r="CI46" s="1020"/>
      <c r="CJ46" s="1020"/>
      <c r="CK46" s="1020"/>
      <c r="CL46" s="1020"/>
      <c r="CM46" s="1020"/>
      <c r="CN46" s="1020"/>
      <c r="CO46" s="1020"/>
    </row>
    <row r="47" spans="1:93" ht="16.350000000000001" customHeight="1" x14ac:dyDescent="0.2">
      <c r="A47" s="3097">
        <v>25100700</v>
      </c>
      <c r="B47" s="3533" t="s">
        <v>2535</v>
      </c>
      <c r="C47" s="3534" t="s">
        <v>2777</v>
      </c>
      <c r="D47" s="1400"/>
      <c r="E47" s="190"/>
      <c r="J47" s="94"/>
      <c r="K47" s="94"/>
      <c r="L47" s="94"/>
      <c r="CH47" s="1020"/>
      <c r="CI47" s="1020"/>
      <c r="CJ47" s="1020"/>
      <c r="CK47" s="1020"/>
      <c r="CL47" s="1020"/>
      <c r="CM47" s="1020"/>
      <c r="CN47" s="1020"/>
      <c r="CO47" s="1020"/>
    </row>
    <row r="48" spans="1:93" ht="16.350000000000001" customHeight="1" x14ac:dyDescent="0.2">
      <c r="A48" s="3097">
        <v>25100800</v>
      </c>
      <c r="B48" s="3106" t="s">
        <v>2536</v>
      </c>
      <c r="C48" s="105" t="s">
        <v>2777</v>
      </c>
      <c r="D48" s="1400"/>
      <c r="E48" s="190"/>
      <c r="J48" s="94"/>
      <c r="K48" s="94"/>
      <c r="L48" s="94"/>
      <c r="CH48" s="1020"/>
      <c r="CI48" s="1020"/>
      <c r="CJ48" s="1020"/>
      <c r="CK48" s="1020"/>
      <c r="CL48" s="1020"/>
      <c r="CM48" s="1020"/>
      <c r="CN48" s="1020"/>
      <c r="CO48" s="1020"/>
    </row>
    <row r="49" spans="1:93" ht="16.350000000000001" customHeight="1" x14ac:dyDescent="0.2">
      <c r="A49" s="2527"/>
      <c r="B49" s="1908" t="s">
        <v>42</v>
      </c>
      <c r="C49" s="2204">
        <f>SUM(C47:C48)</f>
        <v>0</v>
      </c>
      <c r="D49" s="2205"/>
      <c r="E49" s="190"/>
      <c r="CH49" s="1020"/>
      <c r="CI49" s="1020"/>
      <c r="CJ49" s="1020"/>
      <c r="CK49" s="1020"/>
      <c r="CL49" s="1020"/>
      <c r="CM49" s="1020"/>
      <c r="CN49" s="1020"/>
      <c r="CO49" s="1020"/>
    </row>
    <row r="50" spans="1:93" ht="32.1" customHeight="1" x14ac:dyDescent="0.2">
      <c r="B50" s="177" t="s">
        <v>2537</v>
      </c>
      <c r="C50" s="177"/>
      <c r="D50" s="177"/>
      <c r="E50" s="190"/>
      <c r="CH50" s="1020"/>
      <c r="CI50" s="1020"/>
      <c r="CJ50" s="1020"/>
      <c r="CK50" s="1020"/>
      <c r="CL50" s="1020"/>
      <c r="CM50" s="1020"/>
      <c r="CN50" s="1020"/>
      <c r="CO50" s="1020"/>
    </row>
    <row r="51" spans="1:93" ht="16.350000000000001" customHeight="1" x14ac:dyDescent="0.2">
      <c r="B51" s="5158" t="s">
        <v>2538</v>
      </c>
      <c r="C51" s="6219" t="s">
        <v>2500</v>
      </c>
      <c r="D51" s="5158" t="s">
        <v>42</v>
      </c>
      <c r="E51" s="190"/>
      <c r="CH51" s="1020"/>
      <c r="CI51" s="1020"/>
      <c r="CJ51" s="1020"/>
      <c r="CK51" s="1020"/>
      <c r="CL51" s="1020"/>
      <c r="CM51" s="1020"/>
      <c r="CN51" s="1020"/>
      <c r="CO51" s="1020"/>
    </row>
    <row r="52" spans="1:93" ht="16.350000000000001" customHeight="1" x14ac:dyDescent="0.2">
      <c r="B52" s="5159"/>
      <c r="C52" s="5403"/>
      <c r="D52" s="5159"/>
      <c r="E52" s="190"/>
      <c r="CH52" s="1020"/>
      <c r="CI52" s="1020"/>
      <c r="CJ52" s="1020"/>
      <c r="CK52" s="1020"/>
      <c r="CL52" s="1020"/>
      <c r="CM52" s="1020"/>
      <c r="CN52" s="1020"/>
      <c r="CO52" s="1020"/>
    </row>
    <row r="53" spans="1:93" ht="16.350000000000001" customHeight="1" x14ac:dyDescent="0.2">
      <c r="A53" s="2458">
        <v>25400080</v>
      </c>
      <c r="B53" s="5158" t="s">
        <v>2539</v>
      </c>
      <c r="C53" s="1919" t="s">
        <v>2540</v>
      </c>
      <c r="D53" s="1604" t="s">
        <v>2777</v>
      </c>
      <c r="E53" s="190"/>
      <c r="CH53" s="1020"/>
      <c r="CI53" s="1020"/>
      <c r="CJ53" s="1020"/>
      <c r="CK53" s="1020"/>
      <c r="CL53" s="1020"/>
      <c r="CM53" s="1020"/>
      <c r="CN53" s="1020"/>
      <c r="CO53" s="1020"/>
    </row>
    <row r="54" spans="1:93" ht="16.350000000000001" customHeight="1" x14ac:dyDescent="0.2">
      <c r="A54" s="2458">
        <v>25400090</v>
      </c>
      <c r="B54" s="5113"/>
      <c r="C54" s="1251" t="s">
        <v>2541</v>
      </c>
      <c r="D54" s="164" t="s">
        <v>2777</v>
      </c>
      <c r="E54" s="190"/>
      <c r="CH54" s="1020"/>
      <c r="CI54" s="1020"/>
      <c r="CJ54" s="1020"/>
      <c r="CK54" s="1020"/>
      <c r="CL54" s="1020"/>
      <c r="CM54" s="1020"/>
      <c r="CN54" s="1020"/>
      <c r="CO54" s="1020"/>
    </row>
    <row r="55" spans="1:93" ht="16.350000000000001" customHeight="1" x14ac:dyDescent="0.2">
      <c r="A55" s="2458">
        <v>25400100</v>
      </c>
      <c r="B55" s="5159"/>
      <c r="C55" s="2206" t="s">
        <v>2542</v>
      </c>
      <c r="D55" s="105" t="s">
        <v>2777</v>
      </c>
      <c r="E55" s="190"/>
      <c r="CH55" s="1020"/>
      <c r="CI55" s="1020"/>
      <c r="CJ55" s="1020"/>
      <c r="CK55" s="1020"/>
      <c r="CL55" s="1020"/>
      <c r="CM55" s="1020"/>
      <c r="CN55" s="1020"/>
      <c r="CO55" s="1020"/>
    </row>
    <row r="56" spans="1:93" ht="16.350000000000001" customHeight="1" x14ac:dyDescent="0.2">
      <c r="A56" s="2458">
        <v>25400110</v>
      </c>
      <c r="B56" s="5158" t="s">
        <v>2543</v>
      </c>
      <c r="C56" s="1919" t="s">
        <v>2544</v>
      </c>
      <c r="D56" s="1604" t="s">
        <v>2777</v>
      </c>
      <c r="E56" s="190"/>
      <c r="CH56" s="1020"/>
      <c r="CI56" s="1020"/>
      <c r="CJ56" s="1020"/>
      <c r="CK56" s="1020"/>
      <c r="CL56" s="1020"/>
      <c r="CM56" s="1020"/>
      <c r="CN56" s="1020"/>
      <c r="CO56" s="1020"/>
    </row>
    <row r="57" spans="1:93" ht="22.35" customHeight="1" x14ac:dyDescent="0.2">
      <c r="A57" s="2458">
        <v>25400122</v>
      </c>
      <c r="B57" s="5113"/>
      <c r="C57" s="1251" t="s">
        <v>2545</v>
      </c>
      <c r="D57" s="164" t="s">
        <v>2777</v>
      </c>
      <c r="E57" s="190"/>
      <c r="CH57" s="1020"/>
      <c r="CI57" s="1020"/>
      <c r="CJ57" s="1020"/>
      <c r="CK57" s="1020"/>
      <c r="CL57" s="1020"/>
      <c r="CM57" s="1020"/>
      <c r="CN57" s="1020"/>
      <c r="CO57" s="1020"/>
    </row>
    <row r="58" spans="1:93" ht="24.6" customHeight="1" x14ac:dyDescent="0.2">
      <c r="A58" s="2458">
        <v>25400124</v>
      </c>
      <c r="B58" s="5113"/>
      <c r="C58" s="1894" t="s">
        <v>2546</v>
      </c>
      <c r="D58" s="164" t="s">
        <v>2777</v>
      </c>
      <c r="E58" s="190"/>
      <c r="CH58" s="1020"/>
      <c r="CI58" s="1020"/>
      <c r="CJ58" s="1020"/>
      <c r="CK58" s="1020"/>
      <c r="CL58" s="1020"/>
      <c r="CM58" s="1020"/>
      <c r="CN58" s="1020"/>
      <c r="CO58" s="1020"/>
    </row>
    <row r="59" spans="1:93" ht="16.350000000000001" customHeight="1" x14ac:dyDescent="0.2">
      <c r="A59" s="2458">
        <v>25400130</v>
      </c>
      <c r="B59" s="5159"/>
      <c r="C59" s="2206" t="s">
        <v>2547</v>
      </c>
      <c r="D59" s="105" t="s">
        <v>2777</v>
      </c>
      <c r="E59" s="190"/>
      <c r="CH59" s="1020"/>
      <c r="CI59" s="1020"/>
      <c r="CJ59" s="1020"/>
      <c r="CK59" s="1020"/>
      <c r="CL59" s="1020"/>
      <c r="CM59" s="1020"/>
      <c r="CN59" s="1020"/>
      <c r="CO59" s="1020"/>
    </row>
    <row r="60" spans="1:93" ht="38.450000000000003" customHeight="1" x14ac:dyDescent="0.2">
      <c r="A60" s="2458">
        <v>25400140</v>
      </c>
      <c r="B60" s="5158" t="s">
        <v>2548</v>
      </c>
      <c r="C60" s="2207" t="s">
        <v>2549</v>
      </c>
      <c r="D60" s="1604" t="s">
        <v>2777</v>
      </c>
      <c r="E60" s="190"/>
      <c r="CH60" s="1020"/>
      <c r="CI60" s="1020"/>
      <c r="CJ60" s="1020"/>
      <c r="CK60" s="1020"/>
      <c r="CL60" s="1020"/>
      <c r="CM60" s="1020"/>
      <c r="CN60" s="1020"/>
      <c r="CO60" s="1020"/>
    </row>
    <row r="61" spans="1:93" ht="24" customHeight="1" x14ac:dyDescent="0.2">
      <c r="A61" s="2458">
        <v>25400150</v>
      </c>
      <c r="B61" s="5159"/>
      <c r="C61" s="1904" t="s">
        <v>2550</v>
      </c>
      <c r="D61" s="105" t="s">
        <v>2777</v>
      </c>
      <c r="E61" s="190"/>
      <c r="CH61" s="1020"/>
      <c r="CI61" s="1020"/>
      <c r="CJ61" s="1020"/>
      <c r="CK61" s="1020"/>
      <c r="CL61" s="1020"/>
      <c r="CM61" s="1020"/>
      <c r="CN61" s="1020"/>
      <c r="CO61" s="1020"/>
    </row>
    <row r="62" spans="1:93" ht="16.350000000000001" customHeight="1" x14ac:dyDescent="0.2">
      <c r="A62" s="2458">
        <v>25400160</v>
      </c>
      <c r="B62" s="6591" t="s">
        <v>2551</v>
      </c>
      <c r="C62" s="6592"/>
      <c r="D62" s="1711" t="s">
        <v>2777</v>
      </c>
      <c r="E62" s="190"/>
      <c r="CH62" s="1020"/>
      <c r="CI62" s="1020"/>
      <c r="CJ62" s="1020"/>
      <c r="CK62" s="1020"/>
      <c r="CL62" s="1020"/>
      <c r="CM62" s="1020"/>
      <c r="CN62" s="1020"/>
      <c r="CO62" s="1020"/>
    </row>
    <row r="63" spans="1:93" ht="32.1" customHeight="1" x14ac:dyDescent="0.2">
      <c r="B63" s="6581" t="s">
        <v>2552</v>
      </c>
      <c r="C63" s="6581"/>
      <c r="D63" s="6581"/>
      <c r="E63" s="6581"/>
      <c r="F63" s="6581"/>
      <c r="G63" s="6581"/>
      <c r="H63" s="6581"/>
      <c r="I63" s="6581"/>
      <c r="J63" s="6581"/>
      <c r="K63" s="190"/>
      <c r="CH63" s="1020"/>
      <c r="CI63" s="1020"/>
      <c r="CJ63" s="1020"/>
      <c r="CK63" s="1020"/>
      <c r="CL63" s="1020"/>
      <c r="CM63" s="1020"/>
      <c r="CN63" s="1020"/>
      <c r="CO63" s="1020"/>
    </row>
    <row r="64" spans="1:93" ht="16.350000000000001" customHeight="1" x14ac:dyDescent="0.2">
      <c r="B64" s="6515" t="s">
        <v>2553</v>
      </c>
      <c r="C64" s="6515"/>
      <c r="D64" s="6593" t="s">
        <v>2554</v>
      </c>
      <c r="E64" s="6593" t="s">
        <v>2555</v>
      </c>
      <c r="F64" s="6594" t="s">
        <v>2543</v>
      </c>
      <c r="G64" s="6593"/>
      <c r="H64" s="6593"/>
      <c r="I64" s="6595" t="s">
        <v>2551</v>
      </c>
      <c r="J64" s="190"/>
      <c r="K64" s="190"/>
      <c r="CH64" s="1020"/>
      <c r="CI64" s="1020"/>
      <c r="CJ64" s="1020"/>
      <c r="CK64" s="1020"/>
      <c r="CL64" s="1020"/>
      <c r="CM64" s="1020"/>
      <c r="CN64" s="1020"/>
      <c r="CO64" s="1020"/>
    </row>
    <row r="65" spans="1:93" ht="16.350000000000001" customHeight="1" x14ac:dyDescent="0.2">
      <c r="B65" s="6515"/>
      <c r="C65" s="6515"/>
      <c r="D65" s="6593"/>
      <c r="E65" s="6593"/>
      <c r="F65" s="2208" t="s">
        <v>2556</v>
      </c>
      <c r="G65" s="2209" t="s">
        <v>2557</v>
      </c>
      <c r="H65" s="2210" t="s">
        <v>2558</v>
      </c>
      <c r="I65" s="6596"/>
      <c r="J65" s="190"/>
      <c r="K65" s="190"/>
      <c r="CH65" s="1020"/>
      <c r="CI65" s="1020"/>
      <c r="CJ65" s="1020"/>
      <c r="CK65" s="1020"/>
      <c r="CL65" s="1020"/>
      <c r="CM65" s="1020"/>
      <c r="CN65" s="1020"/>
      <c r="CO65" s="1020"/>
    </row>
    <row r="66" spans="1:93" ht="17.100000000000001" customHeight="1" x14ac:dyDescent="0.2">
      <c r="A66" s="2458">
        <v>25400170</v>
      </c>
      <c r="B66" s="6506" t="s">
        <v>2559</v>
      </c>
      <c r="C66" s="6506"/>
      <c r="D66" s="3535" t="s">
        <v>2777</v>
      </c>
      <c r="E66" s="3535" t="s">
        <v>2778</v>
      </c>
      <c r="F66" s="3536" t="s">
        <v>2779</v>
      </c>
      <c r="G66" s="3537" t="s">
        <v>2780</v>
      </c>
      <c r="H66" s="3538" t="s">
        <v>2781</v>
      </c>
      <c r="I66" s="3538" t="s">
        <v>2782</v>
      </c>
      <c r="J66" s="190"/>
      <c r="K66" s="190"/>
      <c r="CH66" s="1020"/>
      <c r="CI66" s="1020"/>
      <c r="CJ66" s="1020"/>
      <c r="CK66" s="1020"/>
      <c r="CL66" s="1020"/>
      <c r="CM66" s="1020"/>
      <c r="CN66" s="1020"/>
      <c r="CO66" s="1020"/>
    </row>
    <row r="67" spans="1:93" ht="17.100000000000001" customHeight="1" x14ac:dyDescent="0.2">
      <c r="A67" s="2458">
        <v>25400190</v>
      </c>
      <c r="B67" s="5127" t="s">
        <v>2560</v>
      </c>
      <c r="C67" s="5127"/>
      <c r="D67" s="3539" t="s">
        <v>2777</v>
      </c>
      <c r="E67" s="3539" t="s">
        <v>2778</v>
      </c>
      <c r="F67" s="3018" t="s">
        <v>2779</v>
      </c>
      <c r="G67" s="3540" t="s">
        <v>2780</v>
      </c>
      <c r="H67" s="3019" t="s">
        <v>2781</v>
      </c>
      <c r="I67" s="3019" t="s">
        <v>2782</v>
      </c>
      <c r="J67" s="190"/>
      <c r="K67" s="190"/>
      <c r="CH67" s="1020"/>
      <c r="CI67" s="1020"/>
      <c r="CJ67" s="1020"/>
      <c r="CK67" s="1020"/>
      <c r="CL67" s="1020"/>
      <c r="CM67" s="1020"/>
      <c r="CN67" s="1020"/>
      <c r="CO67" s="1020"/>
    </row>
    <row r="68" spans="1:93" ht="17.100000000000001" customHeight="1" x14ac:dyDescent="0.2">
      <c r="A68" s="2458">
        <v>25505000</v>
      </c>
      <c r="B68" s="6597" t="s">
        <v>318</v>
      </c>
      <c r="C68" s="6597"/>
      <c r="D68" s="3541" t="s">
        <v>2777</v>
      </c>
      <c r="E68" s="3541" t="s">
        <v>2778</v>
      </c>
      <c r="F68" s="2905" t="s">
        <v>2779</v>
      </c>
      <c r="G68" s="3435" t="s">
        <v>2780</v>
      </c>
      <c r="H68" s="3304" t="s">
        <v>2781</v>
      </c>
      <c r="I68" s="3304" t="s">
        <v>2782</v>
      </c>
      <c r="J68" s="190"/>
      <c r="K68" s="190"/>
      <c r="CH68" s="1020"/>
      <c r="CI68" s="1020"/>
      <c r="CJ68" s="1020"/>
      <c r="CK68" s="1020"/>
      <c r="CL68" s="1020"/>
      <c r="CM68" s="1020"/>
      <c r="CN68" s="1020"/>
      <c r="CO68" s="1020"/>
    </row>
    <row r="69" spans="1:93" ht="17.100000000000001" customHeight="1" x14ac:dyDescent="0.2">
      <c r="A69" s="2527"/>
      <c r="B69" s="6475" t="s">
        <v>42</v>
      </c>
      <c r="C69" s="6475"/>
      <c r="D69" s="1809">
        <f t="shared" ref="D69:I69" si="1">SUM(D66:D68)</f>
        <v>0</v>
      </c>
      <c r="E69" s="1809">
        <f t="shared" si="1"/>
        <v>0</v>
      </c>
      <c r="F69" s="1810">
        <f t="shared" si="1"/>
        <v>0</v>
      </c>
      <c r="G69" s="1856">
        <f t="shared" si="1"/>
        <v>0</v>
      </c>
      <c r="H69" s="2211">
        <f t="shared" si="1"/>
        <v>0</v>
      </c>
      <c r="I69" s="1808">
        <f t="shared" si="1"/>
        <v>0</v>
      </c>
      <c r="J69" s="219"/>
      <c r="K69" s="190"/>
      <c r="CH69" s="1020"/>
      <c r="CI69" s="1020"/>
      <c r="CJ69" s="1020"/>
      <c r="CK69" s="1020"/>
      <c r="CL69" s="1020"/>
      <c r="CM69" s="1020"/>
      <c r="CN69" s="1020"/>
      <c r="CO69" s="1020"/>
    </row>
    <row r="70" spans="1:93" ht="16.350000000000001" customHeight="1" x14ac:dyDescent="0.2">
      <c r="B70" s="504" t="s">
        <v>2561</v>
      </c>
      <c r="CH70" s="1020"/>
      <c r="CI70" s="1020"/>
      <c r="CJ70" s="1020"/>
      <c r="CK70" s="1020"/>
      <c r="CL70" s="1020"/>
      <c r="CM70" s="1020"/>
      <c r="CN70" s="1020"/>
      <c r="CO70" s="1020"/>
    </row>
    <row r="71" spans="1:93" ht="32.1" customHeight="1" x14ac:dyDescent="0.2">
      <c r="B71" s="6598" t="s">
        <v>2758</v>
      </c>
      <c r="C71" s="6598"/>
      <c r="D71" s="6598"/>
      <c r="E71" s="6598"/>
      <c r="F71" s="6598"/>
      <c r="G71" s="6598"/>
      <c r="H71" s="6598"/>
      <c r="I71" s="6598"/>
      <c r="J71" s="6598"/>
      <c r="K71" s="6598"/>
      <c r="L71" s="6598"/>
      <c r="M71" s="6598"/>
      <c r="CH71" s="1020"/>
      <c r="CI71" s="1020"/>
      <c r="CJ71" s="1020"/>
      <c r="CK71" s="1020"/>
      <c r="CL71" s="1020"/>
      <c r="CM71" s="1020"/>
      <c r="CN71" s="1020"/>
      <c r="CO71" s="1020"/>
    </row>
    <row r="72" spans="1:93" ht="16.350000000000001" customHeight="1" x14ac:dyDescent="0.2">
      <c r="B72" s="6515" t="s">
        <v>2553</v>
      </c>
      <c r="C72" s="6515"/>
      <c r="D72" s="6593" t="s">
        <v>2695</v>
      </c>
      <c r="E72" s="6593" t="s">
        <v>2555</v>
      </c>
      <c r="F72" s="6599" t="s">
        <v>2543</v>
      </c>
      <c r="G72" s="6600"/>
      <c r="H72" s="6601"/>
      <c r="I72" s="6596" t="s">
        <v>2551</v>
      </c>
      <c r="J72" s="190"/>
      <c r="K72" s="190"/>
      <c r="L72" s="138"/>
      <c r="M72" s="81"/>
      <c r="CH72" s="1020"/>
      <c r="CI72" s="1020"/>
      <c r="CJ72" s="1020"/>
      <c r="CK72" s="1020"/>
      <c r="CL72" s="1020"/>
      <c r="CM72" s="1020"/>
      <c r="CN72" s="1020"/>
      <c r="CO72" s="1020"/>
    </row>
    <row r="73" spans="1:93" ht="16.350000000000001" customHeight="1" x14ac:dyDescent="0.2">
      <c r="B73" s="6515"/>
      <c r="C73" s="6515"/>
      <c r="D73" s="6593"/>
      <c r="E73" s="6593"/>
      <c r="F73" s="2212" t="s">
        <v>2556</v>
      </c>
      <c r="G73" s="2209" t="s">
        <v>2557</v>
      </c>
      <c r="H73" s="2200" t="s">
        <v>2558</v>
      </c>
      <c r="I73" s="6596"/>
      <c r="J73" s="190"/>
      <c r="K73" s="190"/>
      <c r="L73" s="138"/>
      <c r="M73" s="81"/>
      <c r="CH73" s="1020"/>
      <c r="CI73" s="1020"/>
      <c r="CJ73" s="1020"/>
      <c r="CK73" s="1020"/>
      <c r="CL73" s="1020"/>
      <c r="CM73" s="1020"/>
      <c r="CN73" s="1020"/>
      <c r="CO73" s="1020"/>
    </row>
    <row r="74" spans="1:93" ht="16.350000000000001" customHeight="1" x14ac:dyDescent="0.2">
      <c r="A74" s="2458" t="s">
        <v>3694</v>
      </c>
      <c r="B74" s="6506" t="s">
        <v>2560</v>
      </c>
      <c r="C74" s="6506"/>
      <c r="D74" s="3535" t="s">
        <v>2777</v>
      </c>
      <c r="E74" s="3535" t="s">
        <v>2778</v>
      </c>
      <c r="F74" s="3542" t="s">
        <v>2779</v>
      </c>
      <c r="G74" s="3537" t="s">
        <v>2780</v>
      </c>
      <c r="H74" s="3543" t="s">
        <v>2781</v>
      </c>
      <c r="I74" s="3538" t="s">
        <v>2782</v>
      </c>
      <c r="J74" s="190"/>
      <c r="K74" s="190"/>
      <c r="L74" s="138"/>
      <c r="M74" s="190"/>
      <c r="CH74" s="1020"/>
      <c r="CI74" s="1020"/>
      <c r="CJ74" s="1020"/>
      <c r="CK74" s="1020"/>
      <c r="CL74" s="1020"/>
      <c r="CM74" s="1020"/>
      <c r="CN74" s="1020"/>
      <c r="CO74" s="1020"/>
    </row>
    <row r="75" spans="1:93" ht="16.350000000000001" customHeight="1" x14ac:dyDescent="0.2">
      <c r="A75" s="2458">
        <v>25502300</v>
      </c>
      <c r="B75" s="5127" t="s">
        <v>2562</v>
      </c>
      <c r="C75" s="5127"/>
      <c r="D75" s="3395" t="s">
        <v>2777</v>
      </c>
      <c r="E75" s="3395" t="s">
        <v>2778</v>
      </c>
      <c r="F75" s="3329" t="s">
        <v>2779</v>
      </c>
      <c r="G75" s="3431" t="s">
        <v>2780</v>
      </c>
      <c r="H75" s="3323" t="s">
        <v>2781</v>
      </c>
      <c r="I75" s="2902" t="s">
        <v>2782</v>
      </c>
      <c r="J75" s="190"/>
      <c r="K75" s="190"/>
      <c r="L75" s="138"/>
      <c r="M75" s="190"/>
      <c r="CH75" s="1020"/>
      <c r="CI75" s="1020"/>
      <c r="CJ75" s="1020"/>
      <c r="CK75" s="1020"/>
      <c r="CL75" s="1020"/>
      <c r="CM75" s="1020"/>
      <c r="CN75" s="1020"/>
      <c r="CO75" s="1020"/>
    </row>
    <row r="76" spans="1:93" ht="16.350000000000001" customHeight="1" x14ac:dyDescent="0.2">
      <c r="A76" s="2458">
        <v>25502400</v>
      </c>
      <c r="B76" s="6606" t="s">
        <v>2563</v>
      </c>
      <c r="C76" s="6606"/>
      <c r="D76" s="3395" t="s">
        <v>2777</v>
      </c>
      <c r="E76" s="3395" t="s">
        <v>2778</v>
      </c>
      <c r="F76" s="3329" t="s">
        <v>2779</v>
      </c>
      <c r="G76" s="3431" t="s">
        <v>2780</v>
      </c>
      <c r="H76" s="3323" t="s">
        <v>2781</v>
      </c>
      <c r="I76" s="2902" t="s">
        <v>2782</v>
      </c>
      <c r="J76" s="190"/>
      <c r="K76" s="190"/>
      <c r="L76" s="138"/>
      <c r="M76" s="190"/>
      <c r="CH76" s="1020"/>
      <c r="CI76" s="1020"/>
      <c r="CJ76" s="1020"/>
      <c r="CK76" s="1020"/>
      <c r="CL76" s="1020"/>
      <c r="CM76" s="1020"/>
      <c r="CN76" s="1020"/>
      <c r="CO76" s="1020"/>
    </row>
    <row r="77" spans="1:93" ht="16.350000000000001" customHeight="1" x14ac:dyDescent="0.2">
      <c r="A77" s="2458">
        <v>25502500</v>
      </c>
      <c r="B77" s="5127" t="s">
        <v>2564</v>
      </c>
      <c r="C77" s="5127"/>
      <c r="D77" s="3395" t="s">
        <v>2777</v>
      </c>
      <c r="E77" s="3395" t="s">
        <v>2778</v>
      </c>
      <c r="F77" s="3329" t="s">
        <v>2779</v>
      </c>
      <c r="G77" s="3431" t="s">
        <v>2780</v>
      </c>
      <c r="H77" s="3323" t="s">
        <v>2781</v>
      </c>
      <c r="I77" s="2902" t="s">
        <v>2782</v>
      </c>
      <c r="J77" s="190"/>
      <c r="K77" s="190"/>
      <c r="L77" s="138"/>
      <c r="M77" s="190"/>
      <c r="CH77" s="1020"/>
      <c r="CI77" s="1020"/>
      <c r="CJ77" s="1020"/>
      <c r="CK77" s="1020"/>
      <c r="CL77" s="1020"/>
      <c r="CM77" s="1020"/>
      <c r="CN77" s="1020"/>
      <c r="CO77" s="1020"/>
    </row>
    <row r="78" spans="1:93" ht="16.350000000000001" customHeight="1" x14ac:dyDescent="0.2">
      <c r="A78" s="2458">
        <v>25502600</v>
      </c>
      <c r="B78" s="5983" t="s">
        <v>318</v>
      </c>
      <c r="C78" s="5983"/>
      <c r="D78" s="3541" t="s">
        <v>2777</v>
      </c>
      <c r="E78" s="3421" t="s">
        <v>2778</v>
      </c>
      <c r="F78" s="3333" t="s">
        <v>2779</v>
      </c>
      <c r="G78" s="3435" t="s">
        <v>2780</v>
      </c>
      <c r="H78" s="3316" t="s">
        <v>2781</v>
      </c>
      <c r="I78" s="3304" t="s">
        <v>2782</v>
      </c>
      <c r="J78" s="190"/>
      <c r="K78" s="190"/>
      <c r="L78" s="138"/>
      <c r="M78" s="190"/>
      <c r="CH78" s="1020"/>
      <c r="CI78" s="1020"/>
      <c r="CJ78" s="1020"/>
      <c r="CK78" s="1020"/>
      <c r="CL78" s="1020"/>
      <c r="CM78" s="1020"/>
      <c r="CN78" s="1020"/>
      <c r="CO78" s="1020"/>
    </row>
    <row r="79" spans="1:93" ht="16.350000000000001" customHeight="1" x14ac:dyDescent="0.2">
      <c r="A79" s="2527"/>
      <c r="B79" s="6475" t="s">
        <v>42</v>
      </c>
      <c r="C79" s="6475"/>
      <c r="D79" s="1809">
        <f t="shared" ref="D79:I79" si="2">SUM(D74:D78)</f>
        <v>0</v>
      </c>
      <c r="E79" s="1808">
        <f t="shared" si="2"/>
        <v>0</v>
      </c>
      <c r="F79" s="1810">
        <f t="shared" si="2"/>
        <v>0</v>
      </c>
      <c r="G79" s="1857">
        <f t="shared" si="2"/>
        <v>0</v>
      </c>
      <c r="H79" s="1807">
        <f t="shared" si="2"/>
        <v>0</v>
      </c>
      <c r="I79" s="1807">
        <f t="shared" si="2"/>
        <v>0</v>
      </c>
      <c r="J79" s="219"/>
      <c r="K79" s="190"/>
      <c r="L79" s="138"/>
      <c r="M79" s="190"/>
      <c r="CH79" s="1020"/>
      <c r="CI79" s="1020"/>
      <c r="CJ79" s="1020"/>
      <c r="CK79" s="1020"/>
      <c r="CL79" s="1020"/>
      <c r="CM79" s="1020"/>
      <c r="CN79" s="1020"/>
      <c r="CO79" s="1020"/>
    </row>
    <row r="80" spans="1:93" ht="16.350000000000001" customHeight="1" x14ac:dyDescent="0.2">
      <c r="B80" s="504" t="s">
        <v>2561</v>
      </c>
      <c r="C80" s="325"/>
      <c r="D80" s="2213"/>
      <c r="E80" s="2213"/>
      <c r="F80" s="2213"/>
      <c r="G80" s="2213"/>
      <c r="H80" s="2213"/>
      <c r="I80" s="2213"/>
      <c r="J80" s="190"/>
      <c r="K80" s="190"/>
      <c r="L80" s="138"/>
      <c r="M80" s="190"/>
      <c r="CH80" s="1020"/>
      <c r="CI80" s="1020"/>
      <c r="CJ80" s="1020"/>
      <c r="CK80" s="1020"/>
      <c r="CL80" s="1020"/>
      <c r="CM80" s="1020"/>
      <c r="CN80" s="1020"/>
      <c r="CO80" s="1020"/>
    </row>
    <row r="81" spans="1:93" ht="32.1" customHeight="1" x14ac:dyDescent="0.2">
      <c r="B81" s="6623" t="s">
        <v>2565</v>
      </c>
      <c r="C81" s="6623"/>
      <c r="D81" s="6623"/>
      <c r="E81" s="6623"/>
      <c r="F81" s="6623"/>
      <c r="G81" s="6623"/>
      <c r="H81" s="6623"/>
      <c r="I81" s="6623"/>
      <c r="J81" s="190"/>
      <c r="K81" s="190"/>
      <c r="L81" s="138"/>
      <c r="M81" s="190"/>
      <c r="CH81" s="1020"/>
      <c r="CI81" s="1020"/>
      <c r="CJ81" s="1020"/>
      <c r="CK81" s="1020"/>
      <c r="CL81" s="1020"/>
      <c r="CM81" s="1020"/>
      <c r="CN81" s="1020"/>
      <c r="CO81" s="1020"/>
    </row>
    <row r="82" spans="1:93" ht="62.1" customHeight="1" x14ac:dyDescent="0.2">
      <c r="B82" s="6501" t="s">
        <v>106</v>
      </c>
      <c r="C82" s="6503"/>
      <c r="D82" s="2214" t="s">
        <v>42</v>
      </c>
      <c r="E82" s="2208" t="s">
        <v>2566</v>
      </c>
      <c r="F82" s="2209" t="s">
        <v>2567</v>
      </c>
      <c r="G82" s="2209" t="s">
        <v>2760</v>
      </c>
      <c r="H82" s="2209" t="s">
        <v>2568</v>
      </c>
      <c r="I82" s="2257" t="s">
        <v>2759</v>
      </c>
      <c r="J82" s="190"/>
      <c r="K82" s="190"/>
      <c r="L82" s="138"/>
      <c r="M82" s="190"/>
      <c r="CH82" s="1020"/>
      <c r="CI82" s="1020"/>
      <c r="CJ82" s="1020"/>
      <c r="CK82" s="1020"/>
      <c r="CL82" s="1020"/>
      <c r="CM82" s="1020"/>
      <c r="CN82" s="1020"/>
      <c r="CO82" s="1020"/>
    </row>
    <row r="83" spans="1:93" ht="16.350000000000001" customHeight="1" x14ac:dyDescent="0.2">
      <c r="A83" s="2458">
        <v>25502700</v>
      </c>
      <c r="B83" s="6538" t="s">
        <v>2695</v>
      </c>
      <c r="C83" s="6540"/>
      <c r="D83" s="3544" t="s">
        <v>2777</v>
      </c>
      <c r="E83" s="3545" t="s">
        <v>2778</v>
      </c>
      <c r="F83" s="3546" t="s">
        <v>2779</v>
      </c>
      <c r="G83" s="3546" t="s">
        <v>2780</v>
      </c>
      <c r="H83" s="3546" t="s">
        <v>2781</v>
      </c>
      <c r="I83" s="3547" t="s">
        <v>2782</v>
      </c>
      <c r="J83" s="190"/>
      <c r="K83" s="190"/>
      <c r="L83" s="138"/>
      <c r="M83" s="190"/>
      <c r="CH83" s="1020"/>
      <c r="CI83" s="1020"/>
      <c r="CJ83" s="1020"/>
      <c r="CK83" s="1020"/>
      <c r="CL83" s="1020"/>
      <c r="CM83" s="1020"/>
      <c r="CN83" s="1020"/>
      <c r="CO83" s="1020"/>
    </row>
    <row r="84" spans="1:93" ht="16.350000000000001" customHeight="1" x14ac:dyDescent="0.2">
      <c r="A84" s="2458">
        <v>25502800</v>
      </c>
      <c r="B84" s="5158" t="s">
        <v>2543</v>
      </c>
      <c r="C84" s="2215" t="s">
        <v>2544</v>
      </c>
      <c r="D84" s="3535" t="s">
        <v>2777</v>
      </c>
      <c r="E84" s="3548" t="s">
        <v>2778</v>
      </c>
      <c r="F84" s="3549" t="s">
        <v>2779</v>
      </c>
      <c r="G84" s="3549" t="s">
        <v>2780</v>
      </c>
      <c r="H84" s="3549" t="s">
        <v>2781</v>
      </c>
      <c r="I84" s="3550" t="s">
        <v>2782</v>
      </c>
      <c r="J84" s="190"/>
      <c r="K84" s="190"/>
      <c r="L84" s="138"/>
      <c r="M84" s="190"/>
      <c r="CH84" s="1020"/>
      <c r="CI84" s="1020"/>
      <c r="CJ84" s="1020"/>
      <c r="CK84" s="1020"/>
      <c r="CL84" s="1020"/>
      <c r="CM84" s="1020"/>
      <c r="CN84" s="1020"/>
      <c r="CO84" s="1020"/>
    </row>
    <row r="85" spans="1:93" ht="16.350000000000001" customHeight="1" x14ac:dyDescent="0.2">
      <c r="A85" s="2458">
        <v>25502900</v>
      </c>
      <c r="B85" s="5113"/>
      <c r="C85" s="1915" t="s">
        <v>2569</v>
      </c>
      <c r="D85" s="3539" t="s">
        <v>2777</v>
      </c>
      <c r="E85" s="3018" t="s">
        <v>2778</v>
      </c>
      <c r="F85" s="3540" t="s">
        <v>2779</v>
      </c>
      <c r="G85" s="3540" t="s">
        <v>2780</v>
      </c>
      <c r="H85" s="3540" t="s">
        <v>2781</v>
      </c>
      <c r="I85" s="3019" t="s">
        <v>2782</v>
      </c>
      <c r="J85" s="190"/>
      <c r="K85" s="190"/>
      <c r="L85" s="138"/>
      <c r="M85" s="190"/>
      <c r="CH85" s="1020"/>
      <c r="CI85" s="1020"/>
      <c r="CJ85" s="1020"/>
      <c r="CK85" s="1020"/>
      <c r="CL85" s="1020"/>
      <c r="CM85" s="1020"/>
      <c r="CN85" s="1020"/>
      <c r="CO85" s="1020"/>
    </row>
    <row r="86" spans="1:93" ht="16.350000000000001" customHeight="1" x14ac:dyDescent="0.2">
      <c r="A86" s="2458">
        <v>25503000</v>
      </c>
      <c r="B86" s="5159"/>
      <c r="C86" s="1916" t="s">
        <v>2547</v>
      </c>
      <c r="D86" s="3551" t="s">
        <v>2777</v>
      </c>
      <c r="E86" s="3020" t="s">
        <v>2778</v>
      </c>
      <c r="F86" s="3552" t="s">
        <v>2779</v>
      </c>
      <c r="G86" s="3552" t="s">
        <v>2780</v>
      </c>
      <c r="H86" s="3552" t="s">
        <v>2781</v>
      </c>
      <c r="I86" s="3021" t="s">
        <v>2782</v>
      </c>
      <c r="J86" s="190"/>
      <c r="K86" s="190"/>
      <c r="L86" s="138"/>
      <c r="M86" s="190"/>
      <c r="CH86" s="1020"/>
      <c r="CI86" s="1020"/>
      <c r="CJ86" s="1020"/>
      <c r="CK86" s="1020"/>
      <c r="CL86" s="1020"/>
      <c r="CM86" s="1020"/>
      <c r="CN86" s="1020"/>
      <c r="CO86" s="1020"/>
    </row>
    <row r="87" spans="1:93" ht="16.350000000000001" customHeight="1" x14ac:dyDescent="0.2">
      <c r="A87" s="2458">
        <v>25503100</v>
      </c>
      <c r="B87" s="6602" t="s">
        <v>2555</v>
      </c>
      <c r="C87" s="6603"/>
      <c r="D87" s="3535" t="s">
        <v>2777</v>
      </c>
      <c r="E87" s="3548" t="s">
        <v>2778</v>
      </c>
      <c r="F87" s="3549" t="s">
        <v>2779</v>
      </c>
      <c r="G87" s="3549" t="s">
        <v>2780</v>
      </c>
      <c r="H87" s="3549" t="s">
        <v>2781</v>
      </c>
      <c r="I87" s="3550" t="s">
        <v>2782</v>
      </c>
      <c r="J87" s="190"/>
      <c r="K87" s="190"/>
      <c r="L87" s="138"/>
      <c r="M87" s="190"/>
      <c r="CH87" s="1020"/>
      <c r="CI87" s="1020"/>
      <c r="CJ87" s="1020"/>
      <c r="CK87" s="1020"/>
      <c r="CL87" s="1020"/>
      <c r="CM87" s="1020"/>
      <c r="CN87" s="1020"/>
      <c r="CO87" s="1020"/>
    </row>
    <row r="88" spans="1:93" ht="16.350000000000001" customHeight="1" x14ac:dyDescent="0.2">
      <c r="A88" s="2458">
        <v>25503200</v>
      </c>
      <c r="B88" s="6604" t="s">
        <v>2551</v>
      </c>
      <c r="C88" s="6605"/>
      <c r="D88" s="3553" t="s">
        <v>2777</v>
      </c>
      <c r="E88" s="2905" t="s">
        <v>2778</v>
      </c>
      <c r="F88" s="3435" t="s">
        <v>2779</v>
      </c>
      <c r="G88" s="3435" t="s">
        <v>2780</v>
      </c>
      <c r="H88" s="3435" t="s">
        <v>2781</v>
      </c>
      <c r="I88" s="2906" t="s">
        <v>2782</v>
      </c>
      <c r="J88" s="190"/>
      <c r="K88" s="190"/>
      <c r="L88" s="138"/>
      <c r="M88" s="190"/>
      <c r="CH88" s="1020"/>
      <c r="CI88" s="1020"/>
      <c r="CJ88" s="1020"/>
      <c r="CK88" s="1020"/>
      <c r="CL88" s="1020"/>
      <c r="CM88" s="1020"/>
      <c r="CN88" s="1020"/>
      <c r="CO88" s="1020"/>
    </row>
    <row r="89" spans="1:93" ht="16.350000000000001" customHeight="1" x14ac:dyDescent="0.2">
      <c r="B89" s="504" t="s">
        <v>2561</v>
      </c>
      <c r="C89" s="331"/>
      <c r="D89" s="2216"/>
      <c r="E89" s="81"/>
      <c r="F89" s="81"/>
      <c r="G89" s="81"/>
      <c r="H89" s="81"/>
      <c r="I89" s="81"/>
      <c r="J89" s="190"/>
      <c r="K89" s="190"/>
      <c r="L89" s="138"/>
      <c r="M89" s="190"/>
      <c r="CH89" s="1020"/>
      <c r="CI89" s="1020"/>
      <c r="CJ89" s="1020"/>
      <c r="CK89" s="1020"/>
      <c r="CL89" s="1020"/>
      <c r="CM89" s="1020"/>
      <c r="CN89" s="1020"/>
      <c r="CO89" s="1020"/>
    </row>
    <row r="90" spans="1:93" ht="32.1" customHeight="1" x14ac:dyDescent="0.2">
      <c r="B90" s="6581" t="s">
        <v>2570</v>
      </c>
      <c r="C90" s="6581"/>
      <c r="D90" s="6581"/>
      <c r="E90" s="6581"/>
      <c r="F90" s="6581"/>
      <c r="G90" s="6581"/>
      <c r="H90" s="6581"/>
      <c r="I90" s="6581"/>
      <c r="J90" s="6581"/>
      <c r="K90" s="190"/>
      <c r="L90" s="138"/>
      <c r="M90" s="190"/>
      <c r="CH90" s="1020"/>
      <c r="CI90" s="1020"/>
      <c r="CJ90" s="1020"/>
      <c r="CK90" s="1020"/>
      <c r="CL90" s="1020"/>
      <c r="CM90" s="1020"/>
      <c r="CN90" s="1020"/>
      <c r="CO90" s="1020"/>
    </row>
    <row r="91" spans="1:93" ht="16.350000000000001" customHeight="1" x14ac:dyDescent="0.2">
      <c r="B91" s="6618" t="s">
        <v>2553</v>
      </c>
      <c r="C91" s="6619"/>
      <c r="D91" s="6621" t="s">
        <v>42</v>
      </c>
      <c r="E91" s="190"/>
      <c r="F91" s="243"/>
      <c r="G91" s="243"/>
      <c r="H91" s="243"/>
      <c r="I91" s="243"/>
      <c r="J91" s="243"/>
      <c r="K91" s="190"/>
      <c r="L91" s="138"/>
      <c r="M91" s="190"/>
      <c r="CH91" s="1020"/>
      <c r="CI91" s="1020"/>
      <c r="CJ91" s="1020"/>
      <c r="CK91" s="1020"/>
      <c r="CL91" s="1020"/>
      <c r="CM91" s="1020"/>
      <c r="CN91" s="1020"/>
      <c r="CO91" s="1020"/>
    </row>
    <row r="92" spans="1:93" ht="16.350000000000001" customHeight="1" x14ac:dyDescent="0.2">
      <c r="B92" s="5825"/>
      <c r="C92" s="6620"/>
      <c r="D92" s="6622"/>
      <c r="E92" s="190"/>
      <c r="F92" s="243"/>
      <c r="G92" s="243"/>
      <c r="H92" s="243"/>
      <c r="I92" s="243"/>
      <c r="J92" s="243"/>
      <c r="K92" s="190"/>
      <c r="L92" s="138"/>
      <c r="M92" s="190"/>
      <c r="CH92" s="1020"/>
      <c r="CI92" s="1020"/>
      <c r="CJ92" s="1020"/>
      <c r="CK92" s="1020"/>
      <c r="CL92" s="1020"/>
      <c r="CM92" s="1020"/>
      <c r="CN92" s="1020"/>
      <c r="CO92" s="1020"/>
    </row>
    <row r="93" spans="1:93" ht="16.350000000000001" customHeight="1" x14ac:dyDescent="0.2">
      <c r="A93" s="2458">
        <v>25503300</v>
      </c>
      <c r="B93" s="6538" t="s">
        <v>2695</v>
      </c>
      <c r="C93" s="6540"/>
      <c r="D93" s="3544" t="s">
        <v>2777</v>
      </c>
      <c r="E93" s="190"/>
      <c r="F93" s="243"/>
      <c r="G93" s="243"/>
      <c r="H93" s="243"/>
      <c r="I93" s="243"/>
      <c r="J93" s="243"/>
      <c r="K93" s="2197"/>
      <c r="L93" s="190"/>
      <c r="CH93" s="1020"/>
      <c r="CI93" s="1020"/>
      <c r="CJ93" s="1020"/>
      <c r="CK93" s="1020"/>
      <c r="CL93" s="1020"/>
      <c r="CM93" s="1020"/>
      <c r="CN93" s="1020"/>
      <c r="CO93" s="1020"/>
    </row>
    <row r="94" spans="1:93" ht="16.350000000000001" customHeight="1" x14ac:dyDescent="0.2">
      <c r="A94" s="2458">
        <v>25503400</v>
      </c>
      <c r="B94" s="6607" t="s">
        <v>2543</v>
      </c>
      <c r="C94" s="2217" t="s">
        <v>2544</v>
      </c>
      <c r="D94" s="3554" t="s">
        <v>2777</v>
      </c>
      <c r="E94" s="190"/>
      <c r="F94" s="243"/>
      <c r="G94" s="243"/>
      <c r="H94" s="243"/>
      <c r="I94" s="243"/>
      <c r="J94" s="243"/>
      <c r="K94" s="219"/>
      <c r="L94" s="2197"/>
      <c r="M94" s="190"/>
      <c r="CH94" s="1020"/>
      <c r="CI94" s="1020"/>
      <c r="CJ94" s="1020"/>
      <c r="CK94" s="1020"/>
      <c r="CL94" s="1020"/>
      <c r="CM94" s="1020"/>
      <c r="CN94" s="1020"/>
      <c r="CO94" s="1020"/>
    </row>
    <row r="95" spans="1:93" ht="16.350000000000001" customHeight="1" x14ac:dyDescent="0.2">
      <c r="A95" s="2458">
        <v>25503500</v>
      </c>
      <c r="B95" s="6607"/>
      <c r="C95" s="2218" t="s">
        <v>2569</v>
      </c>
      <c r="D95" s="3539" t="s">
        <v>2777</v>
      </c>
      <c r="E95" s="190"/>
      <c r="F95" s="243"/>
      <c r="CH95" s="1020"/>
      <c r="CI95" s="1020"/>
      <c r="CJ95" s="1020"/>
      <c r="CK95" s="1020"/>
      <c r="CL95" s="1020"/>
      <c r="CM95" s="1020"/>
      <c r="CN95" s="1020"/>
      <c r="CO95" s="1020"/>
    </row>
    <row r="96" spans="1:93" ht="16.350000000000001" customHeight="1" x14ac:dyDescent="0.2">
      <c r="A96" s="2458">
        <v>25503600</v>
      </c>
      <c r="B96" s="5164"/>
      <c r="C96" s="2219" t="s">
        <v>2547</v>
      </c>
      <c r="D96" s="3551" t="s">
        <v>2777</v>
      </c>
      <c r="E96" s="190"/>
      <c r="F96" s="243"/>
      <c r="CH96" s="1020"/>
      <c r="CI96" s="1020"/>
      <c r="CJ96" s="1020"/>
      <c r="CK96" s="1020"/>
      <c r="CL96" s="1020"/>
      <c r="CM96" s="1020"/>
      <c r="CN96" s="1020"/>
      <c r="CO96" s="1020"/>
    </row>
    <row r="97" spans="1:93" ht="16.350000000000001" customHeight="1" x14ac:dyDescent="0.2">
      <c r="A97" s="2458">
        <v>25503700</v>
      </c>
      <c r="B97" s="6602" t="s">
        <v>2555</v>
      </c>
      <c r="C97" s="6603"/>
      <c r="D97" s="3554" t="s">
        <v>2777</v>
      </c>
      <c r="E97" s="190"/>
      <c r="F97" s="243"/>
      <c r="CH97" s="1020"/>
      <c r="CI97" s="1020"/>
      <c r="CJ97" s="1020"/>
      <c r="CK97" s="1020"/>
      <c r="CL97" s="1020"/>
      <c r="CM97" s="1020"/>
      <c r="CN97" s="1020"/>
      <c r="CO97" s="1020"/>
    </row>
    <row r="98" spans="1:93" ht="16.350000000000001" customHeight="1" x14ac:dyDescent="0.2">
      <c r="A98" s="2458">
        <v>25503800</v>
      </c>
      <c r="B98" s="6604" t="s">
        <v>2551</v>
      </c>
      <c r="C98" s="6605"/>
      <c r="D98" s="3551" t="s">
        <v>2777</v>
      </c>
      <c r="E98" s="190"/>
      <c r="F98" s="243"/>
      <c r="CH98" s="1020"/>
      <c r="CI98" s="1020"/>
      <c r="CJ98" s="1020"/>
      <c r="CK98" s="1020"/>
      <c r="CL98" s="1020"/>
      <c r="CM98" s="1020"/>
      <c r="CN98" s="1020"/>
      <c r="CO98" s="1020"/>
    </row>
    <row r="99" spans="1:93" ht="16.350000000000001" customHeight="1" x14ac:dyDescent="0.2">
      <c r="B99" s="504" t="s">
        <v>2561</v>
      </c>
      <c r="C99" s="331"/>
      <c r="D99" s="2216"/>
      <c r="E99" s="190"/>
      <c r="F99" s="243"/>
      <c r="CH99" s="1020"/>
      <c r="CI99" s="1020"/>
      <c r="CJ99" s="1020"/>
      <c r="CK99" s="1020"/>
      <c r="CL99" s="1020"/>
      <c r="CM99" s="1020"/>
      <c r="CN99" s="1020"/>
      <c r="CO99" s="1020"/>
    </row>
    <row r="100" spans="1:93" ht="32.1" customHeight="1" x14ac:dyDescent="0.2">
      <c r="B100" s="6581" t="s">
        <v>2697</v>
      </c>
      <c r="C100" s="6581"/>
      <c r="D100" s="6581"/>
      <c r="E100" s="6581"/>
      <c r="F100" s="6581"/>
      <c r="CH100" s="1020"/>
      <c r="CI100" s="1020"/>
      <c r="CJ100" s="1020"/>
      <c r="CK100" s="1020"/>
      <c r="CL100" s="1020"/>
      <c r="CM100" s="1020"/>
      <c r="CN100" s="1020"/>
      <c r="CO100" s="1020"/>
    </row>
    <row r="101" spans="1:93" ht="21" x14ac:dyDescent="0.2">
      <c r="B101" s="2220" t="s">
        <v>2571</v>
      </c>
      <c r="C101" s="2221" t="s">
        <v>2572</v>
      </c>
      <c r="D101" s="2222"/>
      <c r="E101" s="340"/>
      <c r="CH101" s="1020"/>
      <c r="CI101" s="1020"/>
      <c r="CJ101" s="1020"/>
      <c r="CK101" s="1020"/>
      <c r="CL101" s="1020"/>
      <c r="CM101" s="1020"/>
      <c r="CN101" s="1020"/>
      <c r="CO101" s="1020"/>
    </row>
    <row r="102" spans="1:93" x14ac:dyDescent="0.2">
      <c r="A102" s="2458">
        <v>25503900</v>
      </c>
      <c r="B102" s="1915" t="s">
        <v>2573</v>
      </c>
      <c r="C102" s="3535" t="s">
        <v>2777</v>
      </c>
      <c r="D102" s="2222"/>
      <c r="E102" s="340"/>
      <c r="CH102" s="1020"/>
      <c r="CI102" s="1020"/>
      <c r="CJ102" s="1020"/>
      <c r="CK102" s="1020"/>
      <c r="CL102" s="1020"/>
      <c r="CM102" s="1020"/>
      <c r="CN102" s="1020"/>
      <c r="CO102" s="1020"/>
    </row>
    <row r="103" spans="1:93" x14ac:dyDescent="0.2">
      <c r="A103" s="2458">
        <v>25504000</v>
      </c>
      <c r="B103" s="1915" t="s">
        <v>2574</v>
      </c>
      <c r="C103" s="3539" t="s">
        <v>2777</v>
      </c>
      <c r="D103" s="2222"/>
      <c r="E103" s="340"/>
      <c r="CH103" s="1020"/>
      <c r="CI103" s="1020"/>
      <c r="CJ103" s="1020"/>
      <c r="CK103" s="1020"/>
      <c r="CL103" s="1020"/>
      <c r="CM103" s="1020"/>
      <c r="CN103" s="1020"/>
      <c r="CO103" s="1020"/>
    </row>
    <row r="104" spans="1:93" x14ac:dyDescent="0.2">
      <c r="A104" s="2458">
        <v>25504100</v>
      </c>
      <c r="B104" s="1915" t="s">
        <v>2575</v>
      </c>
      <c r="C104" s="3539" t="s">
        <v>2777</v>
      </c>
      <c r="D104" s="2222"/>
      <c r="E104" s="340"/>
      <c r="CH104" s="1020"/>
      <c r="CI104" s="1020"/>
      <c r="CJ104" s="1020"/>
      <c r="CK104" s="1020"/>
      <c r="CL104" s="1020"/>
      <c r="CM104" s="1020"/>
      <c r="CN104" s="1020"/>
      <c r="CO104" s="1020"/>
    </row>
    <row r="105" spans="1:93" x14ac:dyDescent="0.2">
      <c r="A105" s="2458">
        <v>25504200</v>
      </c>
      <c r="B105" s="1915" t="s">
        <v>2576</v>
      </c>
      <c r="C105" s="3539" t="s">
        <v>2777</v>
      </c>
      <c r="D105" s="2225"/>
      <c r="E105" s="340"/>
      <c r="CH105" s="1020"/>
      <c r="CI105" s="1020"/>
      <c r="CJ105" s="1020"/>
      <c r="CK105" s="1020"/>
      <c r="CL105" s="1020"/>
      <c r="CM105" s="1020"/>
      <c r="CN105" s="1020"/>
      <c r="CO105" s="1020"/>
    </row>
    <row r="106" spans="1:93" x14ac:dyDescent="0.2">
      <c r="A106" s="2458">
        <v>25504300</v>
      </c>
      <c r="B106" s="1916" t="s">
        <v>2577</v>
      </c>
      <c r="C106" s="3551" t="s">
        <v>2777</v>
      </c>
      <c r="D106" s="2225"/>
      <c r="E106" s="340"/>
      <c r="CH106" s="1020"/>
      <c r="CI106" s="1020"/>
      <c r="CJ106" s="1020"/>
      <c r="CK106" s="1020"/>
      <c r="CL106" s="1020"/>
      <c r="CM106" s="1020"/>
      <c r="CN106" s="1020"/>
      <c r="CO106" s="1020"/>
    </row>
    <row r="107" spans="1:93" ht="32.1" customHeight="1" x14ac:dyDescent="0.2">
      <c r="B107" s="6615" t="s">
        <v>2698</v>
      </c>
      <c r="C107" s="6616"/>
      <c r="D107" s="6616"/>
      <c r="E107" s="6616"/>
      <c r="CH107" s="1020"/>
      <c r="CI107" s="1020"/>
      <c r="CJ107" s="1020"/>
      <c r="CK107" s="1020"/>
      <c r="CL107" s="1020"/>
      <c r="CM107" s="1020"/>
      <c r="CN107" s="1020"/>
      <c r="CO107" s="1020"/>
    </row>
    <row r="108" spans="1:93" ht="28.35" customHeight="1" x14ac:dyDescent="0.2">
      <c r="B108" s="2220" t="s">
        <v>2571</v>
      </c>
      <c r="C108" s="2221" t="s">
        <v>2572</v>
      </c>
      <c r="D108" s="2222"/>
      <c r="E108" s="340"/>
      <c r="F108" s="219"/>
      <c r="CH108" s="1020"/>
      <c r="CI108" s="1020"/>
      <c r="CJ108" s="1020"/>
      <c r="CK108" s="1020"/>
      <c r="CL108" s="1020"/>
      <c r="CM108" s="1020"/>
      <c r="CN108" s="1020"/>
      <c r="CO108" s="1020"/>
    </row>
    <row r="109" spans="1:93" ht="16.350000000000001" customHeight="1" x14ac:dyDescent="0.2">
      <c r="A109" s="2458">
        <v>25504400</v>
      </c>
      <c r="B109" s="1915" t="s">
        <v>2573</v>
      </c>
      <c r="C109" s="2223" t="s">
        <v>2777</v>
      </c>
      <c r="D109" s="2222"/>
      <c r="E109" s="340"/>
      <c r="F109" s="2222"/>
      <c r="G109" s="457"/>
      <c r="H109" s="190"/>
      <c r="I109" s="190"/>
      <c r="J109" s="340"/>
      <c r="K109" s="2222"/>
      <c r="L109" s="2197"/>
      <c r="M109" s="190"/>
      <c r="CH109" s="1020"/>
      <c r="CI109" s="1020"/>
      <c r="CJ109" s="1020"/>
      <c r="CK109" s="1020"/>
      <c r="CL109" s="1020"/>
      <c r="CM109" s="1020"/>
      <c r="CN109" s="1020"/>
      <c r="CO109" s="1020"/>
    </row>
    <row r="110" spans="1:93" ht="16.350000000000001" customHeight="1" x14ac:dyDescent="0.2">
      <c r="A110" s="2458">
        <v>25504500</v>
      </c>
      <c r="B110" s="1915" t="s">
        <v>2574</v>
      </c>
      <c r="C110" s="2224" t="s">
        <v>2777</v>
      </c>
      <c r="D110" s="2222"/>
      <c r="E110" s="340"/>
      <c r="F110" s="2222"/>
      <c r="G110" s="457"/>
      <c r="H110" s="190"/>
      <c r="I110" s="190"/>
      <c r="J110" s="340"/>
      <c r="K110" s="2222"/>
      <c r="L110" s="2197"/>
      <c r="M110" s="190"/>
      <c r="CH110" s="1020"/>
      <c r="CI110" s="1020"/>
      <c r="CJ110" s="1020"/>
      <c r="CK110" s="1020"/>
      <c r="CL110" s="1020"/>
      <c r="CM110" s="1020"/>
      <c r="CN110" s="1020"/>
      <c r="CO110" s="1020"/>
    </row>
    <row r="111" spans="1:93" ht="16.350000000000001" customHeight="1" x14ac:dyDescent="0.2">
      <c r="A111" s="2458">
        <v>25504600</v>
      </c>
      <c r="B111" s="1915" t="s">
        <v>2575</v>
      </c>
      <c r="C111" s="2224" t="s">
        <v>2777</v>
      </c>
      <c r="D111" s="2222"/>
      <c r="E111" s="340"/>
      <c r="F111" s="2222"/>
      <c r="G111" s="457"/>
      <c r="H111" s="190"/>
      <c r="I111" s="190"/>
      <c r="J111" s="340"/>
      <c r="K111" s="2222"/>
      <c r="L111" s="2197"/>
      <c r="M111" s="190"/>
      <c r="CH111" s="1020"/>
      <c r="CI111" s="1020"/>
      <c r="CJ111" s="1020"/>
      <c r="CK111" s="1020"/>
      <c r="CL111" s="1020"/>
      <c r="CM111" s="1020"/>
      <c r="CN111" s="1020"/>
      <c r="CO111" s="1020"/>
    </row>
    <row r="112" spans="1:93" ht="16.350000000000001" customHeight="1" x14ac:dyDescent="0.2">
      <c r="A112" s="2458">
        <v>25504700</v>
      </c>
      <c r="B112" s="1915" t="s">
        <v>2576</v>
      </c>
      <c r="C112" s="2224" t="s">
        <v>2777</v>
      </c>
      <c r="D112" s="2225"/>
      <c r="E112" s="6406"/>
      <c r="F112" s="6617"/>
      <c r="G112" s="457"/>
      <c r="H112" s="190"/>
      <c r="I112" s="190"/>
      <c r="J112" s="340"/>
      <c r="K112" s="2222"/>
      <c r="L112" s="2197"/>
      <c r="M112" s="190"/>
      <c r="CH112" s="1020"/>
      <c r="CI112" s="1020"/>
      <c r="CJ112" s="1020"/>
      <c r="CK112" s="1020"/>
      <c r="CL112" s="1020"/>
      <c r="CM112" s="1020"/>
      <c r="CN112" s="1020"/>
      <c r="CO112" s="1020"/>
    </row>
    <row r="113" spans="1:93" ht="16.350000000000001" customHeight="1" x14ac:dyDescent="0.2">
      <c r="A113" s="2458">
        <v>25504800</v>
      </c>
      <c r="B113" s="1916" t="s">
        <v>2577</v>
      </c>
      <c r="C113" s="2226" t="s">
        <v>2777</v>
      </c>
      <c r="D113" s="2225"/>
      <c r="E113" s="6406"/>
      <c r="F113" s="6617"/>
      <c r="G113" s="457"/>
      <c r="H113" s="190"/>
      <c r="I113" s="190"/>
      <c r="J113" s="340"/>
      <c r="K113" s="2222"/>
      <c r="L113" s="2197"/>
      <c r="M113" s="190"/>
      <c r="CH113" s="1020"/>
      <c r="CI113" s="1020"/>
      <c r="CJ113" s="1020"/>
      <c r="CK113" s="1020"/>
      <c r="CL113" s="1020"/>
      <c r="CM113" s="1020"/>
      <c r="CN113" s="1020"/>
      <c r="CO113" s="1020"/>
    </row>
    <row r="114" spans="1:93" ht="32.1" customHeight="1" x14ac:dyDescent="0.2">
      <c r="B114" s="2258" t="s">
        <v>2699</v>
      </c>
      <c r="C114" s="2227"/>
      <c r="D114" s="2227"/>
      <c r="E114" s="2227"/>
      <c r="F114" s="2227"/>
      <c r="G114" s="2227"/>
      <c r="H114" s="243"/>
      <c r="I114" s="243"/>
      <c r="J114" s="243"/>
      <c r="K114" s="219"/>
      <c r="L114" s="2197"/>
      <c r="M114" s="190"/>
      <c r="CH114" s="1020"/>
      <c r="CI114" s="1020"/>
      <c r="CJ114" s="1020"/>
      <c r="CK114" s="1020"/>
      <c r="CL114" s="1020"/>
      <c r="CM114" s="1020"/>
      <c r="CN114" s="1020"/>
      <c r="CO114" s="1020"/>
    </row>
    <row r="115" spans="1:93" ht="16.350000000000001" customHeight="1" x14ac:dyDescent="0.2">
      <c r="B115" s="6501" t="s">
        <v>2500</v>
      </c>
      <c r="C115" s="6503"/>
      <c r="D115" s="2214" t="s">
        <v>42</v>
      </c>
      <c r="E115" s="2208" t="s">
        <v>2578</v>
      </c>
      <c r="F115" s="2209" t="s">
        <v>2579</v>
      </c>
      <c r="G115" s="2210" t="s">
        <v>2580</v>
      </c>
      <c r="H115" s="243"/>
      <c r="I115" s="243"/>
      <c r="J115" s="243"/>
      <c r="K115" s="2197"/>
      <c r="L115" s="190"/>
      <c r="CH115" s="1020"/>
      <c r="CI115" s="1020"/>
      <c r="CJ115" s="1020"/>
      <c r="CK115" s="1020"/>
      <c r="CL115" s="1020"/>
      <c r="CM115" s="1020"/>
      <c r="CN115" s="1020"/>
      <c r="CO115" s="1020"/>
    </row>
    <row r="116" spans="1:93" ht="16.350000000000001" customHeight="1" x14ac:dyDescent="0.2">
      <c r="A116" s="2458">
        <v>25400270</v>
      </c>
      <c r="B116" s="6608" t="s">
        <v>2695</v>
      </c>
      <c r="C116" s="6609"/>
      <c r="D116" s="3555" t="s">
        <v>2777</v>
      </c>
      <c r="E116" s="3556" t="s">
        <v>2778</v>
      </c>
      <c r="F116" s="3557" t="s">
        <v>2779</v>
      </c>
      <c r="G116" s="3558" t="s">
        <v>2780</v>
      </c>
      <c r="H116" s="2228"/>
      <c r="I116" s="243"/>
      <c r="J116" s="243"/>
      <c r="K116" s="2197"/>
      <c r="L116" s="190"/>
      <c r="CH116" s="1020"/>
      <c r="CI116" s="1020"/>
      <c r="CJ116" s="1020"/>
      <c r="CK116" s="1020"/>
      <c r="CL116" s="1020"/>
      <c r="CM116" s="1020"/>
      <c r="CN116" s="1020"/>
      <c r="CO116" s="1020"/>
    </row>
    <row r="117" spans="1:93" ht="16.350000000000001" customHeight="1" x14ac:dyDescent="0.2">
      <c r="A117" s="2458">
        <v>25400280</v>
      </c>
      <c r="B117" s="5163" t="s">
        <v>2543</v>
      </c>
      <c r="C117" s="2229" t="s">
        <v>2544</v>
      </c>
      <c r="D117" s="3109" t="s">
        <v>2777</v>
      </c>
      <c r="E117" s="3536" t="s">
        <v>2778</v>
      </c>
      <c r="F117" s="3537" t="s">
        <v>2779</v>
      </c>
      <c r="G117" s="3538" t="s">
        <v>2780</v>
      </c>
      <c r="H117" s="2228"/>
      <c r="I117" s="243"/>
      <c r="J117" s="243"/>
      <c r="K117" s="2197"/>
      <c r="L117" s="190"/>
      <c r="CH117" s="1020"/>
      <c r="CI117" s="1020"/>
      <c r="CJ117" s="1020"/>
      <c r="CK117" s="1020"/>
      <c r="CL117" s="1020"/>
      <c r="CM117" s="1020"/>
      <c r="CN117" s="1020"/>
      <c r="CO117" s="1020"/>
    </row>
    <row r="118" spans="1:93" ht="16.350000000000001" customHeight="1" x14ac:dyDescent="0.2">
      <c r="A118" s="2458">
        <v>25400290</v>
      </c>
      <c r="B118" s="6607"/>
      <c r="C118" s="2218" t="s">
        <v>2569</v>
      </c>
      <c r="D118" s="608" t="s">
        <v>2777</v>
      </c>
      <c r="E118" s="2901" t="s">
        <v>2778</v>
      </c>
      <c r="F118" s="3431" t="s">
        <v>2779</v>
      </c>
      <c r="G118" s="2902" t="s">
        <v>2780</v>
      </c>
      <c r="H118" s="2228"/>
      <c r="I118" s="243"/>
      <c r="J118" s="243"/>
      <c r="K118" s="2197"/>
      <c r="L118" s="190"/>
      <c r="CH118" s="1020"/>
      <c r="CI118" s="1020"/>
      <c r="CJ118" s="1020"/>
      <c r="CK118" s="1020"/>
      <c r="CL118" s="1020"/>
      <c r="CM118" s="1020"/>
      <c r="CN118" s="1020"/>
      <c r="CO118" s="1020"/>
    </row>
    <row r="119" spans="1:93" ht="16.350000000000001" customHeight="1" x14ac:dyDescent="0.2">
      <c r="A119" s="2458">
        <v>25400300</v>
      </c>
      <c r="B119" s="5164"/>
      <c r="C119" s="2219" t="s">
        <v>2547</v>
      </c>
      <c r="D119" s="3062" t="s">
        <v>2777</v>
      </c>
      <c r="E119" s="2905" t="s">
        <v>2778</v>
      </c>
      <c r="F119" s="3435" t="s">
        <v>2779</v>
      </c>
      <c r="G119" s="2906" t="s">
        <v>2780</v>
      </c>
      <c r="H119" s="2228"/>
      <c r="I119" s="243"/>
      <c r="J119" s="243"/>
      <c r="K119" s="2197"/>
      <c r="L119" s="190"/>
      <c r="CH119" s="1020"/>
      <c r="CI119" s="1020"/>
      <c r="CJ119" s="1020"/>
      <c r="CK119" s="1020"/>
      <c r="CL119" s="1020"/>
      <c r="CM119" s="1020"/>
      <c r="CN119" s="1020"/>
      <c r="CO119" s="1020"/>
    </row>
    <row r="120" spans="1:93" ht="16.350000000000001" customHeight="1" x14ac:dyDescent="0.2">
      <c r="A120" s="2458">
        <v>25400322</v>
      </c>
      <c r="B120" s="6610" t="s">
        <v>2555</v>
      </c>
      <c r="C120" s="6611"/>
      <c r="D120" s="3559" t="s">
        <v>2777</v>
      </c>
      <c r="E120" s="3287" t="s">
        <v>2778</v>
      </c>
      <c r="F120" s="3434" t="s">
        <v>2779</v>
      </c>
      <c r="G120" s="3288" t="s">
        <v>2780</v>
      </c>
      <c r="H120" s="2228"/>
      <c r="I120" s="243"/>
      <c r="J120" s="243"/>
      <c r="K120" s="2197"/>
      <c r="L120" s="190"/>
      <c r="CH120" s="1020"/>
      <c r="CI120" s="1020"/>
      <c r="CJ120" s="1020"/>
      <c r="CK120" s="1020"/>
      <c r="CL120" s="1020"/>
      <c r="CM120" s="1020"/>
      <c r="CN120" s="1020"/>
      <c r="CO120" s="1020"/>
    </row>
    <row r="121" spans="1:93" ht="16.350000000000001" customHeight="1" x14ac:dyDescent="0.2">
      <c r="A121" s="2458">
        <v>25400330</v>
      </c>
      <c r="B121" s="6604" t="s">
        <v>2551</v>
      </c>
      <c r="C121" s="6605"/>
      <c r="D121" s="3062" t="s">
        <v>2777</v>
      </c>
      <c r="E121" s="2905" t="s">
        <v>2778</v>
      </c>
      <c r="F121" s="3435" t="s">
        <v>2779</v>
      </c>
      <c r="G121" s="2906" t="s">
        <v>2780</v>
      </c>
      <c r="H121" s="2228"/>
      <c r="I121" s="243"/>
      <c r="J121" s="243"/>
      <c r="K121" s="2197"/>
      <c r="L121" s="190"/>
      <c r="CH121" s="1020"/>
      <c r="CI121" s="1020"/>
      <c r="CJ121" s="1020"/>
      <c r="CK121" s="1020"/>
      <c r="CL121" s="1020"/>
      <c r="CM121" s="1020"/>
      <c r="CN121" s="1020"/>
      <c r="CO121" s="1020"/>
    </row>
    <row r="122" spans="1:93" ht="16.350000000000001" customHeight="1" x14ac:dyDescent="0.2">
      <c r="B122" s="504" t="s">
        <v>2561</v>
      </c>
      <c r="C122" s="504"/>
      <c r="D122" s="2213"/>
      <c r="E122" s="2213"/>
      <c r="F122" s="81"/>
      <c r="G122" s="190"/>
      <c r="H122" s="243"/>
      <c r="I122" s="243"/>
      <c r="J122" s="243"/>
      <c r="K122" s="2197"/>
      <c r="L122" s="190"/>
      <c r="CH122" s="1020"/>
      <c r="CI122" s="1020"/>
      <c r="CJ122" s="1020"/>
      <c r="CK122" s="1020"/>
      <c r="CL122" s="1020"/>
      <c r="CM122" s="1020"/>
      <c r="CN122" s="1020"/>
      <c r="CO122" s="1020"/>
    </row>
    <row r="123" spans="1:93" ht="16.350000000000001" customHeight="1" x14ac:dyDescent="0.2">
      <c r="B123" s="504" t="s">
        <v>2581</v>
      </c>
      <c r="C123" s="1933"/>
      <c r="D123" s="2213"/>
      <c r="E123" s="2213"/>
      <c r="F123" s="2213"/>
      <c r="G123" s="2213"/>
      <c r="H123" s="243"/>
      <c r="I123" s="243"/>
      <c r="J123" s="243"/>
      <c r="K123" s="2197"/>
      <c r="L123" s="190"/>
      <c r="CH123" s="1020"/>
      <c r="CI123" s="1020"/>
      <c r="CJ123" s="1020"/>
      <c r="CK123" s="1020"/>
      <c r="CL123" s="1020"/>
      <c r="CM123" s="1020"/>
      <c r="CN123" s="1020"/>
      <c r="CO123" s="1020"/>
    </row>
    <row r="124" spans="1:93" ht="32.1" customHeight="1" x14ac:dyDescent="0.2">
      <c r="B124" s="2259" t="s">
        <v>2582</v>
      </c>
      <c r="C124" s="2185"/>
      <c r="D124" s="2185"/>
      <c r="E124" s="2185"/>
      <c r="F124" s="2185"/>
      <c r="G124" s="2230"/>
      <c r="H124" s="2230"/>
      <c r="I124" s="243"/>
      <c r="J124" s="243"/>
      <c r="K124" s="2197"/>
      <c r="L124" s="190"/>
      <c r="CH124" s="1020"/>
      <c r="CI124" s="1020"/>
      <c r="CJ124" s="1020"/>
      <c r="CK124" s="1020"/>
      <c r="CL124" s="1020"/>
      <c r="CM124" s="1020"/>
      <c r="CN124" s="1020"/>
      <c r="CO124" s="1020"/>
    </row>
    <row r="125" spans="1:93" ht="16.350000000000001" customHeight="1" x14ac:dyDescent="0.2">
      <c r="B125" s="6218" t="s">
        <v>2583</v>
      </c>
      <c r="C125" s="6219"/>
      <c r="D125" s="5158" t="s">
        <v>42</v>
      </c>
      <c r="E125" s="5165" t="s">
        <v>2584</v>
      </c>
      <c r="F125" s="5167"/>
      <c r="G125" s="5165" t="s">
        <v>2585</v>
      </c>
      <c r="H125" s="5167"/>
      <c r="I125" s="243"/>
      <c r="J125" s="243"/>
      <c r="K125" s="2197"/>
      <c r="L125" s="190"/>
      <c r="CH125" s="1020"/>
      <c r="CI125" s="1020"/>
      <c r="CJ125" s="1020"/>
      <c r="CK125" s="1020"/>
      <c r="CL125" s="1020"/>
      <c r="CM125" s="1020"/>
      <c r="CN125" s="1020"/>
      <c r="CO125" s="1020"/>
    </row>
    <row r="126" spans="1:93" ht="16.350000000000001" customHeight="1" x14ac:dyDescent="0.2">
      <c r="B126" s="5799"/>
      <c r="C126" s="5403"/>
      <c r="D126" s="5159"/>
      <c r="E126" s="1597" t="s">
        <v>2586</v>
      </c>
      <c r="F126" s="2036" t="s">
        <v>2587</v>
      </c>
      <c r="G126" s="1597" t="s">
        <v>2588</v>
      </c>
      <c r="H126" s="2036" t="s">
        <v>2587</v>
      </c>
      <c r="I126" s="243"/>
      <c r="J126" s="243"/>
      <c r="K126" s="2197"/>
      <c r="L126" s="190"/>
      <c r="CH126" s="1020"/>
      <c r="CI126" s="1020"/>
      <c r="CJ126" s="1020"/>
      <c r="CK126" s="1020"/>
      <c r="CL126" s="1020"/>
      <c r="CM126" s="1020"/>
      <c r="CN126" s="1020"/>
      <c r="CO126" s="1020"/>
    </row>
    <row r="127" spans="1:93" ht="16.350000000000001" customHeight="1" x14ac:dyDescent="0.2">
      <c r="A127" s="3097">
        <v>25200500</v>
      </c>
      <c r="B127" s="6538" t="s">
        <v>2695</v>
      </c>
      <c r="C127" s="6540"/>
      <c r="D127" s="3560" t="s">
        <v>2777</v>
      </c>
      <c r="E127" s="3561" t="s">
        <v>2778</v>
      </c>
      <c r="F127" s="3562" t="s">
        <v>2779</v>
      </c>
      <c r="G127" s="3561" t="s">
        <v>2780</v>
      </c>
      <c r="H127" s="3562" t="s">
        <v>2781</v>
      </c>
      <c r="I127" s="2228"/>
      <c r="J127" s="243"/>
      <c r="K127" s="2197"/>
      <c r="L127" s="190"/>
      <c r="CH127" s="1020"/>
      <c r="CI127" s="1020"/>
      <c r="CJ127" s="1020"/>
      <c r="CK127" s="1020"/>
      <c r="CL127" s="1020"/>
      <c r="CM127" s="1020"/>
      <c r="CN127" s="1020"/>
      <c r="CO127" s="1020"/>
    </row>
    <row r="128" spans="1:93" ht="16.350000000000001" customHeight="1" x14ac:dyDescent="0.2">
      <c r="A128" s="3097">
        <v>25200600</v>
      </c>
      <c r="B128" s="5163" t="s">
        <v>2543</v>
      </c>
      <c r="C128" s="2229" t="s">
        <v>2544</v>
      </c>
      <c r="D128" s="3560" t="s">
        <v>2777</v>
      </c>
      <c r="E128" s="3561" t="s">
        <v>2778</v>
      </c>
      <c r="F128" s="3562" t="s">
        <v>2779</v>
      </c>
      <c r="G128" s="3561" t="s">
        <v>2780</v>
      </c>
      <c r="H128" s="3562" t="s">
        <v>2781</v>
      </c>
      <c r="I128" s="2228"/>
      <c r="J128" s="243"/>
      <c r="K128" s="2197"/>
      <c r="L128" s="190"/>
      <c r="CH128" s="1020"/>
      <c r="CI128" s="1020"/>
      <c r="CJ128" s="1020"/>
      <c r="CK128" s="1020"/>
      <c r="CL128" s="1020"/>
      <c r="CM128" s="1020"/>
      <c r="CN128" s="1020"/>
      <c r="CO128" s="1020"/>
    </row>
    <row r="129" spans="1:93" ht="16.350000000000001" customHeight="1" x14ac:dyDescent="0.2">
      <c r="A129" s="2458">
        <v>25400340</v>
      </c>
      <c r="B129" s="6607"/>
      <c r="C129" s="2218" t="s">
        <v>2569</v>
      </c>
      <c r="D129" s="3090" t="s">
        <v>2777</v>
      </c>
      <c r="E129" s="2999" t="s">
        <v>2778</v>
      </c>
      <c r="F129" s="3000" t="s">
        <v>2779</v>
      </c>
      <c r="G129" s="2999" t="s">
        <v>2780</v>
      </c>
      <c r="H129" s="3000" t="s">
        <v>2781</v>
      </c>
      <c r="I129" s="2228"/>
      <c r="J129" s="243"/>
      <c r="K129" s="2197"/>
      <c r="L129" s="190"/>
      <c r="CH129" s="1020"/>
      <c r="CI129" s="1020"/>
      <c r="CJ129" s="1020"/>
      <c r="CK129" s="1020"/>
      <c r="CL129" s="1020"/>
      <c r="CM129" s="1020"/>
      <c r="CN129" s="1020"/>
      <c r="CO129" s="1020"/>
    </row>
    <row r="130" spans="1:93" ht="16.350000000000001" customHeight="1" x14ac:dyDescent="0.2">
      <c r="A130" s="2458">
        <v>25400350</v>
      </c>
      <c r="B130" s="5164"/>
      <c r="C130" s="2219" t="s">
        <v>2547</v>
      </c>
      <c r="D130" s="3563" t="s">
        <v>2777</v>
      </c>
      <c r="E130" s="3564" t="s">
        <v>2778</v>
      </c>
      <c r="F130" s="3565" t="s">
        <v>2779</v>
      </c>
      <c r="G130" s="3564" t="s">
        <v>2780</v>
      </c>
      <c r="H130" s="3565" t="s">
        <v>2781</v>
      </c>
      <c r="I130" s="2228"/>
      <c r="J130" s="243"/>
      <c r="K130" s="2197"/>
      <c r="L130" s="190"/>
      <c r="CH130" s="1020"/>
      <c r="CI130" s="1020"/>
      <c r="CJ130" s="1020"/>
      <c r="CK130" s="1020"/>
      <c r="CL130" s="1020"/>
      <c r="CM130" s="1020"/>
      <c r="CN130" s="1020"/>
      <c r="CO130" s="1020"/>
    </row>
    <row r="131" spans="1:93" ht="16.350000000000001" customHeight="1" x14ac:dyDescent="0.2">
      <c r="A131" s="2458">
        <v>25400362</v>
      </c>
      <c r="B131" s="6602" t="s">
        <v>2555</v>
      </c>
      <c r="C131" s="6603"/>
      <c r="D131" s="1839" t="s">
        <v>2777</v>
      </c>
      <c r="E131" s="3307" t="s">
        <v>2778</v>
      </c>
      <c r="F131" s="3308" t="s">
        <v>2779</v>
      </c>
      <c r="G131" s="3307" t="s">
        <v>2780</v>
      </c>
      <c r="H131" s="3308" t="s">
        <v>2781</v>
      </c>
      <c r="I131" s="2228"/>
      <c r="J131" s="243"/>
      <c r="K131" s="2197"/>
      <c r="L131" s="190"/>
      <c r="CH131" s="1020"/>
      <c r="CI131" s="1020"/>
      <c r="CJ131" s="1020"/>
      <c r="CK131" s="1020"/>
      <c r="CL131" s="1020"/>
      <c r="CM131" s="1020"/>
      <c r="CN131" s="1020"/>
      <c r="CO131" s="1020"/>
    </row>
    <row r="132" spans="1:93" ht="16.350000000000001" customHeight="1" x14ac:dyDescent="0.2">
      <c r="A132" s="3097">
        <v>25200700</v>
      </c>
      <c r="B132" s="6604" t="s">
        <v>2551</v>
      </c>
      <c r="C132" s="6605"/>
      <c r="D132" s="3566" t="s">
        <v>2777</v>
      </c>
      <c r="E132" s="3423" t="s">
        <v>2778</v>
      </c>
      <c r="F132" s="3458" t="s">
        <v>2779</v>
      </c>
      <c r="G132" s="3423" t="s">
        <v>2780</v>
      </c>
      <c r="H132" s="3458" t="s">
        <v>2781</v>
      </c>
      <c r="I132" s="2228"/>
      <c r="J132" s="243"/>
      <c r="K132" s="2197"/>
      <c r="L132" s="190"/>
      <c r="CH132" s="1020"/>
      <c r="CI132" s="1020"/>
      <c r="CJ132" s="1020"/>
      <c r="CK132" s="1020"/>
      <c r="CL132" s="1020"/>
      <c r="CM132" s="1020"/>
      <c r="CN132" s="1020"/>
      <c r="CO132" s="1020"/>
    </row>
    <row r="133" spans="1:93" ht="16.350000000000001" customHeight="1" x14ac:dyDescent="0.2">
      <c r="A133" s="2527"/>
      <c r="B133" s="6452" t="s">
        <v>42</v>
      </c>
      <c r="C133" s="6453"/>
      <c r="D133" s="1808">
        <f t="shared" ref="D133" si="3">SUM(E133:H133)</f>
        <v>0</v>
      </c>
      <c r="E133" s="1810">
        <f>SUM(E127:E132)</f>
        <v>0</v>
      </c>
      <c r="F133" s="2018">
        <f>SUM(F127:F132)</f>
        <v>0</v>
      </c>
      <c r="G133" s="1810">
        <f>SUM(G127:G132)</f>
        <v>0</v>
      </c>
      <c r="H133" s="2018">
        <f>SUM(H127:H132)</f>
        <v>0</v>
      </c>
      <c r="I133" s="243"/>
      <c r="J133" s="243"/>
      <c r="K133" s="2197"/>
      <c r="L133" s="190"/>
      <c r="CH133" s="1020"/>
      <c r="CI133" s="1020"/>
      <c r="CJ133" s="1020"/>
      <c r="CK133" s="1020"/>
      <c r="CL133" s="1020"/>
      <c r="CM133" s="1020"/>
      <c r="CN133" s="1020"/>
      <c r="CO133" s="1020"/>
    </row>
    <row r="134" spans="1:93" ht="32.1" customHeight="1" x14ac:dyDescent="0.2">
      <c r="B134" s="2231" t="s">
        <v>2589</v>
      </c>
      <c r="C134" s="2231"/>
      <c r="D134" s="2231"/>
      <c r="E134" s="2230"/>
      <c r="F134" s="2230"/>
      <c r="G134" s="2213"/>
      <c r="H134" s="243"/>
      <c r="I134" s="243"/>
      <c r="J134" s="243"/>
      <c r="K134" s="2197"/>
      <c r="L134" s="190"/>
      <c r="CH134" s="1020"/>
      <c r="CI134" s="1020"/>
      <c r="CJ134" s="1020"/>
      <c r="CK134" s="1020"/>
      <c r="CL134" s="1020"/>
      <c r="CM134" s="1020"/>
      <c r="CN134" s="1020"/>
      <c r="CO134" s="1020"/>
    </row>
    <row r="135" spans="1:93" ht="16.350000000000001" customHeight="1" x14ac:dyDescent="0.2">
      <c r="B135" s="6218" t="s">
        <v>218</v>
      </c>
      <c r="C135" s="6614"/>
      <c r="D135" s="1903" t="s">
        <v>42</v>
      </c>
      <c r="E135" s="2230"/>
      <c r="F135" s="2230"/>
      <c r="G135" s="378"/>
      <c r="H135" s="243"/>
      <c r="I135" s="243"/>
      <c r="J135" s="243"/>
      <c r="K135" s="2197"/>
      <c r="L135" s="190"/>
      <c r="CH135" s="1020"/>
      <c r="CI135" s="1020"/>
      <c r="CJ135" s="1020"/>
      <c r="CK135" s="1020"/>
      <c r="CL135" s="1020"/>
      <c r="CM135" s="1020"/>
      <c r="CN135" s="1020"/>
      <c r="CO135" s="1020"/>
    </row>
    <row r="136" spans="1:93" ht="16.350000000000001" customHeight="1" x14ac:dyDescent="0.2">
      <c r="A136" s="3097">
        <v>25200900</v>
      </c>
      <c r="B136" s="6483" t="s">
        <v>2590</v>
      </c>
      <c r="C136" s="589" t="s">
        <v>800</v>
      </c>
      <c r="D136" s="2232" t="s">
        <v>2777</v>
      </c>
      <c r="E136" s="2230"/>
      <c r="F136" s="2230"/>
      <c r="G136" s="378"/>
      <c r="H136" s="243"/>
      <c r="I136" s="243"/>
      <c r="J136" s="243"/>
      <c r="K136" s="2197"/>
      <c r="L136" s="190"/>
      <c r="CH136" s="1020"/>
      <c r="CI136" s="1020"/>
      <c r="CJ136" s="1020"/>
      <c r="CK136" s="1020"/>
      <c r="CL136" s="1020"/>
      <c r="CM136" s="1020"/>
      <c r="CN136" s="1020"/>
      <c r="CO136" s="1020"/>
    </row>
    <row r="137" spans="1:93" ht="16.350000000000001" customHeight="1" x14ac:dyDescent="0.2">
      <c r="A137" s="3097">
        <v>25300100</v>
      </c>
      <c r="B137" s="5432"/>
      <c r="C137" s="2233" t="s">
        <v>2591</v>
      </c>
      <c r="D137" s="2234" t="s">
        <v>2777</v>
      </c>
      <c r="E137" s="2230"/>
      <c r="F137" s="2230"/>
      <c r="G137" s="378"/>
      <c r="H137" s="243"/>
      <c r="I137" s="243"/>
      <c r="J137" s="243"/>
      <c r="K137" s="2197"/>
      <c r="L137" s="190"/>
      <c r="CH137" s="1020"/>
      <c r="CI137" s="1020"/>
      <c r="CJ137" s="1020"/>
      <c r="CK137" s="1020"/>
      <c r="CL137" s="1020"/>
      <c r="CM137" s="1020"/>
      <c r="CN137" s="1020"/>
      <c r="CO137" s="1020"/>
    </row>
    <row r="138" spans="1:93" ht="32.1" customHeight="1" x14ac:dyDescent="0.2">
      <c r="B138" s="324" t="s">
        <v>2592</v>
      </c>
      <c r="C138" s="324"/>
      <c r="D138" s="324"/>
      <c r="E138" s="2230"/>
      <c r="F138" s="2230"/>
      <c r="G138" s="243"/>
      <c r="H138" s="243"/>
      <c r="I138" s="243"/>
      <c r="J138" s="243"/>
      <c r="K138" s="2197"/>
      <c r="L138" s="190"/>
      <c r="CH138" s="1020"/>
      <c r="CI138" s="1020"/>
      <c r="CJ138" s="1020"/>
      <c r="CK138" s="1020"/>
      <c r="CL138" s="1020"/>
      <c r="CM138" s="1020"/>
      <c r="CN138" s="1020"/>
      <c r="CO138" s="1020"/>
    </row>
    <row r="139" spans="1:93" ht="16.350000000000001" customHeight="1" x14ac:dyDescent="0.2">
      <c r="B139" s="5158" t="s">
        <v>218</v>
      </c>
      <c r="C139" s="5158" t="s">
        <v>42</v>
      </c>
      <c r="D139" s="6483" t="s">
        <v>2539</v>
      </c>
      <c r="E139" s="6612" t="s">
        <v>2548</v>
      </c>
      <c r="F139" s="6219" t="s">
        <v>2543</v>
      </c>
      <c r="G139" s="243"/>
      <c r="H139" s="243"/>
      <c r="I139" s="243"/>
      <c r="J139" s="243"/>
      <c r="K139" s="2197"/>
      <c r="L139" s="190"/>
      <c r="CH139" s="1020"/>
      <c r="CI139" s="1020"/>
      <c r="CJ139" s="1020"/>
      <c r="CK139" s="1020"/>
      <c r="CL139" s="1020"/>
      <c r="CM139" s="1020"/>
      <c r="CN139" s="1020"/>
      <c r="CO139" s="1020"/>
    </row>
    <row r="140" spans="1:93" ht="16.350000000000001" customHeight="1" x14ac:dyDescent="0.2">
      <c r="B140" s="5159"/>
      <c r="C140" s="5159"/>
      <c r="D140" s="5432"/>
      <c r="E140" s="6613"/>
      <c r="F140" s="5403"/>
      <c r="G140" s="243"/>
      <c r="H140" s="243"/>
      <c r="I140" s="243"/>
      <c r="J140" s="243"/>
      <c r="K140" s="219"/>
      <c r="L140" s="2197"/>
      <c r="M140" s="190"/>
      <c r="CH140" s="1020"/>
      <c r="CI140" s="1020"/>
      <c r="CJ140" s="1020"/>
      <c r="CK140" s="1020"/>
      <c r="CL140" s="1020"/>
      <c r="CM140" s="1020"/>
      <c r="CN140" s="1020"/>
      <c r="CO140" s="1020"/>
    </row>
    <row r="141" spans="1:93" ht="16.350000000000001" customHeight="1" x14ac:dyDescent="0.2">
      <c r="A141" s="2458">
        <v>25400370</v>
      </c>
      <c r="B141" s="371" t="s">
        <v>2593</v>
      </c>
      <c r="C141" s="349" t="s">
        <v>2777</v>
      </c>
      <c r="D141" s="2999" t="s">
        <v>2778</v>
      </c>
      <c r="E141" s="3567" t="s">
        <v>2779</v>
      </c>
      <c r="F141" s="2903" t="s">
        <v>2780</v>
      </c>
      <c r="G141" s="138"/>
      <c r="H141" s="190"/>
      <c r="CH141" s="1020"/>
      <c r="CI141" s="1020"/>
      <c r="CJ141" s="1020"/>
      <c r="CK141" s="1020"/>
      <c r="CL141" s="1020"/>
      <c r="CM141" s="1020"/>
      <c r="CN141" s="1020"/>
      <c r="CO141" s="1020"/>
    </row>
    <row r="142" spans="1:93" ht="16.350000000000001" customHeight="1" x14ac:dyDescent="0.2">
      <c r="A142" s="2458">
        <v>25400380</v>
      </c>
      <c r="B142" s="371" t="s">
        <v>2594</v>
      </c>
      <c r="C142" s="349" t="s">
        <v>2777</v>
      </c>
      <c r="D142" s="2999" t="s">
        <v>2778</v>
      </c>
      <c r="E142" s="3567" t="s">
        <v>2779</v>
      </c>
      <c r="F142" s="2903" t="s">
        <v>2780</v>
      </c>
      <c r="G142" s="138"/>
      <c r="H142" s="190"/>
      <c r="CH142" s="1020"/>
      <c r="CI142" s="1020"/>
      <c r="CJ142" s="1020"/>
      <c r="CK142" s="1020"/>
      <c r="CL142" s="1020"/>
      <c r="CM142" s="1020"/>
      <c r="CN142" s="1020"/>
      <c r="CO142" s="1020"/>
    </row>
    <row r="143" spans="1:93" ht="16.350000000000001" customHeight="1" x14ac:dyDescent="0.2">
      <c r="A143" s="2458">
        <v>25400390</v>
      </c>
      <c r="B143" s="371" t="s">
        <v>2595</v>
      </c>
      <c r="C143" s="349" t="s">
        <v>2777</v>
      </c>
      <c r="D143" s="2999" t="s">
        <v>2778</v>
      </c>
      <c r="E143" s="3567" t="s">
        <v>2779</v>
      </c>
      <c r="F143" s="2903" t="s">
        <v>2780</v>
      </c>
      <c r="G143" s="138"/>
      <c r="H143" s="190"/>
      <c r="CH143" s="1020"/>
      <c r="CI143" s="1020"/>
      <c r="CJ143" s="1020"/>
      <c r="CK143" s="1020"/>
      <c r="CL143" s="1020"/>
      <c r="CM143" s="1020"/>
      <c r="CN143" s="1020"/>
      <c r="CO143" s="1020"/>
    </row>
    <row r="144" spans="1:93" ht="26.1" customHeight="1" x14ac:dyDescent="0.2">
      <c r="A144" s="2948">
        <v>25400400</v>
      </c>
      <c r="B144" s="1249" t="s">
        <v>2596</v>
      </c>
      <c r="C144" s="3103" t="s">
        <v>2777</v>
      </c>
      <c r="D144" s="3018" t="s">
        <v>2778</v>
      </c>
      <c r="E144" s="3540" t="s">
        <v>2779</v>
      </c>
      <c r="F144" s="3019" t="s">
        <v>2780</v>
      </c>
      <c r="G144" s="138"/>
      <c r="H144" s="190"/>
      <c r="CH144" s="1020"/>
      <c r="CI144" s="1020"/>
      <c r="CJ144" s="1020"/>
      <c r="CK144" s="1020"/>
      <c r="CL144" s="1020"/>
      <c r="CM144" s="1020"/>
      <c r="CN144" s="1020"/>
      <c r="CO144" s="1020"/>
    </row>
    <row r="145" spans="1:93" ht="15.95" customHeight="1" x14ac:dyDescent="0.2">
      <c r="A145" s="2458">
        <v>25400410</v>
      </c>
      <c r="B145" s="371" t="s">
        <v>2597</v>
      </c>
      <c r="C145" s="349" t="s">
        <v>2777</v>
      </c>
      <c r="D145" s="2999" t="s">
        <v>2778</v>
      </c>
      <c r="E145" s="3567" t="s">
        <v>2779</v>
      </c>
      <c r="F145" s="2903" t="s">
        <v>2780</v>
      </c>
      <c r="G145" s="138"/>
      <c r="H145" s="190"/>
      <c r="CH145" s="1020"/>
      <c r="CI145" s="1020"/>
      <c r="CJ145" s="1020"/>
      <c r="CK145" s="1020"/>
      <c r="CL145" s="1020"/>
      <c r="CM145" s="1020"/>
      <c r="CN145" s="1020"/>
      <c r="CO145" s="1020"/>
    </row>
    <row r="146" spans="1:93" ht="16.350000000000001" customHeight="1" x14ac:dyDescent="0.2">
      <c r="A146" s="2458">
        <v>25400420</v>
      </c>
      <c r="B146" s="371" t="s">
        <v>2598</v>
      </c>
      <c r="C146" s="349" t="s">
        <v>2777</v>
      </c>
      <c r="D146" s="2999" t="s">
        <v>2778</v>
      </c>
      <c r="E146" s="3567" t="s">
        <v>2779</v>
      </c>
      <c r="F146" s="2903" t="s">
        <v>2780</v>
      </c>
      <c r="G146" s="138"/>
      <c r="H146" s="190"/>
      <c r="CH146" s="1020"/>
      <c r="CI146" s="1020"/>
      <c r="CJ146" s="1020"/>
      <c r="CK146" s="1020"/>
      <c r="CL146" s="1020"/>
      <c r="CM146" s="1020"/>
      <c r="CN146" s="1020"/>
      <c r="CO146" s="1020"/>
    </row>
    <row r="147" spans="1:93" ht="16.350000000000001" customHeight="1" x14ac:dyDescent="0.2">
      <c r="A147" s="2458">
        <v>25400430</v>
      </c>
      <c r="B147" s="371" t="s">
        <v>2599</v>
      </c>
      <c r="C147" s="349" t="s">
        <v>2777</v>
      </c>
      <c r="D147" s="2999" t="s">
        <v>2778</v>
      </c>
      <c r="E147" s="3567" t="s">
        <v>2779</v>
      </c>
      <c r="F147" s="2903" t="s">
        <v>2780</v>
      </c>
      <c r="G147" s="138"/>
      <c r="H147" s="190"/>
      <c r="CH147" s="1020"/>
      <c r="CI147" s="1020"/>
      <c r="CJ147" s="1020"/>
      <c r="CK147" s="1020"/>
      <c r="CL147" s="1020"/>
      <c r="CM147" s="1020"/>
      <c r="CN147" s="1020"/>
      <c r="CO147" s="1020"/>
    </row>
    <row r="148" spans="1:93" ht="16.350000000000001" customHeight="1" x14ac:dyDescent="0.2">
      <c r="A148" s="2458">
        <v>25400440</v>
      </c>
      <c r="B148" s="371" t="s">
        <v>2600</v>
      </c>
      <c r="C148" s="349" t="s">
        <v>2777</v>
      </c>
      <c r="D148" s="2999" t="s">
        <v>2778</v>
      </c>
      <c r="E148" s="3567" t="s">
        <v>2779</v>
      </c>
      <c r="F148" s="2903" t="s">
        <v>2780</v>
      </c>
      <c r="G148" s="138"/>
      <c r="H148" s="190"/>
      <c r="CH148" s="1020"/>
      <c r="CI148" s="1020"/>
      <c r="CJ148" s="1020"/>
      <c r="CK148" s="1020"/>
      <c r="CL148" s="1020"/>
      <c r="CM148" s="1020"/>
      <c r="CN148" s="1020"/>
      <c r="CO148" s="1020"/>
    </row>
    <row r="149" spans="1:93" ht="16.350000000000001" customHeight="1" x14ac:dyDescent="0.2">
      <c r="A149" s="2458">
        <v>25400450</v>
      </c>
      <c r="B149" s="371" t="s">
        <v>2601</v>
      </c>
      <c r="C149" s="349" t="s">
        <v>2777</v>
      </c>
      <c r="D149" s="2999" t="s">
        <v>2778</v>
      </c>
      <c r="E149" s="3567" t="s">
        <v>2779</v>
      </c>
      <c r="F149" s="2903" t="s">
        <v>2780</v>
      </c>
      <c r="G149" s="138"/>
      <c r="H149" s="190"/>
      <c r="CH149" s="1020"/>
      <c r="CI149" s="1020"/>
      <c r="CJ149" s="1020"/>
      <c r="CK149" s="1020"/>
      <c r="CL149" s="1020"/>
      <c r="CM149" s="1020"/>
      <c r="CN149" s="1020"/>
      <c r="CO149" s="1020"/>
    </row>
    <row r="150" spans="1:93" ht="16.350000000000001" customHeight="1" x14ac:dyDescent="0.2">
      <c r="A150" s="2458">
        <v>25400460</v>
      </c>
      <c r="B150" s="282" t="s">
        <v>109</v>
      </c>
      <c r="C150" s="482" t="s">
        <v>2777</v>
      </c>
      <c r="D150" s="3564" t="s">
        <v>2778</v>
      </c>
      <c r="E150" s="3568" t="s">
        <v>2779</v>
      </c>
      <c r="F150" s="2904" t="s">
        <v>2780</v>
      </c>
      <c r="G150" s="138"/>
      <c r="H150" s="190"/>
      <c r="CH150" s="1020"/>
      <c r="CI150" s="1020"/>
      <c r="CJ150" s="1020"/>
      <c r="CK150" s="1020"/>
      <c r="CL150" s="1020"/>
      <c r="CM150" s="1020"/>
      <c r="CN150" s="1020"/>
      <c r="CO150" s="1020"/>
    </row>
    <row r="151" spans="1:93" ht="16.350000000000001" customHeight="1" x14ac:dyDescent="0.2">
      <c r="B151" s="83" t="s">
        <v>2602</v>
      </c>
      <c r="G151" s="138"/>
      <c r="H151" s="190"/>
      <c r="CH151" s="1020"/>
      <c r="CI151" s="1020"/>
      <c r="CJ151" s="1020"/>
      <c r="CK151" s="1020"/>
      <c r="CL151" s="1020"/>
      <c r="CM151" s="1020"/>
      <c r="CN151" s="1020"/>
      <c r="CO151" s="1020"/>
    </row>
    <row r="152" spans="1:93" x14ac:dyDescent="0.2">
      <c r="CH152" s="1020"/>
      <c r="CI152" s="1020"/>
      <c r="CJ152" s="1020"/>
      <c r="CK152" s="1020"/>
      <c r="CL152" s="1020"/>
      <c r="CM152" s="1020"/>
      <c r="CN152" s="1020"/>
      <c r="CO152" s="1020"/>
    </row>
    <row r="153" spans="1:93" x14ac:dyDescent="0.2">
      <c r="CH153" s="1020"/>
      <c r="CI153" s="1020"/>
      <c r="CJ153" s="1020"/>
      <c r="CK153" s="1020"/>
      <c r="CL153" s="1020"/>
      <c r="CM153" s="1020"/>
      <c r="CN153" s="1020"/>
      <c r="CO153" s="1020"/>
    </row>
    <row r="154" spans="1:93" x14ac:dyDescent="0.2">
      <c r="CH154" s="1020"/>
      <c r="CI154" s="1020"/>
      <c r="CJ154" s="1020"/>
      <c r="CK154" s="1020"/>
      <c r="CL154" s="1020"/>
      <c r="CM154" s="1020"/>
      <c r="CN154" s="1020"/>
      <c r="CO154" s="1020"/>
    </row>
    <row r="155" spans="1:93" x14ac:dyDescent="0.2">
      <c r="CH155" s="1020"/>
      <c r="CI155" s="1020"/>
      <c r="CJ155" s="1020"/>
      <c r="CK155" s="1020"/>
      <c r="CL155" s="1020"/>
      <c r="CM155" s="1020"/>
      <c r="CN155" s="1020"/>
      <c r="CO155" s="1020"/>
    </row>
    <row r="156" spans="1:93" x14ac:dyDescent="0.2">
      <c r="CH156" s="1020"/>
      <c r="CI156" s="1020"/>
      <c r="CJ156" s="1020"/>
      <c r="CK156" s="1020"/>
      <c r="CL156" s="1020"/>
      <c r="CM156" s="1020"/>
      <c r="CN156" s="1020"/>
      <c r="CO156" s="1020"/>
    </row>
    <row r="157" spans="1:93" x14ac:dyDescent="0.2">
      <c r="CH157" s="1020"/>
      <c r="CI157" s="1020"/>
      <c r="CJ157" s="1020"/>
      <c r="CK157" s="1020"/>
      <c r="CL157" s="1020"/>
      <c r="CM157" s="1020"/>
      <c r="CN157" s="1020"/>
      <c r="CO157" s="1020"/>
    </row>
    <row r="194" spans="2:94" ht="11.25" customHeight="1" x14ac:dyDescent="0.2"/>
    <row r="195" spans="2:94" s="206" customFormat="1" hidden="1" x14ac:dyDescent="0.2">
      <c r="B195" s="206">
        <f>SUM(E12:E15,E22:E27,E31:E43,C49,D69:I69,D79:I79,D83:I88,D93:D98,D116:D121,D133,C141:C150,D53:D62,C102:C106,C109:C113,E16:E17,D136:D137)</f>
        <v>0</v>
      </c>
      <c r="C195" s="206">
        <f>SUM(CH5:CO157)</f>
        <v>0</v>
      </c>
      <c r="BZ195" s="1016"/>
      <c r="CA195" s="1016"/>
      <c r="CB195" s="1016"/>
      <c r="CC195" s="1016"/>
      <c r="CD195" s="1016"/>
      <c r="CE195" s="1016"/>
      <c r="CF195" s="1016"/>
      <c r="CG195" s="1016"/>
      <c r="CH195" s="1016"/>
      <c r="CI195" s="1016"/>
      <c r="CJ195" s="1016"/>
      <c r="CK195" s="1016"/>
      <c r="CL195" s="1016"/>
      <c r="CM195" s="1016"/>
      <c r="CN195" s="1016"/>
      <c r="CO195" s="1016"/>
      <c r="CP195" s="1016"/>
    </row>
  </sheetData>
  <mergeCells count="124">
    <mergeCell ref="A10:A11"/>
    <mergeCell ref="E139:E140"/>
    <mergeCell ref="F139:F140"/>
    <mergeCell ref="B133:C133"/>
    <mergeCell ref="B135:C135"/>
    <mergeCell ref="B136:B137"/>
    <mergeCell ref="B139:B140"/>
    <mergeCell ref="C139:C140"/>
    <mergeCell ref="D139:D140"/>
    <mergeCell ref="E125:F125"/>
    <mergeCell ref="B98:C98"/>
    <mergeCell ref="B100:F100"/>
    <mergeCell ref="B107:E107"/>
    <mergeCell ref="E112:E113"/>
    <mergeCell ref="F112:F113"/>
    <mergeCell ref="B115:C115"/>
    <mergeCell ref="B90:J90"/>
    <mergeCell ref="B91:C92"/>
    <mergeCell ref="D91:D92"/>
    <mergeCell ref="B93:C93"/>
    <mergeCell ref="B94:B96"/>
    <mergeCell ref="B97:C97"/>
    <mergeCell ref="B81:I81"/>
    <mergeCell ref="B82:C82"/>
    <mergeCell ref="G125:H125"/>
    <mergeCell ref="B127:C127"/>
    <mergeCell ref="B128:B130"/>
    <mergeCell ref="B131:C131"/>
    <mergeCell ref="B132:C132"/>
    <mergeCell ref="B116:C116"/>
    <mergeCell ref="B117:B119"/>
    <mergeCell ref="B120:C120"/>
    <mergeCell ref="B121:C121"/>
    <mergeCell ref="B125:C126"/>
    <mergeCell ref="D125:D126"/>
    <mergeCell ref="B83:C83"/>
    <mergeCell ref="B84:B86"/>
    <mergeCell ref="B87:C87"/>
    <mergeCell ref="B88:C88"/>
    <mergeCell ref="B74:C74"/>
    <mergeCell ref="B75:C75"/>
    <mergeCell ref="B76:C76"/>
    <mergeCell ref="B77:C77"/>
    <mergeCell ref="B78:C78"/>
    <mergeCell ref="B79:C79"/>
    <mergeCell ref="B66:C66"/>
    <mergeCell ref="B67:C67"/>
    <mergeCell ref="B68:C68"/>
    <mergeCell ref="B69:C69"/>
    <mergeCell ref="B71:M71"/>
    <mergeCell ref="B72:C73"/>
    <mergeCell ref="D72:D73"/>
    <mergeCell ref="E72:E73"/>
    <mergeCell ref="F72:H72"/>
    <mergeCell ref="I72:I73"/>
    <mergeCell ref="B56:B59"/>
    <mergeCell ref="B60:B61"/>
    <mergeCell ref="B62:C62"/>
    <mergeCell ref="B63:J63"/>
    <mergeCell ref="B64:C65"/>
    <mergeCell ref="D64:D65"/>
    <mergeCell ref="E64:E65"/>
    <mergeCell ref="F64:H64"/>
    <mergeCell ref="I64:I65"/>
    <mergeCell ref="B45:B46"/>
    <mergeCell ref="C45:C46"/>
    <mergeCell ref="B51:B52"/>
    <mergeCell ref="C51:C52"/>
    <mergeCell ref="D51:D52"/>
    <mergeCell ref="B53:B55"/>
    <mergeCell ref="C38:D38"/>
    <mergeCell ref="C39:D39"/>
    <mergeCell ref="B40:B43"/>
    <mergeCell ref="C40:C41"/>
    <mergeCell ref="C42:C43"/>
    <mergeCell ref="B44:I44"/>
    <mergeCell ref="B29:K29"/>
    <mergeCell ref="B30:D30"/>
    <mergeCell ref="B31:B39"/>
    <mergeCell ref="C31:D31"/>
    <mergeCell ref="C32:D32"/>
    <mergeCell ref="C33:D33"/>
    <mergeCell ref="C34:D34"/>
    <mergeCell ref="C35:D35"/>
    <mergeCell ref="C36:D36"/>
    <mergeCell ref="C37:D37"/>
    <mergeCell ref="Z20:AA20"/>
    <mergeCell ref="B22:B25"/>
    <mergeCell ref="C22:C23"/>
    <mergeCell ref="C24:C25"/>
    <mergeCell ref="B26:C27"/>
    <mergeCell ref="B28:D28"/>
    <mergeCell ref="H19:AA19"/>
    <mergeCell ref="H20:I20"/>
    <mergeCell ref="J20:K20"/>
    <mergeCell ref="L20:M20"/>
    <mergeCell ref="N20:O20"/>
    <mergeCell ref="P20:Q20"/>
    <mergeCell ref="R20:S20"/>
    <mergeCell ref="T20:U20"/>
    <mergeCell ref="V20:W20"/>
    <mergeCell ref="X20:Y20"/>
    <mergeCell ref="B15:D15"/>
    <mergeCell ref="B16:D16"/>
    <mergeCell ref="B17:D17"/>
    <mergeCell ref="B19:B21"/>
    <mergeCell ref="C19:D21"/>
    <mergeCell ref="E19:G20"/>
    <mergeCell ref="T10:U10"/>
    <mergeCell ref="V10:W10"/>
    <mergeCell ref="X10:Y10"/>
    <mergeCell ref="Z10:AA10"/>
    <mergeCell ref="B12:B13"/>
    <mergeCell ref="B14:C14"/>
    <mergeCell ref="B9:B11"/>
    <mergeCell ref="C9:D11"/>
    <mergeCell ref="E9:G10"/>
    <mergeCell ref="H9:AA9"/>
    <mergeCell ref="H10:I10"/>
    <mergeCell ref="J10:K10"/>
    <mergeCell ref="L10:M10"/>
    <mergeCell ref="N10:O10"/>
    <mergeCell ref="P10:Q10"/>
    <mergeCell ref="R10:S10"/>
  </mergeCells>
  <dataValidations count="2">
    <dataValidation type="whole" operator="greaterThanOrEqual" allowBlank="1" showInputMessage="1" showErrorMessage="1" error="Valor no Permitido" sqref="J72:M150 I83:I150 I9:I63 I66:I70 N9:AA150 J9:M70 G83:G150 I74:I81 B72:F150 H72:H150 G72:G81 B9:H70" xr:uid="{00000000-0002-0000-1000-000000000000}">
      <formula1>0</formula1>
    </dataValidation>
    <dataValidation operator="greaterThanOrEqual" allowBlank="1" showInputMessage="1" showErrorMessage="1" error="Valor no Permitido" sqref="I64:I65 B71:M71 I72:I73 I82 G82 B1:B5" xr:uid="{00000000-0002-0000-1000-000001000000}"/>
  </dataValidation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Hoja18">
    <tabColor theme="0"/>
  </sheetPr>
  <dimension ref="A1:DB195"/>
  <sheetViews>
    <sheetView showGridLines="0" topLeftCell="A54" zoomScaleNormal="100" workbookViewId="0">
      <selection activeCell="A55" sqref="A1:XFD1048576"/>
    </sheetView>
  </sheetViews>
  <sheetFormatPr baseColWidth="10" defaultColWidth="11.42578125" defaultRowHeight="14.25" x14ac:dyDescent="0.2"/>
  <cols>
    <col min="1" max="1" width="13.140625" style="1944" customWidth="1"/>
    <col min="2" max="2" width="40.42578125" style="80" customWidth="1"/>
    <col min="3" max="3" width="25.85546875" style="80" customWidth="1"/>
    <col min="4" max="4" width="18.28515625" style="80" customWidth="1"/>
    <col min="5" max="11" width="16" style="80" customWidth="1"/>
    <col min="12" max="12" width="18.42578125" style="80" customWidth="1"/>
    <col min="13" max="13" width="16.28515625" style="80" customWidth="1"/>
    <col min="14" max="14" width="13.42578125" style="80" customWidth="1"/>
    <col min="15" max="75" width="11.42578125" style="80"/>
    <col min="76" max="77" width="11.42578125" style="79"/>
    <col min="78" max="78" width="11.42578125" style="79" customWidth="1"/>
    <col min="79" max="79" width="11.28515625" style="79" customWidth="1"/>
    <col min="80" max="105" width="11.28515625" style="889" customWidth="1"/>
    <col min="106" max="106" width="11.28515625" style="80" customWidth="1"/>
    <col min="107" max="16384" width="11.42578125" style="80"/>
  </cols>
  <sheetData>
    <row r="1" spans="1:106" ht="16.350000000000001" customHeight="1" x14ac:dyDescent="0.2">
      <c r="B1" s="78" t="s">
        <v>910</v>
      </c>
    </row>
    <row r="2" spans="1:106" ht="16.350000000000001" customHeight="1" x14ac:dyDescent="0.2">
      <c r="B2" s="78" t="str">
        <f>CONCATENATE("COMUNA: ",[1]NOMBRE!B2," - ","( ",[1]NOMBRE!C2,[1]NOMBRE!D2,[1]NOMBRE!E2,[1]NOMBRE!F2,[1]NOMBRE!G2," )")</f>
        <v>COMUNA: 0 - ( 00000 )</v>
      </c>
    </row>
    <row r="3" spans="1:106" ht="16.350000000000001" customHeight="1" x14ac:dyDescent="0.2">
      <c r="B3" s="78" t="str">
        <f>CONCATENATE("ESTABLECIMIENTO/ESTRATEGIA: ",[1]NOMBRE!B3," - ","( ",[1]NOMBRE!C3,[1]NOMBRE!D3,[1]NOMBRE!E3,[1]NOMBRE!F3,[1]NOMBRE!G3,[1]NOMBRE!H3," )")</f>
        <v>ESTABLECIMIENTO/ESTRATEGIA: 0 - ( 000000 )</v>
      </c>
    </row>
    <row r="4" spans="1:106" ht="16.350000000000001" customHeight="1" x14ac:dyDescent="0.2">
      <c r="B4" s="78" t="str">
        <f>CONCATENATE("MES: ",[1]NOMBRE!B6," - ","( ",[1]NOMBRE!C6,[1]NOMBRE!D6," )")</f>
        <v>MES: 0 - ( 00 )</v>
      </c>
    </row>
    <row r="5" spans="1:106" ht="16.350000000000001" customHeight="1" x14ac:dyDescent="0.2">
      <c r="B5" s="78" t="str">
        <f>CONCATENATE("AÑO: ",[1]NOMBRE!B7)</f>
        <v>AÑO: 2020</v>
      </c>
    </row>
    <row r="6" spans="1:106" ht="15" customHeight="1" x14ac:dyDescent="0.2">
      <c r="B6" s="322"/>
      <c r="C6" s="322"/>
      <c r="D6" s="1741" t="s">
        <v>2123</v>
      </c>
      <c r="E6" s="322"/>
      <c r="F6" s="322"/>
      <c r="G6" s="322"/>
      <c r="H6" s="322"/>
      <c r="I6" s="1344"/>
      <c r="J6" s="84"/>
      <c r="K6" s="190"/>
      <c r="L6" s="190"/>
    </row>
    <row r="7" spans="1:106" ht="15" x14ac:dyDescent="0.2">
      <c r="B7" s="4226"/>
      <c r="C7" s="4226"/>
      <c r="D7" s="4226"/>
      <c r="E7" s="4226"/>
      <c r="F7" s="4226"/>
      <c r="G7" s="4226"/>
      <c r="H7" s="4226"/>
      <c r="I7" s="1344"/>
      <c r="J7" s="84"/>
      <c r="K7" s="190"/>
      <c r="L7" s="190"/>
      <c r="CH7" s="1020"/>
      <c r="CI7" s="1020"/>
      <c r="CJ7" s="1020"/>
      <c r="CK7" s="1020"/>
      <c r="CL7" s="1020"/>
      <c r="CM7" s="1020"/>
      <c r="CN7" s="1020"/>
      <c r="CO7" s="1020"/>
      <c r="CP7" s="1020"/>
    </row>
    <row r="8" spans="1:106" ht="32.1" customHeight="1" x14ac:dyDescent="0.2">
      <c r="A8" s="6648" t="s">
        <v>2775</v>
      </c>
      <c r="B8" s="2261" t="s">
        <v>2124</v>
      </c>
      <c r="C8" s="243"/>
      <c r="D8" s="243"/>
      <c r="E8" s="243"/>
      <c r="F8" s="243"/>
      <c r="G8" s="243"/>
      <c r="H8" s="85"/>
      <c r="I8" s="243"/>
      <c r="J8" s="378"/>
      <c r="K8" s="190"/>
      <c r="L8" s="190"/>
      <c r="CH8" s="1020"/>
      <c r="CI8" s="1020"/>
      <c r="CJ8" s="1020"/>
      <c r="CK8" s="1020"/>
      <c r="CL8" s="1020"/>
      <c r="CM8" s="1020"/>
      <c r="CN8" s="1020"/>
      <c r="CO8" s="1020"/>
      <c r="CP8" s="1020"/>
    </row>
    <row r="9" spans="1:106" ht="66.75" customHeight="1" x14ac:dyDescent="0.2">
      <c r="A9" s="6649"/>
      <c r="B9" s="5261" t="s">
        <v>676</v>
      </c>
      <c r="C9" s="5157"/>
      <c r="D9" s="4298" t="s">
        <v>42</v>
      </c>
      <c r="E9" s="4299" t="s">
        <v>675</v>
      </c>
      <c r="F9" s="4300" t="s">
        <v>2125</v>
      </c>
      <c r="G9" s="4300" t="s">
        <v>1799</v>
      </c>
      <c r="H9" s="4301" t="s">
        <v>69</v>
      </c>
      <c r="I9" s="4302" t="s">
        <v>1801</v>
      </c>
      <c r="J9" s="4303" t="s">
        <v>2126</v>
      </c>
      <c r="K9" s="4304" t="s">
        <v>2168</v>
      </c>
      <c r="L9" s="4305" t="s">
        <v>2169</v>
      </c>
      <c r="M9" s="4306" t="s">
        <v>3721</v>
      </c>
      <c r="N9" s="4307" t="s">
        <v>2128</v>
      </c>
      <c r="O9" s="4308" t="s">
        <v>23</v>
      </c>
      <c r="P9" s="94"/>
      <c r="Q9" s="94"/>
      <c r="R9" s="94"/>
      <c r="S9" s="94"/>
      <c r="T9" s="94"/>
      <c r="U9" s="94"/>
      <c r="V9" s="94"/>
      <c r="W9" s="94"/>
      <c r="X9" s="94"/>
      <c r="Y9" s="94"/>
      <c r="Z9" s="94"/>
      <c r="AA9" s="94"/>
      <c r="AB9" s="94"/>
      <c r="BX9" s="80"/>
      <c r="CH9" s="1020"/>
      <c r="CI9" s="1020"/>
      <c r="CJ9" s="1020"/>
      <c r="CK9" s="1020"/>
      <c r="CL9" s="1020"/>
      <c r="CM9" s="1020"/>
      <c r="CN9" s="1020"/>
      <c r="CO9" s="1020"/>
      <c r="CP9" s="1020"/>
    </row>
    <row r="10" spans="1:106" s="889" customFormat="1" ht="17.25" customHeight="1" x14ac:dyDescent="0.2">
      <c r="A10" s="3570">
        <v>26261000</v>
      </c>
      <c r="B10" s="6624" t="s">
        <v>2129</v>
      </c>
      <c r="C10" s="6625"/>
      <c r="D10" s="4227" t="s">
        <v>2777</v>
      </c>
      <c r="E10" s="4610" t="s">
        <v>2778</v>
      </c>
      <c r="F10" s="3434" t="s">
        <v>2779</v>
      </c>
      <c r="G10" s="3434" t="s">
        <v>2780</v>
      </c>
      <c r="H10" s="4611" t="s">
        <v>2781</v>
      </c>
      <c r="I10" s="3420" t="s">
        <v>2782</v>
      </c>
      <c r="J10" s="3573" t="s">
        <v>2783</v>
      </c>
      <c r="K10" s="4612" t="s">
        <v>2784</v>
      </c>
      <c r="L10" s="3420" t="s">
        <v>2785</v>
      </c>
      <c r="M10" s="3314" t="s">
        <v>2786</v>
      </c>
      <c r="N10" s="4613" t="s">
        <v>2787</v>
      </c>
      <c r="O10" s="3576" t="s">
        <v>2788</v>
      </c>
      <c r="P10" s="1162" t="e">
        <f>CB10&amp;CC10</f>
        <v>#VALUE!</v>
      </c>
      <c r="Q10" s="1058"/>
      <c r="R10" s="1058"/>
      <c r="S10" s="1058"/>
      <c r="T10" s="1058"/>
      <c r="U10" s="1058"/>
      <c r="V10" s="1058"/>
      <c r="W10" s="1058"/>
      <c r="X10" s="1058"/>
      <c r="Y10" s="1058"/>
      <c r="Z10" s="94"/>
      <c r="AA10" s="94"/>
      <c r="AB10" s="94"/>
      <c r="AC10" s="80"/>
      <c r="AD10" s="80"/>
      <c r="AE10" s="80"/>
      <c r="AF10" s="80"/>
      <c r="AG10" s="80"/>
      <c r="AH10" s="80"/>
      <c r="AI10" s="80"/>
      <c r="AJ10" s="80"/>
      <c r="AK10" s="80"/>
      <c r="AL10" s="80"/>
      <c r="AM10" s="80"/>
      <c r="AN10" s="80"/>
      <c r="AO10" s="80"/>
      <c r="AP10" s="80"/>
      <c r="AQ10" s="80"/>
      <c r="AR10" s="80"/>
      <c r="AS10" s="80"/>
      <c r="AT10" s="80"/>
      <c r="AU10" s="80"/>
      <c r="AV10" s="80"/>
      <c r="AW10" s="80"/>
      <c r="AX10" s="80"/>
      <c r="AY10" s="80"/>
      <c r="AZ10" s="80"/>
      <c r="BA10" s="80"/>
      <c r="BB10" s="80"/>
      <c r="BC10" s="80"/>
      <c r="BD10" s="80"/>
      <c r="BE10" s="80"/>
      <c r="BF10" s="80"/>
      <c r="BG10" s="80"/>
      <c r="BH10" s="80"/>
      <c r="BI10" s="80"/>
      <c r="BJ10" s="80"/>
      <c r="BK10" s="80"/>
      <c r="BL10" s="80"/>
      <c r="BM10" s="80"/>
      <c r="BN10" s="80"/>
      <c r="BO10" s="80"/>
      <c r="BP10" s="80"/>
      <c r="BQ10" s="80"/>
      <c r="BR10" s="80"/>
      <c r="BS10" s="80"/>
      <c r="BT10" s="80"/>
      <c r="BU10" s="80"/>
      <c r="BV10" s="80"/>
      <c r="BW10" s="80"/>
      <c r="BX10" s="80"/>
      <c r="BY10" s="79"/>
      <c r="BZ10" s="79"/>
      <c r="CA10" s="79"/>
      <c r="CB10" s="1031" t="e">
        <f>IF(CH10=1,"* La suma del número de Primera, Segunda y Tercera o más Visitas de Seguimiento debe coincidir con el Total. ","")</f>
        <v>#VALUE!</v>
      </c>
      <c r="CC10" s="1031" t="str">
        <f t="shared" ref="CC10:CC36" si="0">IF(CI10=1,"* Programa de Atención Domiciliaria a Personas con Dependencia Severa debe ser MENOR O IGUAL al Total. ","")</f>
        <v/>
      </c>
      <c r="CD10" s="1031"/>
      <c r="CE10" s="1031"/>
      <c r="CF10" s="1031"/>
      <c r="CG10" s="1031"/>
      <c r="CH10" s="1163" t="e">
        <f>IF((L10+K10+M10)&lt;&gt;D10,1,0)</f>
        <v>#VALUE!</v>
      </c>
      <c r="CI10" s="1163"/>
      <c r="CJ10" s="1020"/>
      <c r="CK10" s="1020"/>
      <c r="CL10" s="1020"/>
      <c r="CM10" s="1020"/>
      <c r="CN10" s="1020"/>
      <c r="CO10" s="1020"/>
      <c r="CP10" s="1020"/>
      <c r="DB10" s="80"/>
    </row>
    <row r="11" spans="1:106" s="889" customFormat="1" ht="17.25" customHeight="1" x14ac:dyDescent="0.2">
      <c r="A11" s="3097">
        <v>26260100</v>
      </c>
      <c r="B11" s="5313" t="s">
        <v>2130</v>
      </c>
      <c r="C11" s="5302"/>
      <c r="D11" s="4227" t="s">
        <v>2777</v>
      </c>
      <c r="E11" s="2901" t="s">
        <v>2778</v>
      </c>
      <c r="F11" s="3431" t="s">
        <v>2779</v>
      </c>
      <c r="G11" s="3431" t="s">
        <v>2780</v>
      </c>
      <c r="H11" s="3325" t="s">
        <v>2781</v>
      </c>
      <c r="I11" s="3331" t="s">
        <v>2782</v>
      </c>
      <c r="J11" s="3575" t="s">
        <v>2783</v>
      </c>
      <c r="K11" s="4614" t="s">
        <v>2784</v>
      </c>
      <c r="L11" s="3331" t="s">
        <v>2785</v>
      </c>
      <c r="M11" s="3325" t="s">
        <v>2786</v>
      </c>
      <c r="N11" s="4615" t="s">
        <v>2787</v>
      </c>
      <c r="O11" s="3576" t="s">
        <v>2788</v>
      </c>
      <c r="P11" s="1162" t="e">
        <f t="shared" ref="P11:P36" si="1">CB11&amp;CC11</f>
        <v>#VALUE!</v>
      </c>
      <c r="Q11" s="1058"/>
      <c r="R11" s="1058"/>
      <c r="S11" s="1058"/>
      <c r="T11" s="1058"/>
      <c r="U11" s="1058"/>
      <c r="V11" s="1058"/>
      <c r="W11" s="1058"/>
      <c r="X11" s="1058"/>
      <c r="Y11" s="1058"/>
      <c r="Z11" s="94"/>
      <c r="AA11" s="94"/>
      <c r="AB11" s="94"/>
      <c r="AC11" s="80"/>
      <c r="AD11" s="80"/>
      <c r="AE11" s="80"/>
      <c r="AF11" s="80"/>
      <c r="AG11" s="80"/>
      <c r="AH11" s="80"/>
      <c r="AI11" s="80"/>
      <c r="AJ11" s="80"/>
      <c r="AK11" s="80"/>
      <c r="AL11" s="80"/>
      <c r="AM11" s="80"/>
      <c r="AN11" s="80"/>
      <c r="AO11" s="80"/>
      <c r="AP11" s="80"/>
      <c r="AQ11" s="80"/>
      <c r="AR11" s="80"/>
      <c r="AS11" s="80"/>
      <c r="AT11" s="80"/>
      <c r="AU11" s="80"/>
      <c r="AV11" s="80"/>
      <c r="AW11" s="80"/>
      <c r="AX11" s="80"/>
      <c r="AY11" s="80"/>
      <c r="AZ11" s="80"/>
      <c r="BA11" s="80"/>
      <c r="BB11" s="80"/>
      <c r="BC11" s="80"/>
      <c r="BD11" s="80"/>
      <c r="BE11" s="80"/>
      <c r="BF11" s="80"/>
      <c r="BG11" s="80"/>
      <c r="BH11" s="80"/>
      <c r="BI11" s="80"/>
      <c r="BJ11" s="80"/>
      <c r="BK11" s="80"/>
      <c r="BL11" s="80"/>
      <c r="BM11" s="80"/>
      <c r="BN11" s="80"/>
      <c r="BO11" s="80"/>
      <c r="BP11" s="80"/>
      <c r="BQ11" s="80"/>
      <c r="BR11" s="80"/>
      <c r="BS11" s="80"/>
      <c r="BT11" s="80"/>
      <c r="BU11" s="80"/>
      <c r="BV11" s="80"/>
      <c r="BW11" s="80"/>
      <c r="BX11" s="80"/>
      <c r="BY11" s="79"/>
      <c r="BZ11" s="79"/>
      <c r="CA11" s="79"/>
      <c r="CB11" s="1031" t="e">
        <f t="shared" ref="CB11:CB36" si="2">IF(CH11=1,"* La suma del número de Primera, Segunda y Tercera o más Visitas de Seguimiento debe coincidir con el Total. ","")</f>
        <v>#VALUE!</v>
      </c>
      <c r="CC11" s="1031" t="str">
        <f t="shared" si="0"/>
        <v/>
      </c>
      <c r="CD11" s="1031"/>
      <c r="CE11" s="1031"/>
      <c r="CF11" s="1031"/>
      <c r="CG11" s="1031"/>
      <c r="CH11" s="1163" t="e">
        <f t="shared" ref="CH11:CH36" si="3">IF((L11+K11+M11)&lt;&gt;D11,1,0)</f>
        <v>#VALUE!</v>
      </c>
      <c r="CI11" s="1163"/>
      <c r="CJ11" s="1020"/>
      <c r="CK11" s="1020"/>
      <c r="CL11" s="1020"/>
      <c r="CM11" s="1020"/>
      <c r="CN11" s="1020"/>
      <c r="CO11" s="1020"/>
      <c r="CP11" s="1020"/>
      <c r="DB11" s="80"/>
    </row>
    <row r="12" spans="1:106" s="889" customFormat="1" ht="17.25" customHeight="1" x14ac:dyDescent="0.2">
      <c r="A12" s="3097">
        <v>26273101</v>
      </c>
      <c r="B12" s="5313" t="s">
        <v>2131</v>
      </c>
      <c r="C12" s="5302"/>
      <c r="D12" s="4227" t="s">
        <v>2777</v>
      </c>
      <c r="E12" s="2901" t="s">
        <v>2778</v>
      </c>
      <c r="F12" s="3431" t="s">
        <v>2779</v>
      </c>
      <c r="G12" s="3431" t="s">
        <v>2780</v>
      </c>
      <c r="H12" s="3325" t="s">
        <v>2781</v>
      </c>
      <c r="I12" s="3331" t="s">
        <v>2782</v>
      </c>
      <c r="J12" s="3575" t="s">
        <v>2783</v>
      </c>
      <c r="K12" s="4614" t="s">
        <v>2784</v>
      </c>
      <c r="L12" s="3331" t="s">
        <v>2785</v>
      </c>
      <c r="M12" s="3325" t="s">
        <v>2786</v>
      </c>
      <c r="N12" s="4615" t="s">
        <v>2787</v>
      </c>
      <c r="O12" s="3576" t="s">
        <v>2788</v>
      </c>
      <c r="P12" s="1162" t="e">
        <f t="shared" si="1"/>
        <v>#VALUE!</v>
      </c>
      <c r="Q12" s="1058"/>
      <c r="R12" s="1058"/>
      <c r="S12" s="1058"/>
      <c r="T12" s="1058"/>
      <c r="U12" s="1058"/>
      <c r="V12" s="1058"/>
      <c r="W12" s="1058"/>
      <c r="X12" s="1058"/>
      <c r="Y12" s="1058"/>
      <c r="Z12" s="94"/>
      <c r="AA12" s="94"/>
      <c r="AB12" s="94"/>
      <c r="AC12" s="80"/>
      <c r="AD12" s="80"/>
      <c r="AE12" s="80"/>
      <c r="AF12" s="80"/>
      <c r="AG12" s="80"/>
      <c r="AH12" s="80"/>
      <c r="AI12" s="80"/>
      <c r="AJ12" s="80"/>
      <c r="AK12" s="80"/>
      <c r="AL12" s="80"/>
      <c r="AM12" s="80"/>
      <c r="AN12" s="80"/>
      <c r="AO12" s="80"/>
      <c r="AP12" s="80"/>
      <c r="AQ12" s="80"/>
      <c r="AR12" s="80"/>
      <c r="AS12" s="80"/>
      <c r="AT12" s="80"/>
      <c r="AU12" s="80"/>
      <c r="AV12" s="80"/>
      <c r="AW12" s="80"/>
      <c r="AX12" s="80"/>
      <c r="AY12" s="80"/>
      <c r="AZ12" s="80"/>
      <c r="BA12" s="80"/>
      <c r="BB12" s="80"/>
      <c r="BC12" s="80"/>
      <c r="BD12" s="80"/>
      <c r="BE12" s="80"/>
      <c r="BF12" s="80"/>
      <c r="BG12" s="80"/>
      <c r="BH12" s="80"/>
      <c r="BI12" s="80"/>
      <c r="BJ12" s="80"/>
      <c r="BK12" s="80"/>
      <c r="BL12" s="80"/>
      <c r="BM12" s="80"/>
      <c r="BN12" s="80"/>
      <c r="BO12" s="80"/>
      <c r="BP12" s="80"/>
      <c r="BQ12" s="80"/>
      <c r="BR12" s="80"/>
      <c r="BS12" s="80"/>
      <c r="BT12" s="80"/>
      <c r="BU12" s="80"/>
      <c r="BV12" s="80"/>
      <c r="BW12" s="80"/>
      <c r="BX12" s="80"/>
      <c r="BY12" s="79"/>
      <c r="BZ12" s="79"/>
      <c r="CA12" s="79"/>
      <c r="CB12" s="1031" t="e">
        <f t="shared" si="2"/>
        <v>#VALUE!</v>
      </c>
      <c r="CC12" s="1031" t="str">
        <f t="shared" si="0"/>
        <v/>
      </c>
      <c r="CD12" s="1031"/>
      <c r="CE12" s="1031"/>
      <c r="CF12" s="1031"/>
      <c r="CG12" s="1031"/>
      <c r="CH12" s="1163" t="e">
        <f t="shared" si="3"/>
        <v>#VALUE!</v>
      </c>
      <c r="CI12" s="1163"/>
      <c r="CJ12" s="1020"/>
      <c r="CK12" s="1020"/>
      <c r="CL12" s="1020"/>
      <c r="CM12" s="1020"/>
      <c r="CN12" s="1020"/>
      <c r="CO12" s="1020"/>
      <c r="CP12" s="1020"/>
      <c r="DB12" s="80"/>
    </row>
    <row r="13" spans="1:106" s="889" customFormat="1" ht="17.25" customHeight="1" x14ac:dyDescent="0.2">
      <c r="A13" s="3570">
        <v>26274000</v>
      </c>
      <c r="B13" s="5313" t="s">
        <v>2132</v>
      </c>
      <c r="C13" s="5302"/>
      <c r="D13" s="4227" t="s">
        <v>2777</v>
      </c>
      <c r="E13" s="2901" t="s">
        <v>2778</v>
      </c>
      <c r="F13" s="3431" t="s">
        <v>2779</v>
      </c>
      <c r="G13" s="3431" t="s">
        <v>2780</v>
      </c>
      <c r="H13" s="3325" t="s">
        <v>2781</v>
      </c>
      <c r="I13" s="3331" t="s">
        <v>2782</v>
      </c>
      <c r="J13" s="3575" t="s">
        <v>2783</v>
      </c>
      <c r="K13" s="4614" t="s">
        <v>2784</v>
      </c>
      <c r="L13" s="3331" t="s">
        <v>2785</v>
      </c>
      <c r="M13" s="3325" t="s">
        <v>2786</v>
      </c>
      <c r="N13" s="4615" t="s">
        <v>2787</v>
      </c>
      <c r="O13" s="3576" t="s">
        <v>2788</v>
      </c>
      <c r="P13" s="1162" t="e">
        <f t="shared" si="1"/>
        <v>#VALUE!</v>
      </c>
      <c r="Q13" s="1058"/>
      <c r="R13" s="1058"/>
      <c r="S13" s="1058"/>
      <c r="T13" s="1058"/>
      <c r="U13" s="1058"/>
      <c r="V13" s="1058"/>
      <c r="W13" s="1058"/>
      <c r="X13" s="1058"/>
      <c r="Y13" s="1058"/>
      <c r="Z13" s="94"/>
      <c r="AA13" s="94"/>
      <c r="AB13" s="94"/>
      <c r="AC13" s="80"/>
      <c r="AD13" s="80"/>
      <c r="AE13" s="80"/>
      <c r="AF13" s="80"/>
      <c r="AG13" s="80"/>
      <c r="AH13" s="80"/>
      <c r="AI13" s="80"/>
      <c r="AJ13" s="80"/>
      <c r="AK13" s="80"/>
      <c r="AL13" s="80"/>
      <c r="AM13" s="80"/>
      <c r="AN13" s="80"/>
      <c r="AO13" s="80"/>
      <c r="AP13" s="80"/>
      <c r="AQ13" s="80"/>
      <c r="AR13" s="80"/>
      <c r="AS13" s="80"/>
      <c r="AT13" s="80"/>
      <c r="AU13" s="80"/>
      <c r="AV13" s="80"/>
      <c r="AW13" s="80"/>
      <c r="AX13" s="80"/>
      <c r="AY13" s="80"/>
      <c r="AZ13" s="80"/>
      <c r="BA13" s="80"/>
      <c r="BB13" s="80"/>
      <c r="BC13" s="80"/>
      <c r="BD13" s="80"/>
      <c r="BE13" s="80"/>
      <c r="BF13" s="80"/>
      <c r="BG13" s="80"/>
      <c r="BH13" s="80"/>
      <c r="BI13" s="80"/>
      <c r="BJ13" s="80"/>
      <c r="BK13" s="80"/>
      <c r="BL13" s="80"/>
      <c r="BM13" s="80"/>
      <c r="BN13" s="80"/>
      <c r="BO13" s="80"/>
      <c r="BP13" s="80"/>
      <c r="BQ13" s="80"/>
      <c r="BR13" s="80"/>
      <c r="BS13" s="80"/>
      <c r="BT13" s="80"/>
      <c r="BU13" s="80"/>
      <c r="BV13" s="80"/>
      <c r="BW13" s="80"/>
      <c r="BX13" s="80"/>
      <c r="BY13" s="79"/>
      <c r="BZ13" s="79"/>
      <c r="CA13" s="79"/>
      <c r="CB13" s="1031" t="e">
        <f t="shared" si="2"/>
        <v>#VALUE!</v>
      </c>
      <c r="CC13" s="1031" t="str">
        <f t="shared" si="0"/>
        <v/>
      </c>
      <c r="CD13" s="1031"/>
      <c r="CE13" s="1031"/>
      <c r="CF13" s="1031"/>
      <c r="CG13" s="1031"/>
      <c r="CH13" s="1163" t="e">
        <f t="shared" si="3"/>
        <v>#VALUE!</v>
      </c>
      <c r="CI13" s="1163"/>
      <c r="CJ13" s="1020"/>
      <c r="CK13" s="1020"/>
      <c r="CL13" s="1020"/>
      <c r="CM13" s="1020"/>
      <c r="CN13" s="1020"/>
      <c r="CO13" s="1020"/>
      <c r="CP13" s="1020"/>
      <c r="DB13" s="80"/>
    </row>
    <row r="14" spans="1:106" s="889" customFormat="1" ht="25.5" customHeight="1" x14ac:dyDescent="0.2">
      <c r="A14" s="3570">
        <v>26291000</v>
      </c>
      <c r="B14" s="5313" t="s">
        <v>2133</v>
      </c>
      <c r="C14" s="5302"/>
      <c r="D14" s="4227" t="s">
        <v>2777</v>
      </c>
      <c r="E14" s="2901" t="s">
        <v>2778</v>
      </c>
      <c r="F14" s="3431" t="s">
        <v>2779</v>
      </c>
      <c r="G14" s="3431" t="s">
        <v>2780</v>
      </c>
      <c r="H14" s="3325" t="s">
        <v>2781</v>
      </c>
      <c r="I14" s="3331" t="s">
        <v>2782</v>
      </c>
      <c r="J14" s="3575" t="s">
        <v>2783</v>
      </c>
      <c r="K14" s="4614" t="s">
        <v>2784</v>
      </c>
      <c r="L14" s="3331" t="s">
        <v>2785</v>
      </c>
      <c r="M14" s="3325" t="s">
        <v>2786</v>
      </c>
      <c r="N14" s="4615" t="s">
        <v>2787</v>
      </c>
      <c r="O14" s="3576" t="s">
        <v>2788</v>
      </c>
      <c r="P14" s="1162" t="e">
        <f t="shared" si="1"/>
        <v>#VALUE!</v>
      </c>
      <c r="Q14" s="1058"/>
      <c r="R14" s="1058"/>
      <c r="S14" s="1058"/>
      <c r="T14" s="1058"/>
      <c r="U14" s="1058"/>
      <c r="V14" s="1058"/>
      <c r="W14" s="1058"/>
      <c r="X14" s="1058"/>
      <c r="Y14" s="1058"/>
      <c r="Z14" s="94"/>
      <c r="AA14" s="94"/>
      <c r="AB14" s="94"/>
      <c r="AC14" s="80"/>
      <c r="AD14" s="80"/>
      <c r="AE14" s="80"/>
      <c r="AF14" s="80"/>
      <c r="AG14" s="80"/>
      <c r="AH14" s="80"/>
      <c r="AI14" s="80"/>
      <c r="AJ14" s="80"/>
      <c r="AK14" s="80"/>
      <c r="AL14" s="80"/>
      <c r="AM14" s="80"/>
      <c r="AN14" s="80"/>
      <c r="AO14" s="80"/>
      <c r="AP14" s="80"/>
      <c r="AQ14" s="80"/>
      <c r="AR14" s="80"/>
      <c r="AS14" s="80"/>
      <c r="AT14" s="80"/>
      <c r="AU14" s="80"/>
      <c r="AV14" s="80"/>
      <c r="AW14" s="80"/>
      <c r="AX14" s="80"/>
      <c r="AY14" s="80"/>
      <c r="AZ14" s="80"/>
      <c r="BA14" s="80"/>
      <c r="BB14" s="80"/>
      <c r="BC14" s="80"/>
      <c r="BD14" s="80"/>
      <c r="BE14" s="80"/>
      <c r="BF14" s="80"/>
      <c r="BG14" s="80"/>
      <c r="BH14" s="80"/>
      <c r="BI14" s="80"/>
      <c r="BJ14" s="80"/>
      <c r="BK14" s="80"/>
      <c r="BL14" s="80"/>
      <c r="BM14" s="80"/>
      <c r="BN14" s="80"/>
      <c r="BO14" s="80"/>
      <c r="BP14" s="80"/>
      <c r="BQ14" s="80"/>
      <c r="BR14" s="80"/>
      <c r="BS14" s="80"/>
      <c r="BT14" s="80"/>
      <c r="BU14" s="80"/>
      <c r="BV14" s="80"/>
      <c r="BW14" s="80"/>
      <c r="BX14" s="80"/>
      <c r="BY14" s="79"/>
      <c r="BZ14" s="79"/>
      <c r="CA14" s="79"/>
      <c r="CB14" s="1031" t="e">
        <f t="shared" si="2"/>
        <v>#VALUE!</v>
      </c>
      <c r="CC14" s="1031" t="str">
        <f t="shared" si="0"/>
        <v/>
      </c>
      <c r="CD14" s="1031"/>
      <c r="CE14" s="1031"/>
      <c r="CF14" s="1031"/>
      <c r="CG14" s="1031"/>
      <c r="CH14" s="1163" t="e">
        <f t="shared" si="3"/>
        <v>#VALUE!</v>
      </c>
      <c r="CI14" s="1163"/>
      <c r="CJ14" s="1020"/>
      <c r="CK14" s="1020"/>
      <c r="CL14" s="1020"/>
      <c r="CM14" s="1020"/>
      <c r="CN14" s="1020"/>
      <c r="CO14" s="1020"/>
      <c r="CP14" s="1020"/>
      <c r="DB14" s="80"/>
    </row>
    <row r="15" spans="1:106" s="889" customFormat="1" ht="27" customHeight="1" x14ac:dyDescent="0.2">
      <c r="A15" s="3570">
        <v>26291050</v>
      </c>
      <c r="B15" s="5313" t="s">
        <v>2134</v>
      </c>
      <c r="C15" s="5302"/>
      <c r="D15" s="4227" t="s">
        <v>2777</v>
      </c>
      <c r="E15" s="2901" t="s">
        <v>2778</v>
      </c>
      <c r="F15" s="3431" t="s">
        <v>2779</v>
      </c>
      <c r="G15" s="3431" t="s">
        <v>2780</v>
      </c>
      <c r="H15" s="3325" t="s">
        <v>2781</v>
      </c>
      <c r="I15" s="3331" t="s">
        <v>2782</v>
      </c>
      <c r="J15" s="3575" t="s">
        <v>2783</v>
      </c>
      <c r="K15" s="4614" t="s">
        <v>2784</v>
      </c>
      <c r="L15" s="3331" t="s">
        <v>2785</v>
      </c>
      <c r="M15" s="3325" t="s">
        <v>2786</v>
      </c>
      <c r="N15" s="4615" t="s">
        <v>2787</v>
      </c>
      <c r="O15" s="3576" t="s">
        <v>2788</v>
      </c>
      <c r="P15" s="1162" t="e">
        <f t="shared" si="1"/>
        <v>#VALUE!</v>
      </c>
      <c r="Q15" s="1058"/>
      <c r="R15" s="1058"/>
      <c r="S15" s="1058"/>
      <c r="T15" s="1058"/>
      <c r="U15" s="1058"/>
      <c r="V15" s="1058"/>
      <c r="W15" s="1058"/>
      <c r="X15" s="1058"/>
      <c r="Y15" s="1058"/>
      <c r="Z15" s="94"/>
      <c r="AA15" s="94"/>
      <c r="AB15" s="94"/>
      <c r="AC15" s="80"/>
      <c r="AD15" s="80"/>
      <c r="AE15" s="80"/>
      <c r="AF15" s="80"/>
      <c r="AG15" s="80"/>
      <c r="AH15" s="80"/>
      <c r="AI15" s="80"/>
      <c r="AJ15" s="80"/>
      <c r="AK15" s="80"/>
      <c r="AL15" s="80"/>
      <c r="AM15" s="80"/>
      <c r="AN15" s="80"/>
      <c r="AO15" s="80"/>
      <c r="AP15" s="80"/>
      <c r="AQ15" s="80"/>
      <c r="AR15" s="80"/>
      <c r="AS15" s="80"/>
      <c r="AT15" s="80"/>
      <c r="AU15" s="80"/>
      <c r="AV15" s="80"/>
      <c r="AW15" s="80"/>
      <c r="AX15" s="80"/>
      <c r="AY15" s="80"/>
      <c r="AZ15" s="80"/>
      <c r="BA15" s="80"/>
      <c r="BB15" s="80"/>
      <c r="BC15" s="80"/>
      <c r="BD15" s="80"/>
      <c r="BE15" s="80"/>
      <c r="BF15" s="80"/>
      <c r="BG15" s="80"/>
      <c r="BH15" s="80"/>
      <c r="BI15" s="80"/>
      <c r="BJ15" s="80"/>
      <c r="BK15" s="80"/>
      <c r="BL15" s="80"/>
      <c r="BM15" s="80"/>
      <c r="BN15" s="80"/>
      <c r="BO15" s="80"/>
      <c r="BP15" s="80"/>
      <c r="BQ15" s="80"/>
      <c r="BR15" s="80"/>
      <c r="BS15" s="80"/>
      <c r="BT15" s="80"/>
      <c r="BU15" s="80"/>
      <c r="BV15" s="80"/>
      <c r="BW15" s="80"/>
      <c r="BX15" s="80"/>
      <c r="BY15" s="79"/>
      <c r="BZ15" s="79"/>
      <c r="CA15" s="79"/>
      <c r="CB15" s="1031" t="e">
        <f t="shared" si="2"/>
        <v>#VALUE!</v>
      </c>
      <c r="CC15" s="1031" t="str">
        <f t="shared" si="0"/>
        <v/>
      </c>
      <c r="CD15" s="1031"/>
      <c r="CE15" s="1031"/>
      <c r="CF15" s="1031"/>
      <c r="CG15" s="1031"/>
      <c r="CH15" s="1163" t="e">
        <f t="shared" si="3"/>
        <v>#VALUE!</v>
      </c>
      <c r="CI15" s="1163"/>
      <c r="CJ15" s="1020"/>
      <c r="CK15" s="1020"/>
      <c r="CL15" s="1020"/>
      <c r="CM15" s="1020"/>
      <c r="CN15" s="1020"/>
      <c r="CO15" s="1020"/>
      <c r="CP15" s="1020"/>
      <c r="DB15" s="80"/>
    </row>
    <row r="16" spans="1:106" s="889" customFormat="1" ht="22.5" customHeight="1" x14ac:dyDescent="0.2">
      <c r="A16" s="3570">
        <v>26291100</v>
      </c>
      <c r="B16" s="5313" t="s">
        <v>2135</v>
      </c>
      <c r="C16" s="5302"/>
      <c r="D16" s="4227" t="s">
        <v>2777</v>
      </c>
      <c r="E16" s="2901" t="s">
        <v>2778</v>
      </c>
      <c r="F16" s="3431" t="s">
        <v>2779</v>
      </c>
      <c r="G16" s="3431" t="s">
        <v>2780</v>
      </c>
      <c r="H16" s="3325" t="s">
        <v>2781</v>
      </c>
      <c r="I16" s="3331" t="s">
        <v>2782</v>
      </c>
      <c r="J16" s="3575" t="s">
        <v>2783</v>
      </c>
      <c r="K16" s="4614" t="s">
        <v>2784</v>
      </c>
      <c r="L16" s="3331" t="s">
        <v>2785</v>
      </c>
      <c r="M16" s="3325" t="s">
        <v>2786</v>
      </c>
      <c r="N16" s="4615" t="s">
        <v>2787</v>
      </c>
      <c r="O16" s="3576" t="s">
        <v>2788</v>
      </c>
      <c r="P16" s="1162" t="e">
        <f t="shared" si="1"/>
        <v>#VALUE!</v>
      </c>
      <c r="Q16" s="1058"/>
      <c r="R16" s="1058"/>
      <c r="S16" s="1058"/>
      <c r="T16" s="1058"/>
      <c r="U16" s="1058"/>
      <c r="V16" s="1058"/>
      <c r="W16" s="1058"/>
      <c r="X16" s="1058"/>
      <c r="Y16" s="1058"/>
      <c r="Z16" s="94"/>
      <c r="AA16" s="94"/>
      <c r="AB16" s="94"/>
      <c r="AC16" s="80"/>
      <c r="AD16" s="80"/>
      <c r="AE16" s="80"/>
      <c r="AF16" s="80"/>
      <c r="AG16" s="80"/>
      <c r="AH16" s="80"/>
      <c r="AI16" s="80"/>
      <c r="AJ16" s="80"/>
      <c r="AK16" s="80"/>
      <c r="AL16" s="80"/>
      <c r="AM16" s="80"/>
      <c r="AN16" s="80"/>
      <c r="AO16" s="80"/>
      <c r="AP16" s="80"/>
      <c r="AQ16" s="80"/>
      <c r="AR16" s="80"/>
      <c r="AS16" s="80"/>
      <c r="AT16" s="80"/>
      <c r="AU16" s="80"/>
      <c r="AV16" s="80"/>
      <c r="AW16" s="80"/>
      <c r="AX16" s="80"/>
      <c r="AY16" s="80"/>
      <c r="AZ16" s="80"/>
      <c r="BA16" s="80"/>
      <c r="BB16" s="80"/>
      <c r="BC16" s="80"/>
      <c r="BD16" s="80"/>
      <c r="BE16" s="80"/>
      <c r="BF16" s="80"/>
      <c r="BG16" s="80"/>
      <c r="BH16" s="80"/>
      <c r="BI16" s="80"/>
      <c r="BJ16" s="80"/>
      <c r="BK16" s="80"/>
      <c r="BL16" s="80"/>
      <c r="BM16" s="80"/>
      <c r="BN16" s="80"/>
      <c r="BO16" s="80"/>
      <c r="BP16" s="80"/>
      <c r="BQ16" s="80"/>
      <c r="BR16" s="80"/>
      <c r="BS16" s="80"/>
      <c r="BT16" s="80"/>
      <c r="BU16" s="80"/>
      <c r="BV16" s="80"/>
      <c r="BW16" s="80"/>
      <c r="BX16" s="80"/>
      <c r="BY16" s="79"/>
      <c r="BZ16" s="79"/>
      <c r="CA16" s="79"/>
      <c r="CB16" s="1031" t="e">
        <f t="shared" si="2"/>
        <v>#VALUE!</v>
      </c>
      <c r="CC16" s="1031" t="str">
        <f t="shared" si="0"/>
        <v/>
      </c>
      <c r="CD16" s="1031"/>
      <c r="CE16" s="1031"/>
      <c r="CF16" s="1031"/>
      <c r="CG16" s="1031"/>
      <c r="CH16" s="1163" t="e">
        <f t="shared" si="3"/>
        <v>#VALUE!</v>
      </c>
      <c r="CI16" s="1163"/>
      <c r="CJ16" s="1020"/>
      <c r="CK16" s="1020"/>
      <c r="CL16" s="1020"/>
      <c r="CM16" s="1020"/>
      <c r="CN16" s="1020"/>
      <c r="CO16" s="1020"/>
      <c r="CP16" s="1020"/>
      <c r="DB16" s="80"/>
    </row>
    <row r="17" spans="1:106" s="889" customFormat="1" ht="17.25" customHeight="1" x14ac:dyDescent="0.2">
      <c r="A17" s="3570">
        <v>26273102</v>
      </c>
      <c r="B17" s="5313" t="s">
        <v>2136</v>
      </c>
      <c r="C17" s="5302"/>
      <c r="D17" s="4227" t="s">
        <v>2777</v>
      </c>
      <c r="E17" s="2901" t="s">
        <v>2778</v>
      </c>
      <c r="F17" s="3431" t="s">
        <v>2779</v>
      </c>
      <c r="G17" s="3431" t="s">
        <v>2780</v>
      </c>
      <c r="H17" s="3325" t="s">
        <v>2781</v>
      </c>
      <c r="I17" s="3331" t="s">
        <v>2782</v>
      </c>
      <c r="J17" s="3575" t="s">
        <v>2783</v>
      </c>
      <c r="K17" s="4614" t="s">
        <v>2784</v>
      </c>
      <c r="L17" s="3331" t="s">
        <v>2785</v>
      </c>
      <c r="M17" s="3325" t="s">
        <v>2786</v>
      </c>
      <c r="N17" s="4615" t="s">
        <v>2787</v>
      </c>
      <c r="O17" s="3576" t="s">
        <v>2788</v>
      </c>
      <c r="P17" s="1162" t="e">
        <f t="shared" si="1"/>
        <v>#VALUE!</v>
      </c>
      <c r="Q17" s="1058"/>
      <c r="R17" s="1058"/>
      <c r="S17" s="1058"/>
      <c r="T17" s="1058"/>
      <c r="U17" s="1058"/>
      <c r="V17" s="1058"/>
      <c r="W17" s="1058"/>
      <c r="X17" s="1058"/>
      <c r="Y17" s="1058"/>
      <c r="Z17" s="94"/>
      <c r="AA17" s="94"/>
      <c r="AB17" s="94"/>
      <c r="AC17" s="80"/>
      <c r="AD17" s="80"/>
      <c r="AE17" s="80"/>
      <c r="AF17" s="80"/>
      <c r="AG17" s="80"/>
      <c r="AH17" s="80"/>
      <c r="AI17" s="80"/>
      <c r="AJ17" s="80"/>
      <c r="AK17" s="80"/>
      <c r="AL17" s="80"/>
      <c r="AM17" s="80"/>
      <c r="AN17" s="80"/>
      <c r="AO17" s="80"/>
      <c r="AP17" s="80"/>
      <c r="AQ17" s="80"/>
      <c r="AR17" s="80"/>
      <c r="AS17" s="80"/>
      <c r="AT17" s="80"/>
      <c r="AU17" s="80"/>
      <c r="AV17" s="80"/>
      <c r="AW17" s="80"/>
      <c r="AX17" s="80"/>
      <c r="AY17" s="80"/>
      <c r="AZ17" s="80"/>
      <c r="BA17" s="80"/>
      <c r="BB17" s="80"/>
      <c r="BC17" s="80"/>
      <c r="BD17" s="80"/>
      <c r="BE17" s="80"/>
      <c r="BF17" s="80"/>
      <c r="BG17" s="80"/>
      <c r="BH17" s="80"/>
      <c r="BI17" s="80"/>
      <c r="BJ17" s="80"/>
      <c r="BK17" s="80"/>
      <c r="BL17" s="80"/>
      <c r="BM17" s="80"/>
      <c r="BN17" s="80"/>
      <c r="BO17" s="80"/>
      <c r="BP17" s="80"/>
      <c r="BQ17" s="80"/>
      <c r="BR17" s="80"/>
      <c r="BS17" s="80"/>
      <c r="BT17" s="80"/>
      <c r="BU17" s="80"/>
      <c r="BV17" s="80"/>
      <c r="BW17" s="80"/>
      <c r="BX17" s="80"/>
      <c r="BY17" s="79"/>
      <c r="BZ17" s="79"/>
      <c r="CA17" s="79"/>
      <c r="CB17" s="1031" t="e">
        <f t="shared" si="2"/>
        <v>#VALUE!</v>
      </c>
      <c r="CC17" s="1031" t="str">
        <f t="shared" si="0"/>
        <v/>
      </c>
      <c r="CD17" s="1031"/>
      <c r="CE17" s="1031"/>
      <c r="CF17" s="1031"/>
      <c r="CG17" s="1031"/>
      <c r="CH17" s="1163" t="e">
        <f t="shared" si="3"/>
        <v>#VALUE!</v>
      </c>
      <c r="CI17" s="1163"/>
      <c r="CJ17" s="1020"/>
      <c r="CK17" s="1020"/>
      <c r="CL17" s="1020"/>
      <c r="CM17" s="1020"/>
      <c r="CN17" s="1020"/>
      <c r="CO17" s="1020"/>
      <c r="CP17" s="1020"/>
      <c r="DB17" s="80"/>
    </row>
    <row r="18" spans="1:106" s="889" customFormat="1" ht="23.25" customHeight="1" x14ac:dyDescent="0.2">
      <c r="A18" s="3097">
        <v>26274600</v>
      </c>
      <c r="B18" s="5313" t="s">
        <v>2137</v>
      </c>
      <c r="C18" s="5303"/>
      <c r="D18" s="4227" t="s">
        <v>2777</v>
      </c>
      <c r="E18" s="2901" t="s">
        <v>2778</v>
      </c>
      <c r="F18" s="3431" t="s">
        <v>2779</v>
      </c>
      <c r="G18" s="3431" t="s">
        <v>2780</v>
      </c>
      <c r="H18" s="3325" t="s">
        <v>2781</v>
      </c>
      <c r="I18" s="3331" t="s">
        <v>2782</v>
      </c>
      <c r="J18" s="3575" t="s">
        <v>2783</v>
      </c>
      <c r="K18" s="4614" t="s">
        <v>2784</v>
      </c>
      <c r="L18" s="3331" t="s">
        <v>2785</v>
      </c>
      <c r="M18" s="3325" t="s">
        <v>2786</v>
      </c>
      <c r="N18" s="3576" t="s">
        <v>2787</v>
      </c>
      <c r="O18" s="3576" t="s">
        <v>2788</v>
      </c>
      <c r="P18" s="1162" t="e">
        <f t="shared" si="1"/>
        <v>#VALUE!</v>
      </c>
      <c r="Q18" s="1058"/>
      <c r="R18" s="1058"/>
      <c r="S18" s="1058"/>
      <c r="T18" s="1058"/>
      <c r="U18" s="1058"/>
      <c r="V18" s="1058"/>
      <c r="W18" s="1058"/>
      <c r="X18" s="1058"/>
      <c r="Y18" s="1058"/>
      <c r="Z18" s="94"/>
      <c r="AA18" s="94"/>
      <c r="AB18" s="94"/>
      <c r="AC18" s="80"/>
      <c r="AD18" s="80"/>
      <c r="AE18" s="80"/>
      <c r="AF18" s="80"/>
      <c r="AG18" s="80"/>
      <c r="AH18" s="80"/>
      <c r="AI18" s="80"/>
      <c r="AJ18" s="80"/>
      <c r="AK18" s="80"/>
      <c r="AL18" s="80"/>
      <c r="AM18" s="80"/>
      <c r="AN18" s="80"/>
      <c r="AO18" s="80"/>
      <c r="AP18" s="80"/>
      <c r="AQ18" s="80"/>
      <c r="AR18" s="80"/>
      <c r="AS18" s="80"/>
      <c r="AT18" s="80"/>
      <c r="AU18" s="80"/>
      <c r="AV18" s="80"/>
      <c r="AW18" s="80"/>
      <c r="AX18" s="80"/>
      <c r="AY18" s="80"/>
      <c r="AZ18" s="80"/>
      <c r="BA18" s="80"/>
      <c r="BB18" s="80"/>
      <c r="BC18" s="80"/>
      <c r="BD18" s="80"/>
      <c r="BE18" s="80"/>
      <c r="BF18" s="80"/>
      <c r="BG18" s="80"/>
      <c r="BH18" s="80"/>
      <c r="BI18" s="80"/>
      <c r="BJ18" s="80"/>
      <c r="BK18" s="80"/>
      <c r="BL18" s="80"/>
      <c r="BM18" s="80"/>
      <c r="BN18" s="80"/>
      <c r="BO18" s="80"/>
      <c r="BP18" s="80"/>
      <c r="BQ18" s="80"/>
      <c r="BR18" s="80"/>
      <c r="BS18" s="80"/>
      <c r="BT18" s="80"/>
      <c r="BU18" s="80"/>
      <c r="BV18" s="80"/>
      <c r="BW18" s="80"/>
      <c r="BX18" s="80"/>
      <c r="BY18" s="79"/>
      <c r="BZ18" s="79"/>
      <c r="CA18" s="79"/>
      <c r="CB18" s="1031" t="e">
        <f t="shared" si="2"/>
        <v>#VALUE!</v>
      </c>
      <c r="CC18" s="1031" t="str">
        <f>IF(CI18=1,"* Programa de Atención Domiciliaria a Personas con Dependencia Severa debe ser MENOR O IGUAL al Total. ","")</f>
        <v xml:space="preserve">* Programa de Atención Domiciliaria a Personas con Dependencia Severa debe ser MENOR O IGUAL al Total. </v>
      </c>
      <c r="CD18" s="1031"/>
      <c r="CE18" s="1031"/>
      <c r="CF18" s="1031"/>
      <c r="CG18" s="1031"/>
      <c r="CH18" s="1163" t="e">
        <f t="shared" si="3"/>
        <v>#VALUE!</v>
      </c>
      <c r="CI18" s="1163">
        <f t="shared" ref="CI18:CI31" si="4">IF(N18&gt;D18,1,0)</f>
        <v>1</v>
      </c>
      <c r="CJ18" s="1020"/>
      <c r="CK18" s="1020"/>
      <c r="CL18" s="1020"/>
      <c r="CM18" s="1020"/>
      <c r="CN18" s="1020"/>
      <c r="CO18" s="1020"/>
      <c r="CP18" s="1020"/>
      <c r="DB18" s="80"/>
    </row>
    <row r="19" spans="1:106" s="889" customFormat="1" ht="17.25" customHeight="1" x14ac:dyDescent="0.2">
      <c r="A19" s="3097">
        <v>26262300</v>
      </c>
      <c r="B19" s="5313" t="s">
        <v>2138</v>
      </c>
      <c r="C19" s="5302"/>
      <c r="D19" s="4227" t="s">
        <v>2777</v>
      </c>
      <c r="E19" s="2901" t="s">
        <v>2778</v>
      </c>
      <c r="F19" s="3431" t="s">
        <v>2779</v>
      </c>
      <c r="G19" s="3431" t="s">
        <v>2780</v>
      </c>
      <c r="H19" s="3325" t="s">
        <v>2781</v>
      </c>
      <c r="I19" s="3331" t="s">
        <v>2782</v>
      </c>
      <c r="J19" s="3575" t="s">
        <v>2783</v>
      </c>
      <c r="K19" s="4614" t="s">
        <v>2784</v>
      </c>
      <c r="L19" s="3331" t="s">
        <v>2785</v>
      </c>
      <c r="M19" s="3325" t="s">
        <v>2786</v>
      </c>
      <c r="N19" s="3576" t="s">
        <v>2787</v>
      </c>
      <c r="O19" s="3576" t="s">
        <v>2788</v>
      </c>
      <c r="P19" s="1162" t="e">
        <f t="shared" si="1"/>
        <v>#VALUE!</v>
      </c>
      <c r="Q19" s="1058"/>
      <c r="R19" s="1058"/>
      <c r="S19" s="1058"/>
      <c r="T19" s="1058"/>
      <c r="U19" s="1058"/>
      <c r="V19" s="1058"/>
      <c r="W19" s="1058"/>
      <c r="X19" s="1058"/>
      <c r="Y19" s="1058"/>
      <c r="Z19" s="94"/>
      <c r="AA19" s="94"/>
      <c r="AB19" s="94"/>
      <c r="AC19" s="80"/>
      <c r="AD19" s="80"/>
      <c r="AE19" s="80"/>
      <c r="AF19" s="80"/>
      <c r="AG19" s="80"/>
      <c r="AH19" s="80"/>
      <c r="AI19" s="80"/>
      <c r="AJ19" s="80"/>
      <c r="AK19" s="80"/>
      <c r="AL19" s="80"/>
      <c r="AM19" s="80"/>
      <c r="AN19" s="80"/>
      <c r="AO19" s="80"/>
      <c r="AP19" s="80"/>
      <c r="AQ19" s="80"/>
      <c r="AR19" s="80"/>
      <c r="AS19" s="80"/>
      <c r="AT19" s="80"/>
      <c r="AU19" s="80"/>
      <c r="AV19" s="80"/>
      <c r="AW19" s="80"/>
      <c r="AX19" s="80"/>
      <c r="AY19" s="80"/>
      <c r="AZ19" s="80"/>
      <c r="BA19" s="80"/>
      <c r="BB19" s="80"/>
      <c r="BC19" s="80"/>
      <c r="BD19" s="80"/>
      <c r="BE19" s="80"/>
      <c r="BF19" s="80"/>
      <c r="BG19" s="80"/>
      <c r="BH19" s="80"/>
      <c r="BI19" s="80"/>
      <c r="BJ19" s="80"/>
      <c r="BK19" s="80"/>
      <c r="BL19" s="80"/>
      <c r="BM19" s="80"/>
      <c r="BN19" s="80"/>
      <c r="BO19" s="80"/>
      <c r="BP19" s="80"/>
      <c r="BQ19" s="80"/>
      <c r="BR19" s="80"/>
      <c r="BS19" s="80"/>
      <c r="BT19" s="80"/>
      <c r="BU19" s="80"/>
      <c r="BV19" s="80"/>
      <c r="BW19" s="80"/>
      <c r="BX19" s="80"/>
      <c r="BY19" s="79"/>
      <c r="BZ19" s="79"/>
      <c r="CA19" s="79"/>
      <c r="CB19" s="1031" t="e">
        <f t="shared" si="2"/>
        <v>#VALUE!</v>
      </c>
      <c r="CC19" s="1031" t="str">
        <f t="shared" si="0"/>
        <v xml:space="preserve">* Programa de Atención Domiciliaria a Personas con Dependencia Severa debe ser MENOR O IGUAL al Total. </v>
      </c>
      <c r="CD19" s="1031"/>
      <c r="CE19" s="1031"/>
      <c r="CF19" s="1031"/>
      <c r="CG19" s="1031"/>
      <c r="CH19" s="1163" t="e">
        <f t="shared" si="3"/>
        <v>#VALUE!</v>
      </c>
      <c r="CI19" s="1163">
        <f t="shared" si="4"/>
        <v>1</v>
      </c>
      <c r="CJ19" s="1020"/>
      <c r="CK19" s="1020"/>
      <c r="CL19" s="1020"/>
      <c r="CM19" s="1020"/>
      <c r="CN19" s="1020"/>
      <c r="CO19" s="1020"/>
      <c r="CP19" s="1020"/>
      <c r="DB19" s="80"/>
    </row>
    <row r="20" spans="1:106" s="889" customFormat="1" ht="17.25" customHeight="1" x14ac:dyDescent="0.2">
      <c r="A20" s="3570">
        <v>26273103</v>
      </c>
      <c r="B20" s="5313" t="s">
        <v>2139</v>
      </c>
      <c r="C20" s="5302"/>
      <c r="D20" s="4227" t="s">
        <v>2777</v>
      </c>
      <c r="E20" s="2901" t="s">
        <v>2778</v>
      </c>
      <c r="F20" s="3431" t="s">
        <v>2779</v>
      </c>
      <c r="G20" s="3431" t="s">
        <v>2780</v>
      </c>
      <c r="H20" s="3325" t="s">
        <v>2781</v>
      </c>
      <c r="I20" s="3331" t="s">
        <v>2782</v>
      </c>
      <c r="J20" s="3575" t="s">
        <v>2783</v>
      </c>
      <c r="K20" s="4614" t="s">
        <v>2784</v>
      </c>
      <c r="L20" s="3331" t="s">
        <v>2785</v>
      </c>
      <c r="M20" s="3325" t="s">
        <v>2786</v>
      </c>
      <c r="N20" s="3576" t="s">
        <v>2787</v>
      </c>
      <c r="O20" s="3576" t="s">
        <v>2788</v>
      </c>
      <c r="P20" s="1162" t="e">
        <f t="shared" si="1"/>
        <v>#VALUE!</v>
      </c>
      <c r="Q20" s="1058"/>
      <c r="R20" s="1058"/>
      <c r="S20" s="1058"/>
      <c r="T20" s="1058"/>
      <c r="U20" s="1058"/>
      <c r="V20" s="1058"/>
      <c r="W20" s="1058"/>
      <c r="X20" s="1058"/>
      <c r="Y20" s="1058"/>
      <c r="Z20" s="94"/>
      <c r="AA20" s="94"/>
      <c r="AB20" s="94"/>
      <c r="AC20" s="80"/>
      <c r="AD20" s="80"/>
      <c r="AE20" s="80"/>
      <c r="AF20" s="80"/>
      <c r="AG20" s="80"/>
      <c r="AH20" s="80"/>
      <c r="AI20" s="80"/>
      <c r="AJ20" s="80"/>
      <c r="AK20" s="80"/>
      <c r="AL20" s="80"/>
      <c r="AM20" s="80"/>
      <c r="AN20" s="80"/>
      <c r="AO20" s="80"/>
      <c r="AP20" s="80"/>
      <c r="AQ20" s="80"/>
      <c r="AR20" s="80"/>
      <c r="AS20" s="80"/>
      <c r="AT20" s="80"/>
      <c r="AU20" s="80"/>
      <c r="AV20" s="80"/>
      <c r="AW20" s="80"/>
      <c r="AX20" s="80"/>
      <c r="AY20" s="80"/>
      <c r="AZ20" s="80"/>
      <c r="BA20" s="80"/>
      <c r="BB20" s="80"/>
      <c r="BC20" s="80"/>
      <c r="BD20" s="80"/>
      <c r="BE20" s="80"/>
      <c r="BF20" s="80"/>
      <c r="BG20" s="80"/>
      <c r="BH20" s="80"/>
      <c r="BI20" s="80"/>
      <c r="BJ20" s="80"/>
      <c r="BK20" s="80"/>
      <c r="BL20" s="80"/>
      <c r="BM20" s="80"/>
      <c r="BN20" s="80"/>
      <c r="BO20" s="80"/>
      <c r="BP20" s="80"/>
      <c r="BQ20" s="80"/>
      <c r="BR20" s="80"/>
      <c r="BS20" s="80"/>
      <c r="BT20" s="80"/>
      <c r="BU20" s="80"/>
      <c r="BV20" s="80"/>
      <c r="BW20" s="80"/>
      <c r="BX20" s="80"/>
      <c r="BY20" s="79"/>
      <c r="BZ20" s="79"/>
      <c r="CA20" s="79"/>
      <c r="CB20" s="1031" t="e">
        <f t="shared" si="2"/>
        <v>#VALUE!</v>
      </c>
      <c r="CC20" s="1031" t="str">
        <f t="shared" si="0"/>
        <v xml:space="preserve">* Programa de Atención Domiciliaria a Personas con Dependencia Severa debe ser MENOR O IGUAL al Total. </v>
      </c>
      <c r="CD20" s="1031"/>
      <c r="CE20" s="1031"/>
      <c r="CF20" s="1031"/>
      <c r="CG20" s="1031"/>
      <c r="CH20" s="1163" t="e">
        <f t="shared" si="3"/>
        <v>#VALUE!</v>
      </c>
      <c r="CI20" s="1163">
        <f t="shared" si="4"/>
        <v>1</v>
      </c>
      <c r="CJ20" s="1020"/>
      <c r="CK20" s="1020"/>
      <c r="CL20" s="1020"/>
      <c r="CM20" s="1020"/>
      <c r="CN20" s="1020"/>
      <c r="CO20" s="1020"/>
      <c r="CP20" s="1020"/>
      <c r="DB20" s="80"/>
    </row>
    <row r="21" spans="1:106" s="889" customFormat="1" ht="25.5" customHeight="1" x14ac:dyDescent="0.2">
      <c r="A21" s="3570">
        <v>26273105</v>
      </c>
      <c r="B21" s="5313" t="s">
        <v>2140</v>
      </c>
      <c r="C21" s="5302"/>
      <c r="D21" s="4227" t="s">
        <v>2777</v>
      </c>
      <c r="E21" s="2901" t="s">
        <v>2778</v>
      </c>
      <c r="F21" s="3431" t="s">
        <v>2779</v>
      </c>
      <c r="G21" s="3431" t="s">
        <v>2780</v>
      </c>
      <c r="H21" s="3325" t="s">
        <v>2781</v>
      </c>
      <c r="I21" s="3331" t="s">
        <v>2782</v>
      </c>
      <c r="J21" s="3575" t="s">
        <v>2783</v>
      </c>
      <c r="K21" s="4614" t="s">
        <v>2784</v>
      </c>
      <c r="L21" s="3331" t="s">
        <v>2785</v>
      </c>
      <c r="M21" s="3325" t="s">
        <v>2786</v>
      </c>
      <c r="N21" s="4615" t="s">
        <v>2787</v>
      </c>
      <c r="O21" s="3576" t="s">
        <v>2788</v>
      </c>
      <c r="P21" s="1162" t="e">
        <f t="shared" si="1"/>
        <v>#VALUE!</v>
      </c>
      <c r="Q21" s="1058"/>
      <c r="R21" s="1058"/>
      <c r="S21" s="1058"/>
      <c r="T21" s="1058"/>
      <c r="U21" s="1058"/>
      <c r="V21" s="1058"/>
      <c r="W21" s="1058"/>
      <c r="X21" s="1058"/>
      <c r="Y21" s="1058"/>
      <c r="Z21" s="94"/>
      <c r="AA21" s="94"/>
      <c r="AB21" s="94"/>
      <c r="AC21" s="80"/>
      <c r="AD21" s="80"/>
      <c r="AE21" s="80"/>
      <c r="AF21" s="80"/>
      <c r="AG21" s="80"/>
      <c r="AH21" s="80"/>
      <c r="AI21" s="80"/>
      <c r="AJ21" s="80"/>
      <c r="AK21" s="80"/>
      <c r="AL21" s="80"/>
      <c r="AM21" s="80"/>
      <c r="AN21" s="80"/>
      <c r="AO21" s="80"/>
      <c r="AP21" s="80"/>
      <c r="AQ21" s="80"/>
      <c r="AR21" s="80"/>
      <c r="AS21" s="80"/>
      <c r="AT21" s="80"/>
      <c r="AU21" s="80"/>
      <c r="AV21" s="80"/>
      <c r="AW21" s="80"/>
      <c r="AX21" s="80"/>
      <c r="AY21" s="80"/>
      <c r="AZ21" s="80"/>
      <c r="BA21" s="80"/>
      <c r="BB21" s="80"/>
      <c r="BC21" s="80"/>
      <c r="BD21" s="80"/>
      <c r="BE21" s="80"/>
      <c r="BF21" s="80"/>
      <c r="BG21" s="80"/>
      <c r="BH21" s="80"/>
      <c r="BI21" s="80"/>
      <c r="BJ21" s="80"/>
      <c r="BK21" s="80"/>
      <c r="BL21" s="80"/>
      <c r="BM21" s="80"/>
      <c r="BN21" s="80"/>
      <c r="BO21" s="80"/>
      <c r="BP21" s="80"/>
      <c r="BQ21" s="80"/>
      <c r="BR21" s="80"/>
      <c r="BS21" s="80"/>
      <c r="BT21" s="80"/>
      <c r="BU21" s="80"/>
      <c r="BV21" s="80"/>
      <c r="BW21" s="80"/>
      <c r="BX21" s="80"/>
      <c r="BY21" s="79"/>
      <c r="BZ21" s="79"/>
      <c r="CA21" s="79"/>
      <c r="CB21" s="1031" t="e">
        <f t="shared" si="2"/>
        <v>#VALUE!</v>
      </c>
      <c r="CC21" s="1031" t="str">
        <f t="shared" si="0"/>
        <v/>
      </c>
      <c r="CD21" s="1031"/>
      <c r="CE21" s="1031"/>
      <c r="CF21" s="1031"/>
      <c r="CG21" s="1031"/>
      <c r="CH21" s="1163" t="e">
        <f t="shared" si="3"/>
        <v>#VALUE!</v>
      </c>
      <c r="CI21" s="1163"/>
      <c r="CJ21" s="1020"/>
      <c r="CK21" s="1020"/>
      <c r="CL21" s="1020"/>
      <c r="CM21" s="1020"/>
      <c r="CN21" s="1020"/>
      <c r="CO21" s="1020"/>
      <c r="CP21" s="1020"/>
      <c r="DB21" s="80"/>
    </row>
    <row r="22" spans="1:106" s="889" customFormat="1" ht="17.25" customHeight="1" x14ac:dyDescent="0.2">
      <c r="A22" s="3570">
        <v>26280010</v>
      </c>
      <c r="B22" s="5313" t="s">
        <v>2142</v>
      </c>
      <c r="C22" s="5302"/>
      <c r="D22" s="4227" t="s">
        <v>2777</v>
      </c>
      <c r="E22" s="2901" t="s">
        <v>2778</v>
      </c>
      <c r="F22" s="3431" t="s">
        <v>2779</v>
      </c>
      <c r="G22" s="3431" t="s">
        <v>2780</v>
      </c>
      <c r="H22" s="3325" t="s">
        <v>2781</v>
      </c>
      <c r="I22" s="3331" t="s">
        <v>2782</v>
      </c>
      <c r="J22" s="3575" t="s">
        <v>2783</v>
      </c>
      <c r="K22" s="4614" t="s">
        <v>2784</v>
      </c>
      <c r="L22" s="3331" t="s">
        <v>2785</v>
      </c>
      <c r="M22" s="3325" t="s">
        <v>2786</v>
      </c>
      <c r="N22" s="4615" t="s">
        <v>2787</v>
      </c>
      <c r="O22" s="3576" t="s">
        <v>2788</v>
      </c>
      <c r="P22" s="1162" t="e">
        <f t="shared" si="1"/>
        <v>#VALUE!</v>
      </c>
      <c r="Q22" s="1058"/>
      <c r="R22" s="1058"/>
      <c r="S22" s="1058"/>
      <c r="T22" s="1058"/>
      <c r="U22" s="1058"/>
      <c r="V22" s="1058"/>
      <c r="W22" s="1058"/>
      <c r="X22" s="1058"/>
      <c r="Y22" s="1058"/>
      <c r="Z22" s="94"/>
      <c r="AA22" s="94"/>
      <c r="AB22" s="94"/>
      <c r="AC22" s="80"/>
      <c r="AD22" s="80"/>
      <c r="AE22" s="80"/>
      <c r="AF22" s="80"/>
      <c r="AG22" s="80"/>
      <c r="AH22" s="80"/>
      <c r="AI22" s="80"/>
      <c r="AJ22" s="80"/>
      <c r="AK22" s="80"/>
      <c r="AL22" s="80"/>
      <c r="AM22" s="80"/>
      <c r="AN22" s="80"/>
      <c r="AO22" s="80"/>
      <c r="AP22" s="80"/>
      <c r="AQ22" s="80"/>
      <c r="AR22" s="80"/>
      <c r="AS22" s="80"/>
      <c r="AT22" s="80"/>
      <c r="AU22" s="80"/>
      <c r="AV22" s="80"/>
      <c r="AW22" s="80"/>
      <c r="AX22" s="80"/>
      <c r="AY22" s="80"/>
      <c r="AZ22" s="80"/>
      <c r="BA22" s="80"/>
      <c r="BB22" s="80"/>
      <c r="BC22" s="80"/>
      <c r="BD22" s="80"/>
      <c r="BE22" s="80"/>
      <c r="BF22" s="80"/>
      <c r="BG22" s="80"/>
      <c r="BH22" s="80"/>
      <c r="BI22" s="80"/>
      <c r="BJ22" s="80"/>
      <c r="BK22" s="80"/>
      <c r="BL22" s="80"/>
      <c r="BM22" s="80"/>
      <c r="BN22" s="80"/>
      <c r="BO22" s="80"/>
      <c r="BP22" s="80"/>
      <c r="BQ22" s="80"/>
      <c r="BR22" s="80"/>
      <c r="BS22" s="80"/>
      <c r="BT22" s="80"/>
      <c r="BU22" s="80"/>
      <c r="BV22" s="80"/>
      <c r="BW22" s="80"/>
      <c r="BX22" s="80"/>
      <c r="BY22" s="79"/>
      <c r="BZ22" s="79"/>
      <c r="CA22" s="79"/>
      <c r="CB22" s="1031" t="e">
        <f t="shared" si="2"/>
        <v>#VALUE!</v>
      </c>
      <c r="CC22" s="1031" t="str">
        <f>IF(CI22=1,"* Programa de Atención Domiciliaria a Personas con Dependencia Severa debe ser MENOR O IGUAL al Total. ","")</f>
        <v/>
      </c>
      <c r="CD22" s="1031"/>
      <c r="CE22" s="1031"/>
      <c r="CF22" s="1031"/>
      <c r="CG22" s="1031"/>
      <c r="CH22" s="1163" t="e">
        <f t="shared" si="3"/>
        <v>#VALUE!</v>
      </c>
      <c r="CI22" s="1163"/>
      <c r="CJ22" s="1020"/>
      <c r="CK22" s="1020"/>
      <c r="CL22" s="1020"/>
      <c r="CM22" s="1020"/>
      <c r="CN22" s="1020"/>
      <c r="CO22" s="1020"/>
      <c r="CP22" s="1020"/>
      <c r="DB22" s="80"/>
    </row>
    <row r="23" spans="1:106" s="889" customFormat="1" ht="17.25" customHeight="1" x14ac:dyDescent="0.2">
      <c r="A23" s="3570">
        <v>26291150</v>
      </c>
      <c r="B23" s="5313" t="s">
        <v>2144</v>
      </c>
      <c r="C23" s="5302"/>
      <c r="D23" s="4227" t="s">
        <v>2777</v>
      </c>
      <c r="E23" s="2901" t="s">
        <v>2778</v>
      </c>
      <c r="F23" s="3431" t="s">
        <v>2779</v>
      </c>
      <c r="G23" s="3431" t="s">
        <v>2780</v>
      </c>
      <c r="H23" s="3325" t="s">
        <v>2781</v>
      </c>
      <c r="I23" s="3331" t="s">
        <v>2782</v>
      </c>
      <c r="J23" s="3575" t="s">
        <v>2783</v>
      </c>
      <c r="K23" s="4614" t="s">
        <v>2784</v>
      </c>
      <c r="L23" s="3331" t="s">
        <v>2785</v>
      </c>
      <c r="M23" s="3325" t="s">
        <v>2786</v>
      </c>
      <c r="N23" s="3576" t="s">
        <v>2787</v>
      </c>
      <c r="O23" s="3576" t="s">
        <v>2788</v>
      </c>
      <c r="P23" s="1162" t="e">
        <f t="shared" si="1"/>
        <v>#VALUE!</v>
      </c>
      <c r="Q23" s="1058"/>
      <c r="R23" s="1058"/>
      <c r="S23" s="1058"/>
      <c r="T23" s="1058"/>
      <c r="U23" s="1058"/>
      <c r="V23" s="1058"/>
      <c r="W23" s="1058"/>
      <c r="X23" s="1058"/>
      <c r="Y23" s="1058"/>
      <c r="Z23" s="94"/>
      <c r="AA23" s="94"/>
      <c r="AB23" s="94"/>
      <c r="AC23" s="80"/>
      <c r="AD23" s="80"/>
      <c r="AE23" s="80"/>
      <c r="AF23" s="80"/>
      <c r="AG23" s="80"/>
      <c r="AH23" s="80"/>
      <c r="AI23" s="80"/>
      <c r="AJ23" s="80"/>
      <c r="AK23" s="80"/>
      <c r="AL23" s="80"/>
      <c r="AM23" s="80"/>
      <c r="AN23" s="80"/>
      <c r="AO23" s="80"/>
      <c r="AP23" s="80"/>
      <c r="AQ23" s="80"/>
      <c r="AR23" s="80"/>
      <c r="AS23" s="80"/>
      <c r="AT23" s="80"/>
      <c r="AU23" s="80"/>
      <c r="AV23" s="80"/>
      <c r="AW23" s="80"/>
      <c r="AX23" s="80"/>
      <c r="AY23" s="80"/>
      <c r="AZ23" s="80"/>
      <c r="BA23" s="80"/>
      <c r="BB23" s="80"/>
      <c r="BC23" s="80"/>
      <c r="BD23" s="80"/>
      <c r="BE23" s="80"/>
      <c r="BF23" s="80"/>
      <c r="BG23" s="80"/>
      <c r="BH23" s="80"/>
      <c r="BI23" s="80"/>
      <c r="BJ23" s="80"/>
      <c r="BK23" s="80"/>
      <c r="BL23" s="80"/>
      <c r="BM23" s="80"/>
      <c r="BN23" s="80"/>
      <c r="BO23" s="80"/>
      <c r="BP23" s="80"/>
      <c r="BQ23" s="80"/>
      <c r="BR23" s="80"/>
      <c r="BS23" s="80"/>
      <c r="BT23" s="80"/>
      <c r="BU23" s="80"/>
      <c r="BV23" s="80"/>
      <c r="BW23" s="80"/>
      <c r="BX23" s="80"/>
      <c r="BY23" s="79"/>
      <c r="BZ23" s="79"/>
      <c r="CA23" s="79"/>
      <c r="CB23" s="1031" t="e">
        <f t="shared" si="2"/>
        <v>#VALUE!</v>
      </c>
      <c r="CC23" s="1031" t="str">
        <f t="shared" si="0"/>
        <v xml:space="preserve">* Programa de Atención Domiciliaria a Personas con Dependencia Severa debe ser MENOR O IGUAL al Total. </v>
      </c>
      <c r="CD23" s="1031"/>
      <c r="CE23" s="1031"/>
      <c r="CF23" s="1031"/>
      <c r="CG23" s="1031"/>
      <c r="CH23" s="1163" t="e">
        <f t="shared" si="3"/>
        <v>#VALUE!</v>
      </c>
      <c r="CI23" s="1163">
        <f t="shared" si="4"/>
        <v>1</v>
      </c>
      <c r="CJ23" s="1020"/>
      <c r="CK23" s="1020"/>
      <c r="CL23" s="1020"/>
      <c r="CM23" s="1020"/>
      <c r="CN23" s="1020"/>
      <c r="CO23" s="1020"/>
      <c r="CP23" s="1020"/>
      <c r="DB23" s="80"/>
    </row>
    <row r="24" spans="1:106" s="889" customFormat="1" ht="17.25" customHeight="1" x14ac:dyDescent="0.2">
      <c r="A24" s="3570">
        <v>26262400</v>
      </c>
      <c r="B24" s="5313" t="s">
        <v>2143</v>
      </c>
      <c r="C24" s="5302"/>
      <c r="D24" s="4227" t="s">
        <v>2777</v>
      </c>
      <c r="E24" s="2901" t="s">
        <v>2778</v>
      </c>
      <c r="F24" s="3431" t="s">
        <v>2779</v>
      </c>
      <c r="G24" s="3431" t="s">
        <v>2780</v>
      </c>
      <c r="H24" s="3325" t="s">
        <v>2781</v>
      </c>
      <c r="I24" s="3331" t="s">
        <v>2782</v>
      </c>
      <c r="J24" s="3575" t="s">
        <v>2783</v>
      </c>
      <c r="K24" s="4614" t="s">
        <v>2784</v>
      </c>
      <c r="L24" s="3331" t="s">
        <v>2785</v>
      </c>
      <c r="M24" s="3325" t="s">
        <v>2786</v>
      </c>
      <c r="N24" s="3576" t="s">
        <v>2787</v>
      </c>
      <c r="O24" s="3576" t="s">
        <v>2788</v>
      </c>
      <c r="P24" s="1162" t="e">
        <f t="shared" si="1"/>
        <v>#VALUE!</v>
      </c>
      <c r="Q24" s="1058"/>
      <c r="R24" s="1058"/>
      <c r="S24" s="1058"/>
      <c r="T24" s="1058"/>
      <c r="U24" s="1058"/>
      <c r="V24" s="1058"/>
      <c r="W24" s="1058"/>
      <c r="X24" s="1058"/>
      <c r="Y24" s="1058"/>
      <c r="Z24" s="94"/>
      <c r="AA24" s="94"/>
      <c r="AB24" s="94"/>
      <c r="AC24" s="80"/>
      <c r="AD24" s="80"/>
      <c r="AE24" s="80"/>
      <c r="AF24" s="80"/>
      <c r="AG24" s="80"/>
      <c r="AH24" s="80"/>
      <c r="AI24" s="80"/>
      <c r="AJ24" s="80"/>
      <c r="AK24" s="80"/>
      <c r="AL24" s="80"/>
      <c r="AM24" s="80"/>
      <c r="AN24" s="80"/>
      <c r="AO24" s="80"/>
      <c r="AP24" s="80"/>
      <c r="AQ24" s="80"/>
      <c r="AR24" s="80"/>
      <c r="AS24" s="80"/>
      <c r="AT24" s="80"/>
      <c r="AU24" s="80"/>
      <c r="AV24" s="80"/>
      <c r="AW24" s="80"/>
      <c r="AX24" s="80"/>
      <c r="AY24" s="80"/>
      <c r="AZ24" s="80"/>
      <c r="BA24" s="80"/>
      <c r="BB24" s="80"/>
      <c r="BC24" s="80"/>
      <c r="BD24" s="80"/>
      <c r="BE24" s="80"/>
      <c r="BF24" s="80"/>
      <c r="BG24" s="80"/>
      <c r="BH24" s="80"/>
      <c r="BI24" s="80"/>
      <c r="BJ24" s="80"/>
      <c r="BK24" s="80"/>
      <c r="BL24" s="80"/>
      <c r="BM24" s="80"/>
      <c r="BN24" s="80"/>
      <c r="BO24" s="80"/>
      <c r="BP24" s="80"/>
      <c r="BQ24" s="80"/>
      <c r="BR24" s="80"/>
      <c r="BS24" s="80"/>
      <c r="BT24" s="80"/>
      <c r="BU24" s="80"/>
      <c r="BV24" s="80"/>
      <c r="BW24" s="80"/>
      <c r="BX24" s="80"/>
      <c r="BY24" s="79"/>
      <c r="BZ24" s="79"/>
      <c r="CA24" s="79"/>
      <c r="CB24" s="1031" t="e">
        <f t="shared" si="2"/>
        <v>#VALUE!</v>
      </c>
      <c r="CC24" s="1031" t="str">
        <f t="shared" si="0"/>
        <v xml:space="preserve">* Programa de Atención Domiciliaria a Personas con Dependencia Severa debe ser MENOR O IGUAL al Total. </v>
      </c>
      <c r="CD24" s="1031"/>
      <c r="CE24" s="1031"/>
      <c r="CF24" s="1031"/>
      <c r="CG24" s="1031"/>
      <c r="CH24" s="1163" t="e">
        <f t="shared" si="3"/>
        <v>#VALUE!</v>
      </c>
      <c r="CI24" s="1163">
        <f t="shared" si="4"/>
        <v>1</v>
      </c>
      <c r="CJ24" s="1020"/>
      <c r="CK24" s="1020"/>
      <c r="CL24" s="1020"/>
      <c r="CM24" s="1020"/>
      <c r="CN24" s="1020"/>
      <c r="CO24" s="1020"/>
      <c r="CP24" s="1020"/>
      <c r="DB24" s="80"/>
    </row>
    <row r="25" spans="1:106" s="889" customFormat="1" ht="23.25" customHeight="1" x14ac:dyDescent="0.2">
      <c r="A25" s="3570">
        <v>26291200</v>
      </c>
      <c r="B25" s="5313" t="s">
        <v>2145</v>
      </c>
      <c r="C25" s="5302"/>
      <c r="D25" s="4227" t="s">
        <v>2777</v>
      </c>
      <c r="E25" s="2901" t="s">
        <v>2778</v>
      </c>
      <c r="F25" s="3431" t="s">
        <v>2779</v>
      </c>
      <c r="G25" s="3431" t="s">
        <v>2780</v>
      </c>
      <c r="H25" s="3325" t="s">
        <v>2781</v>
      </c>
      <c r="I25" s="3331" t="s">
        <v>2782</v>
      </c>
      <c r="J25" s="3575" t="s">
        <v>2783</v>
      </c>
      <c r="K25" s="4614" t="s">
        <v>2784</v>
      </c>
      <c r="L25" s="3331" t="s">
        <v>2785</v>
      </c>
      <c r="M25" s="3325" t="s">
        <v>2786</v>
      </c>
      <c r="N25" s="3576" t="s">
        <v>2787</v>
      </c>
      <c r="O25" s="3576" t="s">
        <v>2788</v>
      </c>
      <c r="P25" s="1162" t="e">
        <f t="shared" si="1"/>
        <v>#VALUE!</v>
      </c>
      <c r="Q25" s="1058"/>
      <c r="R25" s="1058"/>
      <c r="S25" s="1058"/>
      <c r="T25" s="1058"/>
      <c r="U25" s="1058"/>
      <c r="V25" s="1058"/>
      <c r="W25" s="1058"/>
      <c r="X25" s="1058"/>
      <c r="Y25" s="1058"/>
      <c r="Z25" s="94"/>
      <c r="AA25" s="94"/>
      <c r="AB25" s="94"/>
      <c r="AC25" s="80"/>
      <c r="AD25" s="80"/>
      <c r="AE25" s="80"/>
      <c r="AF25" s="80"/>
      <c r="AG25" s="80"/>
      <c r="AH25" s="80"/>
      <c r="AI25" s="80"/>
      <c r="AJ25" s="80"/>
      <c r="AK25" s="80"/>
      <c r="AL25" s="80"/>
      <c r="AM25" s="80"/>
      <c r="AN25" s="80"/>
      <c r="AO25" s="80"/>
      <c r="AP25" s="80"/>
      <c r="AQ25" s="80"/>
      <c r="AR25" s="80"/>
      <c r="AS25" s="80"/>
      <c r="AT25" s="80"/>
      <c r="AU25" s="80"/>
      <c r="AV25" s="80"/>
      <c r="AW25" s="80"/>
      <c r="AX25" s="80"/>
      <c r="AY25" s="80"/>
      <c r="AZ25" s="80"/>
      <c r="BA25" s="80"/>
      <c r="BB25" s="80"/>
      <c r="BC25" s="80"/>
      <c r="BD25" s="80"/>
      <c r="BE25" s="80"/>
      <c r="BF25" s="80"/>
      <c r="BG25" s="80"/>
      <c r="BH25" s="80"/>
      <c r="BI25" s="80"/>
      <c r="BJ25" s="80"/>
      <c r="BK25" s="80"/>
      <c r="BL25" s="80"/>
      <c r="BM25" s="80"/>
      <c r="BN25" s="80"/>
      <c r="BO25" s="80"/>
      <c r="BP25" s="80"/>
      <c r="BQ25" s="80"/>
      <c r="BR25" s="80"/>
      <c r="BS25" s="80"/>
      <c r="BT25" s="80"/>
      <c r="BU25" s="80"/>
      <c r="BV25" s="80"/>
      <c r="BW25" s="80"/>
      <c r="BX25" s="80"/>
      <c r="BY25" s="79"/>
      <c r="BZ25" s="79"/>
      <c r="CA25" s="79"/>
      <c r="CB25" s="1031" t="e">
        <f t="shared" si="2"/>
        <v>#VALUE!</v>
      </c>
      <c r="CC25" s="1031" t="str">
        <f t="shared" si="0"/>
        <v xml:space="preserve">* Programa de Atención Domiciliaria a Personas con Dependencia Severa debe ser MENOR O IGUAL al Total. </v>
      </c>
      <c r="CD25" s="1031"/>
      <c r="CE25" s="1031"/>
      <c r="CF25" s="1031"/>
      <c r="CG25" s="1031"/>
      <c r="CH25" s="1163" t="e">
        <f t="shared" si="3"/>
        <v>#VALUE!</v>
      </c>
      <c r="CI25" s="1163">
        <f t="shared" si="4"/>
        <v>1</v>
      </c>
      <c r="CJ25" s="1020"/>
      <c r="CK25" s="1020"/>
      <c r="CL25" s="1020"/>
      <c r="CM25" s="1020"/>
      <c r="CN25" s="1020"/>
      <c r="CO25" s="1020"/>
      <c r="CP25" s="1020"/>
      <c r="DB25" s="80"/>
    </row>
    <row r="26" spans="1:106" s="889" customFormat="1" ht="26.25" customHeight="1" x14ac:dyDescent="0.2">
      <c r="A26" s="3570">
        <v>26291250</v>
      </c>
      <c r="B26" s="5313" t="s">
        <v>2146</v>
      </c>
      <c r="C26" s="5302"/>
      <c r="D26" s="4227" t="s">
        <v>2777</v>
      </c>
      <c r="E26" s="2901" t="s">
        <v>2778</v>
      </c>
      <c r="F26" s="3431" t="s">
        <v>2779</v>
      </c>
      <c r="G26" s="3431" t="s">
        <v>2780</v>
      </c>
      <c r="H26" s="3325" t="s">
        <v>2781</v>
      </c>
      <c r="I26" s="3331" t="s">
        <v>2782</v>
      </c>
      <c r="J26" s="3575" t="s">
        <v>2783</v>
      </c>
      <c r="K26" s="4614" t="s">
        <v>2784</v>
      </c>
      <c r="L26" s="3331" t="s">
        <v>2785</v>
      </c>
      <c r="M26" s="3325" t="s">
        <v>2786</v>
      </c>
      <c r="N26" s="4615" t="s">
        <v>2787</v>
      </c>
      <c r="O26" s="3576" t="s">
        <v>2788</v>
      </c>
      <c r="P26" s="1162" t="e">
        <f t="shared" si="1"/>
        <v>#VALUE!</v>
      </c>
      <c r="Q26" s="1058"/>
      <c r="R26" s="1058"/>
      <c r="S26" s="1058"/>
      <c r="T26" s="1058"/>
      <c r="U26" s="1058"/>
      <c r="V26" s="1058"/>
      <c r="W26" s="1058"/>
      <c r="X26" s="1058"/>
      <c r="Y26" s="1058"/>
      <c r="Z26" s="94"/>
      <c r="AA26" s="94"/>
      <c r="AB26" s="94"/>
      <c r="AC26" s="80"/>
      <c r="AD26" s="80"/>
      <c r="AE26" s="80"/>
      <c r="AF26" s="80"/>
      <c r="AG26" s="80"/>
      <c r="AH26" s="80"/>
      <c r="AI26" s="80"/>
      <c r="AJ26" s="80"/>
      <c r="AK26" s="80"/>
      <c r="AL26" s="80"/>
      <c r="AM26" s="80"/>
      <c r="AN26" s="80"/>
      <c r="AO26" s="80"/>
      <c r="AP26" s="80"/>
      <c r="AQ26" s="80"/>
      <c r="AR26" s="80"/>
      <c r="AS26" s="80"/>
      <c r="AT26" s="80"/>
      <c r="AU26" s="80"/>
      <c r="AV26" s="80"/>
      <c r="AW26" s="80"/>
      <c r="AX26" s="80"/>
      <c r="AY26" s="80"/>
      <c r="AZ26" s="80"/>
      <c r="BA26" s="80"/>
      <c r="BB26" s="80"/>
      <c r="BC26" s="80"/>
      <c r="BD26" s="80"/>
      <c r="BE26" s="80"/>
      <c r="BF26" s="80"/>
      <c r="BG26" s="80"/>
      <c r="BH26" s="80"/>
      <c r="BI26" s="80"/>
      <c r="BJ26" s="80"/>
      <c r="BK26" s="80"/>
      <c r="BL26" s="80"/>
      <c r="BM26" s="80"/>
      <c r="BN26" s="80"/>
      <c r="BO26" s="80"/>
      <c r="BP26" s="80"/>
      <c r="BQ26" s="80"/>
      <c r="BR26" s="80"/>
      <c r="BS26" s="80"/>
      <c r="BT26" s="80"/>
      <c r="BU26" s="80"/>
      <c r="BV26" s="80"/>
      <c r="BW26" s="80"/>
      <c r="BX26" s="80"/>
      <c r="BY26" s="79"/>
      <c r="BZ26" s="79"/>
      <c r="CA26" s="79"/>
      <c r="CB26" s="1031" t="e">
        <f t="shared" si="2"/>
        <v>#VALUE!</v>
      </c>
      <c r="CC26" s="1031" t="str">
        <f t="shared" si="0"/>
        <v/>
      </c>
      <c r="CD26" s="1031"/>
      <c r="CE26" s="1031"/>
      <c r="CF26" s="1031"/>
      <c r="CG26" s="1031"/>
      <c r="CH26" s="1163" t="e">
        <f t="shared" si="3"/>
        <v>#VALUE!</v>
      </c>
      <c r="CI26" s="1163"/>
      <c r="CJ26" s="1020"/>
      <c r="CK26" s="1020"/>
      <c r="CL26" s="1020"/>
      <c r="CM26" s="1020"/>
      <c r="CN26" s="1020"/>
      <c r="CO26" s="1020"/>
      <c r="CP26" s="1020"/>
      <c r="DB26" s="80"/>
    </row>
    <row r="27" spans="1:106" s="889" customFormat="1" ht="19.5" customHeight="1" x14ac:dyDescent="0.2">
      <c r="A27" s="3570">
        <v>26291300</v>
      </c>
      <c r="B27" s="5313" t="s">
        <v>2147</v>
      </c>
      <c r="C27" s="5302"/>
      <c r="D27" s="4227" t="s">
        <v>2777</v>
      </c>
      <c r="E27" s="2901" t="s">
        <v>2778</v>
      </c>
      <c r="F27" s="3431" t="s">
        <v>2779</v>
      </c>
      <c r="G27" s="3431" t="s">
        <v>2780</v>
      </c>
      <c r="H27" s="3325" t="s">
        <v>2781</v>
      </c>
      <c r="I27" s="3331" t="s">
        <v>2782</v>
      </c>
      <c r="J27" s="3575" t="s">
        <v>2783</v>
      </c>
      <c r="K27" s="4614" t="s">
        <v>2784</v>
      </c>
      <c r="L27" s="3331" t="s">
        <v>2785</v>
      </c>
      <c r="M27" s="3325" t="s">
        <v>2786</v>
      </c>
      <c r="N27" s="4615" t="s">
        <v>2787</v>
      </c>
      <c r="O27" s="3576" t="s">
        <v>2788</v>
      </c>
      <c r="P27" s="1162" t="e">
        <f t="shared" si="1"/>
        <v>#VALUE!</v>
      </c>
      <c r="Q27" s="1058"/>
      <c r="R27" s="1058"/>
      <c r="S27" s="1058"/>
      <c r="T27" s="1058"/>
      <c r="U27" s="1058"/>
      <c r="V27" s="1058"/>
      <c r="W27" s="1058"/>
      <c r="X27" s="1058"/>
      <c r="Y27" s="1058"/>
      <c r="Z27" s="94"/>
      <c r="AA27" s="94"/>
      <c r="AB27" s="94"/>
      <c r="AC27" s="80"/>
      <c r="AD27" s="80"/>
      <c r="AE27" s="80"/>
      <c r="AF27" s="80"/>
      <c r="AG27" s="80"/>
      <c r="AH27" s="80"/>
      <c r="AI27" s="80"/>
      <c r="AJ27" s="80"/>
      <c r="AK27" s="80"/>
      <c r="AL27" s="80"/>
      <c r="AM27" s="80"/>
      <c r="AN27" s="80"/>
      <c r="AO27" s="80"/>
      <c r="AP27" s="80"/>
      <c r="AQ27" s="80"/>
      <c r="AR27" s="80"/>
      <c r="AS27" s="80"/>
      <c r="AT27" s="80"/>
      <c r="AU27" s="80"/>
      <c r="AV27" s="80"/>
      <c r="AW27" s="80"/>
      <c r="AX27" s="80"/>
      <c r="AY27" s="80"/>
      <c r="AZ27" s="80"/>
      <c r="BA27" s="80"/>
      <c r="BB27" s="80"/>
      <c r="BC27" s="80"/>
      <c r="BD27" s="80"/>
      <c r="BE27" s="80"/>
      <c r="BF27" s="80"/>
      <c r="BG27" s="80"/>
      <c r="BH27" s="80"/>
      <c r="BI27" s="80"/>
      <c r="BJ27" s="80"/>
      <c r="BK27" s="80"/>
      <c r="BL27" s="80"/>
      <c r="BM27" s="80"/>
      <c r="BN27" s="80"/>
      <c r="BO27" s="80"/>
      <c r="BP27" s="80"/>
      <c r="BQ27" s="80"/>
      <c r="BR27" s="80"/>
      <c r="BS27" s="80"/>
      <c r="BT27" s="80"/>
      <c r="BU27" s="80"/>
      <c r="BV27" s="80"/>
      <c r="BW27" s="80"/>
      <c r="BX27" s="80"/>
      <c r="BY27" s="79"/>
      <c r="BZ27" s="79"/>
      <c r="CA27" s="79"/>
      <c r="CB27" s="1031" t="e">
        <f t="shared" si="2"/>
        <v>#VALUE!</v>
      </c>
      <c r="CC27" s="1031" t="str">
        <f t="shared" si="0"/>
        <v/>
      </c>
      <c r="CD27" s="1031"/>
      <c r="CE27" s="1031"/>
      <c r="CF27" s="1031"/>
      <c r="CG27" s="1031"/>
      <c r="CH27" s="1163" t="e">
        <f t="shared" si="3"/>
        <v>#VALUE!</v>
      </c>
      <c r="CI27" s="1163"/>
      <c r="CJ27" s="1020"/>
      <c r="CK27" s="1020"/>
      <c r="CL27" s="1020"/>
      <c r="CM27" s="1020"/>
      <c r="CN27" s="1020"/>
      <c r="CO27" s="1020"/>
      <c r="CP27" s="1020"/>
      <c r="DB27" s="80"/>
    </row>
    <row r="28" spans="1:106" s="889" customFormat="1" ht="18" customHeight="1" x14ac:dyDescent="0.2">
      <c r="A28" s="3570">
        <v>26280020</v>
      </c>
      <c r="B28" s="5313" t="s">
        <v>2148</v>
      </c>
      <c r="C28" s="5302"/>
      <c r="D28" s="4227" t="s">
        <v>2777</v>
      </c>
      <c r="E28" s="2901" t="s">
        <v>2778</v>
      </c>
      <c r="F28" s="3431" t="s">
        <v>2779</v>
      </c>
      <c r="G28" s="3431" t="s">
        <v>2780</v>
      </c>
      <c r="H28" s="3325" t="s">
        <v>2781</v>
      </c>
      <c r="I28" s="3331" t="s">
        <v>2782</v>
      </c>
      <c r="J28" s="3575" t="s">
        <v>2783</v>
      </c>
      <c r="K28" s="4614" t="s">
        <v>2784</v>
      </c>
      <c r="L28" s="3331" t="s">
        <v>2785</v>
      </c>
      <c r="M28" s="3325" t="s">
        <v>2786</v>
      </c>
      <c r="N28" s="4615" t="s">
        <v>2787</v>
      </c>
      <c r="O28" s="3576" t="s">
        <v>2788</v>
      </c>
      <c r="P28" s="1162" t="e">
        <f t="shared" si="1"/>
        <v>#VALUE!</v>
      </c>
      <c r="Q28" s="1058"/>
      <c r="R28" s="1058"/>
      <c r="S28" s="1058"/>
      <c r="T28" s="1058"/>
      <c r="U28" s="1058"/>
      <c r="V28" s="1058"/>
      <c r="W28" s="1058"/>
      <c r="X28" s="1058"/>
      <c r="Y28" s="1058"/>
      <c r="Z28" s="94"/>
      <c r="AA28" s="94"/>
      <c r="AB28" s="94"/>
      <c r="AC28" s="80"/>
      <c r="AD28" s="80"/>
      <c r="AE28" s="80"/>
      <c r="AF28" s="80"/>
      <c r="AG28" s="80"/>
      <c r="AH28" s="80"/>
      <c r="AI28" s="80"/>
      <c r="AJ28" s="80"/>
      <c r="AK28" s="80"/>
      <c r="AL28" s="80"/>
      <c r="AM28" s="80"/>
      <c r="AN28" s="80"/>
      <c r="AO28" s="80"/>
      <c r="AP28" s="80"/>
      <c r="AQ28" s="80"/>
      <c r="AR28" s="80"/>
      <c r="AS28" s="80"/>
      <c r="AT28" s="80"/>
      <c r="AU28" s="80"/>
      <c r="AV28" s="80"/>
      <c r="AW28" s="80"/>
      <c r="AX28" s="80"/>
      <c r="AY28" s="80"/>
      <c r="AZ28" s="80"/>
      <c r="BA28" s="80"/>
      <c r="BB28" s="80"/>
      <c r="BC28" s="80"/>
      <c r="BD28" s="80"/>
      <c r="BE28" s="80"/>
      <c r="BF28" s="80"/>
      <c r="BG28" s="80"/>
      <c r="BH28" s="80"/>
      <c r="BI28" s="80"/>
      <c r="BJ28" s="80"/>
      <c r="BK28" s="80"/>
      <c r="BL28" s="80"/>
      <c r="BM28" s="80"/>
      <c r="BN28" s="80"/>
      <c r="BO28" s="80"/>
      <c r="BP28" s="80"/>
      <c r="BQ28" s="80"/>
      <c r="BR28" s="80"/>
      <c r="BS28" s="80"/>
      <c r="BT28" s="80"/>
      <c r="BU28" s="80"/>
      <c r="BV28" s="80"/>
      <c r="BW28" s="80"/>
      <c r="BX28" s="80"/>
      <c r="BY28" s="79"/>
      <c r="BZ28" s="79"/>
      <c r="CA28" s="79"/>
      <c r="CB28" s="1031" t="e">
        <f t="shared" si="2"/>
        <v>#VALUE!</v>
      </c>
      <c r="CC28" s="1031" t="str">
        <f t="shared" si="0"/>
        <v/>
      </c>
      <c r="CD28" s="1031"/>
      <c r="CE28" s="1031"/>
      <c r="CF28" s="1031"/>
      <c r="CG28" s="1031"/>
      <c r="CH28" s="1163" t="e">
        <f t="shared" si="3"/>
        <v>#VALUE!</v>
      </c>
      <c r="CI28" s="1163"/>
      <c r="CJ28" s="1020"/>
      <c r="CK28" s="1020"/>
      <c r="CL28" s="1020"/>
      <c r="CM28" s="1020"/>
      <c r="CN28" s="1020"/>
      <c r="CO28" s="1020"/>
      <c r="CP28" s="1020"/>
      <c r="DB28" s="80"/>
    </row>
    <row r="29" spans="1:106" s="889" customFormat="1" ht="18" customHeight="1" x14ac:dyDescent="0.2">
      <c r="A29" s="3570">
        <v>26273107</v>
      </c>
      <c r="B29" s="5313" t="s">
        <v>2152</v>
      </c>
      <c r="C29" s="5302"/>
      <c r="D29" s="4227" t="s">
        <v>2777</v>
      </c>
      <c r="E29" s="2901" t="s">
        <v>2778</v>
      </c>
      <c r="F29" s="3431" t="s">
        <v>2779</v>
      </c>
      <c r="G29" s="3431" t="s">
        <v>2780</v>
      </c>
      <c r="H29" s="3325" t="s">
        <v>2781</v>
      </c>
      <c r="I29" s="3331" t="s">
        <v>2782</v>
      </c>
      <c r="J29" s="3575" t="s">
        <v>2783</v>
      </c>
      <c r="K29" s="4614" t="s">
        <v>2784</v>
      </c>
      <c r="L29" s="3331" t="s">
        <v>2785</v>
      </c>
      <c r="M29" s="3325" t="s">
        <v>2786</v>
      </c>
      <c r="N29" s="2902" t="s">
        <v>2787</v>
      </c>
      <c r="O29" s="3576" t="s">
        <v>2788</v>
      </c>
      <c r="P29" s="1162" t="e">
        <f t="shared" si="1"/>
        <v>#VALUE!</v>
      </c>
      <c r="Q29" s="1058"/>
      <c r="R29" s="1058"/>
      <c r="S29" s="1058"/>
      <c r="T29" s="1058"/>
      <c r="U29" s="1058"/>
      <c r="V29" s="1058"/>
      <c r="W29" s="1058"/>
      <c r="X29" s="1058"/>
      <c r="Y29" s="1058"/>
      <c r="Z29" s="94"/>
      <c r="AA29" s="94"/>
      <c r="AB29" s="94"/>
      <c r="AC29" s="80"/>
      <c r="AD29" s="80"/>
      <c r="AE29" s="80"/>
      <c r="AF29" s="80"/>
      <c r="AG29" s="80"/>
      <c r="AH29" s="80"/>
      <c r="AI29" s="80"/>
      <c r="AJ29" s="80"/>
      <c r="AK29" s="80"/>
      <c r="AL29" s="80"/>
      <c r="AM29" s="80"/>
      <c r="AN29" s="80"/>
      <c r="AO29" s="80"/>
      <c r="AP29" s="80"/>
      <c r="AQ29" s="80"/>
      <c r="AR29" s="80"/>
      <c r="AS29" s="80"/>
      <c r="AT29" s="80"/>
      <c r="AU29" s="80"/>
      <c r="AV29" s="80"/>
      <c r="AW29" s="80"/>
      <c r="AX29" s="80"/>
      <c r="AY29" s="80"/>
      <c r="AZ29" s="80"/>
      <c r="BA29" s="80"/>
      <c r="BB29" s="80"/>
      <c r="BC29" s="80"/>
      <c r="BD29" s="80"/>
      <c r="BE29" s="80"/>
      <c r="BF29" s="80"/>
      <c r="BG29" s="80"/>
      <c r="BH29" s="80"/>
      <c r="BI29" s="80"/>
      <c r="BJ29" s="80"/>
      <c r="BK29" s="80"/>
      <c r="BL29" s="80"/>
      <c r="BM29" s="80"/>
      <c r="BN29" s="80"/>
      <c r="BO29" s="80"/>
      <c r="BP29" s="80"/>
      <c r="BQ29" s="80"/>
      <c r="BR29" s="80"/>
      <c r="BS29" s="80"/>
      <c r="BT29" s="80"/>
      <c r="BU29" s="80"/>
      <c r="BV29" s="80"/>
      <c r="BW29" s="80"/>
      <c r="BX29" s="80"/>
      <c r="BY29" s="79"/>
      <c r="BZ29" s="79"/>
      <c r="CA29" s="79"/>
      <c r="CB29" s="1031" t="e">
        <f t="shared" si="2"/>
        <v>#VALUE!</v>
      </c>
      <c r="CC29" s="1031" t="str">
        <f t="shared" si="0"/>
        <v xml:space="preserve">* Programa de Atención Domiciliaria a Personas con Dependencia Severa debe ser MENOR O IGUAL al Total. </v>
      </c>
      <c r="CD29" s="1031"/>
      <c r="CE29" s="1031"/>
      <c r="CF29" s="1031"/>
      <c r="CG29" s="1031"/>
      <c r="CH29" s="1163" t="e">
        <f t="shared" si="3"/>
        <v>#VALUE!</v>
      </c>
      <c r="CI29" s="1163">
        <f t="shared" si="4"/>
        <v>1</v>
      </c>
      <c r="CJ29" s="1020"/>
      <c r="CK29" s="1020"/>
      <c r="CL29" s="1020"/>
      <c r="CM29" s="1020"/>
      <c r="CN29" s="1020"/>
      <c r="CO29" s="1020"/>
      <c r="CP29" s="1020"/>
      <c r="DB29" s="80"/>
    </row>
    <row r="30" spans="1:106" s="889" customFormat="1" ht="18" customHeight="1" x14ac:dyDescent="0.2">
      <c r="A30" s="3570">
        <v>26274601</v>
      </c>
      <c r="B30" s="5696" t="s">
        <v>2153</v>
      </c>
      <c r="C30" s="5697"/>
      <c r="D30" s="4227" t="s">
        <v>2777</v>
      </c>
      <c r="E30" s="3329" t="s">
        <v>2778</v>
      </c>
      <c r="F30" s="3431" t="s">
        <v>2779</v>
      </c>
      <c r="G30" s="3431" t="s">
        <v>2780</v>
      </c>
      <c r="H30" s="3325" t="s">
        <v>2781</v>
      </c>
      <c r="I30" s="3575" t="s">
        <v>2782</v>
      </c>
      <c r="J30" s="3575" t="s">
        <v>2783</v>
      </c>
      <c r="K30" s="3329" t="s">
        <v>2784</v>
      </c>
      <c r="L30" s="3331" t="s">
        <v>2785</v>
      </c>
      <c r="M30" s="3325" t="s">
        <v>2786</v>
      </c>
      <c r="N30" s="2902" t="s">
        <v>2787</v>
      </c>
      <c r="O30" s="3576" t="s">
        <v>2788</v>
      </c>
      <c r="P30" s="1162" t="e">
        <f t="shared" si="1"/>
        <v>#VALUE!</v>
      </c>
      <c r="Q30" s="1058"/>
      <c r="R30" s="1058"/>
      <c r="S30" s="1058"/>
      <c r="T30" s="1058"/>
      <c r="U30" s="1058"/>
      <c r="V30" s="1058"/>
      <c r="W30" s="1058"/>
      <c r="X30" s="1058"/>
      <c r="Y30" s="1058"/>
      <c r="Z30" s="94"/>
      <c r="AA30" s="94"/>
      <c r="AB30" s="94"/>
      <c r="AC30" s="80"/>
      <c r="AD30" s="80"/>
      <c r="AE30" s="80"/>
      <c r="AF30" s="80"/>
      <c r="AG30" s="80"/>
      <c r="AH30" s="80"/>
      <c r="AI30" s="80"/>
      <c r="AJ30" s="80"/>
      <c r="AK30" s="80"/>
      <c r="AL30" s="80"/>
      <c r="AM30" s="80"/>
      <c r="AN30" s="80"/>
      <c r="AO30" s="80"/>
      <c r="AP30" s="80"/>
      <c r="AQ30" s="80"/>
      <c r="AR30" s="80"/>
      <c r="AS30" s="80"/>
      <c r="AT30" s="80"/>
      <c r="AU30" s="80"/>
      <c r="AV30" s="80"/>
      <c r="AW30" s="80"/>
      <c r="AX30" s="80"/>
      <c r="AY30" s="80"/>
      <c r="AZ30" s="80"/>
      <c r="BA30" s="80"/>
      <c r="BB30" s="80"/>
      <c r="BC30" s="80"/>
      <c r="BD30" s="80"/>
      <c r="BE30" s="80"/>
      <c r="BF30" s="80"/>
      <c r="BG30" s="80"/>
      <c r="BH30" s="80"/>
      <c r="BI30" s="80"/>
      <c r="BJ30" s="80"/>
      <c r="BK30" s="80"/>
      <c r="BL30" s="80"/>
      <c r="BM30" s="80"/>
      <c r="BN30" s="80"/>
      <c r="BO30" s="80"/>
      <c r="BP30" s="80"/>
      <c r="BQ30" s="80"/>
      <c r="BR30" s="80"/>
      <c r="BS30" s="80"/>
      <c r="BT30" s="80"/>
      <c r="BU30" s="80"/>
      <c r="BV30" s="80"/>
      <c r="BW30" s="80"/>
      <c r="BX30" s="80"/>
      <c r="BY30" s="79"/>
      <c r="BZ30" s="79"/>
      <c r="CA30" s="79"/>
      <c r="CB30" s="1031" t="e">
        <f t="shared" si="2"/>
        <v>#VALUE!</v>
      </c>
      <c r="CC30" s="1031" t="str">
        <f t="shared" si="0"/>
        <v xml:space="preserve">* Programa de Atención Domiciliaria a Personas con Dependencia Severa debe ser MENOR O IGUAL al Total. </v>
      </c>
      <c r="CD30" s="1031"/>
      <c r="CE30" s="1031"/>
      <c r="CF30" s="1031"/>
      <c r="CG30" s="1031"/>
      <c r="CH30" s="1163" t="e">
        <f t="shared" si="3"/>
        <v>#VALUE!</v>
      </c>
      <c r="CI30" s="1163">
        <f t="shared" si="4"/>
        <v>1</v>
      </c>
      <c r="CJ30" s="1020"/>
      <c r="CK30" s="1020"/>
      <c r="CL30" s="1020"/>
      <c r="CM30" s="1020"/>
      <c r="CN30" s="1020"/>
      <c r="CO30" s="1020"/>
      <c r="CP30" s="1020"/>
      <c r="DB30" s="80"/>
    </row>
    <row r="31" spans="1:106" s="889" customFormat="1" ht="24" customHeight="1" x14ac:dyDescent="0.2">
      <c r="A31" s="3570">
        <v>26300110</v>
      </c>
      <c r="B31" s="6626" t="s">
        <v>2155</v>
      </c>
      <c r="C31" s="6627"/>
      <c r="D31" s="4239" t="s">
        <v>2777</v>
      </c>
      <c r="E31" s="3333" t="s">
        <v>2778</v>
      </c>
      <c r="F31" s="3435" t="s">
        <v>2779</v>
      </c>
      <c r="G31" s="3435" t="s">
        <v>2780</v>
      </c>
      <c r="H31" s="3318" t="s">
        <v>2781</v>
      </c>
      <c r="I31" s="3582" t="s">
        <v>2782</v>
      </c>
      <c r="J31" s="3582" t="s">
        <v>2783</v>
      </c>
      <c r="K31" s="3333" t="s">
        <v>2784</v>
      </c>
      <c r="L31" s="3335" t="s">
        <v>2785</v>
      </c>
      <c r="M31" s="3318" t="s">
        <v>2786</v>
      </c>
      <c r="N31" s="2906" t="s">
        <v>2787</v>
      </c>
      <c r="O31" s="3579" t="s">
        <v>2788</v>
      </c>
      <c r="P31" s="1162" t="e">
        <f t="shared" si="1"/>
        <v>#VALUE!</v>
      </c>
      <c r="Q31" s="1058"/>
      <c r="R31" s="1058"/>
      <c r="S31" s="1058"/>
      <c r="T31" s="1058"/>
      <c r="U31" s="1058"/>
      <c r="V31" s="1058"/>
      <c r="W31" s="1058"/>
      <c r="X31" s="1058"/>
      <c r="Y31" s="1058"/>
      <c r="Z31" s="94"/>
      <c r="AA31" s="94"/>
      <c r="AB31" s="94"/>
      <c r="AC31" s="80"/>
      <c r="AD31" s="80"/>
      <c r="AE31" s="80"/>
      <c r="AF31" s="80"/>
      <c r="AG31" s="80"/>
      <c r="AH31" s="80"/>
      <c r="AI31" s="80"/>
      <c r="AJ31" s="80"/>
      <c r="AK31" s="80"/>
      <c r="AL31" s="80"/>
      <c r="AM31" s="80"/>
      <c r="AN31" s="80"/>
      <c r="AO31" s="80"/>
      <c r="AP31" s="80"/>
      <c r="AQ31" s="80"/>
      <c r="AR31" s="80"/>
      <c r="AS31" s="80"/>
      <c r="AT31" s="80"/>
      <c r="AU31" s="80"/>
      <c r="AV31" s="80"/>
      <c r="AW31" s="80"/>
      <c r="AX31" s="80"/>
      <c r="AY31" s="80"/>
      <c r="AZ31" s="80"/>
      <c r="BA31" s="80"/>
      <c r="BB31" s="80"/>
      <c r="BC31" s="80"/>
      <c r="BD31" s="80"/>
      <c r="BE31" s="80"/>
      <c r="BF31" s="80"/>
      <c r="BG31" s="80"/>
      <c r="BH31" s="80"/>
      <c r="BI31" s="80"/>
      <c r="BJ31" s="80"/>
      <c r="BK31" s="80"/>
      <c r="BL31" s="80"/>
      <c r="BM31" s="80"/>
      <c r="BN31" s="80"/>
      <c r="BO31" s="80"/>
      <c r="BP31" s="80"/>
      <c r="BQ31" s="80"/>
      <c r="BR31" s="80"/>
      <c r="BS31" s="80"/>
      <c r="BT31" s="80"/>
      <c r="BU31" s="80"/>
      <c r="BV31" s="80"/>
      <c r="BW31" s="80"/>
      <c r="BX31" s="80"/>
      <c r="BY31" s="79"/>
      <c r="BZ31" s="79"/>
      <c r="CA31" s="79"/>
      <c r="CB31" s="1031" t="e">
        <f t="shared" si="2"/>
        <v>#VALUE!</v>
      </c>
      <c r="CC31" s="1031" t="str">
        <f t="shared" si="0"/>
        <v xml:space="preserve">* Programa de Atención Domiciliaria a Personas con Dependencia Severa debe ser MENOR O IGUAL al Total. </v>
      </c>
      <c r="CD31" s="1031"/>
      <c r="CE31" s="1031"/>
      <c r="CF31" s="1031"/>
      <c r="CG31" s="1031"/>
      <c r="CH31" s="1163" t="e">
        <f t="shared" si="3"/>
        <v>#VALUE!</v>
      </c>
      <c r="CI31" s="1163">
        <f t="shared" si="4"/>
        <v>1</v>
      </c>
      <c r="CJ31" s="1020"/>
      <c r="CK31" s="1020"/>
      <c r="CL31" s="1020"/>
      <c r="CM31" s="1020"/>
      <c r="CN31" s="1020"/>
      <c r="CO31" s="1020"/>
      <c r="CP31" s="1020"/>
      <c r="DB31" s="80"/>
    </row>
    <row r="32" spans="1:106" s="889" customFormat="1" ht="21" x14ac:dyDescent="0.2">
      <c r="A32" s="3570">
        <v>26274200</v>
      </c>
      <c r="B32" s="6628" t="s">
        <v>2167</v>
      </c>
      <c r="C32" s="4922" t="s">
        <v>2141</v>
      </c>
      <c r="D32" s="4616" t="s">
        <v>2777</v>
      </c>
      <c r="E32" s="4610" t="s">
        <v>2778</v>
      </c>
      <c r="F32" s="3434" t="s">
        <v>2779</v>
      </c>
      <c r="G32" s="3434" t="s">
        <v>2780</v>
      </c>
      <c r="H32" s="3314" t="s">
        <v>2781</v>
      </c>
      <c r="I32" s="3420" t="s">
        <v>2782</v>
      </c>
      <c r="J32" s="3573" t="s">
        <v>2783</v>
      </c>
      <c r="K32" s="4612" t="s">
        <v>2784</v>
      </c>
      <c r="L32" s="3420" t="s">
        <v>2785</v>
      </c>
      <c r="M32" s="3314" t="s">
        <v>2786</v>
      </c>
      <c r="N32" s="4617" t="s">
        <v>2787</v>
      </c>
      <c r="O32" s="3574" t="s">
        <v>2788</v>
      </c>
      <c r="P32" s="1162" t="e">
        <f t="shared" si="1"/>
        <v>#VALUE!</v>
      </c>
      <c r="Q32" s="1058"/>
      <c r="R32" s="1058"/>
      <c r="S32" s="1058"/>
      <c r="T32" s="1058"/>
      <c r="U32" s="1058"/>
      <c r="V32" s="1058"/>
      <c r="W32" s="1058"/>
      <c r="X32" s="1058"/>
      <c r="Y32" s="1058"/>
      <c r="Z32" s="94"/>
      <c r="AA32" s="94"/>
      <c r="AB32" s="94"/>
      <c r="AC32" s="80"/>
      <c r="AD32" s="80"/>
      <c r="AE32" s="80"/>
      <c r="AF32" s="80"/>
      <c r="AG32" s="80"/>
      <c r="AH32" s="80"/>
      <c r="AI32" s="80"/>
      <c r="AJ32" s="80"/>
      <c r="AK32" s="80"/>
      <c r="AL32" s="80"/>
      <c r="AM32" s="80"/>
      <c r="AN32" s="80"/>
      <c r="AO32" s="80"/>
      <c r="AP32" s="80"/>
      <c r="AQ32" s="80"/>
      <c r="AR32" s="80"/>
      <c r="AS32" s="80"/>
      <c r="AT32" s="80"/>
      <c r="AU32" s="80"/>
      <c r="AV32" s="80"/>
      <c r="AW32" s="80"/>
      <c r="AX32" s="80"/>
      <c r="AY32" s="80"/>
      <c r="AZ32" s="80"/>
      <c r="BA32" s="80"/>
      <c r="BB32" s="80"/>
      <c r="BC32" s="80"/>
      <c r="BD32" s="80"/>
      <c r="BE32" s="80"/>
      <c r="BF32" s="80"/>
      <c r="BG32" s="80"/>
      <c r="BH32" s="80"/>
      <c r="BI32" s="80"/>
      <c r="BJ32" s="80"/>
      <c r="BK32" s="80"/>
      <c r="BL32" s="80"/>
      <c r="BM32" s="80"/>
      <c r="BN32" s="80"/>
      <c r="BO32" s="80"/>
      <c r="BP32" s="80"/>
      <c r="BQ32" s="80"/>
      <c r="BR32" s="80"/>
      <c r="BS32" s="80"/>
      <c r="BT32" s="80"/>
      <c r="BU32" s="80"/>
      <c r="BV32" s="80"/>
      <c r="BW32" s="80"/>
      <c r="BX32" s="80"/>
      <c r="BY32" s="79"/>
      <c r="BZ32" s="79"/>
      <c r="CA32" s="79"/>
      <c r="CB32" s="1031" t="e">
        <f t="shared" si="2"/>
        <v>#VALUE!</v>
      </c>
      <c r="CC32" s="1031" t="str">
        <f t="shared" si="0"/>
        <v/>
      </c>
      <c r="CD32" s="1031"/>
      <c r="CE32" s="1031"/>
      <c r="CF32" s="1031"/>
      <c r="CG32" s="1031"/>
      <c r="CH32" s="1163" t="e">
        <f t="shared" si="3"/>
        <v>#VALUE!</v>
      </c>
      <c r="CI32" s="1163"/>
      <c r="CJ32" s="1020"/>
      <c r="CK32" s="1020"/>
      <c r="CL32" s="1020"/>
      <c r="CM32" s="1020"/>
      <c r="CN32" s="1020"/>
      <c r="CO32" s="1020"/>
      <c r="CP32" s="1020"/>
      <c r="DB32" s="80"/>
    </row>
    <row r="33" spans="1:106" s="889" customFormat="1" ht="25.5" customHeight="1" x14ac:dyDescent="0.2">
      <c r="A33" s="3570">
        <v>26273106</v>
      </c>
      <c r="B33" s="6629"/>
      <c r="C33" s="4742" t="s">
        <v>2149</v>
      </c>
      <c r="D33" s="4227" t="s">
        <v>2777</v>
      </c>
      <c r="E33" s="2901" t="s">
        <v>2778</v>
      </c>
      <c r="F33" s="3431" t="s">
        <v>2779</v>
      </c>
      <c r="G33" s="3431" t="s">
        <v>2780</v>
      </c>
      <c r="H33" s="3325" t="s">
        <v>2781</v>
      </c>
      <c r="I33" s="3331" t="s">
        <v>2782</v>
      </c>
      <c r="J33" s="3575" t="s">
        <v>2783</v>
      </c>
      <c r="K33" s="4614" t="s">
        <v>2784</v>
      </c>
      <c r="L33" s="3331" t="s">
        <v>2785</v>
      </c>
      <c r="M33" s="3325" t="s">
        <v>2786</v>
      </c>
      <c r="N33" s="4618" t="s">
        <v>2787</v>
      </c>
      <c r="O33" s="3576" t="s">
        <v>2788</v>
      </c>
      <c r="P33" s="1162" t="e">
        <f t="shared" si="1"/>
        <v>#VALUE!</v>
      </c>
      <c r="Q33" s="1058"/>
      <c r="R33" s="1058"/>
      <c r="S33" s="1058"/>
      <c r="T33" s="1058"/>
      <c r="U33" s="1058"/>
      <c r="V33" s="1058"/>
      <c r="W33" s="1058"/>
      <c r="X33" s="1058"/>
      <c r="Y33" s="1058"/>
      <c r="Z33" s="94"/>
      <c r="AA33" s="94"/>
      <c r="AB33" s="94"/>
      <c r="AC33" s="80"/>
      <c r="AD33" s="80"/>
      <c r="AE33" s="80"/>
      <c r="AF33" s="80"/>
      <c r="AG33" s="80"/>
      <c r="AH33" s="80"/>
      <c r="AI33" s="80"/>
      <c r="AJ33" s="80"/>
      <c r="AK33" s="80"/>
      <c r="AL33" s="80"/>
      <c r="AM33" s="80"/>
      <c r="AN33" s="80"/>
      <c r="AO33" s="80"/>
      <c r="AP33" s="80"/>
      <c r="AQ33" s="80"/>
      <c r="AR33" s="80"/>
      <c r="AS33" s="80"/>
      <c r="AT33" s="80"/>
      <c r="AU33" s="80"/>
      <c r="AV33" s="80"/>
      <c r="AW33" s="80"/>
      <c r="AX33" s="80"/>
      <c r="AY33" s="80"/>
      <c r="AZ33" s="80"/>
      <c r="BA33" s="80"/>
      <c r="BB33" s="80"/>
      <c r="BC33" s="80"/>
      <c r="BD33" s="80"/>
      <c r="BE33" s="80"/>
      <c r="BF33" s="80"/>
      <c r="BG33" s="80"/>
      <c r="BH33" s="80"/>
      <c r="BI33" s="80"/>
      <c r="BJ33" s="80"/>
      <c r="BK33" s="80"/>
      <c r="BL33" s="80"/>
      <c r="BM33" s="80"/>
      <c r="BN33" s="80"/>
      <c r="BO33" s="80"/>
      <c r="BP33" s="80"/>
      <c r="BQ33" s="80"/>
      <c r="BR33" s="80"/>
      <c r="BS33" s="80"/>
      <c r="BT33" s="80"/>
      <c r="BU33" s="80"/>
      <c r="BV33" s="80"/>
      <c r="BW33" s="80"/>
      <c r="BX33" s="80"/>
      <c r="BY33" s="79"/>
      <c r="BZ33" s="79"/>
      <c r="CA33" s="79"/>
      <c r="CB33" s="1031" t="e">
        <f t="shared" si="2"/>
        <v>#VALUE!</v>
      </c>
      <c r="CC33" s="1031" t="str">
        <f t="shared" si="0"/>
        <v/>
      </c>
      <c r="CD33" s="1031"/>
      <c r="CE33" s="1031"/>
      <c r="CF33" s="1031"/>
      <c r="CG33" s="1031"/>
      <c r="CH33" s="1163" t="e">
        <f t="shared" si="3"/>
        <v>#VALUE!</v>
      </c>
      <c r="CI33" s="1163"/>
      <c r="CJ33" s="1020"/>
      <c r="CK33" s="1020"/>
      <c r="CL33" s="1020"/>
      <c r="CM33" s="1020"/>
      <c r="CN33" s="1020"/>
      <c r="CO33" s="1020"/>
      <c r="CP33" s="1020"/>
      <c r="DB33" s="80"/>
    </row>
    <row r="34" spans="1:106" s="889" customFormat="1" ht="31.5" x14ac:dyDescent="0.2">
      <c r="A34" s="3570">
        <v>26274400</v>
      </c>
      <c r="B34" s="6629"/>
      <c r="C34" s="4742" t="s">
        <v>2150</v>
      </c>
      <c r="D34" s="4227" t="s">
        <v>2777</v>
      </c>
      <c r="E34" s="3611" t="s">
        <v>2778</v>
      </c>
      <c r="F34" s="3432" t="s">
        <v>2779</v>
      </c>
      <c r="G34" s="3432" t="s">
        <v>2780</v>
      </c>
      <c r="H34" s="4619" t="s">
        <v>2781</v>
      </c>
      <c r="I34" s="4620" t="s">
        <v>2782</v>
      </c>
      <c r="J34" s="4621" t="s">
        <v>2783</v>
      </c>
      <c r="K34" s="4614" t="s">
        <v>2784</v>
      </c>
      <c r="L34" s="4620" t="s">
        <v>2785</v>
      </c>
      <c r="M34" s="4619" t="s">
        <v>2786</v>
      </c>
      <c r="N34" s="4618" t="s">
        <v>2787</v>
      </c>
      <c r="O34" s="3576" t="s">
        <v>2788</v>
      </c>
      <c r="P34" s="1162" t="e">
        <f t="shared" si="1"/>
        <v>#VALUE!</v>
      </c>
      <c r="Q34" s="1058"/>
      <c r="R34" s="1058"/>
      <c r="S34" s="1058"/>
      <c r="T34" s="1058"/>
      <c r="U34" s="1058"/>
      <c r="V34" s="1058"/>
      <c r="W34" s="1058"/>
      <c r="X34" s="1058"/>
      <c r="Y34" s="1058"/>
      <c r="Z34" s="94"/>
      <c r="AA34" s="94"/>
      <c r="AB34" s="94"/>
      <c r="AC34" s="80"/>
      <c r="AD34" s="80"/>
      <c r="AE34" s="80"/>
      <c r="AF34" s="80"/>
      <c r="AG34" s="80"/>
      <c r="AH34" s="80"/>
      <c r="AI34" s="80"/>
      <c r="AJ34" s="80"/>
      <c r="AK34" s="80"/>
      <c r="AL34" s="80"/>
      <c r="AM34" s="80"/>
      <c r="AN34" s="80"/>
      <c r="AO34" s="80"/>
      <c r="AP34" s="80"/>
      <c r="AQ34" s="80"/>
      <c r="AR34" s="80"/>
      <c r="AS34" s="80"/>
      <c r="AT34" s="80"/>
      <c r="AU34" s="80"/>
      <c r="AV34" s="80"/>
      <c r="AW34" s="80"/>
      <c r="AX34" s="80"/>
      <c r="AY34" s="80"/>
      <c r="AZ34" s="80"/>
      <c r="BA34" s="80"/>
      <c r="BB34" s="80"/>
      <c r="BC34" s="80"/>
      <c r="BD34" s="80"/>
      <c r="BE34" s="80"/>
      <c r="BF34" s="80"/>
      <c r="BG34" s="80"/>
      <c r="BH34" s="80"/>
      <c r="BI34" s="80"/>
      <c r="BJ34" s="80"/>
      <c r="BK34" s="80"/>
      <c r="BL34" s="80"/>
      <c r="BM34" s="80"/>
      <c r="BN34" s="80"/>
      <c r="BO34" s="80"/>
      <c r="BP34" s="80"/>
      <c r="BQ34" s="80"/>
      <c r="BR34" s="80"/>
      <c r="BS34" s="80"/>
      <c r="BT34" s="80"/>
      <c r="BU34" s="80"/>
      <c r="BV34" s="80"/>
      <c r="BW34" s="80"/>
      <c r="BX34" s="80"/>
      <c r="BY34" s="79"/>
      <c r="BZ34" s="79"/>
      <c r="CA34" s="79"/>
      <c r="CB34" s="1031" t="e">
        <f t="shared" si="2"/>
        <v>#VALUE!</v>
      </c>
      <c r="CC34" s="1031" t="str">
        <f t="shared" si="0"/>
        <v/>
      </c>
      <c r="CD34" s="1031"/>
      <c r="CE34" s="1031"/>
      <c r="CF34" s="1031"/>
      <c r="CG34" s="1031"/>
      <c r="CH34" s="1163" t="e">
        <f t="shared" si="3"/>
        <v>#VALUE!</v>
      </c>
      <c r="CI34" s="1163"/>
      <c r="CJ34" s="1020"/>
      <c r="CK34" s="1020"/>
      <c r="CL34" s="1020"/>
      <c r="CM34" s="1020"/>
      <c r="CN34" s="1020"/>
      <c r="CO34" s="1020"/>
      <c r="CP34" s="1020"/>
      <c r="DB34" s="80"/>
    </row>
    <row r="35" spans="1:106" s="889" customFormat="1" ht="31.5" x14ac:dyDescent="0.2">
      <c r="A35" s="3570">
        <v>26261400</v>
      </c>
      <c r="B35" s="6629"/>
      <c r="C35" s="4742" t="s">
        <v>2151</v>
      </c>
      <c r="D35" s="4227" t="s">
        <v>2777</v>
      </c>
      <c r="E35" s="2901" t="s">
        <v>2778</v>
      </c>
      <c r="F35" s="3431" t="s">
        <v>2779</v>
      </c>
      <c r="G35" s="3431" t="s">
        <v>2780</v>
      </c>
      <c r="H35" s="3325" t="s">
        <v>2781</v>
      </c>
      <c r="I35" s="3331" t="s">
        <v>2782</v>
      </c>
      <c r="J35" s="3575" t="s">
        <v>2783</v>
      </c>
      <c r="K35" s="4614" t="s">
        <v>2784</v>
      </c>
      <c r="L35" s="3331" t="s">
        <v>2785</v>
      </c>
      <c r="M35" s="3325" t="s">
        <v>2786</v>
      </c>
      <c r="N35" s="4622" t="s">
        <v>2787</v>
      </c>
      <c r="O35" s="3576" t="s">
        <v>2788</v>
      </c>
      <c r="P35" s="1162" t="e">
        <f t="shared" si="1"/>
        <v>#VALUE!</v>
      </c>
      <c r="Q35" s="1058"/>
      <c r="R35" s="1058"/>
      <c r="S35" s="1058"/>
      <c r="T35" s="1058"/>
      <c r="U35" s="1058"/>
      <c r="V35" s="1058"/>
      <c r="W35" s="1058"/>
      <c r="X35" s="1058"/>
      <c r="Y35" s="1058"/>
      <c r="Z35" s="94"/>
      <c r="AA35" s="94"/>
      <c r="AB35" s="94"/>
      <c r="AC35" s="80"/>
      <c r="AD35" s="80"/>
      <c r="AE35" s="80"/>
      <c r="AF35" s="80"/>
      <c r="AG35" s="80"/>
      <c r="AH35" s="80"/>
      <c r="AI35" s="80"/>
      <c r="AJ35" s="80"/>
      <c r="AK35" s="80"/>
      <c r="AL35" s="80"/>
      <c r="AM35" s="80"/>
      <c r="AN35" s="80"/>
      <c r="AO35" s="80"/>
      <c r="AP35" s="80"/>
      <c r="AQ35" s="80"/>
      <c r="AR35" s="80"/>
      <c r="AS35" s="80"/>
      <c r="AT35" s="80"/>
      <c r="AU35" s="80"/>
      <c r="AV35" s="80"/>
      <c r="AW35" s="80"/>
      <c r="AX35" s="80"/>
      <c r="AY35" s="80"/>
      <c r="AZ35" s="80"/>
      <c r="BA35" s="80"/>
      <c r="BB35" s="80"/>
      <c r="BC35" s="80"/>
      <c r="BD35" s="80"/>
      <c r="BE35" s="80"/>
      <c r="BF35" s="80"/>
      <c r="BG35" s="80"/>
      <c r="BH35" s="80"/>
      <c r="BI35" s="80"/>
      <c r="BJ35" s="80"/>
      <c r="BK35" s="80"/>
      <c r="BL35" s="80"/>
      <c r="BM35" s="80"/>
      <c r="BN35" s="80"/>
      <c r="BO35" s="80"/>
      <c r="BP35" s="80"/>
      <c r="BQ35" s="80"/>
      <c r="BR35" s="80"/>
      <c r="BS35" s="80"/>
      <c r="BT35" s="80"/>
      <c r="BU35" s="80"/>
      <c r="BV35" s="80"/>
      <c r="BW35" s="80"/>
      <c r="BX35" s="80"/>
      <c r="BY35" s="79"/>
      <c r="BZ35" s="79"/>
      <c r="CA35" s="79"/>
      <c r="CB35" s="1031" t="e">
        <f t="shared" si="2"/>
        <v>#VALUE!</v>
      </c>
      <c r="CC35" s="1031" t="str">
        <f t="shared" si="0"/>
        <v/>
      </c>
      <c r="CD35" s="1031"/>
      <c r="CE35" s="1031"/>
      <c r="CF35" s="1031"/>
      <c r="CG35" s="1031"/>
      <c r="CH35" s="1163" t="e">
        <f t="shared" si="3"/>
        <v>#VALUE!</v>
      </c>
      <c r="CI35" s="1163"/>
      <c r="CJ35" s="1020"/>
      <c r="CK35" s="1020"/>
      <c r="CL35" s="1020"/>
      <c r="CM35" s="1020"/>
      <c r="CN35" s="1020"/>
      <c r="CO35" s="1020"/>
      <c r="CP35" s="1020"/>
      <c r="DB35" s="80"/>
    </row>
    <row r="36" spans="1:106" s="889" customFormat="1" ht="28.5" customHeight="1" x14ac:dyDescent="0.2">
      <c r="A36" s="3570">
        <v>26300100</v>
      </c>
      <c r="B36" s="6630"/>
      <c r="C36" s="4743" t="s">
        <v>2154</v>
      </c>
      <c r="D36" s="4239" t="s">
        <v>2777</v>
      </c>
      <c r="E36" s="3333" t="s">
        <v>2778</v>
      </c>
      <c r="F36" s="3435" t="s">
        <v>2779</v>
      </c>
      <c r="G36" s="3435" t="s">
        <v>2780</v>
      </c>
      <c r="H36" s="3318" t="s">
        <v>2781</v>
      </c>
      <c r="I36" s="3582" t="s">
        <v>2782</v>
      </c>
      <c r="J36" s="3582" t="s">
        <v>2783</v>
      </c>
      <c r="K36" s="3333" t="s">
        <v>2784</v>
      </c>
      <c r="L36" s="3335" t="s">
        <v>2785</v>
      </c>
      <c r="M36" s="3318" t="s">
        <v>2786</v>
      </c>
      <c r="N36" s="4623" t="s">
        <v>2787</v>
      </c>
      <c r="O36" s="3579" t="s">
        <v>2788</v>
      </c>
      <c r="P36" s="1162" t="e">
        <f t="shared" si="1"/>
        <v>#VALUE!</v>
      </c>
      <c r="Q36" s="1058"/>
      <c r="R36" s="1058"/>
      <c r="S36" s="1058"/>
      <c r="T36" s="1058"/>
      <c r="U36" s="1058"/>
      <c r="V36" s="1058"/>
      <c r="W36" s="1058"/>
      <c r="X36" s="1058"/>
      <c r="Y36" s="1058"/>
      <c r="Z36" s="94"/>
      <c r="AA36" s="94"/>
      <c r="AB36" s="94"/>
      <c r="AC36" s="80"/>
      <c r="AD36" s="80"/>
      <c r="AE36" s="80"/>
      <c r="AF36" s="80"/>
      <c r="AG36" s="80"/>
      <c r="AH36" s="80"/>
      <c r="AI36" s="80"/>
      <c r="AJ36" s="80"/>
      <c r="AK36" s="80"/>
      <c r="AL36" s="80"/>
      <c r="AM36" s="80"/>
      <c r="AN36" s="80"/>
      <c r="AO36" s="80"/>
      <c r="AP36" s="80"/>
      <c r="AQ36" s="80"/>
      <c r="AR36" s="80"/>
      <c r="AS36" s="80"/>
      <c r="AT36" s="80"/>
      <c r="AU36" s="80"/>
      <c r="AV36" s="80"/>
      <c r="AW36" s="80"/>
      <c r="AX36" s="80"/>
      <c r="AY36" s="80"/>
      <c r="AZ36" s="80"/>
      <c r="BA36" s="80"/>
      <c r="BB36" s="80"/>
      <c r="BC36" s="80"/>
      <c r="BD36" s="80"/>
      <c r="BE36" s="80"/>
      <c r="BF36" s="80"/>
      <c r="BG36" s="80"/>
      <c r="BH36" s="80"/>
      <c r="BI36" s="80"/>
      <c r="BJ36" s="80"/>
      <c r="BK36" s="80"/>
      <c r="BL36" s="80"/>
      <c r="BM36" s="80"/>
      <c r="BN36" s="80"/>
      <c r="BO36" s="80"/>
      <c r="BP36" s="80"/>
      <c r="BQ36" s="80"/>
      <c r="BR36" s="80"/>
      <c r="BS36" s="80"/>
      <c r="BT36" s="80"/>
      <c r="BU36" s="80"/>
      <c r="BV36" s="80"/>
      <c r="BW36" s="80"/>
      <c r="BX36" s="80"/>
      <c r="BY36" s="79"/>
      <c r="BZ36" s="79"/>
      <c r="CA36" s="79"/>
      <c r="CB36" s="1031" t="e">
        <f t="shared" si="2"/>
        <v>#VALUE!</v>
      </c>
      <c r="CC36" s="1031" t="str">
        <f t="shared" si="0"/>
        <v/>
      </c>
      <c r="CD36" s="1031"/>
      <c r="CE36" s="1031"/>
      <c r="CF36" s="1031"/>
      <c r="CG36" s="1031"/>
      <c r="CH36" s="1163" t="e">
        <f t="shared" si="3"/>
        <v>#VALUE!</v>
      </c>
      <c r="CI36" s="1163"/>
      <c r="CJ36" s="1020"/>
      <c r="CK36" s="1020"/>
      <c r="CL36" s="1020"/>
      <c r="CM36" s="1020"/>
      <c r="CN36" s="1020"/>
      <c r="CO36" s="1020"/>
      <c r="CP36" s="1020"/>
      <c r="DB36" s="80"/>
    </row>
    <row r="37" spans="1:106" s="889" customFormat="1" ht="32.1" customHeight="1" x14ac:dyDescent="0.2">
      <c r="A37" s="3569"/>
      <c r="B37" s="4311" t="s">
        <v>2156</v>
      </c>
      <c r="C37" s="4312"/>
      <c r="D37" s="4312"/>
      <c r="E37" s="4313"/>
      <c r="F37" s="4313"/>
      <c r="G37" s="4313"/>
      <c r="H37" s="4313"/>
      <c r="I37" s="190"/>
      <c r="J37" s="378"/>
      <c r="K37" s="190"/>
      <c r="L37" s="190"/>
      <c r="M37" s="94"/>
      <c r="N37" s="94"/>
      <c r="O37" s="94"/>
      <c r="P37" s="94"/>
      <c r="Q37" s="94"/>
      <c r="R37" s="94"/>
      <c r="S37" s="94"/>
      <c r="T37" s="94"/>
      <c r="U37" s="94"/>
      <c r="V37" s="94"/>
      <c r="W37" s="94"/>
      <c r="X37" s="94"/>
      <c r="Y37" s="94"/>
      <c r="Z37" s="94"/>
      <c r="AA37" s="94"/>
      <c r="AB37" s="80"/>
      <c r="AC37" s="80"/>
      <c r="AD37" s="80"/>
      <c r="AE37" s="80"/>
      <c r="AF37" s="80"/>
      <c r="AG37" s="80"/>
      <c r="AH37" s="80"/>
      <c r="AI37" s="80"/>
      <c r="AJ37" s="80"/>
      <c r="AK37" s="80"/>
      <c r="AL37" s="80"/>
      <c r="AM37" s="80"/>
      <c r="AN37" s="80"/>
      <c r="AO37" s="80"/>
      <c r="AP37" s="80"/>
      <c r="AQ37" s="80"/>
      <c r="AR37" s="80"/>
      <c r="AS37" s="80"/>
      <c r="AT37" s="80"/>
      <c r="AU37" s="80"/>
      <c r="AV37" s="80"/>
      <c r="AW37" s="80"/>
      <c r="AX37" s="80"/>
      <c r="AY37" s="80"/>
      <c r="AZ37" s="80"/>
      <c r="BA37" s="80"/>
      <c r="BB37" s="80"/>
      <c r="BC37" s="80"/>
      <c r="BD37" s="80"/>
      <c r="BE37" s="80"/>
      <c r="BF37" s="80"/>
      <c r="BG37" s="80"/>
      <c r="BH37" s="80"/>
      <c r="BI37" s="80"/>
      <c r="BJ37" s="80"/>
      <c r="BK37" s="80"/>
      <c r="BL37" s="80"/>
      <c r="BM37" s="80"/>
      <c r="BN37" s="80"/>
      <c r="BO37" s="80"/>
      <c r="BP37" s="80"/>
      <c r="BQ37" s="80"/>
      <c r="BR37" s="80"/>
      <c r="BS37" s="80"/>
      <c r="BT37" s="80"/>
      <c r="BU37" s="80"/>
      <c r="BV37" s="80"/>
      <c r="BW37" s="80"/>
      <c r="BX37" s="79"/>
      <c r="BY37" s="79"/>
      <c r="BZ37" s="79"/>
      <c r="CA37" s="79"/>
      <c r="CH37" s="1020"/>
      <c r="CI37" s="1020"/>
      <c r="CJ37" s="1020"/>
      <c r="CK37" s="1020"/>
      <c r="CL37" s="1020"/>
      <c r="CM37" s="1020"/>
      <c r="CN37" s="1020"/>
      <c r="CO37" s="1020"/>
      <c r="CP37" s="1020"/>
      <c r="DB37" s="80"/>
    </row>
    <row r="38" spans="1:106" s="889" customFormat="1" ht="45.6" customHeight="1" x14ac:dyDescent="0.2">
      <c r="A38" s="3569"/>
      <c r="B38" s="5261" t="s">
        <v>676</v>
      </c>
      <c r="C38" s="5262"/>
      <c r="D38" s="4314" t="s">
        <v>42</v>
      </c>
      <c r="E38" s="4314" t="s">
        <v>675</v>
      </c>
      <c r="F38" s="4315" t="s">
        <v>2157</v>
      </c>
      <c r="G38" s="4316" t="s">
        <v>2158</v>
      </c>
      <c r="H38" s="4265" t="s">
        <v>69</v>
      </c>
      <c r="I38" s="4317" t="s">
        <v>1801</v>
      </c>
      <c r="J38" s="4317" t="s">
        <v>2126</v>
      </c>
      <c r="K38" s="4317" t="s">
        <v>23</v>
      </c>
      <c r="L38" s="190"/>
      <c r="M38" s="94"/>
      <c r="N38" s="94"/>
      <c r="O38" s="94"/>
      <c r="P38" s="94"/>
      <c r="Q38" s="94"/>
      <c r="R38" s="94"/>
      <c r="S38" s="94"/>
      <c r="T38" s="94"/>
      <c r="U38" s="94"/>
      <c r="V38" s="94"/>
      <c r="W38" s="94"/>
      <c r="X38" s="94"/>
      <c r="Y38" s="94"/>
      <c r="Z38" s="94"/>
      <c r="AA38" s="94"/>
      <c r="AB38" s="80"/>
      <c r="AC38" s="80"/>
      <c r="AD38" s="80"/>
      <c r="AE38" s="80"/>
      <c r="AF38" s="80"/>
      <c r="AG38" s="80"/>
      <c r="AH38" s="80"/>
      <c r="AI38" s="80"/>
      <c r="AJ38" s="80"/>
      <c r="AK38" s="80"/>
      <c r="AL38" s="80"/>
      <c r="AM38" s="80"/>
      <c r="AN38" s="80"/>
      <c r="AO38" s="80"/>
      <c r="AP38" s="80"/>
      <c r="AQ38" s="80"/>
      <c r="AR38" s="80"/>
      <c r="AS38" s="80"/>
      <c r="AT38" s="80"/>
      <c r="AU38" s="80"/>
      <c r="AV38" s="80"/>
      <c r="AW38" s="80"/>
      <c r="AX38" s="80"/>
      <c r="AY38" s="80"/>
      <c r="AZ38" s="80"/>
      <c r="BA38" s="80"/>
      <c r="BB38" s="80"/>
      <c r="BC38" s="80"/>
      <c r="BD38" s="80"/>
      <c r="BE38" s="80"/>
      <c r="BF38" s="80"/>
      <c r="BG38" s="80"/>
      <c r="BH38" s="80"/>
      <c r="BI38" s="80"/>
      <c r="BJ38" s="80"/>
      <c r="BK38" s="80"/>
      <c r="BL38" s="80"/>
      <c r="BM38" s="80"/>
      <c r="BN38" s="80"/>
      <c r="BO38" s="80"/>
      <c r="BP38" s="80"/>
      <c r="BQ38" s="80"/>
      <c r="BR38" s="80"/>
      <c r="BS38" s="80"/>
      <c r="BT38" s="80"/>
      <c r="BU38" s="80"/>
      <c r="BV38" s="80"/>
      <c r="BW38" s="80"/>
      <c r="BX38" s="79"/>
      <c r="BY38" s="79"/>
      <c r="BZ38" s="79"/>
      <c r="CA38" s="79"/>
      <c r="CH38" s="1020"/>
      <c r="CI38" s="1020"/>
      <c r="CJ38" s="1020"/>
      <c r="CK38" s="1020"/>
      <c r="CL38" s="1020"/>
      <c r="CM38" s="1020"/>
      <c r="CN38" s="1020"/>
      <c r="CO38" s="1020"/>
      <c r="CP38" s="1020"/>
      <c r="DB38" s="80"/>
    </row>
    <row r="39" spans="1:106" s="889" customFormat="1" x14ac:dyDescent="0.2">
      <c r="A39" s="3097">
        <v>26260600</v>
      </c>
      <c r="B39" s="6631" t="s">
        <v>2159</v>
      </c>
      <c r="C39" s="5882"/>
      <c r="D39" s="4609" t="s">
        <v>2777</v>
      </c>
      <c r="E39" s="4318" t="s">
        <v>2778</v>
      </c>
      <c r="F39" s="4319" t="s">
        <v>2779</v>
      </c>
      <c r="G39" s="4320" t="s">
        <v>2780</v>
      </c>
      <c r="H39" s="4321" t="s">
        <v>2781</v>
      </c>
      <c r="I39" s="1742" t="s">
        <v>2782</v>
      </c>
      <c r="J39" s="1742" t="s">
        <v>2783</v>
      </c>
      <c r="K39" s="1742" t="s">
        <v>2784</v>
      </c>
      <c r="L39" s="190"/>
      <c r="M39" s="94"/>
      <c r="N39" s="94"/>
      <c r="O39" s="94"/>
      <c r="P39" s="94"/>
      <c r="Q39" s="94"/>
      <c r="R39" s="94"/>
      <c r="S39" s="94"/>
      <c r="T39" s="94"/>
      <c r="U39" s="94"/>
      <c r="V39" s="94"/>
      <c r="W39" s="94"/>
      <c r="X39" s="94"/>
      <c r="Y39" s="94"/>
      <c r="Z39" s="94"/>
      <c r="AA39" s="94"/>
      <c r="AB39" s="80"/>
      <c r="AC39" s="80"/>
      <c r="AD39" s="80"/>
      <c r="AE39" s="80"/>
      <c r="AF39" s="80"/>
      <c r="AG39" s="80"/>
      <c r="AH39" s="80"/>
      <c r="AI39" s="80"/>
      <c r="AJ39" s="80"/>
      <c r="AK39" s="80"/>
      <c r="AL39" s="80"/>
      <c r="AM39" s="80"/>
      <c r="AN39" s="80"/>
      <c r="AO39" s="80"/>
      <c r="AP39" s="80"/>
      <c r="AQ39" s="80"/>
      <c r="AR39" s="80"/>
      <c r="AS39" s="80"/>
      <c r="AT39" s="80"/>
      <c r="AU39" s="80"/>
      <c r="AV39" s="80"/>
      <c r="AW39" s="80"/>
      <c r="AX39" s="80"/>
      <c r="AY39" s="80"/>
      <c r="AZ39" s="80"/>
      <c r="BA39" s="80"/>
      <c r="BB39" s="80"/>
      <c r="BC39" s="80"/>
      <c r="BD39" s="80"/>
      <c r="BE39" s="80"/>
      <c r="BF39" s="80"/>
      <c r="BG39" s="80"/>
      <c r="BH39" s="80"/>
      <c r="BI39" s="80"/>
      <c r="BJ39" s="80"/>
      <c r="BK39" s="80"/>
      <c r="BL39" s="80"/>
      <c r="BM39" s="80"/>
      <c r="BN39" s="80"/>
      <c r="BO39" s="80"/>
      <c r="BP39" s="80"/>
      <c r="BQ39" s="80"/>
      <c r="BR39" s="80"/>
      <c r="BS39" s="80"/>
      <c r="BT39" s="80"/>
      <c r="BU39" s="80"/>
      <c r="BV39" s="80"/>
      <c r="BW39" s="80"/>
      <c r="BX39" s="79"/>
      <c r="BY39" s="79"/>
      <c r="BZ39" s="79"/>
      <c r="CA39" s="79"/>
      <c r="CH39" s="1020"/>
      <c r="CI39" s="1020"/>
      <c r="CJ39" s="1020"/>
      <c r="CK39" s="1020"/>
      <c r="CL39" s="1020"/>
      <c r="CM39" s="1020"/>
      <c r="CN39" s="1020"/>
      <c r="CO39" s="1020"/>
      <c r="CP39" s="1020"/>
      <c r="DB39" s="80"/>
    </row>
    <row r="40" spans="1:106" s="889" customFormat="1" x14ac:dyDescent="0.2">
      <c r="A40" s="3097">
        <v>26261800</v>
      </c>
      <c r="B40" s="5313" t="s">
        <v>2160</v>
      </c>
      <c r="C40" s="5303"/>
      <c r="D40" s="4244" t="s">
        <v>2777</v>
      </c>
      <c r="E40" s="141" t="s">
        <v>2778</v>
      </c>
      <c r="F40" s="142" t="s">
        <v>2779</v>
      </c>
      <c r="G40" s="247" t="s">
        <v>2780</v>
      </c>
      <c r="H40" s="175" t="s">
        <v>2781</v>
      </c>
      <c r="I40" s="1742" t="s">
        <v>2782</v>
      </c>
      <c r="J40" s="1742" t="s">
        <v>2783</v>
      </c>
      <c r="K40" s="1742" t="s">
        <v>2784</v>
      </c>
      <c r="L40" s="190"/>
      <c r="M40" s="80"/>
      <c r="N40" s="80"/>
      <c r="O40" s="80"/>
      <c r="P40" s="80"/>
      <c r="Q40" s="80"/>
      <c r="R40" s="80"/>
      <c r="S40" s="80"/>
      <c r="T40" s="80"/>
      <c r="U40" s="80"/>
      <c r="V40" s="80"/>
      <c r="W40" s="80"/>
      <c r="X40" s="80"/>
      <c r="Y40" s="80"/>
      <c r="Z40" s="80"/>
      <c r="AA40" s="80"/>
      <c r="AB40" s="80"/>
      <c r="AC40" s="80"/>
      <c r="AD40" s="80"/>
      <c r="AE40" s="80"/>
      <c r="AF40" s="80"/>
      <c r="AG40" s="80"/>
      <c r="AH40" s="80"/>
      <c r="AI40" s="80"/>
      <c r="AJ40" s="80"/>
      <c r="AK40" s="80"/>
      <c r="AL40" s="80"/>
      <c r="AM40" s="80"/>
      <c r="AN40" s="80"/>
      <c r="AO40" s="80"/>
      <c r="AP40" s="80"/>
      <c r="AQ40" s="80"/>
      <c r="AR40" s="80"/>
      <c r="AS40" s="80"/>
      <c r="AT40" s="80"/>
      <c r="AU40" s="80"/>
      <c r="AV40" s="80"/>
      <c r="AW40" s="80"/>
      <c r="AX40" s="80"/>
      <c r="AY40" s="80"/>
      <c r="AZ40" s="80"/>
      <c r="BA40" s="80"/>
      <c r="BB40" s="80"/>
      <c r="BC40" s="80"/>
      <c r="BD40" s="80"/>
      <c r="BE40" s="80"/>
      <c r="BF40" s="80"/>
      <c r="BG40" s="80"/>
      <c r="BH40" s="80"/>
      <c r="BI40" s="80"/>
      <c r="BJ40" s="80"/>
      <c r="BK40" s="80"/>
      <c r="BL40" s="80"/>
      <c r="BM40" s="80"/>
      <c r="BN40" s="80"/>
      <c r="BO40" s="80"/>
      <c r="BP40" s="80"/>
      <c r="BQ40" s="80"/>
      <c r="BR40" s="80"/>
      <c r="BS40" s="80"/>
      <c r="BT40" s="80"/>
      <c r="BU40" s="80"/>
      <c r="BV40" s="80"/>
      <c r="BW40" s="80"/>
      <c r="BX40" s="79"/>
      <c r="BY40" s="79"/>
      <c r="BZ40" s="79"/>
      <c r="CA40" s="79"/>
      <c r="CH40" s="1020"/>
      <c r="CI40" s="1020"/>
      <c r="CJ40" s="1020"/>
      <c r="CK40" s="1020"/>
      <c r="CL40" s="1020"/>
      <c r="CM40" s="1020"/>
      <c r="CN40" s="1020"/>
      <c r="CO40" s="1020"/>
      <c r="CP40" s="1020"/>
      <c r="DB40" s="80"/>
    </row>
    <row r="41" spans="1:106" s="889" customFormat="1" x14ac:dyDescent="0.2">
      <c r="A41" s="3097">
        <v>26261900</v>
      </c>
      <c r="B41" s="5313" t="s">
        <v>2161</v>
      </c>
      <c r="C41" s="5303"/>
      <c r="D41" s="4227" t="s">
        <v>2777</v>
      </c>
      <c r="E41" s="141" t="s">
        <v>2778</v>
      </c>
      <c r="F41" s="142" t="s">
        <v>2779</v>
      </c>
      <c r="G41" s="247" t="s">
        <v>2780</v>
      </c>
      <c r="H41" s="175" t="s">
        <v>2781</v>
      </c>
      <c r="I41" s="1742" t="s">
        <v>2782</v>
      </c>
      <c r="J41" s="1742" t="s">
        <v>2783</v>
      </c>
      <c r="K41" s="1742" t="s">
        <v>2784</v>
      </c>
      <c r="L41" s="190"/>
      <c r="M41" s="80"/>
      <c r="N41" s="80"/>
      <c r="O41" s="80"/>
      <c r="P41" s="80"/>
      <c r="Q41" s="80"/>
      <c r="R41" s="80"/>
      <c r="S41" s="80"/>
      <c r="T41" s="80"/>
      <c r="U41" s="80"/>
      <c r="V41" s="80"/>
      <c r="W41" s="80"/>
      <c r="X41" s="80"/>
      <c r="Y41" s="80"/>
      <c r="Z41" s="80"/>
      <c r="AA41" s="80"/>
      <c r="AB41" s="80"/>
      <c r="AC41" s="80"/>
      <c r="AD41" s="80"/>
      <c r="AE41" s="80"/>
      <c r="AF41" s="80"/>
      <c r="AG41" s="80"/>
      <c r="AH41" s="80"/>
      <c r="AI41" s="80"/>
      <c r="AJ41" s="80"/>
      <c r="AK41" s="80"/>
      <c r="AL41" s="80"/>
      <c r="AM41" s="80"/>
      <c r="AN41" s="80"/>
      <c r="AO41" s="80"/>
      <c r="AP41" s="80"/>
      <c r="AQ41" s="80"/>
      <c r="AR41" s="80"/>
      <c r="AS41" s="80"/>
      <c r="AT41" s="80"/>
      <c r="AU41" s="80"/>
      <c r="AV41" s="80"/>
      <c r="AW41" s="80"/>
      <c r="AX41" s="80"/>
      <c r="AY41" s="80"/>
      <c r="AZ41" s="80"/>
      <c r="BA41" s="80"/>
      <c r="BB41" s="80"/>
      <c r="BC41" s="80"/>
      <c r="BD41" s="80"/>
      <c r="BE41" s="80"/>
      <c r="BF41" s="80"/>
      <c r="BG41" s="80"/>
      <c r="BH41" s="80"/>
      <c r="BI41" s="80"/>
      <c r="BJ41" s="80"/>
      <c r="BK41" s="80"/>
      <c r="BL41" s="80"/>
      <c r="BM41" s="80"/>
      <c r="BN41" s="80"/>
      <c r="BO41" s="80"/>
      <c r="BP41" s="80"/>
      <c r="BQ41" s="80"/>
      <c r="BR41" s="80"/>
      <c r="BS41" s="80"/>
      <c r="BT41" s="80"/>
      <c r="BU41" s="80"/>
      <c r="BV41" s="80"/>
      <c r="BW41" s="80"/>
      <c r="BX41" s="79"/>
      <c r="BY41" s="79"/>
      <c r="BZ41" s="79"/>
      <c r="CA41" s="79"/>
      <c r="CH41" s="1020"/>
      <c r="CI41" s="1020"/>
      <c r="CJ41" s="1020"/>
      <c r="CK41" s="1020"/>
      <c r="CL41" s="1020"/>
      <c r="CM41" s="1020"/>
      <c r="CN41" s="1020"/>
      <c r="CO41" s="1020"/>
      <c r="CP41" s="1020"/>
      <c r="DB41" s="80"/>
    </row>
    <row r="42" spans="1:106" s="889" customFormat="1" x14ac:dyDescent="0.2">
      <c r="A42" s="3570">
        <v>26273109</v>
      </c>
      <c r="B42" s="5313" t="s">
        <v>2162</v>
      </c>
      <c r="C42" s="5303"/>
      <c r="D42" s="4227" t="s">
        <v>2777</v>
      </c>
      <c r="E42" s="141" t="s">
        <v>2778</v>
      </c>
      <c r="F42" s="146" t="s">
        <v>2779</v>
      </c>
      <c r="G42" s="247" t="s">
        <v>2780</v>
      </c>
      <c r="H42" s="2631" t="s">
        <v>2781</v>
      </c>
      <c r="I42" s="1679" t="s">
        <v>2782</v>
      </c>
      <c r="J42" s="1679" t="s">
        <v>2783</v>
      </c>
      <c r="K42" s="1679" t="s">
        <v>2784</v>
      </c>
      <c r="L42" s="190"/>
      <c r="M42" s="80"/>
      <c r="N42" s="80"/>
      <c r="O42" s="80"/>
      <c r="P42" s="80"/>
      <c r="Q42" s="80"/>
      <c r="R42" s="80"/>
      <c r="S42" s="80"/>
      <c r="T42" s="80"/>
      <c r="U42" s="80"/>
      <c r="V42" s="80"/>
      <c r="W42" s="80"/>
      <c r="X42" s="80"/>
      <c r="Y42" s="80"/>
      <c r="Z42" s="80"/>
      <c r="AA42" s="80"/>
      <c r="AB42" s="80"/>
      <c r="AC42" s="80"/>
      <c r="AD42" s="80"/>
      <c r="AE42" s="80"/>
      <c r="AF42" s="80"/>
      <c r="AG42" s="80"/>
      <c r="AH42" s="80"/>
      <c r="AI42" s="80"/>
      <c r="AJ42" s="80"/>
      <c r="AK42" s="80"/>
      <c r="AL42" s="80"/>
      <c r="AM42" s="80"/>
      <c r="AN42" s="80"/>
      <c r="AO42" s="80"/>
      <c r="AP42" s="80"/>
      <c r="AQ42" s="80"/>
      <c r="AR42" s="80"/>
      <c r="AS42" s="80"/>
      <c r="AT42" s="80"/>
      <c r="AU42" s="80"/>
      <c r="AV42" s="80"/>
      <c r="AW42" s="80"/>
      <c r="AX42" s="80"/>
      <c r="AY42" s="80"/>
      <c r="AZ42" s="80"/>
      <c r="BA42" s="80"/>
      <c r="BB42" s="80"/>
      <c r="BC42" s="80"/>
      <c r="BD42" s="80"/>
      <c r="BE42" s="80"/>
      <c r="BF42" s="80"/>
      <c r="BG42" s="80"/>
      <c r="BH42" s="80"/>
      <c r="BI42" s="80"/>
      <c r="BJ42" s="80"/>
      <c r="BK42" s="80"/>
      <c r="BL42" s="80"/>
      <c r="BM42" s="80"/>
      <c r="BN42" s="80"/>
      <c r="BO42" s="80"/>
      <c r="BP42" s="80"/>
      <c r="BQ42" s="80"/>
      <c r="BR42" s="80"/>
      <c r="BS42" s="80"/>
      <c r="BT42" s="80"/>
      <c r="BU42" s="80"/>
      <c r="BV42" s="80"/>
      <c r="BW42" s="80"/>
      <c r="BX42" s="79"/>
      <c r="BY42" s="79"/>
      <c r="BZ42" s="79"/>
      <c r="CA42" s="79"/>
      <c r="CH42" s="1020"/>
      <c r="CI42" s="1020"/>
      <c r="CJ42" s="1020"/>
      <c r="CK42" s="1020"/>
      <c r="CL42" s="1020"/>
      <c r="CM42" s="1020"/>
      <c r="CN42" s="1020"/>
      <c r="CO42" s="1020"/>
      <c r="CP42" s="1020"/>
      <c r="DB42" s="80"/>
    </row>
    <row r="43" spans="1:106" s="889" customFormat="1" ht="21" x14ac:dyDescent="0.2">
      <c r="A43" s="3570">
        <v>26275400</v>
      </c>
      <c r="B43" s="5916" t="s">
        <v>2163</v>
      </c>
      <c r="C43" s="4322" t="s">
        <v>2704</v>
      </c>
      <c r="D43" s="4379" t="s">
        <v>2777</v>
      </c>
      <c r="E43" s="4318" t="s">
        <v>2778</v>
      </c>
      <c r="F43" s="4319" t="s">
        <v>2779</v>
      </c>
      <c r="G43" s="4320" t="s">
        <v>2780</v>
      </c>
      <c r="H43" s="4321" t="s">
        <v>2781</v>
      </c>
      <c r="I43" s="4323" t="s">
        <v>2782</v>
      </c>
      <c r="J43" s="4323" t="s">
        <v>2783</v>
      </c>
      <c r="K43" s="4323" t="s">
        <v>2784</v>
      </c>
      <c r="L43" s="190"/>
      <c r="M43" s="80"/>
      <c r="N43" s="80"/>
      <c r="O43" s="80"/>
      <c r="P43" s="80"/>
      <c r="Q43" s="80"/>
      <c r="R43" s="80"/>
      <c r="S43" s="80"/>
      <c r="T43" s="80"/>
      <c r="U43" s="80"/>
      <c r="V43" s="80"/>
      <c r="W43" s="80"/>
      <c r="X43" s="80"/>
      <c r="Y43" s="80"/>
      <c r="Z43" s="80"/>
      <c r="AA43" s="80"/>
      <c r="AB43" s="80"/>
      <c r="AC43" s="80"/>
      <c r="AD43" s="80"/>
      <c r="AE43" s="80"/>
      <c r="AF43" s="80"/>
      <c r="AG43" s="80"/>
      <c r="AH43" s="80"/>
      <c r="AI43" s="80"/>
      <c r="AJ43" s="80"/>
      <c r="AK43" s="80"/>
      <c r="AL43" s="80"/>
      <c r="AM43" s="80"/>
      <c r="AN43" s="80"/>
      <c r="AO43" s="80"/>
      <c r="AP43" s="80"/>
      <c r="AQ43" s="80"/>
      <c r="AR43" s="80"/>
      <c r="AS43" s="80"/>
      <c r="AT43" s="80"/>
      <c r="AU43" s="80"/>
      <c r="AV43" s="80"/>
      <c r="AW43" s="80"/>
      <c r="AX43" s="80"/>
      <c r="AY43" s="80"/>
      <c r="AZ43" s="80"/>
      <c r="BA43" s="80"/>
      <c r="BB43" s="80"/>
      <c r="BC43" s="80"/>
      <c r="BD43" s="80"/>
      <c r="BE43" s="80"/>
      <c r="BF43" s="80"/>
      <c r="BG43" s="80"/>
      <c r="BH43" s="80"/>
      <c r="BI43" s="80"/>
      <c r="BJ43" s="80"/>
      <c r="BK43" s="80"/>
      <c r="BL43" s="80"/>
      <c r="BM43" s="80"/>
      <c r="BN43" s="80"/>
      <c r="BO43" s="80"/>
      <c r="BP43" s="80"/>
      <c r="BQ43" s="80"/>
      <c r="BR43" s="80"/>
      <c r="BS43" s="80"/>
      <c r="BT43" s="80"/>
      <c r="BU43" s="80"/>
      <c r="BV43" s="80"/>
      <c r="BW43" s="80"/>
      <c r="BX43" s="79"/>
      <c r="BY43" s="79"/>
      <c r="BZ43" s="79"/>
      <c r="CA43" s="79"/>
      <c r="CH43" s="1020"/>
      <c r="CI43" s="1020"/>
      <c r="CJ43" s="1020"/>
      <c r="CK43" s="1020"/>
      <c r="CL43" s="1020"/>
      <c r="CM43" s="1020"/>
      <c r="CN43" s="1020"/>
      <c r="CO43" s="1020"/>
      <c r="CP43" s="1020"/>
      <c r="DB43" s="80"/>
    </row>
    <row r="44" spans="1:106" s="889" customFormat="1" x14ac:dyDescent="0.2">
      <c r="A44" s="3570">
        <v>26275500</v>
      </c>
      <c r="B44" s="5916"/>
      <c r="C44" s="1249" t="s">
        <v>2164</v>
      </c>
      <c r="D44" s="4227" t="s">
        <v>2777</v>
      </c>
      <c r="E44" s="141" t="s">
        <v>2778</v>
      </c>
      <c r="F44" s="142" t="s">
        <v>2779</v>
      </c>
      <c r="G44" s="247" t="s">
        <v>2780</v>
      </c>
      <c r="H44" s="175" t="s">
        <v>2781</v>
      </c>
      <c r="I44" s="4323" t="s">
        <v>2782</v>
      </c>
      <c r="J44" s="4323" t="s">
        <v>2783</v>
      </c>
      <c r="K44" s="4323" t="s">
        <v>2784</v>
      </c>
      <c r="L44" s="190"/>
      <c r="M44" s="80"/>
      <c r="N44" s="80"/>
      <c r="O44" s="80"/>
      <c r="P44" s="80"/>
      <c r="Q44" s="80"/>
      <c r="R44" s="80"/>
      <c r="S44" s="80"/>
      <c r="T44" s="80"/>
      <c r="U44" s="80"/>
      <c r="V44" s="80"/>
      <c r="W44" s="80"/>
      <c r="X44" s="80"/>
      <c r="Y44" s="80"/>
      <c r="Z44" s="80"/>
      <c r="AA44" s="80"/>
      <c r="AB44" s="80"/>
      <c r="AC44" s="80"/>
      <c r="AD44" s="80"/>
      <c r="AE44" s="80"/>
      <c r="AF44" s="80"/>
      <c r="AG44" s="80"/>
      <c r="AH44" s="80"/>
      <c r="AI44" s="80"/>
      <c r="AJ44" s="80"/>
      <c r="AK44" s="80"/>
      <c r="AL44" s="80"/>
      <c r="AM44" s="80"/>
      <c r="AN44" s="80"/>
      <c r="AO44" s="80"/>
      <c r="AP44" s="80"/>
      <c r="AQ44" s="80"/>
      <c r="AR44" s="80"/>
      <c r="AS44" s="80"/>
      <c r="AT44" s="80"/>
      <c r="AU44" s="80"/>
      <c r="AV44" s="80"/>
      <c r="AW44" s="80"/>
      <c r="AX44" s="80"/>
      <c r="AY44" s="80"/>
      <c r="AZ44" s="80"/>
      <c r="BA44" s="80"/>
      <c r="BB44" s="80"/>
      <c r="BC44" s="80"/>
      <c r="BD44" s="80"/>
      <c r="BE44" s="80"/>
      <c r="BF44" s="80"/>
      <c r="BG44" s="80"/>
      <c r="BH44" s="80"/>
      <c r="BI44" s="80"/>
      <c r="BJ44" s="80"/>
      <c r="BK44" s="80"/>
      <c r="BL44" s="80"/>
      <c r="BM44" s="80"/>
      <c r="BN44" s="80"/>
      <c r="BO44" s="80"/>
      <c r="BP44" s="80"/>
      <c r="BQ44" s="80"/>
      <c r="BR44" s="80"/>
      <c r="BS44" s="80"/>
      <c r="BT44" s="80"/>
      <c r="BU44" s="80"/>
      <c r="BV44" s="80"/>
      <c r="BW44" s="80"/>
      <c r="BX44" s="79"/>
      <c r="BY44" s="79"/>
      <c r="BZ44" s="79"/>
      <c r="CA44" s="79"/>
      <c r="CH44" s="1020"/>
      <c r="CI44" s="1020"/>
      <c r="CJ44" s="1020"/>
      <c r="CK44" s="1020"/>
      <c r="CL44" s="1020"/>
      <c r="CM44" s="1020"/>
      <c r="CN44" s="1020"/>
      <c r="CO44" s="1020"/>
      <c r="CP44" s="1020"/>
      <c r="DB44" s="80"/>
    </row>
    <row r="45" spans="1:106" s="889" customFormat="1" ht="23.45" customHeight="1" x14ac:dyDescent="0.2">
      <c r="A45" s="3570">
        <v>26275600</v>
      </c>
      <c r="B45" s="5916"/>
      <c r="C45" s="1250" t="s">
        <v>2165</v>
      </c>
      <c r="D45" s="4239" t="s">
        <v>2777</v>
      </c>
      <c r="E45" s="166" t="s">
        <v>2778</v>
      </c>
      <c r="F45" s="102" t="s">
        <v>2779</v>
      </c>
      <c r="G45" s="126" t="s">
        <v>2780</v>
      </c>
      <c r="H45" s="176" t="s">
        <v>2781</v>
      </c>
      <c r="I45" s="1742" t="s">
        <v>2782</v>
      </c>
      <c r="J45" s="1742" t="s">
        <v>2783</v>
      </c>
      <c r="K45" s="1742" t="s">
        <v>2784</v>
      </c>
      <c r="L45" s="190"/>
      <c r="M45" s="80"/>
      <c r="N45" s="80"/>
      <c r="O45" s="80"/>
      <c r="P45" s="80"/>
      <c r="Q45" s="80"/>
      <c r="R45" s="80"/>
      <c r="S45" s="80"/>
      <c r="T45" s="80"/>
      <c r="U45" s="80"/>
      <c r="V45" s="80"/>
      <c r="W45" s="80"/>
      <c r="X45" s="80"/>
      <c r="Y45" s="80"/>
      <c r="Z45" s="80"/>
      <c r="AA45" s="80"/>
      <c r="AB45" s="80"/>
      <c r="AC45" s="80"/>
      <c r="AD45" s="80"/>
      <c r="AE45" s="80"/>
      <c r="AF45" s="80"/>
      <c r="AG45" s="80"/>
      <c r="AH45" s="80"/>
      <c r="AI45" s="80"/>
      <c r="AJ45" s="80"/>
      <c r="AK45" s="80"/>
      <c r="AL45" s="80"/>
      <c r="AM45" s="80"/>
      <c r="AN45" s="80"/>
      <c r="AO45" s="80"/>
      <c r="AP45" s="80"/>
      <c r="AQ45" s="80"/>
      <c r="AR45" s="80"/>
      <c r="AS45" s="80"/>
      <c r="AT45" s="80"/>
      <c r="AU45" s="80"/>
      <c r="AV45" s="80"/>
      <c r="AW45" s="80"/>
      <c r="AX45" s="80"/>
      <c r="AY45" s="80"/>
      <c r="AZ45" s="80"/>
      <c r="BA45" s="80"/>
      <c r="BB45" s="80"/>
      <c r="BC45" s="80"/>
      <c r="BD45" s="80"/>
      <c r="BE45" s="80"/>
      <c r="BF45" s="80"/>
      <c r="BG45" s="80"/>
      <c r="BH45" s="80"/>
      <c r="BI45" s="80"/>
      <c r="BJ45" s="80"/>
      <c r="BK45" s="80"/>
      <c r="BL45" s="80"/>
      <c r="BM45" s="80"/>
      <c r="BN45" s="80"/>
      <c r="BO45" s="80"/>
      <c r="BP45" s="80"/>
      <c r="BQ45" s="80"/>
      <c r="BR45" s="80"/>
      <c r="BS45" s="80"/>
      <c r="BT45" s="80"/>
      <c r="BU45" s="80"/>
      <c r="BV45" s="80"/>
      <c r="BW45" s="80"/>
      <c r="BX45" s="79"/>
      <c r="BY45" s="79"/>
      <c r="BZ45" s="79"/>
      <c r="CA45" s="79"/>
      <c r="CH45" s="1020"/>
      <c r="CI45" s="1020"/>
      <c r="CJ45" s="1020"/>
      <c r="CK45" s="1020"/>
      <c r="CL45" s="1020"/>
      <c r="CM45" s="1020"/>
      <c r="CN45" s="1020"/>
      <c r="CO45" s="1020"/>
      <c r="CP45" s="1020"/>
      <c r="DB45" s="80"/>
    </row>
    <row r="46" spans="1:106" s="889" customFormat="1" x14ac:dyDescent="0.2">
      <c r="A46" s="3570">
        <v>26273110</v>
      </c>
      <c r="B46" s="6624" t="s">
        <v>2166</v>
      </c>
      <c r="C46" s="6625"/>
      <c r="D46" s="4379" t="s">
        <v>2777</v>
      </c>
      <c r="E46" s="4318" t="s">
        <v>2778</v>
      </c>
      <c r="F46" s="4319" t="s">
        <v>2779</v>
      </c>
      <c r="G46" s="4320" t="s">
        <v>2780</v>
      </c>
      <c r="H46" s="4324" t="s">
        <v>2781</v>
      </c>
      <c r="I46" s="4325" t="s">
        <v>2782</v>
      </c>
      <c r="J46" s="4325" t="s">
        <v>2783</v>
      </c>
      <c r="K46" s="4325" t="s">
        <v>2784</v>
      </c>
      <c r="L46" s="190"/>
      <c r="M46" s="80"/>
      <c r="N46" s="80"/>
      <c r="O46" s="80"/>
      <c r="P46" s="80"/>
      <c r="Q46" s="80"/>
      <c r="R46" s="80"/>
      <c r="S46" s="80"/>
      <c r="T46" s="80"/>
      <c r="U46" s="80"/>
      <c r="V46" s="80"/>
      <c r="W46" s="80"/>
      <c r="X46" s="80"/>
      <c r="Y46" s="80"/>
      <c r="Z46" s="80"/>
      <c r="AA46" s="80"/>
      <c r="AB46" s="80"/>
      <c r="AC46" s="80"/>
      <c r="AD46" s="80"/>
      <c r="AE46" s="80"/>
      <c r="AF46" s="80"/>
      <c r="AG46" s="80"/>
      <c r="AH46" s="80"/>
      <c r="AI46" s="80"/>
      <c r="AJ46" s="80"/>
      <c r="AK46" s="80"/>
      <c r="AL46" s="80"/>
      <c r="AM46" s="80"/>
      <c r="AN46" s="80"/>
      <c r="AO46" s="80"/>
      <c r="AP46" s="80"/>
      <c r="AQ46" s="80"/>
      <c r="AR46" s="80"/>
      <c r="AS46" s="80"/>
      <c r="AT46" s="80"/>
      <c r="AU46" s="80"/>
      <c r="AV46" s="80"/>
      <c r="AW46" s="80"/>
      <c r="AX46" s="80"/>
      <c r="AY46" s="80"/>
      <c r="AZ46" s="80"/>
      <c r="BA46" s="80"/>
      <c r="BB46" s="80"/>
      <c r="BC46" s="80"/>
      <c r="BD46" s="80"/>
      <c r="BE46" s="80"/>
      <c r="BF46" s="80"/>
      <c r="BG46" s="80"/>
      <c r="BH46" s="80"/>
      <c r="BI46" s="80"/>
      <c r="BJ46" s="80"/>
      <c r="BK46" s="80"/>
      <c r="BL46" s="80"/>
      <c r="BM46" s="80"/>
      <c r="BN46" s="80"/>
      <c r="BO46" s="80"/>
      <c r="BP46" s="80"/>
      <c r="BQ46" s="80"/>
      <c r="BR46" s="80"/>
      <c r="BS46" s="80"/>
      <c r="BT46" s="80"/>
      <c r="BU46" s="80"/>
      <c r="BV46" s="80"/>
      <c r="BW46" s="80"/>
      <c r="BX46" s="79"/>
      <c r="BY46" s="79"/>
      <c r="BZ46" s="79"/>
      <c r="CA46" s="79"/>
      <c r="CH46" s="1020"/>
      <c r="CI46" s="1020"/>
      <c r="CJ46" s="1020"/>
      <c r="CK46" s="1020"/>
      <c r="CL46" s="1020"/>
      <c r="CM46" s="1020"/>
      <c r="CN46" s="1020"/>
      <c r="CO46" s="1020"/>
      <c r="CP46" s="1020"/>
      <c r="DB46" s="80"/>
    </row>
    <row r="47" spans="1:106" s="889" customFormat="1" x14ac:dyDescent="0.2">
      <c r="A47" s="3097">
        <v>26262100</v>
      </c>
      <c r="B47" s="6145" t="s">
        <v>109</v>
      </c>
      <c r="C47" s="6146"/>
      <c r="D47" s="4239" t="s">
        <v>2777</v>
      </c>
      <c r="E47" s="166" t="s">
        <v>2778</v>
      </c>
      <c r="F47" s="102" t="s">
        <v>2779</v>
      </c>
      <c r="G47" s="270" t="s">
        <v>2780</v>
      </c>
      <c r="H47" s="375" t="s">
        <v>2781</v>
      </c>
      <c r="I47" s="533" t="s">
        <v>2782</v>
      </c>
      <c r="J47" s="533" t="s">
        <v>2783</v>
      </c>
      <c r="K47" s="533" t="s">
        <v>2784</v>
      </c>
      <c r="L47" s="190"/>
      <c r="M47" s="80"/>
      <c r="N47" s="80"/>
      <c r="O47" s="80"/>
      <c r="P47" s="80"/>
      <c r="Q47" s="80"/>
      <c r="R47" s="80"/>
      <c r="S47" s="80"/>
      <c r="T47" s="80"/>
      <c r="U47" s="80"/>
      <c r="V47" s="80"/>
      <c r="W47" s="80"/>
      <c r="X47" s="80"/>
      <c r="Y47" s="80"/>
      <c r="Z47" s="80"/>
      <c r="AA47" s="80"/>
      <c r="AB47" s="80"/>
      <c r="AC47" s="80"/>
      <c r="AD47" s="80"/>
      <c r="AE47" s="80"/>
      <c r="AF47" s="80"/>
      <c r="AG47" s="80"/>
      <c r="AH47" s="80"/>
      <c r="AI47" s="80"/>
      <c r="AJ47" s="80"/>
      <c r="AK47" s="80"/>
      <c r="AL47" s="80"/>
      <c r="AM47" s="80"/>
      <c r="AN47" s="80"/>
      <c r="AO47" s="80"/>
      <c r="AP47" s="80"/>
      <c r="AQ47" s="80"/>
      <c r="AR47" s="80"/>
      <c r="AS47" s="80"/>
      <c r="AT47" s="80"/>
      <c r="AU47" s="80"/>
      <c r="AV47" s="80"/>
      <c r="AW47" s="80"/>
      <c r="AX47" s="80"/>
      <c r="AY47" s="80"/>
      <c r="AZ47" s="80"/>
      <c r="BA47" s="80"/>
      <c r="BB47" s="80"/>
      <c r="BC47" s="80"/>
      <c r="BD47" s="80"/>
      <c r="BE47" s="80"/>
      <c r="BF47" s="80"/>
      <c r="BG47" s="80"/>
      <c r="BH47" s="80"/>
      <c r="BI47" s="80"/>
      <c r="BJ47" s="80"/>
      <c r="BK47" s="80"/>
      <c r="BL47" s="80"/>
      <c r="BM47" s="80"/>
      <c r="BN47" s="80"/>
      <c r="BO47" s="80"/>
      <c r="BP47" s="80"/>
      <c r="BQ47" s="80"/>
      <c r="BR47" s="80"/>
      <c r="BS47" s="80"/>
      <c r="BT47" s="80"/>
      <c r="BU47" s="80"/>
      <c r="BV47" s="80"/>
      <c r="BW47" s="80"/>
      <c r="BX47" s="79"/>
      <c r="BY47" s="79"/>
      <c r="BZ47" s="79"/>
      <c r="CA47" s="79"/>
      <c r="CH47" s="1020"/>
      <c r="CI47" s="1020"/>
      <c r="CJ47" s="1020"/>
      <c r="CK47" s="1020"/>
      <c r="CL47" s="1020"/>
      <c r="CM47" s="1020"/>
      <c r="CN47" s="1020"/>
      <c r="CO47" s="1020"/>
      <c r="CP47" s="1020"/>
      <c r="DB47" s="80"/>
    </row>
    <row r="48" spans="1:106" s="889" customFormat="1" x14ac:dyDescent="0.2">
      <c r="A48" s="3571"/>
      <c r="B48" s="6632" t="s">
        <v>42</v>
      </c>
      <c r="C48" s="6633"/>
      <c r="D48" s="4326">
        <f t="shared" ref="D48:K48" si="5">SUM(D39:D47)</f>
        <v>0</v>
      </c>
      <c r="E48" s="4326">
        <f t="shared" si="5"/>
        <v>0</v>
      </c>
      <c r="F48" s="4327">
        <f t="shared" si="5"/>
        <v>0</v>
      </c>
      <c r="G48" s="4328">
        <f t="shared" si="5"/>
        <v>0</v>
      </c>
      <c r="H48" s="4329">
        <f t="shared" si="5"/>
        <v>0</v>
      </c>
      <c r="I48" s="4330">
        <f t="shared" si="5"/>
        <v>0</v>
      </c>
      <c r="J48" s="4330">
        <f t="shared" si="5"/>
        <v>0</v>
      </c>
      <c r="K48" s="4330">
        <f t="shared" si="5"/>
        <v>0</v>
      </c>
      <c r="L48" s="190"/>
      <c r="M48" s="80"/>
      <c r="N48" s="80"/>
      <c r="O48" s="80"/>
      <c r="P48" s="80"/>
      <c r="Q48" s="80"/>
      <c r="R48" s="80"/>
      <c r="S48" s="80"/>
      <c r="T48" s="80"/>
      <c r="U48" s="80"/>
      <c r="V48" s="80"/>
      <c r="W48" s="80"/>
      <c r="X48" s="80"/>
      <c r="Y48" s="80"/>
      <c r="Z48" s="80"/>
      <c r="AA48" s="80"/>
      <c r="AB48" s="80"/>
      <c r="AC48" s="80"/>
      <c r="AD48" s="80"/>
      <c r="AE48" s="80"/>
      <c r="AF48" s="80"/>
      <c r="AG48" s="80"/>
      <c r="AH48" s="80"/>
      <c r="AI48" s="80"/>
      <c r="AJ48" s="80"/>
      <c r="AK48" s="80"/>
      <c r="AL48" s="80"/>
      <c r="AM48" s="80"/>
      <c r="AN48" s="80"/>
      <c r="AO48" s="80"/>
      <c r="AP48" s="80"/>
      <c r="AQ48" s="80"/>
      <c r="AR48" s="80"/>
      <c r="AS48" s="80"/>
      <c r="AT48" s="80"/>
      <c r="AU48" s="80"/>
      <c r="AV48" s="80"/>
      <c r="AW48" s="80"/>
      <c r="AX48" s="80"/>
      <c r="AY48" s="80"/>
      <c r="AZ48" s="80"/>
      <c r="BA48" s="80"/>
      <c r="BB48" s="80"/>
      <c r="BC48" s="80"/>
      <c r="BD48" s="80"/>
      <c r="BE48" s="80"/>
      <c r="BF48" s="80"/>
      <c r="BG48" s="80"/>
      <c r="BH48" s="80"/>
      <c r="BI48" s="80"/>
      <c r="BJ48" s="80"/>
      <c r="BK48" s="80"/>
      <c r="BL48" s="80"/>
      <c r="BM48" s="80"/>
      <c r="BN48" s="80"/>
      <c r="BO48" s="80"/>
      <c r="BP48" s="80"/>
      <c r="BQ48" s="80"/>
      <c r="BR48" s="80"/>
      <c r="BS48" s="80"/>
      <c r="BT48" s="80"/>
      <c r="BU48" s="80"/>
      <c r="BV48" s="80"/>
      <c r="BW48" s="80"/>
      <c r="BX48" s="79"/>
      <c r="BY48" s="79"/>
      <c r="BZ48" s="79"/>
      <c r="CA48" s="79"/>
      <c r="CH48" s="1020"/>
      <c r="CI48" s="1020"/>
      <c r="CJ48" s="1020"/>
      <c r="CK48" s="1020"/>
      <c r="CL48" s="1020"/>
      <c r="CM48" s="1020"/>
      <c r="CN48" s="1020"/>
      <c r="CO48" s="1020"/>
      <c r="CP48" s="1020"/>
      <c r="DB48" s="80"/>
    </row>
    <row r="49" spans="1:106" s="889" customFormat="1" x14ac:dyDescent="0.2">
      <c r="A49" s="3569"/>
      <c r="B49" s="4331" t="s">
        <v>2170</v>
      </c>
      <c r="C49" s="4332"/>
      <c r="D49" s="4333"/>
      <c r="E49" s="4333"/>
      <c r="F49" s="4333"/>
      <c r="G49" s="378"/>
      <c r="H49" s="378"/>
      <c r="I49" s="190"/>
      <c r="J49" s="378"/>
      <c r="K49" s="190"/>
      <c r="L49" s="190"/>
      <c r="M49" s="80"/>
      <c r="N49" s="80"/>
      <c r="O49" s="80"/>
      <c r="P49" s="80"/>
      <c r="Q49" s="80"/>
      <c r="R49" s="80"/>
      <c r="S49" s="80"/>
      <c r="T49" s="80"/>
      <c r="U49" s="80"/>
      <c r="V49" s="80"/>
      <c r="W49" s="80"/>
      <c r="X49" s="80"/>
      <c r="Y49" s="80"/>
      <c r="Z49" s="80"/>
      <c r="AA49" s="80"/>
      <c r="AB49" s="80"/>
      <c r="AC49" s="80"/>
      <c r="AD49" s="80"/>
      <c r="AE49" s="80"/>
      <c r="AF49" s="80"/>
      <c r="AG49" s="80"/>
      <c r="AH49" s="80"/>
      <c r="AI49" s="80"/>
      <c r="AJ49" s="80"/>
      <c r="AK49" s="80"/>
      <c r="AL49" s="80"/>
      <c r="AM49" s="80"/>
      <c r="AN49" s="80"/>
      <c r="AO49" s="80"/>
      <c r="AP49" s="80"/>
      <c r="AQ49" s="80"/>
      <c r="AR49" s="80"/>
      <c r="AS49" s="80"/>
      <c r="AT49" s="80"/>
      <c r="AU49" s="80"/>
      <c r="AV49" s="80"/>
      <c r="AW49" s="80"/>
      <c r="AX49" s="80"/>
      <c r="AY49" s="80"/>
      <c r="AZ49" s="80"/>
      <c r="BA49" s="80"/>
      <c r="BB49" s="80"/>
      <c r="BC49" s="80"/>
      <c r="BD49" s="80"/>
      <c r="BE49" s="80"/>
      <c r="BF49" s="80"/>
      <c r="BG49" s="80"/>
      <c r="BH49" s="80"/>
      <c r="BI49" s="80"/>
      <c r="BJ49" s="80"/>
      <c r="BK49" s="80"/>
      <c r="BL49" s="80"/>
      <c r="BM49" s="80"/>
      <c r="BN49" s="80"/>
      <c r="BO49" s="80"/>
      <c r="BP49" s="80"/>
      <c r="BQ49" s="80"/>
      <c r="BR49" s="80"/>
      <c r="BS49" s="80"/>
      <c r="BT49" s="80"/>
      <c r="BU49" s="80"/>
      <c r="BV49" s="80"/>
      <c r="BW49" s="80"/>
      <c r="BX49" s="79"/>
      <c r="BY49" s="79"/>
      <c r="BZ49" s="79"/>
      <c r="CA49" s="79"/>
      <c r="CH49" s="1020"/>
      <c r="CI49" s="1020"/>
      <c r="CJ49" s="1020"/>
      <c r="CK49" s="1020"/>
      <c r="CL49" s="1020"/>
      <c r="CM49" s="1020"/>
      <c r="CN49" s="1020"/>
      <c r="CO49" s="1020"/>
      <c r="CP49" s="1020"/>
      <c r="DB49" s="80"/>
    </row>
    <row r="50" spans="1:106" s="889" customFormat="1" ht="32.1" customHeight="1" x14ac:dyDescent="0.2">
      <c r="A50" s="3569"/>
      <c r="B50" s="2261" t="s">
        <v>2214</v>
      </c>
      <c r="C50" s="4334"/>
      <c r="D50" s="4334"/>
      <c r="E50" s="4334"/>
      <c r="F50" s="4334"/>
      <c r="G50" s="480"/>
      <c r="H50" s="480"/>
      <c r="I50" s="480"/>
      <c r="J50" s="378"/>
      <c r="K50" s="190"/>
      <c r="L50" s="190"/>
      <c r="M50" s="80"/>
      <c r="N50" s="80"/>
      <c r="O50" s="80"/>
      <c r="P50" s="80"/>
      <c r="Q50" s="80"/>
      <c r="R50" s="80"/>
      <c r="S50" s="80"/>
      <c r="T50" s="80"/>
      <c r="U50" s="80"/>
      <c r="V50" s="80"/>
      <c r="W50" s="80"/>
      <c r="X50" s="80"/>
      <c r="Y50" s="80"/>
      <c r="Z50" s="80"/>
      <c r="AA50" s="80"/>
      <c r="AB50" s="80"/>
      <c r="AC50" s="80"/>
      <c r="AD50" s="80"/>
      <c r="AE50" s="80"/>
      <c r="AF50" s="80"/>
      <c r="AG50" s="80"/>
      <c r="AH50" s="80"/>
      <c r="AI50" s="80"/>
      <c r="AJ50" s="80"/>
      <c r="AK50" s="80"/>
      <c r="AL50" s="80"/>
      <c r="AM50" s="80"/>
      <c r="AN50" s="80"/>
      <c r="AO50" s="80"/>
      <c r="AP50" s="80"/>
      <c r="AQ50" s="80"/>
      <c r="AR50" s="80"/>
      <c r="AS50" s="80"/>
      <c r="AT50" s="80"/>
      <c r="AU50" s="80"/>
      <c r="AV50" s="80"/>
      <c r="AW50" s="80"/>
      <c r="AX50" s="80"/>
      <c r="AY50" s="80"/>
      <c r="AZ50" s="80"/>
      <c r="BA50" s="80"/>
      <c r="BB50" s="80"/>
      <c r="BC50" s="80"/>
      <c r="BD50" s="80"/>
      <c r="BE50" s="80"/>
      <c r="BF50" s="80"/>
      <c r="BG50" s="80"/>
      <c r="BH50" s="80"/>
      <c r="BI50" s="80"/>
      <c r="BJ50" s="80"/>
      <c r="BK50" s="80"/>
      <c r="BL50" s="80"/>
      <c r="BM50" s="80"/>
      <c r="BN50" s="80"/>
      <c r="BO50" s="80"/>
      <c r="BP50" s="80"/>
      <c r="BQ50" s="80"/>
      <c r="BR50" s="80"/>
      <c r="BS50" s="80"/>
      <c r="BT50" s="80"/>
      <c r="BU50" s="80"/>
      <c r="BV50" s="80"/>
      <c r="BW50" s="80"/>
      <c r="BX50" s="79"/>
      <c r="BY50" s="79"/>
      <c r="BZ50" s="79"/>
      <c r="CA50" s="79"/>
      <c r="CH50" s="1020"/>
      <c r="CI50" s="1020"/>
      <c r="CJ50" s="1020"/>
      <c r="CK50" s="1020"/>
      <c r="CL50" s="1020"/>
      <c r="CM50" s="1020"/>
      <c r="CN50" s="1020"/>
      <c r="CO50" s="1020"/>
      <c r="CP50" s="1020"/>
      <c r="DB50" s="80"/>
    </row>
    <row r="51" spans="1:106" s="889" customFormat="1" ht="71.45" customHeight="1" x14ac:dyDescent="0.2">
      <c r="A51" s="3569"/>
      <c r="B51" s="5261" t="s">
        <v>676</v>
      </c>
      <c r="C51" s="5262"/>
      <c r="D51" s="4335" t="s">
        <v>42</v>
      </c>
      <c r="E51" s="4336" t="s">
        <v>3</v>
      </c>
      <c r="F51" s="4337" t="s">
        <v>2171</v>
      </c>
      <c r="G51" s="4338" t="s">
        <v>2127</v>
      </c>
      <c r="H51" s="378"/>
      <c r="I51" s="81"/>
      <c r="J51" s="378"/>
      <c r="K51" s="190"/>
      <c r="L51" s="190"/>
      <c r="M51" s="80"/>
      <c r="N51" s="80"/>
      <c r="O51" s="80"/>
      <c r="P51" s="80"/>
      <c r="Q51" s="80"/>
      <c r="R51" s="80"/>
      <c r="S51" s="80"/>
      <c r="T51" s="80"/>
      <c r="U51" s="80"/>
      <c r="V51" s="80"/>
      <c r="W51" s="80"/>
      <c r="X51" s="80"/>
      <c r="Y51" s="80"/>
      <c r="Z51" s="80"/>
      <c r="AA51" s="80"/>
      <c r="AB51" s="80"/>
      <c r="AC51" s="80"/>
      <c r="AD51" s="80"/>
      <c r="AE51" s="80"/>
      <c r="AF51" s="80"/>
      <c r="AG51" s="80"/>
      <c r="AH51" s="80"/>
      <c r="AI51" s="80"/>
      <c r="AJ51" s="80"/>
      <c r="AK51" s="80"/>
      <c r="AL51" s="80"/>
      <c r="AM51" s="80"/>
      <c r="AN51" s="80"/>
      <c r="AO51" s="80"/>
      <c r="AP51" s="80"/>
      <c r="AQ51" s="80"/>
      <c r="AR51" s="80"/>
      <c r="AS51" s="80"/>
      <c r="AT51" s="80"/>
      <c r="AU51" s="80"/>
      <c r="AV51" s="80"/>
      <c r="AW51" s="80"/>
      <c r="AX51" s="80"/>
      <c r="AY51" s="80"/>
      <c r="AZ51" s="80"/>
      <c r="BA51" s="80"/>
      <c r="BB51" s="80"/>
      <c r="BC51" s="80"/>
      <c r="BD51" s="80"/>
      <c r="BE51" s="80"/>
      <c r="BF51" s="80"/>
      <c r="BG51" s="80"/>
      <c r="BH51" s="80"/>
      <c r="BI51" s="80"/>
      <c r="BJ51" s="80"/>
      <c r="BK51" s="80"/>
      <c r="BL51" s="80"/>
      <c r="BM51" s="80"/>
      <c r="BN51" s="80"/>
      <c r="BO51" s="80"/>
      <c r="BP51" s="80"/>
      <c r="BQ51" s="80"/>
      <c r="BR51" s="80"/>
      <c r="BS51" s="80"/>
      <c r="BT51" s="80"/>
      <c r="BU51" s="80"/>
      <c r="BV51" s="80"/>
      <c r="BW51" s="80"/>
      <c r="BX51" s="79"/>
      <c r="BY51" s="79"/>
      <c r="BZ51" s="79"/>
      <c r="CA51" s="79"/>
      <c r="CH51" s="1020"/>
      <c r="CI51" s="1020"/>
      <c r="CJ51" s="1020"/>
      <c r="CK51" s="1020"/>
      <c r="CL51" s="1020"/>
      <c r="CM51" s="1020"/>
      <c r="CN51" s="1020"/>
      <c r="CO51" s="1020"/>
      <c r="CP51" s="1020"/>
      <c r="DB51" s="80"/>
    </row>
    <row r="52" spans="1:106" s="889" customFormat="1" x14ac:dyDescent="0.2">
      <c r="A52" s="3570">
        <v>26280030</v>
      </c>
      <c r="B52" s="6634" t="s">
        <v>2172</v>
      </c>
      <c r="C52" s="6635"/>
      <c r="D52" s="4339" t="s">
        <v>2777</v>
      </c>
      <c r="E52" s="4318" t="s">
        <v>2778</v>
      </c>
      <c r="F52" s="4320" t="s">
        <v>2779</v>
      </c>
      <c r="G52" s="4340" t="s">
        <v>2780</v>
      </c>
      <c r="H52" s="947"/>
      <c r="I52" s="128"/>
      <c r="J52" s="1071"/>
      <c r="K52" s="881"/>
      <c r="L52" s="881"/>
      <c r="M52" s="94"/>
      <c r="N52" s="94"/>
      <c r="O52" s="94"/>
      <c r="P52" s="94"/>
      <c r="Q52" s="94"/>
      <c r="R52" s="94"/>
      <c r="S52" s="94"/>
      <c r="T52" s="94"/>
      <c r="U52" s="94"/>
      <c r="V52" s="80"/>
      <c r="W52" s="80"/>
      <c r="X52" s="80"/>
      <c r="Y52" s="80"/>
      <c r="Z52" s="80"/>
      <c r="AA52" s="80"/>
      <c r="AB52" s="80"/>
      <c r="AC52" s="80"/>
      <c r="AD52" s="80"/>
      <c r="AE52" s="80"/>
      <c r="AF52" s="80"/>
      <c r="AG52" s="80"/>
      <c r="AH52" s="80"/>
      <c r="AI52" s="80"/>
      <c r="AJ52" s="80"/>
      <c r="AK52" s="80"/>
      <c r="AL52" s="80"/>
      <c r="AM52" s="80"/>
      <c r="AN52" s="80"/>
      <c r="AO52" s="80"/>
      <c r="AP52" s="80"/>
      <c r="AQ52" s="80"/>
      <c r="AR52" s="80"/>
      <c r="AS52" s="80"/>
      <c r="AT52" s="80"/>
      <c r="AU52" s="80"/>
      <c r="AV52" s="80"/>
      <c r="AW52" s="80"/>
      <c r="AX52" s="80"/>
      <c r="AY52" s="80"/>
      <c r="AZ52" s="80"/>
      <c r="BA52" s="80"/>
      <c r="BB52" s="80"/>
      <c r="BC52" s="80"/>
      <c r="BD52" s="80"/>
      <c r="BE52" s="80"/>
      <c r="BF52" s="80"/>
      <c r="BG52" s="80"/>
      <c r="BH52" s="80"/>
      <c r="BI52" s="80"/>
      <c r="BJ52" s="80"/>
      <c r="BK52" s="80"/>
      <c r="BL52" s="80"/>
      <c r="BM52" s="80"/>
      <c r="BN52" s="80"/>
      <c r="BO52" s="80"/>
      <c r="BP52" s="80"/>
      <c r="BQ52" s="80"/>
      <c r="BR52" s="80"/>
      <c r="BS52" s="80"/>
      <c r="BT52" s="80"/>
      <c r="BU52" s="80"/>
      <c r="BV52" s="80"/>
      <c r="BW52" s="80"/>
      <c r="BX52" s="79"/>
      <c r="BY52" s="79"/>
      <c r="BZ52" s="79"/>
      <c r="CA52" s="79"/>
      <c r="CB52" s="1031"/>
      <c r="CC52" s="1031"/>
      <c r="CD52" s="1031"/>
      <c r="CE52" s="1031"/>
      <c r="CF52" s="1031"/>
      <c r="CG52" s="1031"/>
      <c r="CH52" s="1163"/>
      <c r="CI52" s="1163"/>
      <c r="CJ52" s="1020"/>
      <c r="CK52" s="1020"/>
      <c r="CL52" s="1020"/>
      <c r="CM52" s="1020"/>
      <c r="CN52" s="1020"/>
      <c r="CO52" s="1020"/>
      <c r="CP52" s="1020"/>
      <c r="DB52" s="80"/>
    </row>
    <row r="53" spans="1:106" s="889" customFormat="1" x14ac:dyDescent="0.2">
      <c r="A53" s="3570">
        <v>26280040</v>
      </c>
      <c r="B53" s="6423" t="s">
        <v>2173</v>
      </c>
      <c r="C53" s="6636"/>
      <c r="D53" s="4341" t="s">
        <v>2777</v>
      </c>
      <c r="E53" s="4342" t="s">
        <v>2778</v>
      </c>
      <c r="F53" s="4343" t="s">
        <v>2779</v>
      </c>
      <c r="G53" s="4344" t="s">
        <v>2780</v>
      </c>
      <c r="H53" s="947"/>
      <c r="I53" s="128"/>
      <c r="J53" s="1071"/>
      <c r="K53" s="881"/>
      <c r="L53" s="881"/>
      <c r="M53" s="94"/>
      <c r="N53" s="94"/>
      <c r="O53" s="94"/>
      <c r="P53" s="94"/>
      <c r="Q53" s="94"/>
      <c r="R53" s="94"/>
      <c r="S53" s="94"/>
      <c r="T53" s="94"/>
      <c r="U53" s="94"/>
      <c r="V53" s="80"/>
      <c r="W53" s="80"/>
      <c r="X53" s="80"/>
      <c r="Y53" s="80"/>
      <c r="Z53" s="80"/>
      <c r="AA53" s="80"/>
      <c r="AB53" s="80"/>
      <c r="AC53" s="80"/>
      <c r="AD53" s="80"/>
      <c r="AE53" s="80"/>
      <c r="AF53" s="80"/>
      <c r="AG53" s="80"/>
      <c r="AH53" s="80"/>
      <c r="AI53" s="80"/>
      <c r="AJ53" s="80"/>
      <c r="AK53" s="80"/>
      <c r="AL53" s="80"/>
      <c r="AM53" s="80"/>
      <c r="AN53" s="80"/>
      <c r="AO53" s="80"/>
      <c r="AP53" s="80"/>
      <c r="AQ53" s="80"/>
      <c r="AR53" s="80"/>
      <c r="AS53" s="80"/>
      <c r="AT53" s="80"/>
      <c r="AU53" s="80"/>
      <c r="AV53" s="80"/>
      <c r="AW53" s="80"/>
      <c r="AX53" s="80"/>
      <c r="AY53" s="80"/>
      <c r="AZ53" s="80"/>
      <c r="BA53" s="80"/>
      <c r="BB53" s="80"/>
      <c r="BC53" s="80"/>
      <c r="BD53" s="80"/>
      <c r="BE53" s="80"/>
      <c r="BF53" s="80"/>
      <c r="BG53" s="80"/>
      <c r="BH53" s="80"/>
      <c r="BI53" s="80"/>
      <c r="BJ53" s="80"/>
      <c r="BK53" s="80"/>
      <c r="BL53" s="80"/>
      <c r="BM53" s="80"/>
      <c r="BN53" s="80"/>
      <c r="BO53" s="80"/>
      <c r="BP53" s="80"/>
      <c r="BQ53" s="80"/>
      <c r="BR53" s="80"/>
      <c r="BS53" s="80"/>
      <c r="BT53" s="80"/>
      <c r="BU53" s="80"/>
      <c r="BV53" s="80"/>
      <c r="BW53" s="80"/>
      <c r="BX53" s="79"/>
      <c r="BY53" s="79"/>
      <c r="BZ53" s="79"/>
      <c r="CA53" s="79"/>
      <c r="CB53" s="1031"/>
      <c r="CC53" s="1031"/>
      <c r="CD53" s="1031"/>
      <c r="CE53" s="1031"/>
      <c r="CF53" s="1031"/>
      <c r="CG53" s="1031"/>
      <c r="CH53" s="1163"/>
      <c r="CI53" s="1163"/>
      <c r="CJ53" s="1020"/>
      <c r="CK53" s="1020"/>
      <c r="CL53" s="1020"/>
      <c r="CM53" s="1020"/>
      <c r="CN53" s="1020"/>
      <c r="CO53" s="1020"/>
      <c r="CP53" s="1020"/>
      <c r="DB53" s="80"/>
    </row>
    <row r="54" spans="1:106" s="889" customFormat="1" ht="27.75" customHeight="1" x14ac:dyDescent="0.2">
      <c r="A54" s="3570">
        <v>26275700</v>
      </c>
      <c r="B54" s="5688" t="s">
        <v>2167</v>
      </c>
      <c r="C54" s="4345" t="s">
        <v>2174</v>
      </c>
      <c r="D54" s="4339" t="s">
        <v>2777</v>
      </c>
      <c r="E54" s="4318" t="s">
        <v>2778</v>
      </c>
      <c r="F54" s="4320" t="s">
        <v>2779</v>
      </c>
      <c r="G54" s="4346" t="s">
        <v>2780</v>
      </c>
      <c r="H54" s="947" t="str">
        <f>CB54&amp;CC54</f>
        <v>* Programa de Atención domiciliaria apersonas con Dependencia Severa debe ser MENOR O IGUAL al Total.</v>
      </c>
      <c r="I54" s="1058"/>
      <c r="J54" s="1058"/>
      <c r="K54" s="1058"/>
      <c r="L54" s="1058"/>
      <c r="M54" s="1058"/>
      <c r="N54" s="1058"/>
      <c r="O54" s="1058"/>
      <c r="P54" s="1058"/>
      <c r="Q54" s="1058"/>
      <c r="R54" s="1058"/>
      <c r="S54" s="1058"/>
      <c r="T54" s="94"/>
      <c r="U54" s="94"/>
      <c r="V54" s="80"/>
      <c r="W54" s="80"/>
      <c r="X54" s="80"/>
      <c r="Y54" s="80"/>
      <c r="Z54" s="80"/>
      <c r="AA54" s="80"/>
      <c r="AB54" s="80"/>
      <c r="AC54" s="80"/>
      <c r="AD54" s="80"/>
      <c r="AE54" s="80"/>
      <c r="AF54" s="80"/>
      <c r="AG54" s="80"/>
      <c r="AH54" s="80"/>
      <c r="AI54" s="80"/>
      <c r="AJ54" s="80"/>
      <c r="AK54" s="80"/>
      <c r="AL54" s="80"/>
      <c r="AM54" s="80"/>
      <c r="AN54" s="80"/>
      <c r="AO54" s="80"/>
      <c r="AP54" s="80"/>
      <c r="AQ54" s="80"/>
      <c r="AR54" s="80"/>
      <c r="AS54" s="80"/>
      <c r="AT54" s="80"/>
      <c r="AU54" s="80"/>
      <c r="AV54" s="80"/>
      <c r="AW54" s="80"/>
      <c r="AX54" s="80"/>
      <c r="AY54" s="80"/>
      <c r="AZ54" s="80"/>
      <c r="BA54" s="80"/>
      <c r="BB54" s="80"/>
      <c r="BC54" s="80"/>
      <c r="BD54" s="80"/>
      <c r="BE54" s="80"/>
      <c r="BF54" s="80"/>
      <c r="BG54" s="80"/>
      <c r="BH54" s="80"/>
      <c r="BI54" s="80"/>
      <c r="BJ54" s="80"/>
      <c r="BK54" s="80"/>
      <c r="BL54" s="80"/>
      <c r="BM54" s="80"/>
      <c r="BN54" s="80"/>
      <c r="BO54" s="80"/>
      <c r="BP54" s="80"/>
      <c r="BQ54" s="80"/>
      <c r="BR54" s="80"/>
      <c r="BS54" s="80"/>
      <c r="BT54" s="80"/>
      <c r="BU54" s="80"/>
      <c r="BV54" s="80"/>
      <c r="BW54" s="80"/>
      <c r="BX54" s="79"/>
      <c r="BY54" s="79"/>
      <c r="BZ54" s="79"/>
      <c r="CA54" s="79"/>
      <c r="CB54" s="1031" t="str">
        <f>IF(CH54=1,"* Programa de Atención domiciliaria apersonas con Dependencia Severa debe ser MENOR O IGUAL al Total.","")</f>
        <v>* Programa de Atención domiciliaria apersonas con Dependencia Severa debe ser MENOR O IGUAL al Total.</v>
      </c>
      <c r="CC54" s="1031" t="str">
        <f>IF(CI54=1,"* Recuerde digitar la Columna Programa de Atención Domiciliaria a Personas con Dependencia Severa (Digite Cero si no tiene). ","")</f>
        <v/>
      </c>
      <c r="CD54" s="1031"/>
      <c r="CE54" s="1031"/>
      <c r="CF54" s="1031"/>
      <c r="CG54" s="1031"/>
      <c r="CH54" s="1163">
        <f>IF(G54&gt;D54,1,0)</f>
        <v>1</v>
      </c>
      <c r="CI54" s="1163">
        <f>IF(AND(D54&lt;&gt;0,G54=""),1,0)</f>
        <v>0</v>
      </c>
      <c r="CJ54" s="1020"/>
      <c r="CK54" s="1020"/>
      <c r="CL54" s="1020"/>
      <c r="CM54" s="1020"/>
      <c r="CN54" s="1020"/>
      <c r="CO54" s="1020"/>
      <c r="CP54" s="1020"/>
      <c r="DB54" s="80"/>
    </row>
    <row r="55" spans="1:106" s="889" customFormat="1" ht="18" customHeight="1" x14ac:dyDescent="0.2">
      <c r="A55" s="3570">
        <v>26275800</v>
      </c>
      <c r="B55" s="5689"/>
      <c r="C55" s="4230" t="s">
        <v>2175</v>
      </c>
      <c r="D55" s="193" t="s">
        <v>2777</v>
      </c>
      <c r="E55" s="166" t="s">
        <v>2778</v>
      </c>
      <c r="F55" s="270" t="s">
        <v>2779</v>
      </c>
      <c r="G55" s="372" t="s">
        <v>2780</v>
      </c>
      <c r="H55" s="947" t="str">
        <f>CB55&amp;CC55</f>
        <v>* Programa de Atención domiciliaria apersonas con Dependencia Severa debe ser MENOR O IGUAL al Total.</v>
      </c>
      <c r="I55" s="1058"/>
      <c r="J55" s="1058"/>
      <c r="K55" s="1058"/>
      <c r="L55" s="1058"/>
      <c r="M55" s="1058"/>
      <c r="N55" s="1058"/>
      <c r="O55" s="1058"/>
      <c r="P55" s="1058"/>
      <c r="Q55" s="1058"/>
      <c r="R55" s="1058"/>
      <c r="S55" s="1058"/>
      <c r="T55" s="94"/>
      <c r="U55" s="94"/>
      <c r="V55" s="80"/>
      <c r="W55" s="80"/>
      <c r="X55" s="80"/>
      <c r="Y55" s="80"/>
      <c r="Z55" s="80"/>
      <c r="AA55" s="80"/>
      <c r="AB55" s="80"/>
      <c r="AC55" s="80"/>
      <c r="AD55" s="80"/>
      <c r="AE55" s="80"/>
      <c r="AF55" s="80"/>
      <c r="AG55" s="80"/>
      <c r="AH55" s="80"/>
      <c r="AI55" s="80"/>
      <c r="AJ55" s="80"/>
      <c r="AK55" s="80"/>
      <c r="AL55" s="80"/>
      <c r="AM55" s="80"/>
      <c r="AN55" s="80"/>
      <c r="AO55" s="80"/>
      <c r="AP55" s="80"/>
      <c r="AQ55" s="80"/>
      <c r="AR55" s="80"/>
      <c r="AS55" s="80"/>
      <c r="AT55" s="80"/>
      <c r="AU55" s="80"/>
      <c r="AV55" s="80"/>
      <c r="AW55" s="80"/>
      <c r="AX55" s="80"/>
      <c r="AY55" s="80"/>
      <c r="AZ55" s="80"/>
      <c r="BA55" s="80"/>
      <c r="BB55" s="80"/>
      <c r="BC55" s="80"/>
      <c r="BD55" s="80"/>
      <c r="BE55" s="80"/>
      <c r="BF55" s="80"/>
      <c r="BG55" s="80"/>
      <c r="BH55" s="80"/>
      <c r="BI55" s="80"/>
      <c r="BJ55" s="80"/>
      <c r="BK55" s="80"/>
      <c r="BL55" s="80"/>
      <c r="BM55" s="80"/>
      <c r="BN55" s="80"/>
      <c r="BO55" s="80"/>
      <c r="BP55" s="80"/>
      <c r="BQ55" s="80"/>
      <c r="BR55" s="80"/>
      <c r="BS55" s="80"/>
      <c r="BT55" s="80"/>
      <c r="BU55" s="80"/>
      <c r="BV55" s="80"/>
      <c r="BW55" s="80"/>
      <c r="BX55" s="79"/>
      <c r="BY55" s="79"/>
      <c r="BZ55" s="79"/>
      <c r="CA55" s="79"/>
      <c r="CB55" s="1031" t="str">
        <f>IF(CH55=1,"* Programa de Atención domiciliaria apersonas con Dependencia Severa debe ser MENOR O IGUAL al Total.","")</f>
        <v>* Programa de Atención domiciliaria apersonas con Dependencia Severa debe ser MENOR O IGUAL al Total.</v>
      </c>
      <c r="CC55" s="1031" t="str">
        <f>IF(CI55=1,"* Recuerde digitar la Columna Programa de Atención Domiciliaria a Personas con Dependencia Severa (Digite Cero si no tiene). ","")</f>
        <v/>
      </c>
      <c r="CD55" s="1031"/>
      <c r="CE55" s="1031"/>
      <c r="CF55" s="1031"/>
      <c r="CG55" s="1031"/>
      <c r="CH55" s="1163">
        <f>IF(G55&gt;D55,1,0)</f>
        <v>1</v>
      </c>
      <c r="CI55" s="1163">
        <f>IF(AND(D55&lt;&gt;0,G55=""),1,0)</f>
        <v>0</v>
      </c>
      <c r="CJ55" s="1020"/>
      <c r="CK55" s="1020"/>
      <c r="CL55" s="1020"/>
      <c r="CM55" s="1020"/>
      <c r="CN55" s="1020"/>
      <c r="CO55" s="1020"/>
      <c r="CP55" s="1020"/>
      <c r="DB55" s="80"/>
    </row>
    <row r="56" spans="1:106" s="889" customFormat="1" x14ac:dyDescent="0.2">
      <c r="A56" s="3570">
        <v>26300140</v>
      </c>
      <c r="B56" s="6637" t="s">
        <v>2176</v>
      </c>
      <c r="C56" s="6638"/>
      <c r="D56" s="2466" t="s">
        <v>2777</v>
      </c>
      <c r="E56" s="2249" t="s">
        <v>2778</v>
      </c>
      <c r="F56" s="366" t="s">
        <v>2779</v>
      </c>
      <c r="G56" s="4347" t="s">
        <v>2780</v>
      </c>
      <c r="H56" s="947" t="str">
        <f>CB56&amp;CC56</f>
        <v>* Programa de Atención domiciliaria apersonas con Dependencia Severa debe ser MENOR O IGUAL al Total.</v>
      </c>
      <c r="I56" s="1058"/>
      <c r="J56" s="1058"/>
      <c r="K56" s="1058"/>
      <c r="L56" s="1058"/>
      <c r="M56" s="1058"/>
      <c r="N56" s="1058"/>
      <c r="O56" s="1058"/>
      <c r="P56" s="1058"/>
      <c r="Q56" s="1058"/>
      <c r="R56" s="1058"/>
      <c r="S56" s="1058"/>
      <c r="T56" s="94"/>
      <c r="U56" s="94"/>
      <c r="V56" s="80"/>
      <c r="W56" s="80"/>
      <c r="X56" s="80"/>
      <c r="Y56" s="80"/>
      <c r="Z56" s="80"/>
      <c r="AA56" s="80"/>
      <c r="AB56" s="80"/>
      <c r="AC56" s="80"/>
      <c r="AD56" s="80"/>
      <c r="AE56" s="80"/>
      <c r="AF56" s="80"/>
      <c r="AG56" s="80"/>
      <c r="AH56" s="80"/>
      <c r="AI56" s="80"/>
      <c r="AJ56" s="80"/>
      <c r="AK56" s="80"/>
      <c r="AL56" s="80"/>
      <c r="AM56" s="80"/>
      <c r="AN56" s="80"/>
      <c r="AO56" s="80"/>
      <c r="AP56" s="80"/>
      <c r="AQ56" s="80"/>
      <c r="AR56" s="80"/>
      <c r="AS56" s="80"/>
      <c r="AT56" s="80"/>
      <c r="AU56" s="80"/>
      <c r="AV56" s="80"/>
      <c r="AW56" s="80"/>
      <c r="AX56" s="80"/>
      <c r="AY56" s="80"/>
      <c r="AZ56" s="80"/>
      <c r="BA56" s="80"/>
      <c r="BB56" s="80"/>
      <c r="BC56" s="80"/>
      <c r="BD56" s="80"/>
      <c r="BE56" s="80"/>
      <c r="BF56" s="80"/>
      <c r="BG56" s="80"/>
      <c r="BH56" s="80"/>
      <c r="BI56" s="80"/>
      <c r="BJ56" s="80"/>
      <c r="BK56" s="80"/>
      <c r="BL56" s="80"/>
      <c r="BM56" s="80"/>
      <c r="BN56" s="80"/>
      <c r="BO56" s="80"/>
      <c r="BP56" s="80"/>
      <c r="BQ56" s="80"/>
      <c r="BR56" s="80"/>
      <c r="BS56" s="80"/>
      <c r="BT56" s="80"/>
      <c r="BU56" s="80"/>
      <c r="BV56" s="80"/>
      <c r="BW56" s="80"/>
      <c r="BX56" s="79"/>
      <c r="BY56" s="79"/>
      <c r="BZ56" s="79"/>
      <c r="CA56" s="79"/>
      <c r="CB56" s="1031" t="str">
        <f>IF(CH56=1,"* Programa de Atención domiciliaria apersonas con Dependencia Severa debe ser MENOR O IGUAL al Total.","")</f>
        <v>* Programa de Atención domiciliaria apersonas con Dependencia Severa debe ser MENOR O IGUAL al Total.</v>
      </c>
      <c r="CC56" s="1031" t="str">
        <f>IF(CI56=1,"* Recuerde digitar la Columna Programa de Atención Domiciliaria a Personas con Dependencia Severa (Digite Cero si no tiene). ","")</f>
        <v/>
      </c>
      <c r="CD56" s="1031"/>
      <c r="CE56" s="1031"/>
      <c r="CF56" s="1031"/>
      <c r="CG56" s="1031"/>
      <c r="CH56" s="1163">
        <f>IF(G56&gt;D56,1,0)</f>
        <v>1</v>
      </c>
      <c r="CI56" s="1163">
        <f>IF(AND(D56&lt;&gt;0,G56=""),1,0)</f>
        <v>0</v>
      </c>
      <c r="CJ56" s="1020"/>
      <c r="CK56" s="1020"/>
      <c r="CL56" s="1020"/>
      <c r="CM56" s="1020"/>
      <c r="CN56" s="1020"/>
      <c r="CO56" s="1020"/>
      <c r="CP56" s="1020"/>
      <c r="DB56" s="80"/>
    </row>
    <row r="57" spans="1:106" s="889" customFormat="1" x14ac:dyDescent="0.2">
      <c r="A57" s="3570">
        <v>26274500</v>
      </c>
      <c r="B57" s="6639" t="s">
        <v>318</v>
      </c>
      <c r="C57" s="6639"/>
      <c r="D57" s="4670" t="s">
        <v>2777</v>
      </c>
      <c r="E57" s="4363" t="s">
        <v>2778</v>
      </c>
      <c r="F57" s="4671" t="s">
        <v>2779</v>
      </c>
      <c r="G57" s="4672" t="s">
        <v>2780</v>
      </c>
      <c r="H57" s="947"/>
      <c r="I57" s="1058"/>
      <c r="J57" s="1058"/>
      <c r="K57" s="1058"/>
      <c r="L57" s="1058"/>
      <c r="M57" s="1058"/>
      <c r="N57" s="1058"/>
      <c r="O57" s="1058"/>
      <c r="P57" s="1058"/>
      <c r="Q57" s="1058"/>
      <c r="R57" s="1058"/>
      <c r="S57" s="1058"/>
      <c r="T57" s="94"/>
      <c r="U57" s="94"/>
      <c r="V57" s="80"/>
      <c r="W57" s="80"/>
      <c r="X57" s="80"/>
      <c r="Y57" s="80"/>
      <c r="Z57" s="80"/>
      <c r="AA57" s="80"/>
      <c r="AB57" s="80"/>
      <c r="AC57" s="80"/>
      <c r="AD57" s="80"/>
      <c r="AE57" s="80"/>
      <c r="AF57" s="80"/>
      <c r="AG57" s="80"/>
      <c r="AH57" s="80"/>
      <c r="AI57" s="80"/>
      <c r="AJ57" s="80"/>
      <c r="AK57" s="80"/>
      <c r="AL57" s="80"/>
      <c r="AM57" s="80"/>
      <c r="AN57" s="80"/>
      <c r="AO57" s="80"/>
      <c r="AP57" s="80"/>
      <c r="AQ57" s="80"/>
      <c r="AR57" s="80"/>
      <c r="AS57" s="80"/>
      <c r="AT57" s="80"/>
      <c r="AU57" s="80"/>
      <c r="AV57" s="80"/>
      <c r="AW57" s="80"/>
      <c r="AX57" s="80"/>
      <c r="AY57" s="80"/>
      <c r="AZ57" s="80"/>
      <c r="BA57" s="80"/>
      <c r="BB57" s="80"/>
      <c r="BC57" s="80"/>
      <c r="BD57" s="80"/>
      <c r="BE57" s="80"/>
      <c r="BF57" s="80"/>
      <c r="BG57" s="80"/>
      <c r="BH57" s="80"/>
      <c r="BI57" s="80"/>
      <c r="BJ57" s="80"/>
      <c r="BK57" s="80"/>
      <c r="BL57" s="80"/>
      <c r="BM57" s="80"/>
      <c r="BN57" s="80"/>
      <c r="BO57" s="80"/>
      <c r="BP57" s="80"/>
      <c r="BQ57" s="80"/>
      <c r="BR57" s="80"/>
      <c r="BS57" s="80"/>
      <c r="BT57" s="80"/>
      <c r="BU57" s="80"/>
      <c r="BV57" s="80"/>
      <c r="BW57" s="80"/>
      <c r="BX57" s="79"/>
      <c r="BY57" s="79"/>
      <c r="BZ57" s="79"/>
      <c r="CA57" s="79"/>
      <c r="CB57" s="1031"/>
      <c r="CC57" s="1031"/>
      <c r="CD57" s="1031"/>
      <c r="CE57" s="1031"/>
      <c r="CF57" s="1031"/>
      <c r="CG57" s="1031"/>
      <c r="CH57" s="1163"/>
      <c r="CI57" s="1163"/>
      <c r="CJ57" s="1020"/>
      <c r="CK57" s="1020"/>
      <c r="CL57" s="1020"/>
      <c r="CM57" s="1020"/>
      <c r="CN57" s="1020"/>
      <c r="CO57" s="1020"/>
      <c r="CP57" s="1020"/>
      <c r="DB57" s="80"/>
    </row>
    <row r="58" spans="1:106" s="889" customFormat="1" ht="23.1" customHeight="1" x14ac:dyDescent="0.2">
      <c r="A58" s="3570">
        <v>26291350</v>
      </c>
      <c r="B58" s="5690" t="s">
        <v>3948</v>
      </c>
      <c r="C58" s="5691"/>
      <c r="D58" s="4670" t="s">
        <v>2777</v>
      </c>
      <c r="E58" s="4363" t="s">
        <v>2778</v>
      </c>
      <c r="F58" s="4671" t="s">
        <v>2779</v>
      </c>
      <c r="G58" s="4673" t="s">
        <v>2780</v>
      </c>
      <c r="H58" s="947" t="str">
        <f>CB58&amp;CC58</f>
        <v>* Programa de Atención domiciliaria apersonas con Dependencia Severa debe ser MENOR O IGUAL al Total.</v>
      </c>
      <c r="I58" s="1058"/>
      <c r="J58" s="1058"/>
      <c r="K58" s="1058"/>
      <c r="L58" s="1058"/>
      <c r="M58" s="1058"/>
      <c r="N58" s="1058"/>
      <c r="O58" s="1058"/>
      <c r="P58" s="1058"/>
      <c r="Q58" s="1058"/>
      <c r="R58" s="1058"/>
      <c r="S58" s="1058"/>
      <c r="T58" s="94"/>
      <c r="U58" s="94"/>
      <c r="V58" s="80"/>
      <c r="W58" s="80"/>
      <c r="X58" s="80"/>
      <c r="Y58" s="80"/>
      <c r="Z58" s="80"/>
      <c r="AA58" s="80"/>
      <c r="AB58" s="80"/>
      <c r="AC58" s="80"/>
      <c r="AD58" s="80"/>
      <c r="AE58" s="80"/>
      <c r="AF58" s="80"/>
      <c r="AG58" s="80"/>
      <c r="AH58" s="80"/>
      <c r="AI58" s="80"/>
      <c r="AJ58" s="80"/>
      <c r="AK58" s="80"/>
      <c r="AL58" s="80"/>
      <c r="AM58" s="80"/>
      <c r="AN58" s="80"/>
      <c r="AO58" s="80"/>
      <c r="AP58" s="80"/>
      <c r="AQ58" s="80"/>
      <c r="AR58" s="80"/>
      <c r="AS58" s="80"/>
      <c r="AT58" s="80"/>
      <c r="AU58" s="80"/>
      <c r="AV58" s="80"/>
      <c r="AW58" s="80"/>
      <c r="AX58" s="80"/>
      <c r="AY58" s="80"/>
      <c r="AZ58" s="80"/>
      <c r="BA58" s="80"/>
      <c r="BB58" s="80"/>
      <c r="BC58" s="80"/>
      <c r="BD58" s="80"/>
      <c r="BE58" s="80"/>
      <c r="BF58" s="80"/>
      <c r="BG58" s="80"/>
      <c r="BH58" s="80"/>
      <c r="BI58" s="80"/>
      <c r="BJ58" s="80"/>
      <c r="BK58" s="80"/>
      <c r="BL58" s="80"/>
      <c r="BM58" s="80"/>
      <c r="BN58" s="80"/>
      <c r="BO58" s="80"/>
      <c r="BP58" s="80"/>
      <c r="BQ58" s="80"/>
      <c r="BR58" s="80"/>
      <c r="BS58" s="80"/>
      <c r="BT58" s="80"/>
      <c r="BU58" s="80"/>
      <c r="BV58" s="80"/>
      <c r="BW58" s="80"/>
      <c r="BX58" s="79"/>
      <c r="BY58" s="79"/>
      <c r="BZ58" s="79"/>
      <c r="CA58" s="79"/>
      <c r="CB58" s="1031" t="str">
        <f>IF(CH58=1,"* Programa de Atención domiciliaria apersonas con Dependencia Severa debe ser MENOR O IGUAL al Total.","")</f>
        <v>* Programa de Atención domiciliaria apersonas con Dependencia Severa debe ser MENOR O IGUAL al Total.</v>
      </c>
      <c r="CC58" s="1031" t="str">
        <f>IF(CI58=1,"* Recuerde digitar la Columna Programa de Atención Domiciliaria a Personas con Dependencia Severa (Digite Cero si no tiene). ","")</f>
        <v/>
      </c>
      <c r="CD58" s="1031"/>
      <c r="CE58" s="1031"/>
      <c r="CF58" s="1031"/>
      <c r="CG58" s="1031"/>
      <c r="CH58" s="1163">
        <f>IF(G58&gt;D58,1,0)</f>
        <v>1</v>
      </c>
      <c r="CI58" s="1163">
        <f>IF(AND(D58&lt;&gt;0,G58=""),1,0)</f>
        <v>0</v>
      </c>
      <c r="CJ58" s="1020"/>
      <c r="CK58" s="1020"/>
      <c r="CL58" s="1020"/>
      <c r="CM58" s="1020"/>
      <c r="CN58" s="1020"/>
      <c r="CO58" s="1020"/>
      <c r="CP58" s="1020"/>
      <c r="DB58" s="80"/>
    </row>
    <row r="59" spans="1:106" s="889" customFormat="1" x14ac:dyDescent="0.2">
      <c r="A59" s="3570">
        <v>26274602</v>
      </c>
      <c r="B59" s="5127" t="s">
        <v>2700</v>
      </c>
      <c r="C59" s="5127"/>
      <c r="D59" s="4668" t="s">
        <v>2777</v>
      </c>
      <c r="E59" s="2391" t="s">
        <v>2778</v>
      </c>
      <c r="F59" s="4669" t="s">
        <v>2779</v>
      </c>
      <c r="G59" s="2784" t="s">
        <v>2780</v>
      </c>
      <c r="H59" s="947" t="str">
        <f>CB59&amp;CC59</f>
        <v>* Programa de Atención domiciliaria apersonas con Dependencia Severa debe ser MENOR O IGUAL al Total.</v>
      </c>
      <c r="I59" s="1058"/>
      <c r="J59" s="1058"/>
      <c r="K59" s="1058"/>
      <c r="L59" s="1058"/>
      <c r="M59" s="1058"/>
      <c r="N59" s="1058"/>
      <c r="O59" s="1058"/>
      <c r="P59" s="1058"/>
      <c r="Q59" s="1058"/>
      <c r="R59" s="1058"/>
      <c r="S59" s="1058"/>
      <c r="T59" s="94"/>
      <c r="U59" s="94"/>
      <c r="V59" s="80"/>
      <c r="W59" s="80"/>
      <c r="X59" s="80"/>
      <c r="Y59" s="80"/>
      <c r="Z59" s="80"/>
      <c r="AA59" s="80"/>
      <c r="AB59" s="80"/>
      <c r="AC59" s="80"/>
      <c r="AD59" s="80"/>
      <c r="AE59" s="80"/>
      <c r="AF59" s="80"/>
      <c r="AG59" s="80"/>
      <c r="AH59" s="80"/>
      <c r="AI59" s="80"/>
      <c r="AJ59" s="80"/>
      <c r="AK59" s="80"/>
      <c r="AL59" s="80"/>
      <c r="AM59" s="80"/>
      <c r="AN59" s="80"/>
      <c r="AO59" s="80"/>
      <c r="AP59" s="80"/>
      <c r="AQ59" s="80"/>
      <c r="AR59" s="80"/>
      <c r="AS59" s="80"/>
      <c r="AT59" s="80"/>
      <c r="AU59" s="80"/>
      <c r="AV59" s="80"/>
      <c r="AW59" s="80"/>
      <c r="AX59" s="80"/>
      <c r="AY59" s="80"/>
      <c r="AZ59" s="80"/>
      <c r="BA59" s="80"/>
      <c r="BB59" s="80"/>
      <c r="BC59" s="80"/>
      <c r="BD59" s="80"/>
      <c r="BE59" s="80"/>
      <c r="BF59" s="80"/>
      <c r="BG59" s="80"/>
      <c r="BH59" s="80"/>
      <c r="BI59" s="80"/>
      <c r="BJ59" s="80"/>
      <c r="BK59" s="80"/>
      <c r="BL59" s="80"/>
      <c r="BM59" s="80"/>
      <c r="BN59" s="80"/>
      <c r="BO59" s="80"/>
      <c r="BP59" s="80"/>
      <c r="BQ59" s="80"/>
      <c r="BR59" s="80"/>
      <c r="BS59" s="80"/>
      <c r="BT59" s="80"/>
      <c r="BU59" s="80"/>
      <c r="BV59" s="80"/>
      <c r="BW59" s="80"/>
      <c r="BX59" s="79"/>
      <c r="BY59" s="79"/>
      <c r="BZ59" s="79"/>
      <c r="CA59" s="79"/>
      <c r="CB59" s="1031" t="str">
        <f>IF(CH59=1,"* Programa de Atención domiciliaria apersonas con Dependencia Severa debe ser MENOR O IGUAL al Total.","")</f>
        <v>* Programa de Atención domiciliaria apersonas con Dependencia Severa debe ser MENOR O IGUAL al Total.</v>
      </c>
      <c r="CC59" s="1031" t="str">
        <f>IF(CI59=1,"* Recuerde digitar la Columna Programa de Atención Domiciliaria a Personas con Dependencia Severa (Digite Cero si no tiene). ","")</f>
        <v/>
      </c>
      <c r="CD59" s="1031"/>
      <c r="CE59" s="1031"/>
      <c r="CF59" s="1031"/>
      <c r="CG59" s="1031"/>
      <c r="CH59" s="1163">
        <f>IF(G59&gt;D59,1,0)</f>
        <v>1</v>
      </c>
      <c r="CI59" s="1163">
        <f>IF(AND(D59&lt;&gt;0,G59=""),1,0)</f>
        <v>0</v>
      </c>
      <c r="CJ59" s="1020"/>
      <c r="CK59" s="1020"/>
      <c r="CL59" s="1020"/>
      <c r="CM59" s="1020"/>
      <c r="CN59" s="1020"/>
      <c r="CO59" s="1020"/>
      <c r="CP59" s="1020"/>
      <c r="DB59" s="80"/>
    </row>
    <row r="60" spans="1:106" s="889" customFormat="1" x14ac:dyDescent="0.2">
      <c r="A60" s="3570">
        <v>26274603</v>
      </c>
      <c r="B60" s="5983" t="s">
        <v>2701</v>
      </c>
      <c r="C60" s="5983"/>
      <c r="D60" s="594" t="s">
        <v>2777</v>
      </c>
      <c r="E60" s="141" t="s">
        <v>2778</v>
      </c>
      <c r="F60" s="506" t="s">
        <v>2779</v>
      </c>
      <c r="G60" s="4349" t="s">
        <v>2780</v>
      </c>
      <c r="H60" s="947"/>
      <c r="I60" s="1071"/>
      <c r="J60" s="881"/>
      <c r="K60" s="881"/>
      <c r="L60" s="881"/>
      <c r="M60" s="94"/>
      <c r="N60" s="94"/>
      <c r="O60" s="94"/>
      <c r="P60" s="94"/>
      <c r="Q60" s="94"/>
      <c r="R60" s="94"/>
      <c r="S60" s="94"/>
      <c r="T60" s="94"/>
      <c r="U60" s="94"/>
      <c r="V60" s="80"/>
      <c r="W60" s="80"/>
      <c r="X60" s="80"/>
      <c r="Y60" s="80"/>
      <c r="Z60" s="80"/>
      <c r="AA60" s="80"/>
      <c r="AB60" s="80"/>
      <c r="AC60" s="80"/>
      <c r="AD60" s="80"/>
      <c r="AE60" s="80"/>
      <c r="AF60" s="80"/>
      <c r="AG60" s="80"/>
      <c r="AH60" s="80"/>
      <c r="AI60" s="80"/>
      <c r="AJ60" s="80"/>
      <c r="AK60" s="80"/>
      <c r="AL60" s="80"/>
      <c r="AM60" s="80"/>
      <c r="AN60" s="80"/>
      <c r="AO60" s="80"/>
      <c r="AP60" s="80"/>
      <c r="AQ60" s="80"/>
      <c r="AR60" s="80"/>
      <c r="AS60" s="80"/>
      <c r="AT60" s="80"/>
      <c r="AU60" s="80"/>
      <c r="AV60" s="80"/>
      <c r="AW60" s="80"/>
      <c r="AX60" s="80"/>
      <c r="AY60" s="80"/>
      <c r="AZ60" s="80"/>
      <c r="BA60" s="80"/>
      <c r="BB60" s="80"/>
      <c r="BC60" s="80"/>
      <c r="BD60" s="80"/>
      <c r="BE60" s="80"/>
      <c r="BF60" s="80"/>
      <c r="BG60" s="80"/>
      <c r="BH60" s="80"/>
      <c r="BI60" s="80"/>
      <c r="BJ60" s="80"/>
      <c r="BK60" s="80"/>
      <c r="BL60" s="80"/>
      <c r="BM60" s="80"/>
      <c r="BN60" s="80"/>
      <c r="BO60" s="80"/>
      <c r="BP60" s="80"/>
      <c r="BQ60" s="80"/>
      <c r="BR60" s="80"/>
      <c r="BS60" s="80"/>
      <c r="BT60" s="80"/>
      <c r="BU60" s="80"/>
      <c r="BV60" s="80"/>
      <c r="BW60" s="80"/>
      <c r="BX60" s="79"/>
      <c r="BY60" s="79"/>
      <c r="BZ60" s="79"/>
      <c r="CA60" s="79"/>
      <c r="CB60" s="1031"/>
      <c r="CC60" s="1031"/>
      <c r="CD60" s="1031"/>
      <c r="CE60" s="1031"/>
      <c r="CF60" s="1031"/>
      <c r="CG60" s="1031"/>
      <c r="CH60" s="1163"/>
      <c r="CI60" s="1163"/>
      <c r="CJ60" s="1020"/>
      <c r="CK60" s="1020"/>
      <c r="CL60" s="1020"/>
      <c r="CM60" s="1020"/>
      <c r="CN60" s="1020"/>
      <c r="CO60" s="1020"/>
      <c r="CP60" s="1020"/>
      <c r="DB60" s="80"/>
    </row>
    <row r="61" spans="1:106" s="889" customFormat="1" ht="23.25" customHeight="1" x14ac:dyDescent="0.2">
      <c r="A61" s="3570">
        <v>26300150</v>
      </c>
      <c r="B61" s="6640" t="s">
        <v>2702</v>
      </c>
      <c r="C61" s="6640"/>
      <c r="D61" s="595" t="s">
        <v>2777</v>
      </c>
      <c r="E61" s="4350" t="s">
        <v>2778</v>
      </c>
      <c r="F61" s="2312" t="s">
        <v>2779</v>
      </c>
      <c r="G61" s="4351" t="s">
        <v>2780</v>
      </c>
      <c r="H61" s="947" t="str">
        <f>CB61&amp;CC61</f>
        <v>* Programa de Atención domiciliaria apersonas con Dependencia Severa debe ser MENOR O IGUAL al Total.</v>
      </c>
      <c r="I61" s="1071"/>
      <c r="J61" s="881"/>
      <c r="K61" s="881"/>
      <c r="L61" s="881"/>
      <c r="M61" s="94"/>
      <c r="N61" s="94"/>
      <c r="O61" s="94"/>
      <c r="P61" s="94"/>
      <c r="Q61" s="94"/>
      <c r="R61" s="94"/>
      <c r="S61" s="94"/>
      <c r="T61" s="94"/>
      <c r="U61" s="94"/>
      <c r="V61" s="80"/>
      <c r="W61" s="80"/>
      <c r="X61" s="80"/>
      <c r="Y61" s="80"/>
      <c r="Z61" s="80"/>
      <c r="AA61" s="80"/>
      <c r="AB61" s="80"/>
      <c r="AC61" s="80"/>
      <c r="AD61" s="80"/>
      <c r="AE61" s="80"/>
      <c r="AF61" s="80"/>
      <c r="AG61" s="80"/>
      <c r="AH61" s="80"/>
      <c r="AI61" s="80"/>
      <c r="AJ61" s="80"/>
      <c r="AK61" s="80"/>
      <c r="AL61" s="80"/>
      <c r="AM61" s="80"/>
      <c r="AN61" s="80"/>
      <c r="AO61" s="80"/>
      <c r="AP61" s="80"/>
      <c r="AQ61" s="80"/>
      <c r="AR61" s="80"/>
      <c r="AS61" s="80"/>
      <c r="AT61" s="80"/>
      <c r="AU61" s="80"/>
      <c r="AV61" s="80"/>
      <c r="AW61" s="80"/>
      <c r="AX61" s="80"/>
      <c r="AY61" s="80"/>
      <c r="AZ61" s="80"/>
      <c r="BA61" s="80"/>
      <c r="BB61" s="80"/>
      <c r="BC61" s="80"/>
      <c r="BD61" s="80"/>
      <c r="BE61" s="80"/>
      <c r="BF61" s="80"/>
      <c r="BG61" s="80"/>
      <c r="BH61" s="80"/>
      <c r="BI61" s="80"/>
      <c r="BJ61" s="80"/>
      <c r="BK61" s="80"/>
      <c r="BL61" s="80"/>
      <c r="BM61" s="80"/>
      <c r="BN61" s="80"/>
      <c r="BO61" s="80"/>
      <c r="BP61" s="80"/>
      <c r="BQ61" s="80"/>
      <c r="BR61" s="80"/>
      <c r="BS61" s="80"/>
      <c r="BT61" s="80"/>
      <c r="BU61" s="80"/>
      <c r="BV61" s="80"/>
      <c r="BW61" s="80"/>
      <c r="BX61" s="79"/>
      <c r="BY61" s="79"/>
      <c r="BZ61" s="79"/>
      <c r="CA61" s="79"/>
      <c r="CB61" s="1031" t="str">
        <f>IF(CH61=1,"* Programa de Atención domiciliaria apersonas con Dependencia Severa debe ser MENOR O IGUAL al Total.","")</f>
        <v>* Programa de Atención domiciliaria apersonas con Dependencia Severa debe ser MENOR O IGUAL al Total.</v>
      </c>
      <c r="CC61" s="1031" t="str">
        <f>IF(CI61=1,"* Recuerde digitar la Columna Programa de Atención Domiciliaria a Personas con Dependencia Severa (Digite Cero si no tiene). ","")</f>
        <v/>
      </c>
      <c r="CD61" s="1031"/>
      <c r="CE61" s="1031"/>
      <c r="CF61" s="1031"/>
      <c r="CG61" s="1031"/>
      <c r="CH61" s="1163">
        <f>IF(G61&gt;D61,1,0)</f>
        <v>1</v>
      </c>
      <c r="CI61" s="1163">
        <f>IF(AND(D61&lt;&gt;0,G61=""),1,0)</f>
        <v>0</v>
      </c>
      <c r="CJ61" s="1020"/>
      <c r="CK61" s="1020"/>
      <c r="CL61" s="1020"/>
      <c r="CM61" s="1020"/>
      <c r="CN61" s="1020"/>
      <c r="CO61" s="1020"/>
      <c r="CP61" s="1020"/>
      <c r="DB61" s="80"/>
    </row>
    <row r="62" spans="1:106" s="889" customFormat="1" ht="32.1" customHeight="1" x14ac:dyDescent="0.2">
      <c r="A62" s="3569"/>
      <c r="B62" s="2352" t="s">
        <v>2177</v>
      </c>
      <c r="C62" s="4334"/>
      <c r="D62" s="4334"/>
      <c r="E62" s="4334"/>
      <c r="F62" s="4334"/>
      <c r="G62" s="4334"/>
      <c r="H62" s="4352"/>
      <c r="I62" s="4353"/>
      <c r="J62" s="1071"/>
      <c r="K62" s="881"/>
      <c r="L62" s="881"/>
      <c r="M62" s="94"/>
      <c r="N62" s="94"/>
      <c r="O62" s="94"/>
      <c r="P62" s="94"/>
      <c r="Q62" s="94"/>
      <c r="R62" s="94"/>
      <c r="S62" s="94"/>
      <c r="T62" s="94"/>
      <c r="U62" s="94"/>
      <c r="V62" s="80"/>
      <c r="W62" s="80"/>
      <c r="X62" s="80"/>
      <c r="Y62" s="80"/>
      <c r="Z62" s="80"/>
      <c r="AA62" s="80"/>
      <c r="AB62" s="80"/>
      <c r="AC62" s="80"/>
      <c r="AD62" s="80"/>
      <c r="AE62" s="80"/>
      <c r="AF62" s="80"/>
      <c r="AG62" s="80"/>
      <c r="AH62" s="80"/>
      <c r="AI62" s="80"/>
      <c r="AJ62" s="80"/>
      <c r="AK62" s="80"/>
      <c r="AL62" s="80"/>
      <c r="AM62" s="80"/>
      <c r="AN62" s="80"/>
      <c r="AO62" s="80"/>
      <c r="AP62" s="80"/>
      <c r="AQ62" s="80"/>
      <c r="AR62" s="80"/>
      <c r="AS62" s="80"/>
      <c r="AT62" s="80"/>
      <c r="AU62" s="80"/>
      <c r="AV62" s="80"/>
      <c r="AW62" s="80"/>
      <c r="AX62" s="80"/>
      <c r="AY62" s="80"/>
      <c r="AZ62" s="80"/>
      <c r="BA62" s="80"/>
      <c r="BB62" s="80"/>
      <c r="BC62" s="80"/>
      <c r="BD62" s="80"/>
      <c r="BE62" s="80"/>
      <c r="BF62" s="80"/>
      <c r="BG62" s="80"/>
      <c r="BH62" s="80"/>
      <c r="BI62" s="80"/>
      <c r="BJ62" s="80"/>
      <c r="BK62" s="80"/>
      <c r="BL62" s="80"/>
      <c r="BM62" s="80"/>
      <c r="BN62" s="80"/>
      <c r="BO62" s="80"/>
      <c r="BP62" s="80"/>
      <c r="BQ62" s="80"/>
      <c r="BR62" s="80"/>
      <c r="BS62" s="80"/>
      <c r="BT62" s="80"/>
      <c r="BU62" s="80"/>
      <c r="BV62" s="80"/>
      <c r="BW62" s="80"/>
      <c r="BX62" s="79"/>
      <c r="BY62" s="79"/>
      <c r="BZ62" s="79"/>
      <c r="CA62" s="79"/>
      <c r="CH62" s="1020"/>
      <c r="CI62" s="1020"/>
      <c r="CJ62" s="1020"/>
      <c r="CK62" s="1020"/>
      <c r="CL62" s="1020"/>
      <c r="CM62" s="1020"/>
      <c r="CN62" s="1020"/>
      <c r="CO62" s="1020"/>
      <c r="CP62" s="1020"/>
      <c r="DB62" s="80"/>
    </row>
    <row r="63" spans="1:106" s="889" customFormat="1" x14ac:dyDescent="0.2">
      <c r="A63" s="3569"/>
      <c r="B63" s="5855" t="s">
        <v>2178</v>
      </c>
      <c r="C63" s="5877"/>
      <c r="D63" s="5902" t="s">
        <v>2179</v>
      </c>
      <c r="E63" s="5902"/>
      <c r="F63" s="5902"/>
      <c r="G63" s="5902"/>
      <c r="H63" s="6641"/>
      <c r="I63" s="6642" t="s">
        <v>2703</v>
      </c>
      <c r="J63" s="5907"/>
      <c r="K63" s="190"/>
      <c r="L63" s="190"/>
      <c r="M63" s="80"/>
      <c r="N63" s="80"/>
      <c r="O63" s="80"/>
      <c r="P63" s="80"/>
      <c r="Q63" s="80"/>
      <c r="R63" s="80"/>
      <c r="S63" s="80"/>
      <c r="T63" s="80"/>
      <c r="U63" s="80"/>
      <c r="V63" s="80"/>
      <c r="W63" s="80"/>
      <c r="X63" s="80"/>
      <c r="Y63" s="80"/>
      <c r="Z63" s="80"/>
      <c r="AA63" s="80"/>
      <c r="AB63" s="80"/>
      <c r="AC63" s="80"/>
      <c r="AD63" s="80"/>
      <c r="AE63" s="80"/>
      <c r="AF63" s="80"/>
      <c r="AG63" s="80"/>
      <c r="AH63" s="80"/>
      <c r="AI63" s="80"/>
      <c r="AJ63" s="80"/>
      <c r="AK63" s="80"/>
      <c r="AL63" s="80"/>
      <c r="AM63" s="80"/>
      <c r="AN63" s="80"/>
      <c r="AO63" s="80"/>
      <c r="AP63" s="80"/>
      <c r="AQ63" s="80"/>
      <c r="AR63" s="80"/>
      <c r="AS63" s="80"/>
      <c r="AT63" s="80"/>
      <c r="AU63" s="80"/>
      <c r="AV63" s="80"/>
      <c r="AW63" s="80"/>
      <c r="AX63" s="80"/>
      <c r="AY63" s="80"/>
      <c r="AZ63" s="80"/>
      <c r="BA63" s="80"/>
      <c r="BB63" s="80"/>
      <c r="BC63" s="80"/>
      <c r="BD63" s="80"/>
      <c r="BE63" s="80"/>
      <c r="BF63" s="80"/>
      <c r="BG63" s="80"/>
      <c r="BH63" s="80"/>
      <c r="BI63" s="80"/>
      <c r="BJ63" s="80"/>
      <c r="BK63" s="80"/>
      <c r="BL63" s="80"/>
      <c r="BM63" s="80"/>
      <c r="BN63" s="80"/>
      <c r="BO63" s="80"/>
      <c r="BP63" s="80"/>
      <c r="BQ63" s="80"/>
      <c r="BR63" s="80"/>
      <c r="BS63" s="80"/>
      <c r="BT63" s="80"/>
      <c r="BU63" s="80"/>
      <c r="BV63" s="80"/>
      <c r="BW63" s="80"/>
      <c r="BX63" s="79"/>
      <c r="BY63" s="79"/>
      <c r="BZ63" s="79"/>
      <c r="CA63" s="79"/>
      <c r="CH63" s="1020"/>
      <c r="CI63" s="1020"/>
      <c r="CJ63" s="1020"/>
      <c r="CK63" s="1020"/>
      <c r="CL63" s="1020"/>
      <c r="CM63" s="1020"/>
      <c r="CN63" s="1020"/>
      <c r="CO63" s="1020"/>
      <c r="CP63" s="1020"/>
      <c r="DB63" s="80"/>
    </row>
    <row r="64" spans="1:106" s="889" customFormat="1" x14ac:dyDescent="0.2">
      <c r="A64" s="3569"/>
      <c r="B64" s="5338"/>
      <c r="C64" s="5258"/>
      <c r="D64" s="5855" t="s">
        <v>42</v>
      </c>
      <c r="E64" s="5261" t="s">
        <v>2180</v>
      </c>
      <c r="F64" s="5157"/>
      <c r="G64" s="5262"/>
      <c r="H64" s="6643" t="s">
        <v>2181</v>
      </c>
      <c r="I64" s="6204"/>
      <c r="J64" s="5907"/>
      <c r="K64" s="190"/>
      <c r="L64" s="190"/>
      <c r="M64" s="80"/>
      <c r="N64" s="80"/>
      <c r="O64" s="80"/>
      <c r="P64" s="80"/>
      <c r="Q64" s="80"/>
      <c r="R64" s="80"/>
      <c r="S64" s="80"/>
      <c r="T64" s="80"/>
      <c r="U64" s="80"/>
      <c r="V64" s="80"/>
      <c r="W64" s="80"/>
      <c r="X64" s="80"/>
      <c r="Y64" s="80"/>
      <c r="Z64" s="80"/>
      <c r="AA64" s="80"/>
      <c r="AB64" s="80"/>
      <c r="AC64" s="80"/>
      <c r="AD64" s="80"/>
      <c r="AE64" s="80"/>
      <c r="AF64" s="80"/>
      <c r="AG64" s="80"/>
      <c r="AH64" s="80"/>
      <c r="AI64" s="80"/>
      <c r="AJ64" s="80"/>
      <c r="AK64" s="80"/>
      <c r="AL64" s="80"/>
      <c r="AM64" s="80"/>
      <c r="AN64" s="80"/>
      <c r="AO64" s="80"/>
      <c r="AP64" s="80"/>
      <c r="AQ64" s="80"/>
      <c r="AR64" s="80"/>
      <c r="AS64" s="80"/>
      <c r="AT64" s="80"/>
      <c r="AU64" s="80"/>
      <c r="AV64" s="80"/>
      <c r="AW64" s="80"/>
      <c r="AX64" s="80"/>
      <c r="AY64" s="80"/>
      <c r="AZ64" s="80"/>
      <c r="BA64" s="80"/>
      <c r="BB64" s="80"/>
      <c r="BC64" s="80"/>
      <c r="BD64" s="80"/>
      <c r="BE64" s="80"/>
      <c r="BF64" s="80"/>
      <c r="BG64" s="80"/>
      <c r="BH64" s="80"/>
      <c r="BI64" s="80"/>
      <c r="BJ64" s="80"/>
      <c r="BK64" s="80"/>
      <c r="BL64" s="80"/>
      <c r="BM64" s="80"/>
      <c r="BN64" s="80"/>
      <c r="BO64" s="80"/>
      <c r="BP64" s="80"/>
      <c r="BQ64" s="80"/>
      <c r="BR64" s="80"/>
      <c r="BS64" s="80"/>
      <c r="BT64" s="80"/>
      <c r="BU64" s="80"/>
      <c r="BV64" s="80"/>
      <c r="BW64" s="80"/>
      <c r="BX64" s="79"/>
      <c r="BY64" s="79"/>
      <c r="BZ64" s="79"/>
      <c r="CA64" s="79"/>
      <c r="CH64" s="1020"/>
      <c r="CI64" s="1020"/>
      <c r="CJ64" s="1020"/>
      <c r="CK64" s="1020"/>
      <c r="CL64" s="1020"/>
      <c r="CM64" s="1020"/>
      <c r="CN64" s="1020"/>
      <c r="CO64" s="1020"/>
      <c r="CP64" s="1020"/>
      <c r="DB64" s="80"/>
    </row>
    <row r="65" spans="1:106" s="889" customFormat="1" ht="26.45" customHeight="1" x14ac:dyDescent="0.2">
      <c r="A65" s="3569"/>
      <c r="B65" s="5856"/>
      <c r="C65" s="5878"/>
      <c r="D65" s="5856"/>
      <c r="E65" s="4336" t="s">
        <v>2182</v>
      </c>
      <c r="F65" s="4316" t="s">
        <v>2183</v>
      </c>
      <c r="G65" s="4354" t="s">
        <v>2184</v>
      </c>
      <c r="H65" s="6644"/>
      <c r="I65" s="4266" t="s">
        <v>2185</v>
      </c>
      <c r="J65" s="4335" t="s">
        <v>2186</v>
      </c>
      <c r="K65" s="80"/>
      <c r="L65" s="80"/>
      <c r="M65" s="80"/>
      <c r="N65" s="80"/>
      <c r="O65" s="80"/>
      <c r="P65" s="80"/>
      <c r="Q65" s="80"/>
      <c r="R65" s="80"/>
      <c r="S65" s="80"/>
      <c r="T65" s="80"/>
      <c r="U65" s="80"/>
      <c r="V65" s="80"/>
      <c r="W65" s="80"/>
      <c r="X65" s="80"/>
      <c r="Y65" s="80"/>
      <c r="Z65" s="80"/>
      <c r="AA65" s="80"/>
      <c r="AB65" s="80"/>
      <c r="AC65" s="80"/>
      <c r="AD65" s="80"/>
      <c r="AE65" s="80"/>
      <c r="AF65" s="80"/>
      <c r="AG65" s="80"/>
      <c r="AH65" s="80"/>
      <c r="AI65" s="80"/>
      <c r="AJ65" s="80"/>
      <c r="AK65" s="80"/>
      <c r="AL65" s="80"/>
      <c r="AM65" s="80"/>
      <c r="AN65" s="80"/>
      <c r="AO65" s="80"/>
      <c r="AP65" s="80"/>
      <c r="AQ65" s="80"/>
      <c r="AR65" s="80"/>
      <c r="AS65" s="80"/>
      <c r="AT65" s="80"/>
      <c r="AU65" s="80"/>
      <c r="AV65" s="80"/>
      <c r="AW65" s="80"/>
      <c r="AX65" s="80"/>
      <c r="AY65" s="80"/>
      <c r="AZ65" s="80"/>
      <c r="BA65" s="80"/>
      <c r="BB65" s="80"/>
      <c r="BC65" s="80"/>
      <c r="BD65" s="80"/>
      <c r="BE65" s="80"/>
      <c r="BF65" s="80"/>
      <c r="BG65" s="80"/>
      <c r="BH65" s="80"/>
      <c r="BI65" s="80"/>
      <c r="BJ65" s="80"/>
      <c r="BK65" s="80"/>
      <c r="BL65" s="80"/>
      <c r="BM65" s="80"/>
      <c r="BN65" s="80"/>
      <c r="BO65" s="80"/>
      <c r="BP65" s="80"/>
      <c r="BQ65" s="80"/>
      <c r="BR65" s="80"/>
      <c r="BS65" s="80"/>
      <c r="BT65" s="80"/>
      <c r="BU65" s="80"/>
      <c r="BV65" s="80"/>
      <c r="BW65" s="80"/>
      <c r="BX65" s="79"/>
      <c r="BY65" s="79"/>
      <c r="BZ65" s="79"/>
      <c r="CA65" s="79"/>
      <c r="CH65" s="1020"/>
      <c r="CI65" s="1020"/>
      <c r="CJ65" s="1020"/>
      <c r="CK65" s="1020"/>
      <c r="CL65" s="1020"/>
      <c r="CM65" s="1020"/>
      <c r="CN65" s="1020"/>
      <c r="CO65" s="1020"/>
      <c r="CP65" s="1020"/>
      <c r="DB65" s="80"/>
    </row>
    <row r="66" spans="1:106" s="889" customFormat="1" x14ac:dyDescent="0.2">
      <c r="A66" s="2458">
        <v>26280050</v>
      </c>
      <c r="B66" s="6655" t="s">
        <v>2187</v>
      </c>
      <c r="C66" s="6656"/>
      <c r="D66" s="4355" t="s">
        <v>2777</v>
      </c>
      <c r="E66" s="4318" t="s">
        <v>2778</v>
      </c>
      <c r="F66" s="4319" t="s">
        <v>2779</v>
      </c>
      <c r="G66" s="4356" t="s">
        <v>2780</v>
      </c>
      <c r="H66" s="4273" t="s">
        <v>2781</v>
      </c>
      <c r="I66" s="4346" t="s">
        <v>2782</v>
      </c>
      <c r="J66" s="4357" t="s">
        <v>2783</v>
      </c>
      <c r="K66" s="80"/>
      <c r="L66" s="80"/>
      <c r="M66" s="80"/>
      <c r="N66" s="80"/>
      <c r="O66" s="80"/>
      <c r="P66" s="80"/>
      <c r="Q66" s="80"/>
      <c r="R66" s="80"/>
      <c r="S66" s="80"/>
      <c r="T66" s="80"/>
      <c r="U66" s="80"/>
      <c r="V66" s="80"/>
      <c r="W66" s="80"/>
      <c r="X66" s="80"/>
      <c r="Y66" s="80"/>
      <c r="Z66" s="80"/>
      <c r="AA66" s="80"/>
      <c r="AB66" s="80"/>
      <c r="AC66" s="80"/>
      <c r="AD66" s="80"/>
      <c r="AE66" s="80"/>
      <c r="AF66" s="80"/>
      <c r="AG66" s="80"/>
      <c r="AH66" s="80"/>
      <c r="AI66" s="80"/>
      <c r="AJ66" s="80"/>
      <c r="AK66" s="80"/>
      <c r="AL66" s="80"/>
      <c r="AM66" s="80"/>
      <c r="AN66" s="80"/>
      <c r="AO66" s="80"/>
      <c r="AP66" s="80"/>
      <c r="AQ66" s="80"/>
      <c r="AR66" s="80"/>
      <c r="AS66" s="80"/>
      <c r="AT66" s="80"/>
      <c r="AU66" s="80"/>
      <c r="AV66" s="80"/>
      <c r="AW66" s="80"/>
      <c r="AX66" s="80"/>
      <c r="AY66" s="80"/>
      <c r="AZ66" s="80"/>
      <c r="BA66" s="80"/>
      <c r="BB66" s="80"/>
      <c r="BC66" s="80"/>
      <c r="BD66" s="80"/>
      <c r="BE66" s="80"/>
      <c r="BF66" s="80"/>
      <c r="BG66" s="80"/>
      <c r="BH66" s="80"/>
      <c r="BI66" s="80"/>
      <c r="BJ66" s="80"/>
      <c r="BK66" s="80"/>
      <c r="BL66" s="80"/>
      <c r="BM66" s="80"/>
      <c r="BN66" s="80"/>
      <c r="BO66" s="80"/>
      <c r="BP66" s="80"/>
      <c r="BQ66" s="80"/>
      <c r="BR66" s="80"/>
      <c r="BS66" s="80"/>
      <c r="BT66" s="80"/>
      <c r="BU66" s="80"/>
      <c r="BV66" s="80"/>
      <c r="BW66" s="80"/>
      <c r="BX66" s="79"/>
      <c r="BY66" s="79"/>
      <c r="BZ66" s="79"/>
      <c r="CA66" s="79"/>
      <c r="CH66" s="1020"/>
      <c r="CI66" s="1020"/>
      <c r="CJ66" s="1020"/>
      <c r="CK66" s="1020"/>
      <c r="CL66" s="1020"/>
      <c r="CM66" s="1020"/>
      <c r="CN66" s="1020"/>
      <c r="CO66" s="1020"/>
      <c r="CP66" s="1020"/>
      <c r="DB66" s="80"/>
    </row>
    <row r="67" spans="1:106" s="889" customFormat="1" x14ac:dyDescent="0.2">
      <c r="A67" s="2458">
        <v>26280060</v>
      </c>
      <c r="B67" s="5958" t="s">
        <v>2188</v>
      </c>
      <c r="C67" s="5294"/>
      <c r="D67" s="1747" t="s">
        <v>2777</v>
      </c>
      <c r="E67" s="141" t="s">
        <v>2778</v>
      </c>
      <c r="F67" s="142" t="s">
        <v>2779</v>
      </c>
      <c r="G67" s="163" t="s">
        <v>2780</v>
      </c>
      <c r="H67" s="224" t="s">
        <v>2781</v>
      </c>
      <c r="I67" s="355" t="s">
        <v>2782</v>
      </c>
      <c r="J67" s="164" t="s">
        <v>2783</v>
      </c>
      <c r="K67" s="80"/>
      <c r="L67" s="80"/>
      <c r="M67" s="80"/>
      <c r="N67" s="80"/>
      <c r="O67" s="80"/>
      <c r="P67" s="80"/>
      <c r="Q67" s="80"/>
      <c r="R67" s="80"/>
      <c r="S67" s="80"/>
      <c r="T67" s="80"/>
      <c r="U67" s="80"/>
      <c r="V67" s="80"/>
      <c r="W67" s="80"/>
      <c r="X67" s="80"/>
      <c r="Y67" s="80"/>
      <c r="Z67" s="80"/>
      <c r="AA67" s="80"/>
      <c r="AB67" s="80"/>
      <c r="AC67" s="80"/>
      <c r="AD67" s="80"/>
      <c r="AE67" s="80"/>
      <c r="AF67" s="80"/>
      <c r="AG67" s="80"/>
      <c r="AH67" s="80"/>
      <c r="AI67" s="80"/>
      <c r="AJ67" s="80"/>
      <c r="AK67" s="80"/>
      <c r="AL67" s="80"/>
      <c r="AM67" s="80"/>
      <c r="AN67" s="80"/>
      <c r="AO67" s="80"/>
      <c r="AP67" s="80"/>
      <c r="AQ67" s="80"/>
      <c r="AR67" s="80"/>
      <c r="AS67" s="80"/>
      <c r="AT67" s="80"/>
      <c r="AU67" s="80"/>
      <c r="AV67" s="80"/>
      <c r="AW67" s="80"/>
      <c r="AX67" s="80"/>
      <c r="AY67" s="80"/>
      <c r="AZ67" s="80"/>
      <c r="BA67" s="80"/>
      <c r="BB67" s="80"/>
      <c r="BC67" s="80"/>
      <c r="BD67" s="80"/>
      <c r="BE67" s="80"/>
      <c r="BF67" s="80"/>
      <c r="BG67" s="80"/>
      <c r="BH67" s="80"/>
      <c r="BI67" s="80"/>
      <c r="BJ67" s="80"/>
      <c r="BK67" s="80"/>
      <c r="BL67" s="80"/>
      <c r="BM67" s="80"/>
      <c r="BN67" s="80"/>
      <c r="BO67" s="80"/>
      <c r="BP67" s="80"/>
      <c r="BQ67" s="80"/>
      <c r="BR67" s="80"/>
      <c r="BS67" s="80"/>
      <c r="BT67" s="80"/>
      <c r="BU67" s="80"/>
      <c r="BV67" s="80"/>
      <c r="BW67" s="80"/>
      <c r="BX67" s="79"/>
      <c r="BY67" s="79"/>
      <c r="BZ67" s="79"/>
      <c r="CA67" s="79"/>
      <c r="CH67" s="1020"/>
      <c r="CI67" s="1020"/>
      <c r="CJ67" s="1020"/>
      <c r="CK67" s="1020"/>
      <c r="CL67" s="1020"/>
      <c r="CM67" s="1020"/>
      <c r="CN67" s="1020"/>
      <c r="CO67" s="1020"/>
      <c r="CP67" s="1020"/>
      <c r="DB67" s="80"/>
    </row>
    <row r="68" spans="1:106" s="889" customFormat="1" x14ac:dyDescent="0.2">
      <c r="A68" s="2458">
        <v>26280070</v>
      </c>
      <c r="B68" s="5958" t="s">
        <v>2189</v>
      </c>
      <c r="C68" s="5294"/>
      <c r="D68" s="1747" t="s">
        <v>2777</v>
      </c>
      <c r="E68" s="141" t="s">
        <v>2778</v>
      </c>
      <c r="F68" s="142" t="s">
        <v>2779</v>
      </c>
      <c r="G68" s="163" t="s">
        <v>2780</v>
      </c>
      <c r="H68" s="224" t="s">
        <v>2781</v>
      </c>
      <c r="I68" s="355" t="s">
        <v>2782</v>
      </c>
      <c r="J68" s="164" t="s">
        <v>2783</v>
      </c>
      <c r="K68" s="80"/>
      <c r="L68" s="80"/>
      <c r="M68" s="80"/>
      <c r="N68" s="80"/>
      <c r="O68" s="80"/>
      <c r="P68" s="80"/>
      <c r="Q68" s="80"/>
      <c r="R68" s="80"/>
      <c r="S68" s="80"/>
      <c r="T68" s="80"/>
      <c r="U68" s="80"/>
      <c r="V68" s="80"/>
      <c r="W68" s="80"/>
      <c r="X68" s="80"/>
      <c r="Y68" s="80"/>
      <c r="Z68" s="80"/>
      <c r="AA68" s="80"/>
      <c r="AB68" s="80"/>
      <c r="AC68" s="80"/>
      <c r="AD68" s="80"/>
      <c r="AE68" s="80"/>
      <c r="AF68" s="80"/>
      <c r="AG68" s="80"/>
      <c r="AH68" s="80"/>
      <c r="AI68" s="80"/>
      <c r="AJ68" s="80"/>
      <c r="AK68" s="80"/>
      <c r="AL68" s="80"/>
      <c r="AM68" s="80"/>
      <c r="AN68" s="80"/>
      <c r="AO68" s="80"/>
      <c r="AP68" s="80"/>
      <c r="AQ68" s="80"/>
      <c r="AR68" s="80"/>
      <c r="AS68" s="80"/>
      <c r="AT68" s="80"/>
      <c r="AU68" s="80"/>
      <c r="AV68" s="80"/>
      <c r="AW68" s="80"/>
      <c r="AX68" s="80"/>
      <c r="AY68" s="80"/>
      <c r="AZ68" s="80"/>
      <c r="BA68" s="80"/>
      <c r="BB68" s="80"/>
      <c r="BC68" s="80"/>
      <c r="BD68" s="80"/>
      <c r="BE68" s="80"/>
      <c r="BF68" s="80"/>
      <c r="BG68" s="80"/>
      <c r="BH68" s="80"/>
      <c r="BI68" s="80"/>
      <c r="BJ68" s="80"/>
      <c r="BK68" s="80"/>
      <c r="BL68" s="80"/>
      <c r="BM68" s="80"/>
      <c r="BN68" s="80"/>
      <c r="BO68" s="80"/>
      <c r="BP68" s="80"/>
      <c r="BQ68" s="80"/>
      <c r="BR68" s="80"/>
      <c r="BS68" s="80"/>
      <c r="BT68" s="80"/>
      <c r="BU68" s="80"/>
      <c r="BV68" s="80"/>
      <c r="BW68" s="80"/>
      <c r="BX68" s="79"/>
      <c r="BY68" s="79"/>
      <c r="BZ68" s="79"/>
      <c r="CA68" s="79"/>
      <c r="CH68" s="1020"/>
      <c r="CI68" s="1020"/>
      <c r="CJ68" s="1020"/>
      <c r="CK68" s="1020"/>
      <c r="CL68" s="1020"/>
      <c r="CM68" s="1020"/>
      <c r="CN68" s="1020"/>
      <c r="CO68" s="1020"/>
      <c r="CP68" s="1020"/>
      <c r="DB68" s="80"/>
    </row>
    <row r="69" spans="1:106" s="889" customFormat="1" x14ac:dyDescent="0.2">
      <c r="A69" s="2458">
        <v>26280080</v>
      </c>
      <c r="B69" s="5958" t="s">
        <v>2190</v>
      </c>
      <c r="C69" s="5294"/>
      <c r="D69" s="1747" t="s">
        <v>2777</v>
      </c>
      <c r="E69" s="141" t="s">
        <v>2778</v>
      </c>
      <c r="F69" s="142" t="s">
        <v>2779</v>
      </c>
      <c r="G69" s="163" t="s">
        <v>2780</v>
      </c>
      <c r="H69" s="224" t="s">
        <v>2781</v>
      </c>
      <c r="I69" s="355" t="s">
        <v>2782</v>
      </c>
      <c r="J69" s="164" t="s">
        <v>2783</v>
      </c>
      <c r="K69" s="80"/>
      <c r="L69" s="80"/>
      <c r="M69" s="80"/>
      <c r="N69" s="80"/>
      <c r="O69" s="80"/>
      <c r="P69" s="80"/>
      <c r="Q69" s="80"/>
      <c r="R69" s="80"/>
      <c r="S69" s="80"/>
      <c r="T69" s="80"/>
      <c r="U69" s="80"/>
      <c r="V69" s="80"/>
      <c r="W69" s="80"/>
      <c r="X69" s="80"/>
      <c r="Y69" s="80"/>
      <c r="Z69" s="80"/>
      <c r="AA69" s="80"/>
      <c r="AB69" s="80"/>
      <c r="AC69" s="80"/>
      <c r="AD69" s="80"/>
      <c r="AE69" s="80"/>
      <c r="AF69" s="80"/>
      <c r="AG69" s="80"/>
      <c r="AH69" s="80"/>
      <c r="AI69" s="80"/>
      <c r="AJ69" s="80"/>
      <c r="AK69" s="80"/>
      <c r="AL69" s="80"/>
      <c r="AM69" s="80"/>
      <c r="AN69" s="80"/>
      <c r="AO69" s="80"/>
      <c r="AP69" s="80"/>
      <c r="AQ69" s="80"/>
      <c r="AR69" s="80"/>
      <c r="AS69" s="80"/>
      <c r="AT69" s="80"/>
      <c r="AU69" s="80"/>
      <c r="AV69" s="80"/>
      <c r="AW69" s="80"/>
      <c r="AX69" s="80"/>
      <c r="AY69" s="80"/>
      <c r="AZ69" s="80"/>
      <c r="BA69" s="80"/>
      <c r="BB69" s="80"/>
      <c r="BC69" s="80"/>
      <c r="BD69" s="80"/>
      <c r="BE69" s="80"/>
      <c r="BF69" s="80"/>
      <c r="BG69" s="80"/>
      <c r="BH69" s="80"/>
      <c r="BI69" s="80"/>
      <c r="BJ69" s="80"/>
      <c r="BK69" s="80"/>
      <c r="BL69" s="80"/>
      <c r="BM69" s="80"/>
      <c r="BN69" s="80"/>
      <c r="BO69" s="80"/>
      <c r="BP69" s="80"/>
      <c r="BQ69" s="80"/>
      <c r="BR69" s="80"/>
      <c r="BS69" s="80"/>
      <c r="BT69" s="80"/>
      <c r="BU69" s="80"/>
      <c r="BV69" s="80"/>
      <c r="BW69" s="80"/>
      <c r="BX69" s="79"/>
      <c r="BY69" s="79"/>
      <c r="BZ69" s="79"/>
      <c r="CA69" s="79"/>
      <c r="CH69" s="1020"/>
      <c r="CI69" s="1020"/>
      <c r="CJ69" s="1020"/>
      <c r="CK69" s="1020"/>
      <c r="CL69" s="1020"/>
      <c r="CM69" s="1020"/>
      <c r="CN69" s="1020"/>
      <c r="CO69" s="1020"/>
      <c r="CP69" s="1020"/>
      <c r="DB69" s="80"/>
    </row>
    <row r="70" spans="1:106" s="889" customFormat="1" x14ac:dyDescent="0.2">
      <c r="A70" s="2458">
        <v>26280090</v>
      </c>
      <c r="B70" s="5958" t="s">
        <v>2191</v>
      </c>
      <c r="C70" s="5294"/>
      <c r="D70" s="1747" t="s">
        <v>2777</v>
      </c>
      <c r="E70" s="141" t="s">
        <v>2778</v>
      </c>
      <c r="F70" s="142" t="s">
        <v>2779</v>
      </c>
      <c r="G70" s="163" t="s">
        <v>2780</v>
      </c>
      <c r="H70" s="224" t="s">
        <v>2781</v>
      </c>
      <c r="I70" s="355" t="s">
        <v>2782</v>
      </c>
      <c r="J70" s="164" t="s">
        <v>2783</v>
      </c>
      <c r="K70" s="80"/>
      <c r="L70" s="80"/>
      <c r="M70" s="80"/>
      <c r="N70" s="80"/>
      <c r="O70" s="80"/>
      <c r="P70" s="80"/>
      <c r="Q70" s="80"/>
      <c r="R70" s="80"/>
      <c r="S70" s="80"/>
      <c r="T70" s="80"/>
      <c r="U70" s="80"/>
      <c r="V70" s="80"/>
      <c r="W70" s="80"/>
      <c r="X70" s="80"/>
      <c r="Y70" s="80"/>
      <c r="Z70" s="80"/>
      <c r="AA70" s="80"/>
      <c r="AB70" s="80"/>
      <c r="AC70" s="80"/>
      <c r="AD70" s="80"/>
      <c r="AE70" s="80"/>
      <c r="AF70" s="80"/>
      <c r="AG70" s="80"/>
      <c r="AH70" s="80"/>
      <c r="AI70" s="80"/>
      <c r="AJ70" s="80"/>
      <c r="AK70" s="80"/>
      <c r="AL70" s="80"/>
      <c r="AM70" s="80"/>
      <c r="AN70" s="80"/>
      <c r="AO70" s="80"/>
      <c r="AP70" s="80"/>
      <c r="AQ70" s="80"/>
      <c r="AR70" s="80"/>
      <c r="AS70" s="80"/>
      <c r="AT70" s="80"/>
      <c r="AU70" s="80"/>
      <c r="AV70" s="80"/>
      <c r="AW70" s="80"/>
      <c r="AX70" s="80"/>
      <c r="AY70" s="80"/>
      <c r="AZ70" s="80"/>
      <c r="BA70" s="80"/>
      <c r="BB70" s="80"/>
      <c r="BC70" s="80"/>
      <c r="BD70" s="80"/>
      <c r="BE70" s="80"/>
      <c r="BF70" s="80"/>
      <c r="BG70" s="80"/>
      <c r="BH70" s="80"/>
      <c r="BI70" s="80"/>
      <c r="BJ70" s="80"/>
      <c r="BK70" s="80"/>
      <c r="BL70" s="80"/>
      <c r="BM70" s="80"/>
      <c r="BN70" s="80"/>
      <c r="BO70" s="80"/>
      <c r="BP70" s="80"/>
      <c r="BQ70" s="80"/>
      <c r="BR70" s="80"/>
      <c r="BS70" s="80"/>
      <c r="BT70" s="80"/>
      <c r="BU70" s="80"/>
      <c r="BV70" s="80"/>
      <c r="BW70" s="80"/>
      <c r="BX70" s="79"/>
      <c r="BY70" s="79"/>
      <c r="BZ70" s="79"/>
      <c r="CA70" s="79"/>
      <c r="CH70" s="1020"/>
      <c r="CI70" s="1020"/>
      <c r="CJ70" s="1020"/>
      <c r="CK70" s="1020"/>
      <c r="CL70" s="1020"/>
      <c r="CM70" s="1020"/>
      <c r="CN70" s="1020"/>
      <c r="CO70" s="1020"/>
      <c r="CP70" s="1020"/>
      <c r="DB70" s="80"/>
    </row>
    <row r="71" spans="1:106" s="889" customFormat="1" x14ac:dyDescent="0.2">
      <c r="A71" s="2458">
        <v>26280100</v>
      </c>
      <c r="B71" s="5561" t="s">
        <v>730</v>
      </c>
      <c r="C71" s="5286"/>
      <c r="D71" s="1748" t="s">
        <v>2777</v>
      </c>
      <c r="E71" s="166" t="s">
        <v>2778</v>
      </c>
      <c r="F71" s="102" t="s">
        <v>2779</v>
      </c>
      <c r="G71" s="125" t="s">
        <v>2780</v>
      </c>
      <c r="H71" s="227" t="s">
        <v>2781</v>
      </c>
      <c r="I71" s="372" t="s">
        <v>2782</v>
      </c>
      <c r="J71" s="105" t="s">
        <v>2783</v>
      </c>
      <c r="K71" s="80"/>
      <c r="L71" s="80"/>
      <c r="M71" s="80"/>
      <c r="N71" s="80"/>
      <c r="O71" s="80"/>
      <c r="P71" s="80"/>
      <c r="Q71" s="80"/>
      <c r="R71" s="80"/>
      <c r="S71" s="80"/>
      <c r="T71" s="80"/>
      <c r="U71" s="80"/>
      <c r="V71" s="80"/>
      <c r="W71" s="80"/>
      <c r="X71" s="80"/>
      <c r="Y71" s="80"/>
      <c r="Z71" s="80"/>
      <c r="AA71" s="80"/>
      <c r="AB71" s="80"/>
      <c r="AC71" s="80"/>
      <c r="AD71" s="80"/>
      <c r="AE71" s="80"/>
      <c r="AF71" s="80"/>
      <c r="AG71" s="80"/>
      <c r="AH71" s="80"/>
      <c r="AI71" s="80"/>
      <c r="AJ71" s="80"/>
      <c r="AK71" s="80"/>
      <c r="AL71" s="80"/>
      <c r="AM71" s="80"/>
      <c r="AN71" s="80"/>
      <c r="AO71" s="80"/>
      <c r="AP71" s="80"/>
      <c r="AQ71" s="80"/>
      <c r="AR71" s="80"/>
      <c r="AS71" s="80"/>
      <c r="AT71" s="80"/>
      <c r="AU71" s="80"/>
      <c r="AV71" s="80"/>
      <c r="AW71" s="80"/>
      <c r="AX71" s="80"/>
      <c r="AY71" s="80"/>
      <c r="AZ71" s="80"/>
      <c r="BA71" s="80"/>
      <c r="BB71" s="80"/>
      <c r="BC71" s="80"/>
      <c r="BD71" s="80"/>
      <c r="BE71" s="80"/>
      <c r="BF71" s="80"/>
      <c r="BG71" s="80"/>
      <c r="BH71" s="80"/>
      <c r="BI71" s="80"/>
      <c r="BJ71" s="80"/>
      <c r="BK71" s="80"/>
      <c r="BL71" s="80"/>
      <c r="BM71" s="80"/>
      <c r="BN71" s="80"/>
      <c r="BO71" s="80"/>
      <c r="BP71" s="80"/>
      <c r="BQ71" s="80"/>
      <c r="BR71" s="80"/>
      <c r="BS71" s="80"/>
      <c r="BT71" s="80"/>
      <c r="BU71" s="80"/>
      <c r="BV71" s="80"/>
      <c r="BW71" s="80"/>
      <c r="BX71" s="79"/>
      <c r="BY71" s="79"/>
      <c r="BZ71" s="79"/>
      <c r="CA71" s="79"/>
      <c r="CH71" s="1020"/>
      <c r="CI71" s="1020"/>
      <c r="CJ71" s="1020"/>
      <c r="CK71" s="1020"/>
      <c r="CL71" s="1020"/>
      <c r="CM71" s="1020"/>
      <c r="CN71" s="1020"/>
      <c r="CO71" s="1020"/>
      <c r="CP71" s="1020"/>
      <c r="DB71" s="80"/>
    </row>
    <row r="72" spans="1:106" s="889" customFormat="1" x14ac:dyDescent="0.2">
      <c r="A72" s="3569"/>
      <c r="B72" s="4242" t="s">
        <v>2192</v>
      </c>
      <c r="C72" s="190"/>
      <c r="D72" s="190"/>
      <c r="E72" s="190"/>
      <c r="F72" s="190"/>
      <c r="G72" s="190"/>
      <c r="H72" s="190"/>
      <c r="I72" s="190"/>
      <c r="J72" s="378"/>
      <c r="K72" s="80"/>
      <c r="L72" s="80"/>
      <c r="M72" s="80"/>
      <c r="N72" s="80"/>
      <c r="O72" s="80"/>
      <c r="P72" s="80"/>
      <c r="Q72" s="80"/>
      <c r="R72" s="80"/>
      <c r="S72" s="80"/>
      <c r="T72" s="80"/>
      <c r="U72" s="80"/>
      <c r="V72" s="80"/>
      <c r="W72" s="80"/>
      <c r="X72" s="80"/>
      <c r="Y72" s="80"/>
      <c r="Z72" s="80"/>
      <c r="AA72" s="80"/>
      <c r="AB72" s="80"/>
      <c r="AC72" s="80"/>
      <c r="AD72" s="80"/>
      <c r="AE72" s="80"/>
      <c r="AF72" s="80"/>
      <c r="AG72" s="80"/>
      <c r="AH72" s="80"/>
      <c r="AI72" s="80"/>
      <c r="AJ72" s="80"/>
      <c r="AK72" s="80"/>
      <c r="AL72" s="80"/>
      <c r="AM72" s="80"/>
      <c r="AN72" s="80"/>
      <c r="AO72" s="80"/>
      <c r="AP72" s="80"/>
      <c r="AQ72" s="80"/>
      <c r="AR72" s="80"/>
      <c r="AS72" s="80"/>
      <c r="AT72" s="80"/>
      <c r="AU72" s="80"/>
      <c r="AV72" s="80"/>
      <c r="AW72" s="80"/>
      <c r="AX72" s="80"/>
      <c r="AY72" s="80"/>
      <c r="AZ72" s="80"/>
      <c r="BA72" s="80"/>
      <c r="BB72" s="80"/>
      <c r="BC72" s="80"/>
      <c r="BD72" s="80"/>
      <c r="BE72" s="80"/>
      <c r="BF72" s="80"/>
      <c r="BG72" s="80"/>
      <c r="BH72" s="80"/>
      <c r="BI72" s="80"/>
      <c r="BJ72" s="80"/>
      <c r="BK72" s="80"/>
      <c r="BL72" s="80"/>
      <c r="BM72" s="80"/>
      <c r="BN72" s="80"/>
      <c r="BO72" s="80"/>
      <c r="BP72" s="80"/>
      <c r="BQ72" s="80"/>
      <c r="BR72" s="80"/>
      <c r="BS72" s="80"/>
      <c r="BT72" s="80"/>
      <c r="BU72" s="80"/>
      <c r="BV72" s="80"/>
      <c r="BW72" s="80"/>
      <c r="BX72" s="79"/>
      <c r="BY72" s="79"/>
      <c r="BZ72" s="79"/>
      <c r="CA72" s="79"/>
      <c r="CH72" s="1020"/>
      <c r="CI72" s="1020"/>
      <c r="CJ72" s="1020"/>
      <c r="CK72" s="1020"/>
      <c r="CL72" s="1020"/>
      <c r="CM72" s="1020"/>
      <c r="CN72" s="1020"/>
      <c r="CO72" s="1020"/>
      <c r="CP72" s="1020"/>
      <c r="DB72" s="80"/>
    </row>
    <row r="73" spans="1:106" s="889" customFormat="1" ht="32.1" customHeight="1" x14ac:dyDescent="0.2">
      <c r="A73" s="3569"/>
      <c r="B73" s="308" t="s">
        <v>2193</v>
      </c>
      <c r="C73" s="154"/>
      <c r="D73" s="154"/>
      <c r="E73" s="154"/>
      <c r="F73" s="154"/>
      <c r="G73" s="431"/>
      <c r="H73" s="431"/>
      <c r="I73" s="80"/>
      <c r="J73" s="80"/>
      <c r="K73" s="80"/>
      <c r="L73" s="80"/>
      <c r="M73" s="80"/>
      <c r="N73" s="80"/>
      <c r="O73" s="80"/>
      <c r="P73" s="80"/>
      <c r="Q73" s="80"/>
      <c r="R73" s="80"/>
      <c r="S73" s="80"/>
      <c r="T73" s="80"/>
      <c r="U73" s="80"/>
      <c r="V73" s="80"/>
      <c r="W73" s="80"/>
      <c r="X73" s="80"/>
      <c r="Y73" s="80"/>
      <c r="Z73" s="80"/>
      <c r="AA73" s="80"/>
      <c r="AB73" s="80"/>
      <c r="AC73" s="80"/>
      <c r="AD73" s="80"/>
      <c r="AE73" s="80"/>
      <c r="AF73" s="80"/>
      <c r="AG73" s="80"/>
      <c r="AH73" s="80"/>
      <c r="AI73" s="80"/>
      <c r="AJ73" s="80"/>
      <c r="AK73" s="80"/>
      <c r="AL73" s="80"/>
      <c r="AM73" s="80"/>
      <c r="AN73" s="80"/>
      <c r="AO73" s="80"/>
      <c r="AP73" s="80"/>
      <c r="AQ73" s="80"/>
      <c r="AR73" s="80"/>
      <c r="AS73" s="80"/>
      <c r="AT73" s="80"/>
      <c r="AU73" s="80"/>
      <c r="AV73" s="80"/>
      <c r="AW73" s="80"/>
      <c r="AX73" s="80"/>
      <c r="AY73" s="80"/>
      <c r="AZ73" s="80"/>
      <c r="BA73" s="80"/>
      <c r="BB73" s="80"/>
      <c r="BC73" s="80"/>
      <c r="BD73" s="80"/>
      <c r="BE73" s="80"/>
      <c r="BF73" s="80"/>
      <c r="BG73" s="80"/>
      <c r="BH73" s="80"/>
      <c r="BI73" s="80"/>
      <c r="BJ73" s="80"/>
      <c r="BK73" s="80"/>
      <c r="BL73" s="80"/>
      <c r="BM73" s="80"/>
      <c r="BN73" s="80"/>
      <c r="BO73" s="80"/>
      <c r="BP73" s="80"/>
      <c r="BQ73" s="80"/>
      <c r="BR73" s="80"/>
      <c r="BS73" s="80"/>
      <c r="BT73" s="80"/>
      <c r="BU73" s="80"/>
      <c r="BV73" s="80"/>
      <c r="BW73" s="80"/>
      <c r="BX73" s="79"/>
      <c r="BY73" s="79"/>
      <c r="BZ73" s="79"/>
      <c r="CA73" s="79"/>
      <c r="CH73" s="1020"/>
      <c r="CI73" s="1020"/>
      <c r="CJ73" s="1020"/>
      <c r="CK73" s="1020"/>
      <c r="CL73" s="1020"/>
      <c r="CM73" s="1020"/>
      <c r="CN73" s="1020"/>
      <c r="CO73" s="1020"/>
      <c r="CP73" s="1020"/>
      <c r="DB73" s="80"/>
    </row>
    <row r="74" spans="1:106" s="889" customFormat="1" ht="21" customHeight="1" x14ac:dyDescent="0.2">
      <c r="A74" s="3569"/>
      <c r="B74" s="6650" t="s">
        <v>2194</v>
      </c>
      <c r="C74" s="6650" t="s">
        <v>2195</v>
      </c>
      <c r="D74" s="6652" t="s">
        <v>2196</v>
      </c>
      <c r="E74" s="6653"/>
      <c r="F74" s="6653"/>
      <c r="G74" s="6653"/>
      <c r="H74" s="6654"/>
      <c r="I74" s="80"/>
      <c r="J74" s="80"/>
      <c r="K74" s="80"/>
      <c r="L74" s="80"/>
      <c r="M74" s="80"/>
      <c r="N74" s="80"/>
      <c r="O74" s="80"/>
      <c r="P74" s="80"/>
      <c r="Q74" s="80"/>
      <c r="R74" s="80"/>
      <c r="S74" s="80"/>
      <c r="T74" s="80"/>
      <c r="U74" s="80"/>
      <c r="V74" s="80"/>
      <c r="W74" s="80"/>
      <c r="X74" s="80"/>
      <c r="Y74" s="80"/>
      <c r="Z74" s="80"/>
      <c r="AA74" s="80"/>
      <c r="AB74" s="80"/>
      <c r="AC74" s="80"/>
      <c r="AD74" s="80"/>
      <c r="AE74" s="80"/>
      <c r="AF74" s="80"/>
      <c r="AG74" s="80"/>
      <c r="AH74" s="80"/>
      <c r="AI74" s="80"/>
      <c r="AJ74" s="80"/>
      <c r="AK74" s="80"/>
      <c r="AL74" s="80"/>
      <c r="AM74" s="80"/>
      <c r="AN74" s="80"/>
      <c r="AO74" s="80"/>
      <c r="AP74" s="80"/>
      <c r="AQ74" s="80"/>
      <c r="AR74" s="80"/>
      <c r="AS74" s="80"/>
      <c r="AT74" s="80"/>
      <c r="AU74" s="80"/>
      <c r="AV74" s="80"/>
      <c r="AW74" s="80"/>
      <c r="AX74" s="80"/>
      <c r="AY74" s="80"/>
      <c r="AZ74" s="80"/>
      <c r="BA74" s="80"/>
      <c r="BB74" s="80"/>
      <c r="BC74" s="80"/>
      <c r="BD74" s="80"/>
      <c r="BE74" s="80"/>
      <c r="BF74" s="80"/>
      <c r="BG74" s="80"/>
      <c r="BH74" s="80"/>
      <c r="BI74" s="80"/>
      <c r="BJ74" s="80"/>
      <c r="BK74" s="80"/>
      <c r="BL74" s="80"/>
      <c r="BM74" s="80"/>
      <c r="BN74" s="80"/>
      <c r="BO74" s="80"/>
      <c r="BP74" s="80"/>
      <c r="BQ74" s="80"/>
      <c r="BR74" s="80"/>
      <c r="BS74" s="80"/>
      <c r="BT74" s="80"/>
      <c r="BU74" s="80"/>
      <c r="BV74" s="80"/>
      <c r="BW74" s="80"/>
      <c r="BX74" s="79"/>
      <c r="BY74" s="79"/>
      <c r="BZ74" s="79"/>
      <c r="CA74" s="79"/>
      <c r="CH74" s="1020"/>
      <c r="CI74" s="1020"/>
      <c r="CJ74" s="1020"/>
      <c r="CK74" s="1020"/>
      <c r="CL74" s="1020"/>
      <c r="CM74" s="1020"/>
      <c r="CN74" s="1020"/>
      <c r="CO74" s="1020"/>
      <c r="CP74" s="1020"/>
      <c r="DB74" s="80"/>
    </row>
    <row r="75" spans="1:106" s="889" customFormat="1" ht="21.75" customHeight="1" x14ac:dyDescent="0.2">
      <c r="A75" s="3569"/>
      <c r="B75" s="6651"/>
      <c r="C75" s="6651"/>
      <c r="D75" s="4336" t="s">
        <v>350</v>
      </c>
      <c r="E75" s="4358" t="s">
        <v>351</v>
      </c>
      <c r="F75" s="4316" t="s">
        <v>352</v>
      </c>
      <c r="G75" s="4316" t="s">
        <v>319</v>
      </c>
      <c r="H75" s="4354" t="s">
        <v>10</v>
      </c>
      <c r="I75" s="80"/>
      <c r="J75" s="80"/>
      <c r="K75" s="80"/>
      <c r="L75" s="80"/>
      <c r="M75" s="80"/>
      <c r="N75" s="80"/>
      <c r="O75" s="80"/>
      <c r="P75" s="80"/>
      <c r="Q75" s="80"/>
      <c r="R75" s="80"/>
      <c r="S75" s="80"/>
      <c r="T75" s="80"/>
      <c r="U75" s="80"/>
      <c r="V75" s="80"/>
      <c r="W75" s="80"/>
      <c r="X75" s="80"/>
      <c r="Y75" s="80"/>
      <c r="Z75" s="80"/>
      <c r="AA75" s="80"/>
      <c r="AB75" s="80"/>
      <c r="AC75" s="80"/>
      <c r="AD75" s="80"/>
      <c r="AE75" s="80"/>
      <c r="AF75" s="80"/>
      <c r="AG75" s="80"/>
      <c r="AH75" s="80"/>
      <c r="AI75" s="80"/>
      <c r="AJ75" s="80"/>
      <c r="AK75" s="80"/>
      <c r="AL75" s="80"/>
      <c r="AM75" s="80"/>
      <c r="AN75" s="80"/>
      <c r="AO75" s="80"/>
      <c r="AP75" s="80"/>
      <c r="AQ75" s="80"/>
      <c r="AR75" s="80"/>
      <c r="AS75" s="80"/>
      <c r="AT75" s="80"/>
      <c r="AU75" s="80"/>
      <c r="AV75" s="80"/>
      <c r="AW75" s="80"/>
      <c r="AX75" s="80"/>
      <c r="AY75" s="80"/>
      <c r="AZ75" s="80"/>
      <c r="BA75" s="80"/>
      <c r="BB75" s="80"/>
      <c r="BC75" s="80"/>
      <c r="BD75" s="80"/>
      <c r="BE75" s="80"/>
      <c r="BF75" s="80"/>
      <c r="BG75" s="80"/>
      <c r="BH75" s="80"/>
      <c r="BI75" s="80"/>
      <c r="BJ75" s="80"/>
      <c r="BK75" s="80"/>
      <c r="BL75" s="80"/>
      <c r="BM75" s="80"/>
      <c r="BN75" s="80"/>
      <c r="BO75" s="80"/>
      <c r="BP75" s="80"/>
      <c r="BQ75" s="80"/>
      <c r="BR75" s="80"/>
      <c r="BS75" s="80"/>
      <c r="BT75" s="80"/>
      <c r="BU75" s="80"/>
      <c r="BV75" s="80"/>
      <c r="BW75" s="80"/>
      <c r="BX75" s="79"/>
      <c r="BY75" s="79"/>
      <c r="BZ75" s="79"/>
      <c r="CA75" s="79"/>
      <c r="CH75" s="1020"/>
      <c r="CI75" s="1020"/>
      <c r="CJ75" s="1020"/>
      <c r="CK75" s="1020"/>
      <c r="CL75" s="1020"/>
      <c r="CM75" s="1020"/>
      <c r="CN75" s="1020"/>
      <c r="CO75" s="1020"/>
      <c r="CP75" s="1020"/>
      <c r="DB75" s="80"/>
    </row>
    <row r="76" spans="1:106" s="889" customFormat="1" ht="21" customHeight="1" x14ac:dyDescent="0.2">
      <c r="A76" s="2549">
        <v>26280200</v>
      </c>
      <c r="B76" s="4606" t="s">
        <v>2197</v>
      </c>
      <c r="C76" s="4359" t="s">
        <v>2777</v>
      </c>
      <c r="D76" s="4318" t="s">
        <v>2778</v>
      </c>
      <c r="E76" s="4360" t="s">
        <v>2779</v>
      </c>
      <c r="F76" s="4360" t="s">
        <v>2780</v>
      </c>
      <c r="G76" s="4360" t="s">
        <v>2781</v>
      </c>
      <c r="H76" s="4275" t="s">
        <v>2782</v>
      </c>
      <c r="I76" s="80"/>
      <c r="J76" s="80"/>
      <c r="K76" s="80"/>
      <c r="L76" s="80"/>
      <c r="M76" s="80"/>
      <c r="N76" s="80"/>
      <c r="O76" s="80"/>
      <c r="P76" s="80"/>
      <c r="Q76" s="80"/>
      <c r="R76" s="80"/>
      <c r="S76" s="80"/>
      <c r="T76" s="80"/>
      <c r="U76" s="80"/>
      <c r="V76" s="80"/>
      <c r="W76" s="80"/>
      <c r="X76" s="80"/>
      <c r="Y76" s="80"/>
      <c r="Z76" s="80"/>
      <c r="AA76" s="80"/>
      <c r="AB76" s="80"/>
      <c r="AC76" s="80"/>
      <c r="AD76" s="80"/>
      <c r="AE76" s="80"/>
      <c r="AF76" s="80"/>
      <c r="AG76" s="80"/>
      <c r="AH76" s="80"/>
      <c r="AI76" s="80"/>
      <c r="AJ76" s="80"/>
      <c r="AK76" s="80"/>
      <c r="AL76" s="80"/>
      <c r="AM76" s="80"/>
      <c r="AN76" s="80"/>
      <c r="AO76" s="80"/>
      <c r="AP76" s="80"/>
      <c r="AQ76" s="80"/>
      <c r="AR76" s="80"/>
      <c r="AS76" s="80"/>
      <c r="AT76" s="80"/>
      <c r="AU76" s="80"/>
      <c r="AV76" s="80"/>
      <c r="AW76" s="80"/>
      <c r="AX76" s="80"/>
      <c r="AY76" s="80"/>
      <c r="AZ76" s="80"/>
      <c r="BA76" s="80"/>
      <c r="BB76" s="80"/>
      <c r="BC76" s="80"/>
      <c r="BD76" s="80"/>
      <c r="BE76" s="80"/>
      <c r="BF76" s="80"/>
      <c r="BG76" s="80"/>
      <c r="BH76" s="80"/>
      <c r="BI76" s="80"/>
      <c r="BJ76" s="80"/>
      <c r="BK76" s="80"/>
      <c r="BL76" s="80"/>
      <c r="BM76" s="80"/>
      <c r="BN76" s="80"/>
      <c r="BO76" s="80"/>
      <c r="BP76" s="80"/>
      <c r="BQ76" s="80"/>
      <c r="BR76" s="80"/>
      <c r="BS76" s="80"/>
      <c r="BT76" s="80"/>
      <c r="BU76" s="80"/>
      <c r="BV76" s="80"/>
      <c r="BW76" s="80"/>
      <c r="BX76" s="79"/>
      <c r="BY76" s="79"/>
      <c r="BZ76" s="79"/>
      <c r="CA76" s="79"/>
      <c r="CH76" s="1020"/>
      <c r="CI76" s="1020"/>
      <c r="CJ76" s="1020"/>
      <c r="CK76" s="1020"/>
      <c r="CL76" s="1020"/>
      <c r="CM76" s="1020"/>
      <c r="CN76" s="1020"/>
      <c r="CO76" s="1020"/>
      <c r="CP76" s="1020"/>
      <c r="DB76" s="80"/>
    </row>
    <row r="77" spans="1:106" s="889" customFormat="1" ht="21" customHeight="1" x14ac:dyDescent="0.2">
      <c r="A77" s="2549">
        <v>26280210</v>
      </c>
      <c r="B77" s="1750" t="s">
        <v>2164</v>
      </c>
      <c r="C77" s="4361" t="s">
        <v>2777</v>
      </c>
      <c r="D77" s="166" t="s">
        <v>2778</v>
      </c>
      <c r="E77" s="126" t="s">
        <v>2779</v>
      </c>
      <c r="F77" s="126" t="s">
        <v>2780</v>
      </c>
      <c r="G77" s="126" t="s">
        <v>2781</v>
      </c>
      <c r="H77" s="168" t="s">
        <v>2782</v>
      </c>
      <c r="I77" s="80"/>
      <c r="J77" s="80"/>
      <c r="K77" s="80"/>
      <c r="L77" s="80"/>
      <c r="M77" s="80"/>
      <c r="N77" s="80"/>
      <c r="O77" s="80"/>
      <c r="P77" s="80"/>
      <c r="Q77" s="80"/>
      <c r="R77" s="80"/>
      <c r="S77" s="80"/>
      <c r="T77" s="80"/>
      <c r="U77" s="80"/>
      <c r="V77" s="80"/>
      <c r="W77" s="80"/>
      <c r="X77" s="80"/>
      <c r="Y77" s="80"/>
      <c r="Z77" s="80"/>
      <c r="AA77" s="80"/>
      <c r="AB77" s="80"/>
      <c r="AC77" s="80"/>
      <c r="AD77" s="80"/>
      <c r="AE77" s="80"/>
      <c r="AF77" s="80"/>
      <c r="AG77" s="80"/>
      <c r="AH77" s="80"/>
      <c r="AI77" s="80"/>
      <c r="AJ77" s="80"/>
      <c r="AK77" s="80"/>
      <c r="AL77" s="80"/>
      <c r="AM77" s="80"/>
      <c r="AN77" s="80"/>
      <c r="AO77" s="80"/>
      <c r="AP77" s="80"/>
      <c r="AQ77" s="80"/>
      <c r="AR77" s="80"/>
      <c r="AS77" s="80"/>
      <c r="AT77" s="80"/>
      <c r="AU77" s="80"/>
      <c r="AV77" s="80"/>
      <c r="AW77" s="80"/>
      <c r="AX77" s="80"/>
      <c r="AY77" s="80"/>
      <c r="AZ77" s="80"/>
      <c r="BA77" s="80"/>
      <c r="BB77" s="80"/>
      <c r="BC77" s="80"/>
      <c r="BD77" s="80"/>
      <c r="BE77" s="80"/>
      <c r="BF77" s="80"/>
      <c r="BG77" s="80"/>
      <c r="BH77" s="80"/>
      <c r="BI77" s="80"/>
      <c r="BJ77" s="80"/>
      <c r="BK77" s="80"/>
      <c r="BL77" s="80"/>
      <c r="BM77" s="80"/>
      <c r="BN77" s="80"/>
      <c r="BO77" s="80"/>
      <c r="BP77" s="80"/>
      <c r="BQ77" s="80"/>
      <c r="BR77" s="80"/>
      <c r="BS77" s="80"/>
      <c r="BT77" s="80"/>
      <c r="BU77" s="80"/>
      <c r="BV77" s="80"/>
      <c r="BW77" s="80"/>
      <c r="BX77" s="79"/>
      <c r="BY77" s="79"/>
      <c r="BZ77" s="79"/>
      <c r="CA77" s="79"/>
      <c r="CH77" s="1020"/>
      <c r="CI77" s="1020"/>
      <c r="CJ77" s="1020"/>
      <c r="CK77" s="1020"/>
      <c r="CL77" s="1020"/>
      <c r="CM77" s="1020"/>
      <c r="CN77" s="1020"/>
      <c r="CO77" s="1020"/>
      <c r="CP77" s="1020"/>
      <c r="DB77" s="80"/>
    </row>
    <row r="78" spans="1:106" ht="32.1" customHeight="1" x14ac:dyDescent="0.2">
      <c r="B78" s="308" t="s">
        <v>2198</v>
      </c>
      <c r="C78" s="154"/>
      <c r="D78" s="154"/>
      <c r="E78" s="154"/>
      <c r="F78" s="154"/>
      <c r="G78" s="431"/>
      <c r="H78" s="431"/>
      <c r="CH78" s="1020"/>
      <c r="CI78" s="1020"/>
      <c r="CJ78" s="1020"/>
      <c r="CK78" s="1020"/>
      <c r="CL78" s="1020"/>
      <c r="CM78" s="1020"/>
      <c r="CN78" s="1020"/>
      <c r="CO78" s="1020"/>
      <c r="CP78" s="1020"/>
    </row>
    <row r="79" spans="1:106" ht="21" customHeight="1" x14ac:dyDescent="0.2">
      <c r="B79" s="6650" t="s">
        <v>2194</v>
      </c>
      <c r="C79" s="6650" t="s">
        <v>2199</v>
      </c>
      <c r="D79" s="6652" t="s">
        <v>2200</v>
      </c>
      <c r="E79" s="6653"/>
      <c r="F79" s="6653"/>
      <c r="G79" s="6653"/>
      <c r="H79" s="6654"/>
      <c r="CH79" s="1020"/>
      <c r="CI79" s="1020"/>
      <c r="CJ79" s="1020"/>
      <c r="CK79" s="1020"/>
      <c r="CL79" s="1020"/>
      <c r="CM79" s="1020"/>
      <c r="CN79" s="1020"/>
      <c r="CO79" s="1020"/>
      <c r="CP79" s="1020"/>
    </row>
    <row r="80" spans="1:106" ht="21" customHeight="1" x14ac:dyDescent="0.2">
      <c r="B80" s="6651"/>
      <c r="C80" s="6651"/>
      <c r="D80" s="4336" t="s">
        <v>350</v>
      </c>
      <c r="E80" s="4358" t="s">
        <v>351</v>
      </c>
      <c r="F80" s="4316" t="s">
        <v>352</v>
      </c>
      <c r="G80" s="4316" t="s">
        <v>319</v>
      </c>
      <c r="H80" s="4354" t="s">
        <v>10</v>
      </c>
      <c r="CH80" s="1020"/>
      <c r="CI80" s="1020"/>
      <c r="CJ80" s="1020"/>
      <c r="CK80" s="1020"/>
      <c r="CL80" s="1020"/>
      <c r="CM80" s="1020"/>
      <c r="CN80" s="1020"/>
      <c r="CO80" s="1020"/>
      <c r="CP80" s="1020"/>
    </row>
    <row r="81" spans="1:105" ht="25.5" customHeight="1" x14ac:dyDescent="0.2">
      <c r="A81" s="2549">
        <v>26280220</v>
      </c>
      <c r="B81" s="4607" t="s">
        <v>2201</v>
      </c>
      <c r="C81" s="4362" t="s">
        <v>2777</v>
      </c>
      <c r="D81" s="4363" t="s">
        <v>2778</v>
      </c>
      <c r="E81" s="4364" t="s">
        <v>2779</v>
      </c>
      <c r="F81" s="4364" t="s">
        <v>2780</v>
      </c>
      <c r="G81" s="4364" t="s">
        <v>2781</v>
      </c>
      <c r="H81" s="4365" t="s">
        <v>2782</v>
      </c>
      <c r="CH81" s="1020"/>
      <c r="CI81" s="1020"/>
      <c r="CJ81" s="1020"/>
      <c r="CK81" s="1020"/>
      <c r="CL81" s="1020"/>
      <c r="CM81" s="1020"/>
      <c r="CN81" s="1020"/>
      <c r="CO81" s="1020"/>
      <c r="CP81" s="1020"/>
    </row>
    <row r="82" spans="1:105" ht="28.5" customHeight="1" x14ac:dyDescent="0.2">
      <c r="B82" s="4240" t="s">
        <v>2202</v>
      </c>
      <c r="C82" s="154"/>
      <c r="D82" s="154"/>
      <c r="E82" s="154"/>
      <c r="F82" s="154"/>
      <c r="G82" s="431"/>
      <c r="H82" s="431"/>
      <c r="CH82" s="1020"/>
      <c r="CI82" s="1020"/>
      <c r="CJ82" s="1020"/>
      <c r="CK82" s="1020"/>
      <c r="CL82" s="1020"/>
      <c r="CM82" s="1020"/>
      <c r="CN82" s="1020"/>
      <c r="CO82" s="1020"/>
      <c r="CP82" s="1020"/>
    </row>
    <row r="83" spans="1:105" ht="18" customHeight="1" x14ac:dyDescent="0.2">
      <c r="B83" s="6645" t="s">
        <v>120</v>
      </c>
      <c r="C83" s="5846" t="s">
        <v>2203</v>
      </c>
      <c r="D83" s="5846" t="s">
        <v>2204</v>
      </c>
      <c r="BS83" s="79"/>
      <c r="BT83" s="79"/>
      <c r="BU83" s="79"/>
      <c r="BV83" s="79"/>
      <c r="BW83" s="889"/>
      <c r="BX83" s="889"/>
      <c r="BY83" s="889"/>
      <c r="BZ83" s="889"/>
      <c r="CA83" s="889"/>
      <c r="CW83" s="80"/>
      <c r="CX83" s="80"/>
      <c r="CY83" s="80"/>
      <c r="CZ83" s="80"/>
      <c r="DA83" s="80"/>
    </row>
    <row r="84" spans="1:105" ht="27.75" customHeight="1" x14ac:dyDescent="0.2">
      <c r="B84" s="6646"/>
      <c r="C84" s="6647"/>
      <c r="D84" s="5847"/>
      <c r="BS84" s="79"/>
      <c r="BT84" s="79"/>
      <c r="BU84" s="79"/>
      <c r="BV84" s="79"/>
      <c r="BW84" s="889"/>
      <c r="BX84" s="889"/>
      <c r="BY84" s="889"/>
      <c r="BZ84" s="889"/>
      <c r="CA84" s="889"/>
      <c r="CW84" s="80"/>
      <c r="CX84" s="80"/>
      <c r="CY84" s="80"/>
      <c r="CZ84" s="80"/>
      <c r="DA84" s="80"/>
    </row>
    <row r="85" spans="1:105" ht="27.75" customHeight="1" x14ac:dyDescent="0.2">
      <c r="A85" s="2549">
        <v>26300160</v>
      </c>
      <c r="B85" s="4608" t="s">
        <v>2197</v>
      </c>
      <c r="C85" s="4366" t="s">
        <v>2777</v>
      </c>
      <c r="D85" s="4366" t="s">
        <v>2778</v>
      </c>
      <c r="BS85" s="79"/>
      <c r="BT85" s="79"/>
      <c r="BU85" s="79"/>
      <c r="BV85" s="79"/>
      <c r="BW85" s="889"/>
      <c r="BX85" s="889"/>
      <c r="BY85" s="889"/>
      <c r="BZ85" s="889"/>
      <c r="CA85" s="889"/>
      <c r="CW85" s="80"/>
      <c r="CX85" s="80"/>
      <c r="CY85" s="80"/>
      <c r="CZ85" s="80"/>
      <c r="DA85" s="80"/>
    </row>
    <row r="91" spans="1:105" x14ac:dyDescent="0.2">
      <c r="A91" s="1944" t="s">
        <v>3740</v>
      </c>
    </row>
    <row r="92" spans="1:105" x14ac:dyDescent="0.2">
      <c r="A92" s="2549">
        <v>26300120</v>
      </c>
    </row>
    <row r="93" spans="1:105" x14ac:dyDescent="0.2">
      <c r="A93" s="2549">
        <v>26300130</v>
      </c>
    </row>
    <row r="194" spans="1:105" ht="12" customHeight="1" x14ac:dyDescent="0.2"/>
    <row r="195" spans="1:105" s="206" customFormat="1" hidden="1" x14ac:dyDescent="0.2">
      <c r="A195" s="1944"/>
      <c r="B195" s="206">
        <f>SUM(D10:D34,D48,D52:D60,D66:D71,C76:C77,C81)</f>
        <v>0</v>
      </c>
      <c r="C195" s="206" t="e">
        <f>SUM(CH7:CP82)</f>
        <v>#VALUE!</v>
      </c>
      <c r="BX195" s="1016"/>
      <c r="BY195" s="1016"/>
      <c r="BZ195" s="1016"/>
      <c r="CA195" s="1016"/>
      <c r="CB195" s="1016"/>
      <c r="CC195" s="1016"/>
      <c r="CD195" s="1016"/>
      <c r="CE195" s="1016"/>
      <c r="CF195" s="1016"/>
      <c r="CG195" s="1016"/>
      <c r="CH195" s="1016"/>
      <c r="CI195" s="1016"/>
      <c r="CJ195" s="1016"/>
      <c r="CK195" s="1016"/>
      <c r="CL195" s="1016"/>
      <c r="CM195" s="1016"/>
      <c r="CN195" s="1016"/>
      <c r="CO195" s="1016"/>
      <c r="CP195" s="1016"/>
      <c r="CQ195" s="1016"/>
      <c r="CR195" s="1016"/>
      <c r="CS195" s="1016"/>
      <c r="CT195" s="1016"/>
      <c r="CU195" s="1016"/>
      <c r="CV195" s="1016"/>
      <c r="CW195" s="1016"/>
      <c r="CX195" s="1016"/>
      <c r="CY195" s="1016"/>
      <c r="CZ195" s="1016"/>
      <c r="DA195" s="1016"/>
    </row>
  </sheetData>
  <mergeCells count="65">
    <mergeCell ref="B83:B84"/>
    <mergeCell ref="C83:C84"/>
    <mergeCell ref="D83:D84"/>
    <mergeCell ref="A8:A9"/>
    <mergeCell ref="B74:B75"/>
    <mergeCell ref="C74:C75"/>
    <mergeCell ref="D74:H74"/>
    <mergeCell ref="B79:B80"/>
    <mergeCell ref="C79:C80"/>
    <mergeCell ref="D79:H79"/>
    <mergeCell ref="B66:C66"/>
    <mergeCell ref="B67:C67"/>
    <mergeCell ref="B68:C68"/>
    <mergeCell ref="B69:C69"/>
    <mergeCell ref="B70:C70"/>
    <mergeCell ref="B71:C71"/>
    <mergeCell ref="B61:C61"/>
    <mergeCell ref="B63:C65"/>
    <mergeCell ref="D63:H63"/>
    <mergeCell ref="I63:J64"/>
    <mergeCell ref="D64:D65"/>
    <mergeCell ref="E64:G64"/>
    <mergeCell ref="H64:H65"/>
    <mergeCell ref="B60:C60"/>
    <mergeCell ref="B46:C46"/>
    <mergeCell ref="B47:C47"/>
    <mergeCell ref="B48:C48"/>
    <mergeCell ref="B51:C51"/>
    <mergeCell ref="B52:C52"/>
    <mergeCell ref="B53:C53"/>
    <mergeCell ref="B54:B55"/>
    <mergeCell ref="B56:C56"/>
    <mergeCell ref="B57:C57"/>
    <mergeCell ref="B58:C58"/>
    <mergeCell ref="B59:C59"/>
    <mergeCell ref="B43:B45"/>
    <mergeCell ref="B27:C27"/>
    <mergeCell ref="B28:C28"/>
    <mergeCell ref="B29:C29"/>
    <mergeCell ref="B30:C30"/>
    <mergeCell ref="B31:C31"/>
    <mergeCell ref="B32:B36"/>
    <mergeCell ref="B38:C38"/>
    <mergeCell ref="B39:C39"/>
    <mergeCell ref="B40:C40"/>
    <mergeCell ref="B41:C41"/>
    <mergeCell ref="B42:C42"/>
    <mergeCell ref="B26:C26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14:C14"/>
    <mergeCell ref="B9:C9"/>
    <mergeCell ref="B10:C10"/>
    <mergeCell ref="B11:C11"/>
    <mergeCell ref="B12:C12"/>
    <mergeCell ref="B13:C13"/>
  </mergeCells>
  <phoneticPr fontId="87" type="noConversion"/>
  <dataValidations count="2">
    <dataValidation operator="greaterThanOrEqual" allowBlank="1" showInputMessage="1" showErrorMessage="1" error="Valor no Permitido" sqref="P1:XFD36 B37:C57 B59:C1048576 B1:O8 D37:XFD1048576" xr:uid="{00000000-0002-0000-1100-000000000000}"/>
    <dataValidation type="whole" operator="greaterThanOrEqual" allowBlank="1" showInputMessage="1" showErrorMessage="1" error="Valor no Permitido" sqref="B9:B32 C9:O36" xr:uid="{00000000-0002-0000-1100-000001000000}">
      <formula1>0</formula1>
    </dataValidation>
  </dataValidation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Hoja20">
    <tabColor theme="0"/>
  </sheetPr>
  <dimension ref="A1:DA198"/>
  <sheetViews>
    <sheetView tabSelected="1" topLeftCell="A4" zoomScaleNormal="100" workbookViewId="0">
      <selection activeCell="C22" sqref="C22:D22"/>
    </sheetView>
  </sheetViews>
  <sheetFormatPr baseColWidth="10" defaultColWidth="11.42578125" defaultRowHeight="15" x14ac:dyDescent="0.25"/>
  <cols>
    <col min="1" max="1" width="13.42578125" style="210" customWidth="1"/>
    <col min="2" max="2" width="42.140625" style="210" customWidth="1"/>
    <col min="3" max="3" width="26.7109375" style="210" customWidth="1"/>
    <col min="4" max="4" width="33" style="210" customWidth="1"/>
    <col min="5" max="5" width="17.42578125" style="210" customWidth="1"/>
    <col min="6" max="7" width="14.140625" style="210" customWidth="1"/>
    <col min="8" max="8" width="14.7109375" style="210" customWidth="1"/>
    <col min="9" max="9" width="14.140625" style="210" customWidth="1"/>
    <col min="10" max="10" width="15.28515625" style="210" customWidth="1"/>
    <col min="11" max="12" width="11.42578125" style="210"/>
    <col min="13" max="13" width="13.85546875" style="210" customWidth="1"/>
    <col min="14" max="14" width="14.42578125" style="210" customWidth="1"/>
    <col min="15" max="27" width="11.42578125" style="210"/>
    <col min="28" max="28" width="13.140625" style="210" customWidth="1"/>
    <col min="29" max="29" width="13.42578125" style="210" customWidth="1"/>
    <col min="30" max="76" width="11.42578125" style="210"/>
    <col min="77" max="77" width="11.28515625" style="210" customWidth="1"/>
    <col min="78" max="78" width="11.28515625" style="211" customWidth="1"/>
    <col min="79" max="79" width="11.7109375" style="211" customWidth="1"/>
    <col min="80" max="105" width="11.7109375" style="887" customWidth="1"/>
    <col min="106" max="106" width="11.7109375" style="210" customWidth="1"/>
    <col min="107" max="16384" width="11.42578125" style="210"/>
  </cols>
  <sheetData>
    <row r="1" spans="1:105" s="207" customFormat="1" ht="16.350000000000001" customHeight="1" x14ac:dyDescent="0.15">
      <c r="B1" s="78" t="s">
        <v>910</v>
      </c>
      <c r="BZ1" s="1342"/>
      <c r="CA1" s="1342"/>
      <c r="CB1" s="1343"/>
      <c r="CC1" s="1343"/>
      <c r="CD1" s="1343"/>
      <c r="CE1" s="1343"/>
      <c r="CF1" s="1343"/>
      <c r="CG1" s="1343"/>
      <c r="CH1" s="1343"/>
      <c r="CI1" s="1343"/>
      <c r="CJ1" s="1343"/>
      <c r="CK1" s="1343"/>
      <c r="CL1" s="1343"/>
      <c r="CM1" s="1343"/>
      <c r="CN1" s="1343"/>
      <c r="CO1" s="1343"/>
      <c r="CP1" s="1343"/>
      <c r="CQ1" s="1343"/>
      <c r="CR1" s="1343"/>
      <c r="CS1" s="1343"/>
      <c r="CT1" s="1343"/>
      <c r="CU1" s="1343"/>
      <c r="CV1" s="1343"/>
      <c r="CW1" s="1343"/>
      <c r="CX1" s="1343"/>
      <c r="CY1" s="1343"/>
      <c r="CZ1" s="1343"/>
      <c r="DA1" s="1343"/>
    </row>
    <row r="2" spans="1:105" s="207" customFormat="1" ht="16.350000000000001" customHeight="1" x14ac:dyDescent="0.15">
      <c r="B2" s="78" t="str">
        <f>CONCATENATE("COMUNA: ",NOMBRE!B2," - ","( ",NOMBRE!C2,NOMBRE!D2,NOMBRE!E2,NOMBRE!F2,NOMBRE!G2," )")</f>
        <v>COMUNA:  - (  )</v>
      </c>
      <c r="BZ2" s="1342"/>
      <c r="CA2" s="1342"/>
      <c r="CB2" s="1343"/>
      <c r="CC2" s="1343"/>
      <c r="CD2" s="1343"/>
      <c r="CE2" s="1343"/>
      <c r="CF2" s="1343"/>
      <c r="CG2" s="1343"/>
      <c r="CH2" s="1343"/>
      <c r="CI2" s="1343"/>
      <c r="CJ2" s="1343"/>
      <c r="CK2" s="1343"/>
      <c r="CL2" s="1343"/>
      <c r="CM2" s="1343"/>
      <c r="CN2" s="1343"/>
      <c r="CO2" s="1343"/>
      <c r="CP2" s="1343"/>
      <c r="CQ2" s="1343"/>
      <c r="CR2" s="1343"/>
      <c r="CS2" s="1343"/>
      <c r="CT2" s="1343"/>
      <c r="CU2" s="1343"/>
      <c r="CV2" s="1343"/>
      <c r="CW2" s="1343"/>
      <c r="CX2" s="1343"/>
      <c r="CY2" s="1343"/>
      <c r="CZ2" s="1343"/>
      <c r="DA2" s="1343"/>
    </row>
    <row r="3" spans="1:105" s="207" customFormat="1" ht="16.350000000000001" customHeight="1" x14ac:dyDescent="0.15">
      <c r="B3" s="78" t="str">
        <f>CONCATENATE("ESTABLECIMIENTO/ESTRATEGIA: ",NOMBRE!B3," - ","( ",NOMBRE!C3,NOMBRE!D3,NOMBRE!E3,NOMBRE!F3,NOMBRE!G3,NOMBRE!H3," )")</f>
        <v>ESTABLECIMIENTO/ESTRATEGIA:  - (  )</v>
      </c>
      <c r="BZ3" s="1342"/>
      <c r="CA3" s="1342"/>
      <c r="CB3" s="1343"/>
      <c r="CC3" s="1343"/>
      <c r="CD3" s="1343"/>
      <c r="CE3" s="1343"/>
      <c r="CF3" s="1343"/>
      <c r="CG3" s="1343"/>
      <c r="CH3" s="1343"/>
      <c r="CI3" s="1343"/>
      <c r="CJ3" s="1343"/>
      <c r="CK3" s="1343"/>
      <c r="CL3" s="1343"/>
      <c r="CM3" s="1343"/>
      <c r="CN3" s="1343"/>
      <c r="CO3" s="1343"/>
      <c r="CP3" s="1343"/>
      <c r="CQ3" s="1343"/>
      <c r="CR3" s="1343"/>
      <c r="CS3" s="1343"/>
      <c r="CT3" s="1343"/>
      <c r="CU3" s="1343"/>
      <c r="CV3" s="1343"/>
      <c r="CW3" s="1343"/>
      <c r="CX3" s="1343"/>
      <c r="CY3" s="1343"/>
      <c r="CZ3" s="1343"/>
      <c r="DA3" s="1343"/>
    </row>
    <row r="4" spans="1:105" s="207" customFormat="1" ht="16.350000000000001" customHeight="1" x14ac:dyDescent="0.15">
      <c r="B4" s="78" t="str">
        <f>CONCATENATE("MES: ",NOMBRE!B6," - ","( ",NOMBRE!C6,NOMBRE!D6," )")</f>
        <v>MES:  - (  )</v>
      </c>
      <c r="BZ4" s="1342"/>
      <c r="CA4" s="1342"/>
      <c r="CB4" s="1343"/>
      <c r="CC4" s="1343"/>
      <c r="CD4" s="1343"/>
      <c r="CE4" s="1343"/>
      <c r="CF4" s="1343"/>
      <c r="CG4" s="1343"/>
      <c r="CH4" s="1343"/>
      <c r="CI4" s="1343"/>
      <c r="CJ4" s="1343"/>
      <c r="CK4" s="1343"/>
      <c r="CL4" s="1343"/>
      <c r="CM4" s="1343"/>
      <c r="CN4" s="1343"/>
      <c r="CO4" s="1343"/>
      <c r="CP4" s="1343"/>
      <c r="CQ4" s="1343"/>
      <c r="CR4" s="1343"/>
      <c r="CS4" s="1343"/>
      <c r="CT4" s="1343"/>
      <c r="CU4" s="1343"/>
      <c r="CV4" s="1343"/>
      <c r="CW4" s="1343"/>
      <c r="CX4" s="1343"/>
      <c r="CY4" s="1343"/>
      <c r="CZ4" s="1343"/>
      <c r="DA4" s="1343"/>
    </row>
    <row r="5" spans="1:105" s="207" customFormat="1" ht="16.350000000000001" customHeight="1" x14ac:dyDescent="0.15">
      <c r="B5" s="78" t="str">
        <f>CONCATENATE("AÑO: ",NOMBRE!B7)</f>
        <v>AÑO: 2020</v>
      </c>
      <c r="BZ5" s="1342"/>
      <c r="CA5" s="1342"/>
      <c r="CB5" s="1343"/>
      <c r="CC5" s="1343"/>
      <c r="CD5" s="1343"/>
      <c r="CE5" s="1343"/>
      <c r="CF5" s="1343"/>
      <c r="CG5" s="1343"/>
      <c r="CH5" s="1343"/>
      <c r="CI5" s="1343"/>
      <c r="CJ5" s="1343"/>
      <c r="CK5" s="1343"/>
      <c r="CL5" s="1343"/>
      <c r="CM5" s="1343"/>
      <c r="CN5" s="1343"/>
      <c r="CO5" s="1343"/>
      <c r="CP5" s="1343"/>
      <c r="CQ5" s="1343"/>
      <c r="CR5" s="1343"/>
      <c r="CS5" s="1343"/>
      <c r="CT5" s="1343"/>
      <c r="CU5" s="1343"/>
      <c r="CV5" s="1343"/>
      <c r="CW5" s="1343"/>
      <c r="CX5" s="1343"/>
      <c r="CY5" s="1343"/>
      <c r="CZ5" s="1343"/>
      <c r="DA5" s="1343"/>
    </row>
    <row r="6" spans="1:105" ht="15.75" x14ac:dyDescent="0.25">
      <c r="B6" s="5148" t="s">
        <v>1750</v>
      </c>
      <c r="C6" s="5148"/>
      <c r="D6" s="5148"/>
      <c r="E6" s="5148"/>
      <c r="F6" s="5148"/>
      <c r="G6" s="5148"/>
      <c r="H6" s="5148"/>
      <c r="I6" s="5148"/>
      <c r="J6" s="5148"/>
      <c r="K6" s="5148"/>
      <c r="L6" s="5148"/>
      <c r="M6" s="5148"/>
      <c r="N6" s="5148"/>
      <c r="O6" s="5148"/>
      <c r="P6" s="5148"/>
      <c r="Q6" s="1344"/>
      <c r="R6" s="378"/>
      <c r="S6" s="190"/>
      <c r="T6" s="190"/>
      <c r="U6" s="190"/>
      <c r="V6" s="190"/>
      <c r="W6" s="190"/>
      <c r="X6" s="190"/>
      <c r="Y6" s="190"/>
      <c r="Z6" s="190"/>
      <c r="AA6" s="190"/>
      <c r="AB6" s="190"/>
      <c r="AC6" s="190"/>
      <c r="AD6" s="190"/>
    </row>
    <row r="7" spans="1:105" ht="15.75" x14ac:dyDescent="0.25">
      <c r="B7" s="1311"/>
      <c r="C7" s="1311"/>
      <c r="D7" s="1311"/>
      <c r="E7" s="1311"/>
      <c r="F7" s="1311"/>
      <c r="G7" s="1311"/>
      <c r="H7" s="1311"/>
      <c r="I7" s="1311"/>
      <c r="J7" s="1311"/>
      <c r="K7" s="1311"/>
      <c r="L7" s="1311"/>
      <c r="M7" s="1311"/>
      <c r="N7" s="1311"/>
      <c r="O7" s="1311"/>
      <c r="P7" s="1311"/>
      <c r="Q7" s="1344"/>
      <c r="R7" s="378"/>
      <c r="S7" s="190"/>
      <c r="T7" s="190"/>
      <c r="U7" s="190"/>
      <c r="V7" s="190"/>
      <c r="W7" s="190"/>
      <c r="X7" s="190"/>
      <c r="Y7" s="190"/>
      <c r="Z7" s="190"/>
      <c r="AA7" s="190"/>
      <c r="AB7" s="190"/>
      <c r="AC7" s="190"/>
      <c r="AD7" s="190"/>
    </row>
    <row r="8" spans="1:105" ht="32.1" customHeight="1" x14ac:dyDescent="0.25">
      <c r="B8" s="1345" t="s">
        <v>1751</v>
      </c>
      <c r="C8" s="255"/>
      <c r="D8" s="255"/>
      <c r="E8" s="255"/>
      <c r="F8" s="255"/>
      <c r="G8" s="255"/>
      <c r="H8" s="255"/>
      <c r="I8" s="255"/>
      <c r="J8" s="255"/>
      <c r="K8" s="255"/>
      <c r="L8" s="255"/>
      <c r="M8" s="255"/>
      <c r="N8" s="255"/>
      <c r="O8" s="255"/>
      <c r="P8" s="255"/>
      <c r="Q8" s="205"/>
      <c r="R8" s="190"/>
      <c r="S8" s="190"/>
      <c r="T8" s="190"/>
      <c r="U8" s="190"/>
      <c r="V8" s="190"/>
      <c r="W8" s="190"/>
      <c r="X8" s="190"/>
      <c r="Y8" s="190"/>
      <c r="Z8" s="190"/>
      <c r="AA8" s="190"/>
      <c r="AB8" s="190"/>
      <c r="AC8" s="190"/>
      <c r="AD8" s="190"/>
      <c r="CH8" s="1346"/>
      <c r="CI8" s="1346"/>
      <c r="CJ8" s="1346"/>
      <c r="CK8" s="1346"/>
      <c r="CL8" s="1346"/>
      <c r="CM8" s="1346"/>
      <c r="CN8" s="1346"/>
      <c r="CO8" s="1346"/>
      <c r="CP8" s="1346"/>
    </row>
    <row r="9" spans="1:105" ht="15" customHeight="1" x14ac:dyDescent="0.25">
      <c r="A9" s="5168" t="s">
        <v>2775</v>
      </c>
      <c r="B9" s="6665" t="s">
        <v>1752</v>
      </c>
      <c r="C9" s="6208"/>
      <c r="D9" s="6666"/>
      <c r="E9" s="5779" t="s">
        <v>42</v>
      </c>
      <c r="F9" s="6669" t="s">
        <v>3695</v>
      </c>
      <c r="G9" s="6670"/>
      <c r="H9" s="6670"/>
      <c r="I9" s="6670"/>
      <c r="J9" s="6671"/>
      <c r="K9" s="5404" t="s">
        <v>1754</v>
      </c>
      <c r="L9" s="5405"/>
      <c r="M9" s="5405"/>
      <c r="N9" s="5405"/>
      <c r="O9" s="5405"/>
      <c r="P9" s="5405"/>
      <c r="Q9" s="5405"/>
      <c r="R9" s="5405"/>
      <c r="S9" s="5405"/>
      <c r="T9" s="5405"/>
      <c r="U9" s="5405"/>
      <c r="V9" s="5405"/>
      <c r="W9" s="5405"/>
      <c r="X9" s="5405"/>
      <c r="Y9" s="5488"/>
      <c r="Z9" s="6657" t="s">
        <v>415</v>
      </c>
      <c r="AA9" s="5488"/>
      <c r="AB9" s="5400" t="s">
        <v>1755</v>
      </c>
      <c r="AC9" s="5779" t="s">
        <v>1756</v>
      </c>
      <c r="AD9" s="5779" t="s">
        <v>1757</v>
      </c>
      <c r="AE9" s="884"/>
      <c r="AF9" s="884"/>
      <c r="AG9" s="884"/>
      <c r="AH9" s="884"/>
      <c r="AI9" s="884"/>
      <c r="AJ9" s="884"/>
      <c r="AK9" s="884"/>
      <c r="AL9" s="884"/>
      <c r="AM9" s="884"/>
      <c r="AN9" s="884"/>
      <c r="AO9" s="884"/>
      <c r="AP9" s="884"/>
      <c r="AQ9" s="884"/>
      <c r="AR9" s="884"/>
      <c r="AS9" s="884"/>
      <c r="CH9" s="1346"/>
      <c r="CI9" s="1346"/>
      <c r="CJ9" s="1346"/>
      <c r="CK9" s="1346"/>
      <c r="CL9" s="1346"/>
      <c r="CM9" s="1346"/>
      <c r="CN9" s="1346"/>
      <c r="CO9" s="1346"/>
      <c r="CP9" s="1346"/>
    </row>
    <row r="10" spans="1:105" ht="33" customHeight="1" x14ac:dyDescent="0.25">
      <c r="A10" s="5168"/>
      <c r="B10" s="6667"/>
      <c r="C10" s="6668"/>
      <c r="D10" s="6211"/>
      <c r="E10" s="5424"/>
      <c r="F10" s="1243" t="s">
        <v>729</v>
      </c>
      <c r="G10" s="1347" t="s">
        <v>1758</v>
      </c>
      <c r="H10" s="1347" t="s">
        <v>1759</v>
      </c>
      <c r="I10" s="1149" t="s">
        <v>1760</v>
      </c>
      <c r="J10" s="1348" t="s">
        <v>3938</v>
      </c>
      <c r="K10" s="1349" t="s">
        <v>1761</v>
      </c>
      <c r="L10" s="1347" t="s">
        <v>9</v>
      </c>
      <c r="M10" s="1347" t="s">
        <v>1762</v>
      </c>
      <c r="N10" s="1347" t="s">
        <v>11</v>
      </c>
      <c r="O10" s="1347" t="s">
        <v>12</v>
      </c>
      <c r="P10" s="1347" t="s">
        <v>13</v>
      </c>
      <c r="Q10" s="1347" t="s">
        <v>14</v>
      </c>
      <c r="R10" s="1347" t="s">
        <v>15</v>
      </c>
      <c r="S10" s="1347" t="s">
        <v>16</v>
      </c>
      <c r="T10" s="1347" t="s">
        <v>17</v>
      </c>
      <c r="U10" s="1347" t="s">
        <v>18</v>
      </c>
      <c r="V10" s="1347" t="s">
        <v>19</v>
      </c>
      <c r="W10" s="1347" t="s">
        <v>20</v>
      </c>
      <c r="X10" s="1347" t="s">
        <v>21</v>
      </c>
      <c r="Y10" s="1350" t="s">
        <v>22</v>
      </c>
      <c r="Z10" s="1297" t="s">
        <v>488</v>
      </c>
      <c r="AA10" s="1132" t="s">
        <v>1763</v>
      </c>
      <c r="AB10" s="5403"/>
      <c r="AC10" s="5424"/>
      <c r="AD10" s="5424"/>
      <c r="AE10" s="884"/>
      <c r="AF10" s="884"/>
      <c r="AG10" s="884"/>
      <c r="AH10" s="884"/>
      <c r="AI10" s="884"/>
      <c r="AJ10" s="884"/>
      <c r="AK10" s="884"/>
      <c r="AL10" s="884"/>
      <c r="AM10" s="884"/>
      <c r="AN10" s="884"/>
      <c r="AO10" s="884"/>
      <c r="AP10" s="884"/>
      <c r="AQ10" s="884"/>
      <c r="AR10" s="884"/>
      <c r="AS10" s="884"/>
      <c r="CH10" s="1346"/>
      <c r="CI10" s="1346"/>
      <c r="CJ10" s="1346"/>
      <c r="CK10" s="1346"/>
      <c r="CL10" s="1346"/>
      <c r="CM10" s="1346"/>
      <c r="CN10" s="1346"/>
      <c r="CO10" s="1346"/>
      <c r="CP10" s="1346"/>
    </row>
    <row r="11" spans="1:105" x14ac:dyDescent="0.25">
      <c r="A11" s="2458">
        <v>27280100</v>
      </c>
      <c r="B11" s="6683" t="s">
        <v>1764</v>
      </c>
      <c r="C11" s="6687" t="s">
        <v>1765</v>
      </c>
      <c r="D11" s="6688"/>
      <c r="E11" s="1351" t="s">
        <v>2777</v>
      </c>
      <c r="F11" s="1352" t="s">
        <v>2778</v>
      </c>
      <c r="G11" s="1353" t="s">
        <v>2779</v>
      </c>
      <c r="H11" s="1353" t="s">
        <v>2780</v>
      </c>
      <c r="I11" s="1354" t="s">
        <v>2781</v>
      </c>
      <c r="J11" s="1355" t="s">
        <v>2782</v>
      </c>
      <c r="K11" s="1354" t="s">
        <v>2783</v>
      </c>
      <c r="L11" s="1356" t="s">
        <v>2784</v>
      </c>
      <c r="M11" s="1356" t="s">
        <v>2785</v>
      </c>
      <c r="N11" s="1357" t="s">
        <v>2786</v>
      </c>
      <c r="O11" s="1357" t="s">
        <v>2787</v>
      </c>
      <c r="P11" s="1357" t="s">
        <v>2788</v>
      </c>
      <c r="Q11" s="1357" t="s">
        <v>2789</v>
      </c>
      <c r="R11" s="1357" t="s">
        <v>2790</v>
      </c>
      <c r="S11" s="1357" t="s">
        <v>2791</v>
      </c>
      <c r="T11" s="1357" t="s">
        <v>2792</v>
      </c>
      <c r="U11" s="1357" t="s">
        <v>2793</v>
      </c>
      <c r="V11" s="1357" t="s">
        <v>2794</v>
      </c>
      <c r="W11" s="1357" t="s">
        <v>2795</v>
      </c>
      <c r="X11" s="1357" t="s">
        <v>2796</v>
      </c>
      <c r="Y11" s="1357" t="s">
        <v>2797</v>
      </c>
      <c r="Z11" s="1358" t="s">
        <v>2798</v>
      </c>
      <c r="AA11" s="1359" t="s">
        <v>2799</v>
      </c>
      <c r="AB11" s="1360" t="s">
        <v>2800</v>
      </c>
      <c r="AC11" s="1360" t="s">
        <v>2801</v>
      </c>
      <c r="AD11" s="1360" t="s">
        <v>2817</v>
      </c>
      <c r="AE11" s="1057"/>
      <c r="AF11" s="1085"/>
      <c r="AG11" s="1085"/>
      <c r="AH11" s="1085"/>
      <c r="AI11" s="1085"/>
      <c r="AJ11" s="1085"/>
      <c r="AK11" s="1085"/>
      <c r="AL11" s="1085"/>
      <c r="AM11" s="1085"/>
      <c r="AN11" s="1085"/>
      <c r="AO11" s="1085"/>
      <c r="AP11" s="1085"/>
      <c r="AQ11" s="884"/>
      <c r="AR11" s="884"/>
      <c r="AS11" s="884"/>
      <c r="CH11" s="1346"/>
      <c r="CI11" s="1346"/>
      <c r="CJ11" s="1346"/>
      <c r="CK11" s="1346"/>
      <c r="CL11" s="1346"/>
      <c r="CM11" s="1346"/>
      <c r="CN11" s="1346"/>
      <c r="CO11" s="1346"/>
      <c r="CP11" s="1346"/>
    </row>
    <row r="12" spans="1:105" x14ac:dyDescent="0.25">
      <c r="A12" s="2458">
        <v>27280315</v>
      </c>
      <c r="B12" s="6684"/>
      <c r="C12" s="6689" t="s">
        <v>1766</v>
      </c>
      <c r="D12" s="1361" t="s">
        <v>1767</v>
      </c>
      <c r="E12" s="95" t="s">
        <v>2777</v>
      </c>
      <c r="F12" s="137" t="s">
        <v>2778</v>
      </c>
      <c r="G12" s="110" t="s">
        <v>2779</v>
      </c>
      <c r="H12" s="110" t="s">
        <v>2780</v>
      </c>
      <c r="I12" s="110" t="s">
        <v>2781</v>
      </c>
      <c r="J12" s="123" t="s">
        <v>2782</v>
      </c>
      <c r="K12" s="110" t="s">
        <v>2783</v>
      </c>
      <c r="L12" s="110" t="s">
        <v>2784</v>
      </c>
      <c r="M12" s="110" t="s">
        <v>2785</v>
      </c>
      <c r="N12" s="110" t="s">
        <v>2786</v>
      </c>
      <c r="O12" s="110" t="s">
        <v>2787</v>
      </c>
      <c r="P12" s="110" t="s">
        <v>2788</v>
      </c>
      <c r="Q12" s="110" t="s">
        <v>2789</v>
      </c>
      <c r="R12" s="110" t="s">
        <v>2790</v>
      </c>
      <c r="S12" s="110" t="s">
        <v>2791</v>
      </c>
      <c r="T12" s="110" t="s">
        <v>2792</v>
      </c>
      <c r="U12" s="110" t="s">
        <v>2793</v>
      </c>
      <c r="V12" s="110" t="s">
        <v>2794</v>
      </c>
      <c r="W12" s="110" t="s">
        <v>2795</v>
      </c>
      <c r="X12" s="110" t="s">
        <v>2796</v>
      </c>
      <c r="Y12" s="517" t="s">
        <v>2797</v>
      </c>
      <c r="Z12" s="178" t="s">
        <v>2798</v>
      </c>
      <c r="AA12" s="517" t="s">
        <v>2799</v>
      </c>
      <c r="AB12" s="1121" t="s">
        <v>2800</v>
      </c>
      <c r="AC12" s="1121" t="s">
        <v>2801</v>
      </c>
      <c r="AD12" s="1121" t="s">
        <v>2817</v>
      </c>
      <c r="AE12" s="1165" t="str">
        <f>CB12</f>
        <v/>
      </c>
      <c r="AF12" s="1085"/>
      <c r="AG12" s="1085"/>
      <c r="AH12" s="1085"/>
      <c r="AI12" s="1085"/>
      <c r="AJ12" s="1085"/>
      <c r="AK12" s="1085"/>
      <c r="AL12" s="1085"/>
      <c r="AM12" s="1085"/>
      <c r="AN12" s="1085"/>
      <c r="AO12" s="1085"/>
      <c r="AP12" s="1085"/>
      <c r="AQ12" s="884"/>
      <c r="AR12" s="884"/>
      <c r="AS12" s="884"/>
      <c r="CB12" s="1362" t="str">
        <f>IF(CH12=1,"* Total por edad NO DEBE ser menor que la suma de los subgrupos. ","")</f>
        <v/>
      </c>
      <c r="CC12" s="1362"/>
      <c r="CD12" s="1362"/>
      <c r="CE12" s="1362"/>
      <c r="CF12" s="1362"/>
      <c r="CG12" s="1362"/>
      <c r="CH12" s="1363">
        <f>IF(E12&lt;SUM(Z12:AD12),1,0)</f>
        <v>0</v>
      </c>
      <c r="CI12" s="1346"/>
      <c r="CJ12" s="1346"/>
      <c r="CK12" s="1346"/>
      <c r="CL12" s="1346"/>
      <c r="CM12" s="1346"/>
      <c r="CN12" s="1346"/>
      <c r="CO12" s="1346"/>
      <c r="CP12" s="1346"/>
    </row>
    <row r="13" spans="1:105" x14ac:dyDescent="0.25">
      <c r="A13" s="2458">
        <v>27280325</v>
      </c>
      <c r="B13" s="6684"/>
      <c r="C13" s="5725"/>
      <c r="D13" s="1329" t="s">
        <v>1768</v>
      </c>
      <c r="E13" s="140" t="s">
        <v>2777</v>
      </c>
      <c r="F13" s="170" t="s">
        <v>2778</v>
      </c>
      <c r="G13" s="97" t="s">
        <v>2779</v>
      </c>
      <c r="H13" s="97" t="s">
        <v>2780</v>
      </c>
      <c r="I13" s="97" t="s">
        <v>2781</v>
      </c>
      <c r="J13" s="171" t="s">
        <v>2782</v>
      </c>
      <c r="K13" s="97" t="s">
        <v>2783</v>
      </c>
      <c r="L13" s="97" t="s">
        <v>2784</v>
      </c>
      <c r="M13" s="97" t="s">
        <v>2785</v>
      </c>
      <c r="N13" s="97" t="s">
        <v>2786</v>
      </c>
      <c r="O13" s="97" t="s">
        <v>2787</v>
      </c>
      <c r="P13" s="97" t="s">
        <v>2788</v>
      </c>
      <c r="Q13" s="97" t="s">
        <v>2789</v>
      </c>
      <c r="R13" s="97" t="s">
        <v>2790</v>
      </c>
      <c r="S13" s="97" t="s">
        <v>2791</v>
      </c>
      <c r="T13" s="97" t="s">
        <v>2792</v>
      </c>
      <c r="U13" s="97" t="s">
        <v>2793</v>
      </c>
      <c r="V13" s="97" t="s">
        <v>2794</v>
      </c>
      <c r="W13" s="97" t="s">
        <v>2795</v>
      </c>
      <c r="X13" s="97" t="s">
        <v>2796</v>
      </c>
      <c r="Y13" s="318" t="s">
        <v>2797</v>
      </c>
      <c r="Z13" s="124" t="s">
        <v>2798</v>
      </c>
      <c r="AA13" s="318" t="s">
        <v>2799</v>
      </c>
      <c r="AB13" s="198" t="s">
        <v>2800</v>
      </c>
      <c r="AC13" s="198" t="s">
        <v>2801</v>
      </c>
      <c r="AD13" s="197" t="s">
        <v>2817</v>
      </c>
      <c r="AE13" s="1165" t="str">
        <f t="shared" ref="AE13:AE36" si="0">CB13</f>
        <v/>
      </c>
      <c r="AF13" s="1085"/>
      <c r="AG13" s="1085"/>
      <c r="AH13" s="1085"/>
      <c r="AI13" s="1085"/>
      <c r="AJ13" s="1085"/>
      <c r="AK13" s="1085"/>
      <c r="AL13" s="1085"/>
      <c r="AM13" s="1085"/>
      <c r="AN13" s="1085"/>
      <c r="AO13" s="1085"/>
      <c r="AP13" s="1085"/>
      <c r="AQ13" s="884"/>
      <c r="AR13" s="884"/>
      <c r="AS13" s="884"/>
      <c r="CB13" s="1362" t="str">
        <f t="shared" ref="CB13:CB36" si="1">IF(CH13=1,"* Total por edad NO DEBE ser menor que la suma de los subgrupos. ","")</f>
        <v/>
      </c>
      <c r="CC13" s="1362"/>
      <c r="CD13" s="1362"/>
      <c r="CE13" s="1362"/>
      <c r="CF13" s="1362"/>
      <c r="CG13" s="1362"/>
      <c r="CH13" s="1363">
        <f t="shared" ref="CH13:CH36" si="2">IF(E13&lt;SUM(Z13:AD13),1,0)</f>
        <v>0</v>
      </c>
      <c r="CI13" s="1346"/>
      <c r="CJ13" s="1346"/>
      <c r="CK13" s="1346"/>
      <c r="CL13" s="1346"/>
      <c r="CM13" s="1346"/>
      <c r="CN13" s="1346"/>
      <c r="CO13" s="1346"/>
      <c r="CP13" s="1346"/>
    </row>
    <row r="14" spans="1:105" x14ac:dyDescent="0.25">
      <c r="A14" s="2458">
        <v>27280335</v>
      </c>
      <c r="B14" s="6684"/>
      <c r="C14" s="5725"/>
      <c r="D14" s="1364" t="s">
        <v>1769</v>
      </c>
      <c r="E14" s="272" t="s">
        <v>2777</v>
      </c>
      <c r="F14" s="273" t="s">
        <v>2778</v>
      </c>
      <c r="G14" s="116" t="s">
        <v>2779</v>
      </c>
      <c r="H14" s="116" t="s">
        <v>2780</v>
      </c>
      <c r="I14" s="116" t="s">
        <v>2781</v>
      </c>
      <c r="J14" s="276" t="s">
        <v>2782</v>
      </c>
      <c r="K14" s="116" t="s">
        <v>2783</v>
      </c>
      <c r="L14" s="116" t="s">
        <v>2784</v>
      </c>
      <c r="M14" s="116" t="s">
        <v>2785</v>
      </c>
      <c r="N14" s="116" t="s">
        <v>2786</v>
      </c>
      <c r="O14" s="116" t="s">
        <v>2787</v>
      </c>
      <c r="P14" s="116" t="s">
        <v>2788</v>
      </c>
      <c r="Q14" s="116" t="s">
        <v>2789</v>
      </c>
      <c r="R14" s="116" t="s">
        <v>2790</v>
      </c>
      <c r="S14" s="116" t="s">
        <v>2791</v>
      </c>
      <c r="T14" s="116" t="s">
        <v>2792</v>
      </c>
      <c r="U14" s="116" t="s">
        <v>2793</v>
      </c>
      <c r="V14" s="116" t="s">
        <v>2794</v>
      </c>
      <c r="W14" s="116" t="s">
        <v>2795</v>
      </c>
      <c r="X14" s="116" t="s">
        <v>2796</v>
      </c>
      <c r="Y14" s="521" t="s">
        <v>2797</v>
      </c>
      <c r="Z14" s="274" t="s">
        <v>2798</v>
      </c>
      <c r="AA14" s="521" t="s">
        <v>2799</v>
      </c>
      <c r="AB14" s="467" t="s">
        <v>2800</v>
      </c>
      <c r="AC14" s="467" t="s">
        <v>2801</v>
      </c>
      <c r="AD14" s="467" t="s">
        <v>2817</v>
      </c>
      <c r="AE14" s="1165" t="str">
        <f t="shared" si="0"/>
        <v/>
      </c>
      <c r="AF14" s="1085"/>
      <c r="AG14" s="1085"/>
      <c r="AH14" s="1085"/>
      <c r="AI14" s="1085"/>
      <c r="AJ14" s="1085"/>
      <c r="AK14" s="1085"/>
      <c r="AL14" s="1085"/>
      <c r="AM14" s="1085"/>
      <c r="AN14" s="1085"/>
      <c r="AO14" s="1085"/>
      <c r="AP14" s="1085"/>
      <c r="AQ14" s="884"/>
      <c r="AR14" s="884"/>
      <c r="AS14" s="884"/>
      <c r="CB14" s="1362" t="str">
        <f t="shared" si="1"/>
        <v/>
      </c>
      <c r="CC14" s="1362"/>
      <c r="CD14" s="1362"/>
      <c r="CE14" s="1362"/>
      <c r="CF14" s="1362"/>
      <c r="CG14" s="1362"/>
      <c r="CH14" s="1363">
        <f t="shared" si="2"/>
        <v>0</v>
      </c>
      <c r="CI14" s="1346"/>
      <c r="CJ14" s="1346"/>
      <c r="CK14" s="1346"/>
      <c r="CL14" s="1346"/>
      <c r="CM14" s="1346"/>
      <c r="CN14" s="1346"/>
      <c r="CO14" s="1346"/>
      <c r="CP14" s="1346"/>
    </row>
    <row r="15" spans="1:105" x14ac:dyDescent="0.25">
      <c r="A15" s="2458">
        <v>27500100</v>
      </c>
      <c r="B15" s="6684"/>
      <c r="C15" s="6690"/>
      <c r="D15" s="1365" t="s">
        <v>1770</v>
      </c>
      <c r="E15" s="1366" t="s">
        <v>2777</v>
      </c>
      <c r="F15" s="203" t="s">
        <v>2778</v>
      </c>
      <c r="G15" s="117" t="s">
        <v>2779</v>
      </c>
      <c r="H15" s="117" t="s">
        <v>2780</v>
      </c>
      <c r="I15" s="117" t="s">
        <v>2781</v>
      </c>
      <c r="J15" s="204" t="s">
        <v>2782</v>
      </c>
      <c r="K15" s="117" t="s">
        <v>2783</v>
      </c>
      <c r="L15" s="117" t="s">
        <v>2784</v>
      </c>
      <c r="M15" s="117" t="s">
        <v>2785</v>
      </c>
      <c r="N15" s="117" t="s">
        <v>2786</v>
      </c>
      <c r="O15" s="117" t="s">
        <v>2787</v>
      </c>
      <c r="P15" s="117" t="s">
        <v>2788</v>
      </c>
      <c r="Q15" s="117" t="s">
        <v>2789</v>
      </c>
      <c r="R15" s="117" t="s">
        <v>2790</v>
      </c>
      <c r="S15" s="117" t="s">
        <v>2791</v>
      </c>
      <c r="T15" s="117" t="s">
        <v>2792</v>
      </c>
      <c r="U15" s="117" t="s">
        <v>2793</v>
      </c>
      <c r="V15" s="117" t="s">
        <v>2794</v>
      </c>
      <c r="W15" s="117" t="s">
        <v>2795</v>
      </c>
      <c r="X15" s="117" t="s">
        <v>2796</v>
      </c>
      <c r="Y15" s="519" t="s">
        <v>2797</v>
      </c>
      <c r="Z15" s="277" t="s">
        <v>2798</v>
      </c>
      <c r="AA15" s="519" t="s">
        <v>2799</v>
      </c>
      <c r="AB15" s="1367" t="s">
        <v>2800</v>
      </c>
      <c r="AC15" s="1367" t="s">
        <v>2801</v>
      </c>
      <c r="AD15" s="1367" t="s">
        <v>2817</v>
      </c>
      <c r="AE15" s="1165" t="str">
        <f t="shared" si="0"/>
        <v/>
      </c>
      <c r="AF15" s="1085"/>
      <c r="AG15" s="1085"/>
      <c r="AH15" s="1085"/>
      <c r="AI15" s="1085"/>
      <c r="AJ15" s="1085"/>
      <c r="AK15" s="1085"/>
      <c r="AL15" s="1085"/>
      <c r="AM15" s="1085"/>
      <c r="AN15" s="1085"/>
      <c r="AO15" s="1085"/>
      <c r="AP15" s="1085"/>
      <c r="AQ15" s="884"/>
      <c r="AR15" s="884"/>
      <c r="AS15" s="884"/>
      <c r="CB15" s="1362" t="str">
        <f t="shared" si="1"/>
        <v/>
      </c>
      <c r="CC15" s="1362"/>
      <c r="CD15" s="1362"/>
      <c r="CE15" s="1362"/>
      <c r="CF15" s="1362"/>
      <c r="CG15" s="1362"/>
      <c r="CH15" s="1363">
        <f t="shared" si="2"/>
        <v>0</v>
      </c>
      <c r="CI15" s="1346"/>
      <c r="CJ15" s="1346"/>
      <c r="CK15" s="1346"/>
      <c r="CL15" s="1346"/>
      <c r="CM15" s="1346"/>
      <c r="CN15" s="1346"/>
      <c r="CO15" s="1346"/>
      <c r="CP15" s="1346"/>
    </row>
    <row r="16" spans="1:105" x14ac:dyDescent="0.25">
      <c r="A16" s="2458">
        <v>27280400</v>
      </c>
      <c r="B16" s="6684"/>
      <c r="C16" s="6672" t="s">
        <v>1771</v>
      </c>
      <c r="D16" s="6673"/>
      <c r="E16" s="107" t="s">
        <v>2777</v>
      </c>
      <c r="F16" s="170" t="s">
        <v>2778</v>
      </c>
      <c r="G16" s="97" t="s">
        <v>2779</v>
      </c>
      <c r="H16" s="97" t="s">
        <v>2780</v>
      </c>
      <c r="I16" s="97" t="s">
        <v>2781</v>
      </c>
      <c r="J16" s="197" t="s">
        <v>2782</v>
      </c>
      <c r="K16" s="124" t="s">
        <v>2783</v>
      </c>
      <c r="L16" s="97" t="s">
        <v>2784</v>
      </c>
      <c r="M16" s="97" t="s">
        <v>2785</v>
      </c>
      <c r="N16" s="245" t="s">
        <v>2786</v>
      </c>
      <c r="O16" s="245" t="s">
        <v>2787</v>
      </c>
      <c r="P16" s="245" t="s">
        <v>2788</v>
      </c>
      <c r="Q16" s="245" t="s">
        <v>2789</v>
      </c>
      <c r="R16" s="245" t="s">
        <v>2790</v>
      </c>
      <c r="S16" s="245" t="s">
        <v>2791</v>
      </c>
      <c r="T16" s="245" t="s">
        <v>2792</v>
      </c>
      <c r="U16" s="245" t="s">
        <v>2793</v>
      </c>
      <c r="V16" s="245" t="s">
        <v>2794</v>
      </c>
      <c r="W16" s="245" t="s">
        <v>2795</v>
      </c>
      <c r="X16" s="245" t="s">
        <v>2796</v>
      </c>
      <c r="Y16" s="245" t="s">
        <v>2797</v>
      </c>
      <c r="Z16" s="597" t="s">
        <v>2798</v>
      </c>
      <c r="AA16" s="317" t="s">
        <v>2799</v>
      </c>
      <c r="AB16" s="197" t="s">
        <v>2800</v>
      </c>
      <c r="AC16" s="197" t="s">
        <v>2801</v>
      </c>
      <c r="AD16" s="197" t="s">
        <v>2817</v>
      </c>
      <c r="AE16" s="1165" t="str">
        <f t="shared" si="0"/>
        <v/>
      </c>
      <c r="AF16" s="1085"/>
      <c r="AG16" s="1085"/>
      <c r="AH16" s="1085"/>
      <c r="AI16" s="1085"/>
      <c r="AJ16" s="1085"/>
      <c r="AK16" s="1085"/>
      <c r="AL16" s="1085"/>
      <c r="AM16" s="1085"/>
      <c r="AN16" s="1085"/>
      <c r="AO16" s="1085"/>
      <c r="AP16" s="1085"/>
      <c r="AQ16" s="884"/>
      <c r="AR16" s="884"/>
      <c r="AS16" s="884"/>
      <c r="CB16" s="1362" t="str">
        <f t="shared" si="1"/>
        <v/>
      </c>
      <c r="CC16" s="1362"/>
      <c r="CD16" s="1362"/>
      <c r="CE16" s="1362"/>
      <c r="CF16" s="1362"/>
      <c r="CG16" s="1362"/>
      <c r="CH16" s="1363">
        <f t="shared" si="2"/>
        <v>0</v>
      </c>
      <c r="CI16" s="1346"/>
      <c r="CJ16" s="1346"/>
      <c r="CK16" s="1346"/>
      <c r="CL16" s="1346"/>
      <c r="CM16" s="1346"/>
      <c r="CN16" s="1346"/>
      <c r="CO16" s="1346"/>
      <c r="CP16" s="1346"/>
    </row>
    <row r="17" spans="1:94" x14ac:dyDescent="0.25">
      <c r="A17" s="2458">
        <v>27280500</v>
      </c>
      <c r="B17" s="6684"/>
      <c r="C17" s="6658" t="s">
        <v>1772</v>
      </c>
      <c r="D17" s="6659"/>
      <c r="E17" s="140" t="s">
        <v>2777</v>
      </c>
      <c r="F17" s="141" t="s">
        <v>2778</v>
      </c>
      <c r="G17" s="142" t="s">
        <v>2779</v>
      </c>
      <c r="H17" s="142" t="s">
        <v>2780</v>
      </c>
      <c r="I17" s="142" t="s">
        <v>2781</v>
      </c>
      <c r="J17" s="198" t="s">
        <v>2782</v>
      </c>
      <c r="K17" s="180" t="s">
        <v>2783</v>
      </c>
      <c r="L17" s="142" t="s">
        <v>2784</v>
      </c>
      <c r="M17" s="142" t="s">
        <v>2785</v>
      </c>
      <c r="N17" s="247" t="s">
        <v>2786</v>
      </c>
      <c r="O17" s="247" t="s">
        <v>2787</v>
      </c>
      <c r="P17" s="247" t="s">
        <v>2788</v>
      </c>
      <c r="Q17" s="247" t="s">
        <v>2789</v>
      </c>
      <c r="R17" s="247" t="s">
        <v>2790</v>
      </c>
      <c r="S17" s="247" t="s">
        <v>2791</v>
      </c>
      <c r="T17" s="247" t="s">
        <v>2792</v>
      </c>
      <c r="U17" s="247" t="s">
        <v>2793</v>
      </c>
      <c r="V17" s="247" t="s">
        <v>2794</v>
      </c>
      <c r="W17" s="247" t="s">
        <v>2795</v>
      </c>
      <c r="X17" s="247" t="s">
        <v>2796</v>
      </c>
      <c r="Y17" s="247" t="s">
        <v>2797</v>
      </c>
      <c r="Z17" s="592" t="s">
        <v>2798</v>
      </c>
      <c r="AA17" s="318" t="s">
        <v>2799</v>
      </c>
      <c r="AB17" s="198" t="s">
        <v>2800</v>
      </c>
      <c r="AC17" s="198" t="s">
        <v>2801</v>
      </c>
      <c r="AD17" s="198" t="s">
        <v>2817</v>
      </c>
      <c r="AE17" s="1165" t="str">
        <f t="shared" si="0"/>
        <v/>
      </c>
      <c r="AF17" s="1085"/>
      <c r="AG17" s="1085"/>
      <c r="AH17" s="1085"/>
      <c r="AI17" s="1085"/>
      <c r="AJ17" s="1085"/>
      <c r="AK17" s="1085"/>
      <c r="AL17" s="1085"/>
      <c r="AM17" s="1085"/>
      <c r="AN17" s="1085"/>
      <c r="AO17" s="1085"/>
      <c r="AP17" s="1085"/>
      <c r="AQ17" s="884"/>
      <c r="AR17" s="884"/>
      <c r="AS17" s="884"/>
      <c r="CB17" s="1362" t="str">
        <f t="shared" si="1"/>
        <v/>
      </c>
      <c r="CC17" s="1362"/>
      <c r="CD17" s="1362"/>
      <c r="CE17" s="1362"/>
      <c r="CF17" s="1362"/>
      <c r="CG17" s="1362"/>
      <c r="CH17" s="1363">
        <f t="shared" si="2"/>
        <v>0</v>
      </c>
      <c r="CI17" s="1346"/>
      <c r="CJ17" s="1346"/>
      <c r="CK17" s="1346"/>
      <c r="CL17" s="1346"/>
      <c r="CM17" s="1346"/>
      <c r="CN17" s="1346"/>
      <c r="CO17" s="1346"/>
      <c r="CP17" s="1346"/>
    </row>
    <row r="18" spans="1:94" x14ac:dyDescent="0.25">
      <c r="A18" s="2458">
        <v>27280600</v>
      </c>
      <c r="B18" s="6684"/>
      <c r="C18" s="6658" t="s">
        <v>1773</v>
      </c>
      <c r="D18" s="6659"/>
      <c r="E18" s="140" t="s">
        <v>2777</v>
      </c>
      <c r="F18" s="141" t="s">
        <v>2778</v>
      </c>
      <c r="G18" s="142" t="s">
        <v>2779</v>
      </c>
      <c r="H18" s="142" t="s">
        <v>2780</v>
      </c>
      <c r="I18" s="142" t="s">
        <v>2781</v>
      </c>
      <c r="J18" s="198" t="s">
        <v>2782</v>
      </c>
      <c r="K18" s="180" t="s">
        <v>2783</v>
      </c>
      <c r="L18" s="142" t="s">
        <v>2784</v>
      </c>
      <c r="M18" s="142" t="s">
        <v>2785</v>
      </c>
      <c r="N18" s="247" t="s">
        <v>2786</v>
      </c>
      <c r="O18" s="247" t="s">
        <v>2787</v>
      </c>
      <c r="P18" s="247" t="s">
        <v>2788</v>
      </c>
      <c r="Q18" s="247" t="s">
        <v>2789</v>
      </c>
      <c r="R18" s="247" t="s">
        <v>2790</v>
      </c>
      <c r="S18" s="247" t="s">
        <v>2791</v>
      </c>
      <c r="T18" s="247" t="s">
        <v>2792</v>
      </c>
      <c r="U18" s="247" t="s">
        <v>2793</v>
      </c>
      <c r="V18" s="247" t="s">
        <v>2794</v>
      </c>
      <c r="W18" s="247" t="s">
        <v>2795</v>
      </c>
      <c r="X18" s="247" t="s">
        <v>2796</v>
      </c>
      <c r="Y18" s="247" t="s">
        <v>2797</v>
      </c>
      <c r="Z18" s="592" t="s">
        <v>2798</v>
      </c>
      <c r="AA18" s="318" t="s">
        <v>2799</v>
      </c>
      <c r="AB18" s="198" t="s">
        <v>2800</v>
      </c>
      <c r="AC18" s="198" t="s">
        <v>2801</v>
      </c>
      <c r="AD18" s="198" t="s">
        <v>2817</v>
      </c>
      <c r="AE18" s="1165" t="str">
        <f t="shared" si="0"/>
        <v/>
      </c>
      <c r="AF18" s="1085"/>
      <c r="AG18" s="1085"/>
      <c r="AH18" s="1085"/>
      <c r="AI18" s="1085"/>
      <c r="AJ18" s="1085"/>
      <c r="AK18" s="1085"/>
      <c r="AL18" s="1085"/>
      <c r="AM18" s="1085"/>
      <c r="AN18" s="1085"/>
      <c r="AO18" s="1085"/>
      <c r="AP18" s="1085"/>
      <c r="AQ18" s="884"/>
      <c r="AR18" s="884"/>
      <c r="AS18" s="884"/>
      <c r="CB18" s="1362" t="str">
        <f t="shared" si="1"/>
        <v/>
      </c>
      <c r="CC18" s="1362"/>
      <c r="CD18" s="1362"/>
      <c r="CE18" s="1362"/>
      <c r="CF18" s="1362"/>
      <c r="CG18" s="1362"/>
      <c r="CH18" s="1363">
        <f t="shared" si="2"/>
        <v>0</v>
      </c>
      <c r="CI18" s="1346"/>
      <c r="CJ18" s="1346"/>
      <c r="CK18" s="1346"/>
      <c r="CL18" s="1346"/>
      <c r="CM18" s="1346"/>
      <c r="CN18" s="1346"/>
      <c r="CO18" s="1346"/>
      <c r="CP18" s="1346"/>
    </row>
    <row r="19" spans="1:94" x14ac:dyDescent="0.25">
      <c r="A19" s="2458">
        <v>27280700</v>
      </c>
      <c r="B19" s="6684"/>
      <c r="C19" s="6658" t="s">
        <v>1774</v>
      </c>
      <c r="D19" s="6659"/>
      <c r="E19" s="140" t="s">
        <v>2777</v>
      </c>
      <c r="F19" s="141" t="s">
        <v>2778</v>
      </c>
      <c r="G19" s="142" t="s">
        <v>2779</v>
      </c>
      <c r="H19" s="142" t="s">
        <v>2780</v>
      </c>
      <c r="I19" s="142" t="s">
        <v>2781</v>
      </c>
      <c r="J19" s="198" t="s">
        <v>2782</v>
      </c>
      <c r="K19" s="180" t="s">
        <v>2783</v>
      </c>
      <c r="L19" s="142" t="s">
        <v>2784</v>
      </c>
      <c r="M19" s="142" t="s">
        <v>2785</v>
      </c>
      <c r="N19" s="247" t="s">
        <v>2786</v>
      </c>
      <c r="O19" s="247" t="s">
        <v>2787</v>
      </c>
      <c r="P19" s="247" t="s">
        <v>2788</v>
      </c>
      <c r="Q19" s="247" t="s">
        <v>2789</v>
      </c>
      <c r="R19" s="247" t="s">
        <v>2790</v>
      </c>
      <c r="S19" s="247" t="s">
        <v>2791</v>
      </c>
      <c r="T19" s="247" t="s">
        <v>2792</v>
      </c>
      <c r="U19" s="247" t="s">
        <v>2793</v>
      </c>
      <c r="V19" s="247" t="s">
        <v>2794</v>
      </c>
      <c r="W19" s="247" t="s">
        <v>2795</v>
      </c>
      <c r="X19" s="247" t="s">
        <v>2796</v>
      </c>
      <c r="Y19" s="247" t="s">
        <v>2797</v>
      </c>
      <c r="Z19" s="592" t="s">
        <v>2798</v>
      </c>
      <c r="AA19" s="318" t="s">
        <v>2799</v>
      </c>
      <c r="AB19" s="198" t="s">
        <v>2800</v>
      </c>
      <c r="AC19" s="198" t="s">
        <v>2801</v>
      </c>
      <c r="AD19" s="198" t="s">
        <v>2817</v>
      </c>
      <c r="AE19" s="1165" t="str">
        <f t="shared" si="0"/>
        <v/>
      </c>
      <c r="AF19" s="1085"/>
      <c r="AG19" s="1085"/>
      <c r="AH19" s="1085"/>
      <c r="AI19" s="1085"/>
      <c r="AJ19" s="1085"/>
      <c r="AK19" s="1085"/>
      <c r="AL19" s="1085"/>
      <c r="AM19" s="1085"/>
      <c r="AN19" s="1085"/>
      <c r="AO19" s="1085"/>
      <c r="AP19" s="1085"/>
      <c r="AQ19" s="884"/>
      <c r="AR19" s="884"/>
      <c r="AS19" s="884"/>
      <c r="CB19" s="1362" t="str">
        <f t="shared" si="1"/>
        <v/>
      </c>
      <c r="CC19" s="1362"/>
      <c r="CD19" s="1362"/>
      <c r="CE19" s="1362"/>
      <c r="CF19" s="1362"/>
      <c r="CG19" s="1362"/>
      <c r="CH19" s="1363">
        <f t="shared" si="2"/>
        <v>0</v>
      </c>
      <c r="CI19" s="1346"/>
      <c r="CJ19" s="1346"/>
      <c r="CK19" s="1346"/>
      <c r="CL19" s="1346"/>
      <c r="CM19" s="1346"/>
      <c r="CN19" s="1346"/>
      <c r="CO19" s="1346"/>
      <c r="CP19" s="1346"/>
    </row>
    <row r="20" spans="1:94" x14ac:dyDescent="0.25">
      <c r="A20" s="2458">
        <v>27280800</v>
      </c>
      <c r="B20" s="6684"/>
      <c r="C20" s="6658" t="s">
        <v>1775</v>
      </c>
      <c r="D20" s="6659"/>
      <c r="E20" s="140" t="s">
        <v>2777</v>
      </c>
      <c r="F20" s="141" t="s">
        <v>2778</v>
      </c>
      <c r="G20" s="142" t="s">
        <v>2779</v>
      </c>
      <c r="H20" s="142" t="s">
        <v>2780</v>
      </c>
      <c r="I20" s="142" t="s">
        <v>2781</v>
      </c>
      <c r="J20" s="198" t="s">
        <v>2782</v>
      </c>
      <c r="K20" s="180" t="s">
        <v>2783</v>
      </c>
      <c r="L20" s="142" t="s">
        <v>2784</v>
      </c>
      <c r="M20" s="142" t="s">
        <v>2785</v>
      </c>
      <c r="N20" s="247" t="s">
        <v>2786</v>
      </c>
      <c r="O20" s="247" t="s">
        <v>2787</v>
      </c>
      <c r="P20" s="247" t="s">
        <v>2788</v>
      </c>
      <c r="Q20" s="247" t="s">
        <v>2789</v>
      </c>
      <c r="R20" s="247" t="s">
        <v>2790</v>
      </c>
      <c r="S20" s="247" t="s">
        <v>2791</v>
      </c>
      <c r="T20" s="247" t="s">
        <v>2792</v>
      </c>
      <c r="U20" s="247" t="s">
        <v>2793</v>
      </c>
      <c r="V20" s="247" t="s">
        <v>2794</v>
      </c>
      <c r="W20" s="247" t="s">
        <v>2795</v>
      </c>
      <c r="X20" s="247" t="s">
        <v>2796</v>
      </c>
      <c r="Y20" s="247" t="s">
        <v>2797</v>
      </c>
      <c r="Z20" s="592" t="s">
        <v>2798</v>
      </c>
      <c r="AA20" s="318" t="s">
        <v>2799</v>
      </c>
      <c r="AB20" s="198" t="s">
        <v>2800</v>
      </c>
      <c r="AC20" s="198" t="s">
        <v>2801</v>
      </c>
      <c r="AD20" s="198" t="s">
        <v>2817</v>
      </c>
      <c r="AE20" s="1165" t="str">
        <f t="shared" si="0"/>
        <v/>
      </c>
      <c r="AF20" s="1085"/>
      <c r="AG20" s="1085"/>
      <c r="AH20" s="1085"/>
      <c r="AI20" s="1085"/>
      <c r="AJ20" s="1085"/>
      <c r="AK20" s="1085"/>
      <c r="AL20" s="1085"/>
      <c r="AM20" s="1085"/>
      <c r="AN20" s="1085"/>
      <c r="AO20" s="1085"/>
      <c r="AP20" s="1085"/>
      <c r="AQ20" s="884"/>
      <c r="AR20" s="884"/>
      <c r="AS20" s="884"/>
      <c r="CB20" s="1362" t="str">
        <f t="shared" si="1"/>
        <v/>
      </c>
      <c r="CC20" s="1362"/>
      <c r="CD20" s="1362"/>
      <c r="CE20" s="1362"/>
      <c r="CF20" s="1362"/>
      <c r="CG20" s="1362"/>
      <c r="CH20" s="1363">
        <f t="shared" si="2"/>
        <v>0</v>
      </c>
      <c r="CI20" s="1346"/>
      <c r="CJ20" s="1346"/>
      <c r="CK20" s="1346"/>
      <c r="CL20" s="1346"/>
      <c r="CM20" s="1346"/>
      <c r="CN20" s="1346"/>
      <c r="CO20" s="1346"/>
      <c r="CP20" s="1346"/>
    </row>
    <row r="21" spans="1:94" x14ac:dyDescent="0.25">
      <c r="A21" s="4665">
        <v>27500250</v>
      </c>
      <c r="B21" s="6684"/>
      <c r="C21" s="6662" t="s">
        <v>1956</v>
      </c>
      <c r="D21" s="6663"/>
      <c r="E21" s="140" t="s">
        <v>2777</v>
      </c>
      <c r="F21" s="4902" t="s">
        <v>2778</v>
      </c>
      <c r="G21" s="4903" t="s">
        <v>2779</v>
      </c>
      <c r="H21" s="4903" t="s">
        <v>2780</v>
      </c>
      <c r="I21" s="4903" t="s">
        <v>2781</v>
      </c>
      <c r="J21" s="3626" t="s">
        <v>2782</v>
      </c>
      <c r="K21" s="4904" t="s">
        <v>2783</v>
      </c>
      <c r="L21" s="4903" t="s">
        <v>2784</v>
      </c>
      <c r="M21" s="4903" t="s">
        <v>2785</v>
      </c>
      <c r="N21" s="4905" t="s">
        <v>2786</v>
      </c>
      <c r="O21" s="4905" t="s">
        <v>2787</v>
      </c>
      <c r="P21" s="4905" t="s">
        <v>2788</v>
      </c>
      <c r="Q21" s="4905" t="s">
        <v>2789</v>
      </c>
      <c r="R21" s="247" t="s">
        <v>2790</v>
      </c>
      <c r="S21" s="247" t="s">
        <v>2791</v>
      </c>
      <c r="T21" s="247" t="s">
        <v>2792</v>
      </c>
      <c r="U21" s="247" t="s">
        <v>2793</v>
      </c>
      <c r="V21" s="4905" t="s">
        <v>2794</v>
      </c>
      <c r="W21" s="4905" t="s">
        <v>2795</v>
      </c>
      <c r="X21" s="4905" t="s">
        <v>2796</v>
      </c>
      <c r="Y21" s="4905" t="s">
        <v>2797</v>
      </c>
      <c r="Z21" s="592" t="s">
        <v>2798</v>
      </c>
      <c r="AA21" s="318" t="s">
        <v>2799</v>
      </c>
      <c r="AB21" s="198" t="s">
        <v>2800</v>
      </c>
      <c r="AC21" s="198" t="s">
        <v>2801</v>
      </c>
      <c r="AD21" s="198" t="s">
        <v>2817</v>
      </c>
      <c r="AE21" s="1165" t="str">
        <f t="shared" si="0"/>
        <v/>
      </c>
      <c r="AF21" s="1085"/>
      <c r="AG21" s="1085"/>
      <c r="AH21" s="1085"/>
      <c r="AI21" s="1085"/>
      <c r="AJ21" s="1085"/>
      <c r="AK21" s="1085"/>
      <c r="AL21" s="1085"/>
      <c r="AM21" s="1085"/>
      <c r="AN21" s="1085"/>
      <c r="AO21" s="1085"/>
      <c r="AP21" s="1085"/>
      <c r="AQ21" s="884"/>
      <c r="AR21" s="884"/>
      <c r="AS21" s="884"/>
      <c r="CB21" s="1362" t="str">
        <f t="shared" si="1"/>
        <v/>
      </c>
      <c r="CC21" s="1362"/>
      <c r="CD21" s="1362"/>
      <c r="CE21" s="1362"/>
      <c r="CF21" s="1362"/>
      <c r="CG21" s="1362"/>
      <c r="CH21" s="1363">
        <f t="shared" si="2"/>
        <v>0</v>
      </c>
      <c r="CI21" s="1346"/>
      <c r="CJ21" s="1346"/>
      <c r="CK21" s="1346"/>
      <c r="CL21" s="1346"/>
      <c r="CM21" s="1346"/>
      <c r="CN21" s="1346"/>
      <c r="CO21" s="1346"/>
      <c r="CP21" s="1346"/>
    </row>
    <row r="22" spans="1:94" ht="22.5" customHeight="1" x14ac:dyDescent="0.25">
      <c r="A22" s="2458">
        <v>27500110</v>
      </c>
      <c r="B22" s="6684"/>
      <c r="C22" s="5696" t="s">
        <v>1776</v>
      </c>
      <c r="D22" s="5697"/>
      <c r="E22" s="140" t="s">
        <v>2777</v>
      </c>
      <c r="F22" s="173" t="s">
        <v>2778</v>
      </c>
      <c r="G22" s="145" t="s">
        <v>2779</v>
      </c>
      <c r="H22" s="145" t="s">
        <v>2780</v>
      </c>
      <c r="I22" s="145" t="s">
        <v>2781</v>
      </c>
      <c r="J22" s="174" t="s">
        <v>2782</v>
      </c>
      <c r="K22" s="180" t="s">
        <v>2783</v>
      </c>
      <c r="L22" s="142" t="s">
        <v>2784</v>
      </c>
      <c r="M22" s="142" t="s">
        <v>2785</v>
      </c>
      <c r="N22" s="142" t="s">
        <v>2786</v>
      </c>
      <c r="O22" s="142" t="s">
        <v>2787</v>
      </c>
      <c r="P22" s="142" t="s">
        <v>2788</v>
      </c>
      <c r="Q22" s="142" t="s">
        <v>2789</v>
      </c>
      <c r="R22" s="142" t="s">
        <v>2790</v>
      </c>
      <c r="S22" s="142" t="s">
        <v>2791</v>
      </c>
      <c r="T22" s="142" t="s">
        <v>2792</v>
      </c>
      <c r="U22" s="1368" t="s">
        <v>2793</v>
      </c>
      <c r="V22" s="1368" t="s">
        <v>2794</v>
      </c>
      <c r="W22" s="1368" t="s">
        <v>2795</v>
      </c>
      <c r="X22" s="1368" t="s">
        <v>2796</v>
      </c>
      <c r="Y22" s="1368" t="s">
        <v>2797</v>
      </c>
      <c r="Z22" s="592" t="s">
        <v>2798</v>
      </c>
      <c r="AA22" s="318" t="s">
        <v>2799</v>
      </c>
      <c r="AB22" s="198" t="s">
        <v>2800</v>
      </c>
      <c r="AC22" s="174" t="s">
        <v>2801</v>
      </c>
      <c r="AD22" s="174" t="s">
        <v>2817</v>
      </c>
      <c r="AE22" s="1165" t="str">
        <f t="shared" si="0"/>
        <v/>
      </c>
      <c r="AF22" s="1085"/>
      <c r="AG22" s="1085"/>
      <c r="AH22" s="1085"/>
      <c r="AI22" s="1085"/>
      <c r="AJ22" s="1085"/>
      <c r="AK22" s="1085"/>
      <c r="AL22" s="1085"/>
      <c r="AM22" s="1085"/>
      <c r="AN22" s="1085"/>
      <c r="AO22" s="1085"/>
      <c r="AP22" s="1085"/>
      <c r="AQ22" s="884"/>
      <c r="AR22" s="884"/>
      <c r="AS22" s="884"/>
      <c r="CB22" s="1362" t="str">
        <f t="shared" si="1"/>
        <v/>
      </c>
      <c r="CC22" s="1362"/>
      <c r="CD22" s="1362"/>
      <c r="CE22" s="1362"/>
      <c r="CF22" s="1362"/>
      <c r="CG22" s="1362"/>
      <c r="CH22" s="1363">
        <f t="shared" si="2"/>
        <v>0</v>
      </c>
      <c r="CI22" s="1346"/>
      <c r="CJ22" s="1346"/>
      <c r="CK22" s="1346"/>
      <c r="CL22" s="1346"/>
      <c r="CM22" s="1346"/>
      <c r="CN22" s="1346"/>
      <c r="CO22" s="1346"/>
      <c r="CP22" s="1346"/>
    </row>
    <row r="23" spans="1:94" x14ac:dyDescent="0.25">
      <c r="A23" s="2458">
        <v>27300918</v>
      </c>
      <c r="B23" s="6684"/>
      <c r="C23" s="6660" t="s">
        <v>1777</v>
      </c>
      <c r="D23" s="6661"/>
      <c r="E23" s="113" t="s">
        <v>2777</v>
      </c>
      <c r="F23" s="101" t="s">
        <v>2778</v>
      </c>
      <c r="G23" s="103" t="s">
        <v>2779</v>
      </c>
      <c r="H23" s="103" t="s">
        <v>2780</v>
      </c>
      <c r="I23" s="102" t="s">
        <v>2781</v>
      </c>
      <c r="J23" s="168" t="s">
        <v>2782</v>
      </c>
      <c r="K23" s="144" t="s">
        <v>2783</v>
      </c>
      <c r="L23" s="146" t="s">
        <v>2784</v>
      </c>
      <c r="M23" s="146" t="s">
        <v>2785</v>
      </c>
      <c r="N23" s="146" t="s">
        <v>2786</v>
      </c>
      <c r="O23" s="146" t="s">
        <v>2787</v>
      </c>
      <c r="P23" s="146" t="s">
        <v>2788</v>
      </c>
      <c r="Q23" s="146" t="s">
        <v>2789</v>
      </c>
      <c r="R23" s="146" t="s">
        <v>2790</v>
      </c>
      <c r="S23" s="146" t="s">
        <v>2791</v>
      </c>
      <c r="T23" s="146" t="s">
        <v>2792</v>
      </c>
      <c r="U23" s="146" t="s">
        <v>2793</v>
      </c>
      <c r="V23" s="146" t="s">
        <v>2794</v>
      </c>
      <c r="W23" s="146" t="s">
        <v>2795</v>
      </c>
      <c r="X23" s="146" t="s">
        <v>2796</v>
      </c>
      <c r="Y23" s="146" t="s">
        <v>2797</v>
      </c>
      <c r="Z23" s="598" t="s">
        <v>2798</v>
      </c>
      <c r="AA23" s="593" t="s">
        <v>2799</v>
      </c>
      <c r="AB23" s="240" t="s">
        <v>2800</v>
      </c>
      <c r="AC23" s="258" t="s">
        <v>2801</v>
      </c>
      <c r="AD23" s="258" t="s">
        <v>2817</v>
      </c>
      <c r="AE23" s="1165" t="str">
        <f t="shared" si="0"/>
        <v/>
      </c>
      <c r="AF23" s="1085"/>
      <c r="AG23" s="1085"/>
      <c r="AH23" s="1085"/>
      <c r="AI23" s="1085"/>
      <c r="AJ23" s="1085"/>
      <c r="AK23" s="1085"/>
      <c r="AL23" s="1085"/>
      <c r="AM23" s="1085"/>
      <c r="AN23" s="1085"/>
      <c r="AO23" s="1085"/>
      <c r="AP23" s="1085"/>
      <c r="AQ23" s="884"/>
      <c r="AR23" s="884"/>
      <c r="AS23" s="884"/>
      <c r="CB23" s="1362" t="str">
        <f t="shared" si="1"/>
        <v/>
      </c>
      <c r="CC23" s="1362"/>
      <c r="CD23" s="1362"/>
      <c r="CE23" s="1362"/>
      <c r="CF23" s="1362"/>
      <c r="CG23" s="1362"/>
      <c r="CH23" s="1363">
        <f t="shared" si="2"/>
        <v>0</v>
      </c>
      <c r="CI23" s="1346"/>
      <c r="CJ23" s="1346"/>
      <c r="CK23" s="1346"/>
      <c r="CL23" s="1346"/>
      <c r="CM23" s="1346"/>
      <c r="CN23" s="1346"/>
      <c r="CO23" s="1346"/>
      <c r="CP23" s="1346"/>
    </row>
    <row r="24" spans="1:94" x14ac:dyDescent="0.25">
      <c r="A24" s="2458">
        <v>27300902</v>
      </c>
      <c r="B24" s="6684"/>
      <c r="C24" s="5158" t="s">
        <v>1778</v>
      </c>
      <c r="D24" s="1369" t="s">
        <v>1779</v>
      </c>
      <c r="E24" s="1351" t="s">
        <v>2777</v>
      </c>
      <c r="F24" s="170" t="s">
        <v>2778</v>
      </c>
      <c r="G24" s="97" t="s">
        <v>2779</v>
      </c>
      <c r="H24" s="585" t="s">
        <v>2780</v>
      </c>
      <c r="I24" s="585" t="s">
        <v>2781</v>
      </c>
      <c r="J24" s="518" t="s">
        <v>2782</v>
      </c>
      <c r="K24" s="159" t="s">
        <v>2783</v>
      </c>
      <c r="L24" s="98" t="s">
        <v>2784</v>
      </c>
      <c r="M24" s="98" t="s">
        <v>2785</v>
      </c>
      <c r="N24" s="98" t="s">
        <v>2786</v>
      </c>
      <c r="O24" s="98" t="s">
        <v>2787</v>
      </c>
      <c r="P24" s="98" t="s">
        <v>2788</v>
      </c>
      <c r="Q24" s="98" t="s">
        <v>2789</v>
      </c>
      <c r="R24" s="98" t="s">
        <v>2790</v>
      </c>
      <c r="S24" s="98" t="s">
        <v>2791</v>
      </c>
      <c r="T24" s="98" t="s">
        <v>2792</v>
      </c>
      <c r="U24" s="98" t="s">
        <v>2793</v>
      </c>
      <c r="V24" s="98" t="s">
        <v>2794</v>
      </c>
      <c r="W24" s="98" t="s">
        <v>2795</v>
      </c>
      <c r="X24" s="98" t="s">
        <v>2796</v>
      </c>
      <c r="Y24" s="1357" t="s">
        <v>2797</v>
      </c>
      <c r="Z24" s="1370" t="s">
        <v>2798</v>
      </c>
      <c r="AA24" s="1359" t="s">
        <v>2799</v>
      </c>
      <c r="AB24" s="1331" t="s">
        <v>2800</v>
      </c>
      <c r="AC24" s="1360" t="s">
        <v>2801</v>
      </c>
      <c r="AD24" s="1360" t="s">
        <v>2817</v>
      </c>
      <c r="AE24" s="1165" t="str">
        <f t="shared" si="0"/>
        <v/>
      </c>
      <c r="AF24" s="1085"/>
      <c r="AG24" s="1085"/>
      <c r="AH24" s="1085"/>
      <c r="AI24" s="1085"/>
      <c r="AJ24" s="1085"/>
      <c r="AK24" s="1085"/>
      <c r="AL24" s="1085"/>
      <c r="AM24" s="1085"/>
      <c r="AN24" s="1085"/>
      <c r="AO24" s="1085"/>
      <c r="AP24" s="1085"/>
      <c r="AQ24" s="884"/>
      <c r="AR24" s="884"/>
      <c r="AS24" s="884"/>
      <c r="CB24" s="1362" t="str">
        <f t="shared" si="1"/>
        <v/>
      </c>
      <c r="CC24" s="1362"/>
      <c r="CD24" s="1362"/>
      <c r="CE24" s="1362"/>
      <c r="CF24" s="1362"/>
      <c r="CG24" s="1362"/>
      <c r="CH24" s="1363">
        <f t="shared" si="2"/>
        <v>0</v>
      </c>
      <c r="CI24" s="1346"/>
      <c r="CJ24" s="1346"/>
      <c r="CK24" s="1346"/>
      <c r="CL24" s="1346"/>
      <c r="CM24" s="1346"/>
      <c r="CN24" s="1346"/>
      <c r="CO24" s="1346"/>
      <c r="CP24" s="1346"/>
    </row>
    <row r="25" spans="1:94" x14ac:dyDescent="0.25">
      <c r="A25" s="2458">
        <v>27300903</v>
      </c>
      <c r="B25" s="6684"/>
      <c r="C25" s="5113"/>
      <c r="D25" s="1327" t="s">
        <v>1780</v>
      </c>
      <c r="E25" s="113" t="s">
        <v>2777</v>
      </c>
      <c r="F25" s="141" t="s">
        <v>2778</v>
      </c>
      <c r="G25" s="142" t="s">
        <v>2779</v>
      </c>
      <c r="H25" s="142" t="s">
        <v>2780</v>
      </c>
      <c r="I25" s="1371" t="s">
        <v>2781</v>
      </c>
      <c r="J25" s="118" t="s">
        <v>2782</v>
      </c>
      <c r="K25" s="161" t="s">
        <v>2783</v>
      </c>
      <c r="L25" s="145" t="s">
        <v>2784</v>
      </c>
      <c r="M25" s="145" t="s">
        <v>2785</v>
      </c>
      <c r="N25" s="145" t="s">
        <v>2786</v>
      </c>
      <c r="O25" s="145" t="s">
        <v>2787</v>
      </c>
      <c r="P25" s="145" t="s">
        <v>2788</v>
      </c>
      <c r="Q25" s="145" t="s">
        <v>2789</v>
      </c>
      <c r="R25" s="145" t="s">
        <v>2790</v>
      </c>
      <c r="S25" s="145" t="s">
        <v>2791</v>
      </c>
      <c r="T25" s="145" t="s">
        <v>2792</v>
      </c>
      <c r="U25" s="145" t="s">
        <v>2793</v>
      </c>
      <c r="V25" s="145" t="s">
        <v>2794</v>
      </c>
      <c r="W25" s="145" t="s">
        <v>2795</v>
      </c>
      <c r="X25" s="145" t="s">
        <v>2796</v>
      </c>
      <c r="Y25" s="1372" t="s">
        <v>2797</v>
      </c>
      <c r="Z25" s="1373" t="s">
        <v>2798</v>
      </c>
      <c r="AA25" s="1374" t="s">
        <v>2799</v>
      </c>
      <c r="AB25" s="240" t="s">
        <v>2800</v>
      </c>
      <c r="AC25" s="258" t="s">
        <v>2801</v>
      </c>
      <c r="AD25" s="258" t="s">
        <v>2817</v>
      </c>
      <c r="AE25" s="1165" t="str">
        <f t="shared" si="0"/>
        <v/>
      </c>
      <c r="AF25" s="1085"/>
      <c r="AG25" s="1085"/>
      <c r="AH25" s="1085"/>
      <c r="AI25" s="1085"/>
      <c r="AJ25" s="1085"/>
      <c r="AK25" s="1085"/>
      <c r="AL25" s="1085"/>
      <c r="AM25" s="1085"/>
      <c r="AN25" s="1085"/>
      <c r="AO25" s="1085"/>
      <c r="AP25" s="1085"/>
      <c r="AQ25" s="884"/>
      <c r="AR25" s="884"/>
      <c r="AS25" s="884"/>
      <c r="CB25" s="1362" t="str">
        <f t="shared" si="1"/>
        <v/>
      </c>
      <c r="CC25" s="1362"/>
      <c r="CD25" s="1362"/>
      <c r="CE25" s="1362"/>
      <c r="CF25" s="1362"/>
      <c r="CG25" s="1362"/>
      <c r="CH25" s="1363">
        <f t="shared" si="2"/>
        <v>0</v>
      </c>
      <c r="CI25" s="1346"/>
      <c r="CJ25" s="1346"/>
      <c r="CK25" s="1346"/>
      <c r="CL25" s="1346"/>
      <c r="CM25" s="1346"/>
      <c r="CN25" s="1346"/>
      <c r="CO25" s="1346"/>
      <c r="CP25" s="1346"/>
    </row>
    <row r="26" spans="1:94" x14ac:dyDescent="0.25">
      <c r="A26" s="2458">
        <v>27300904</v>
      </c>
      <c r="B26" s="6684"/>
      <c r="C26" s="5424"/>
      <c r="D26" s="1313" t="s">
        <v>318</v>
      </c>
      <c r="E26" s="100" t="s">
        <v>2777</v>
      </c>
      <c r="F26" s="166" t="s">
        <v>2778</v>
      </c>
      <c r="G26" s="277" t="s">
        <v>2779</v>
      </c>
      <c r="H26" s="277" t="s">
        <v>2780</v>
      </c>
      <c r="I26" s="599" t="s">
        <v>2781</v>
      </c>
      <c r="J26" s="104" t="s">
        <v>2782</v>
      </c>
      <c r="K26" s="599" t="s">
        <v>2783</v>
      </c>
      <c r="L26" s="103" t="s">
        <v>2784</v>
      </c>
      <c r="M26" s="103" t="s">
        <v>2785</v>
      </c>
      <c r="N26" s="103" t="s">
        <v>2786</v>
      </c>
      <c r="O26" s="103" t="s">
        <v>2787</v>
      </c>
      <c r="P26" s="103" t="s">
        <v>2788</v>
      </c>
      <c r="Q26" s="103" t="s">
        <v>2789</v>
      </c>
      <c r="R26" s="103" t="s">
        <v>2790</v>
      </c>
      <c r="S26" s="103" t="s">
        <v>2791</v>
      </c>
      <c r="T26" s="103" t="s">
        <v>2792</v>
      </c>
      <c r="U26" s="103" t="s">
        <v>2793</v>
      </c>
      <c r="V26" s="103" t="s">
        <v>2794</v>
      </c>
      <c r="W26" s="103" t="s">
        <v>2795</v>
      </c>
      <c r="X26" s="103" t="s">
        <v>2796</v>
      </c>
      <c r="Y26" s="150" t="s">
        <v>2797</v>
      </c>
      <c r="Z26" s="600" t="s">
        <v>2798</v>
      </c>
      <c r="AA26" s="429" t="s">
        <v>2799</v>
      </c>
      <c r="AB26" s="168" t="s">
        <v>2800</v>
      </c>
      <c r="AC26" s="168" t="s">
        <v>2801</v>
      </c>
      <c r="AD26" s="168" t="s">
        <v>2817</v>
      </c>
      <c r="AE26" s="1165" t="str">
        <f t="shared" si="0"/>
        <v/>
      </c>
      <c r="AF26" s="1085"/>
      <c r="AG26" s="1085"/>
      <c r="AH26" s="1085"/>
      <c r="AI26" s="1085"/>
      <c r="AJ26" s="1085"/>
      <c r="AK26" s="1085"/>
      <c r="AL26" s="1085"/>
      <c r="AM26" s="1085"/>
      <c r="AN26" s="1085"/>
      <c r="AO26" s="1085"/>
      <c r="AP26" s="1085"/>
      <c r="AQ26" s="884"/>
      <c r="AR26" s="884"/>
      <c r="AS26" s="884"/>
      <c r="CB26" s="1362" t="str">
        <f t="shared" si="1"/>
        <v/>
      </c>
      <c r="CC26" s="1362"/>
      <c r="CD26" s="1362"/>
      <c r="CE26" s="1362"/>
      <c r="CF26" s="1362"/>
      <c r="CG26" s="1362"/>
      <c r="CH26" s="1363">
        <f t="shared" si="2"/>
        <v>0</v>
      </c>
      <c r="CI26" s="1346"/>
      <c r="CJ26" s="1346"/>
      <c r="CK26" s="1346"/>
      <c r="CL26" s="1346"/>
      <c r="CM26" s="1346"/>
      <c r="CN26" s="1346"/>
      <c r="CO26" s="1346"/>
      <c r="CP26" s="1346"/>
    </row>
    <row r="27" spans="1:94" x14ac:dyDescent="0.25">
      <c r="A27" s="3097">
        <v>27300700</v>
      </c>
      <c r="B27" s="6684"/>
      <c r="C27" s="5158" t="s">
        <v>1781</v>
      </c>
      <c r="D27" s="1248" t="s">
        <v>1782</v>
      </c>
      <c r="E27" s="95" t="s">
        <v>2777</v>
      </c>
      <c r="F27" s="137" t="s">
        <v>2778</v>
      </c>
      <c r="G27" s="110" t="s">
        <v>2779</v>
      </c>
      <c r="H27" s="110" t="s">
        <v>2780</v>
      </c>
      <c r="I27" s="110" t="s">
        <v>2781</v>
      </c>
      <c r="J27" s="1375" t="s">
        <v>2782</v>
      </c>
      <c r="K27" s="159" t="s">
        <v>2783</v>
      </c>
      <c r="L27" s="98" t="s">
        <v>2784</v>
      </c>
      <c r="M27" s="98" t="s">
        <v>2785</v>
      </c>
      <c r="N27" s="1376" t="s">
        <v>2786</v>
      </c>
      <c r="O27" s="1376" t="s">
        <v>2787</v>
      </c>
      <c r="P27" s="1376" t="s">
        <v>2788</v>
      </c>
      <c r="Q27" s="1376" t="s">
        <v>2789</v>
      </c>
      <c r="R27" s="1376" t="s">
        <v>2790</v>
      </c>
      <c r="S27" s="1376" t="s">
        <v>2791</v>
      </c>
      <c r="T27" s="1376" t="s">
        <v>2792</v>
      </c>
      <c r="U27" s="1376" t="s">
        <v>2793</v>
      </c>
      <c r="V27" s="1376" t="s">
        <v>2794</v>
      </c>
      <c r="W27" s="1376" t="s">
        <v>2795</v>
      </c>
      <c r="X27" s="1376" t="s">
        <v>2796</v>
      </c>
      <c r="Y27" s="1376" t="s">
        <v>2797</v>
      </c>
      <c r="Z27" s="1370" t="s">
        <v>2798</v>
      </c>
      <c r="AA27" s="1359" t="s">
        <v>2799</v>
      </c>
      <c r="AB27" s="1331" t="s">
        <v>2800</v>
      </c>
      <c r="AC27" s="1121" t="s">
        <v>2801</v>
      </c>
      <c r="AD27" s="1121" t="s">
        <v>2817</v>
      </c>
      <c r="AE27" s="1165" t="str">
        <f t="shared" si="0"/>
        <v/>
      </c>
      <c r="AF27" s="1085"/>
      <c r="AG27" s="1085"/>
      <c r="AH27" s="1085"/>
      <c r="AI27" s="1085"/>
      <c r="AJ27" s="1085"/>
      <c r="AK27" s="1085"/>
      <c r="AL27" s="1085"/>
      <c r="AM27" s="1085"/>
      <c r="AN27" s="1085"/>
      <c r="AO27" s="1085"/>
      <c r="AP27" s="1085"/>
      <c r="AQ27" s="884"/>
      <c r="AR27" s="884"/>
      <c r="AS27" s="884"/>
      <c r="CB27" s="1362" t="str">
        <f t="shared" si="1"/>
        <v/>
      </c>
      <c r="CC27" s="1362"/>
      <c r="CD27" s="1362"/>
      <c r="CE27" s="1362"/>
      <c r="CF27" s="1362"/>
      <c r="CG27" s="1362"/>
      <c r="CH27" s="1363">
        <f t="shared" si="2"/>
        <v>0</v>
      </c>
      <c r="CI27" s="1346"/>
      <c r="CJ27" s="1346"/>
      <c r="CK27" s="1346"/>
      <c r="CL27" s="1346"/>
      <c r="CM27" s="1346"/>
      <c r="CN27" s="1346"/>
      <c r="CO27" s="1346"/>
      <c r="CP27" s="1346"/>
    </row>
    <row r="28" spans="1:94" x14ac:dyDescent="0.25">
      <c r="A28" s="2458">
        <v>27400100</v>
      </c>
      <c r="B28" s="6684"/>
      <c r="C28" s="5113"/>
      <c r="D28" s="1312" t="s">
        <v>1783</v>
      </c>
      <c r="E28" s="140" t="s">
        <v>2777</v>
      </c>
      <c r="F28" s="599" t="s">
        <v>2778</v>
      </c>
      <c r="G28" s="599" t="s">
        <v>2779</v>
      </c>
      <c r="H28" s="599" t="s">
        <v>2780</v>
      </c>
      <c r="I28" s="599" t="s">
        <v>2781</v>
      </c>
      <c r="J28" s="198" t="s">
        <v>2782</v>
      </c>
      <c r="K28" s="180" t="s">
        <v>2783</v>
      </c>
      <c r="L28" s="145" t="s">
        <v>2784</v>
      </c>
      <c r="M28" s="145" t="s">
        <v>2785</v>
      </c>
      <c r="N28" s="1368" t="s">
        <v>2786</v>
      </c>
      <c r="O28" s="1368" t="s">
        <v>2787</v>
      </c>
      <c r="P28" s="1368" t="s">
        <v>2788</v>
      </c>
      <c r="Q28" s="1368" t="s">
        <v>2789</v>
      </c>
      <c r="R28" s="1368" t="s">
        <v>2790</v>
      </c>
      <c r="S28" s="1368" t="s">
        <v>2791</v>
      </c>
      <c r="T28" s="1368" t="s">
        <v>2792</v>
      </c>
      <c r="U28" s="1368" t="s">
        <v>2793</v>
      </c>
      <c r="V28" s="1368" t="s">
        <v>2794</v>
      </c>
      <c r="W28" s="1368" t="s">
        <v>2795</v>
      </c>
      <c r="X28" s="1368" t="s">
        <v>2796</v>
      </c>
      <c r="Y28" s="1368" t="s">
        <v>2797</v>
      </c>
      <c r="Z28" s="1373" t="s">
        <v>2798</v>
      </c>
      <c r="AA28" s="1374" t="s">
        <v>2799</v>
      </c>
      <c r="AB28" s="240" t="s">
        <v>2800</v>
      </c>
      <c r="AC28" s="198" t="s">
        <v>2801</v>
      </c>
      <c r="AD28" s="198" t="s">
        <v>2817</v>
      </c>
      <c r="AE28" s="1165" t="str">
        <f t="shared" si="0"/>
        <v/>
      </c>
      <c r="AF28" s="1085"/>
      <c r="AG28" s="1085"/>
      <c r="AH28" s="1085"/>
      <c r="AI28" s="1085"/>
      <c r="AJ28" s="1085"/>
      <c r="AK28" s="1085"/>
      <c r="AL28" s="1085"/>
      <c r="AM28" s="1085"/>
      <c r="AN28" s="1085"/>
      <c r="AO28" s="1085"/>
      <c r="AP28" s="1085"/>
      <c r="AQ28" s="884"/>
      <c r="AR28" s="884"/>
      <c r="AS28" s="884"/>
      <c r="CB28" s="1362" t="str">
        <f t="shared" si="1"/>
        <v/>
      </c>
      <c r="CC28" s="1362"/>
      <c r="CD28" s="1362"/>
      <c r="CE28" s="1362"/>
      <c r="CF28" s="1362"/>
      <c r="CG28" s="1362"/>
      <c r="CH28" s="1363">
        <f t="shared" si="2"/>
        <v>0</v>
      </c>
      <c r="CI28" s="1346"/>
      <c r="CJ28" s="1346"/>
      <c r="CK28" s="1346"/>
      <c r="CL28" s="1346"/>
      <c r="CM28" s="1346"/>
      <c r="CN28" s="1346"/>
      <c r="CO28" s="1346"/>
      <c r="CP28" s="1346"/>
    </row>
    <row r="29" spans="1:94" x14ac:dyDescent="0.25">
      <c r="A29" s="2458">
        <v>27400150</v>
      </c>
      <c r="B29" s="6684"/>
      <c r="C29" s="5424"/>
      <c r="D29" s="1313" t="s">
        <v>318</v>
      </c>
      <c r="E29" s="100" t="s">
        <v>2777</v>
      </c>
      <c r="F29" s="166" t="s">
        <v>2778</v>
      </c>
      <c r="G29" s="102" t="s">
        <v>2779</v>
      </c>
      <c r="H29" s="102" t="s">
        <v>2780</v>
      </c>
      <c r="I29" s="102" t="s">
        <v>2781</v>
      </c>
      <c r="J29" s="168" t="s">
        <v>2782</v>
      </c>
      <c r="K29" s="599" t="s">
        <v>2783</v>
      </c>
      <c r="L29" s="103" t="s">
        <v>2784</v>
      </c>
      <c r="M29" s="103" t="s">
        <v>2785</v>
      </c>
      <c r="N29" s="150" t="s">
        <v>2786</v>
      </c>
      <c r="O29" s="150" t="s">
        <v>2787</v>
      </c>
      <c r="P29" s="150" t="s">
        <v>2788</v>
      </c>
      <c r="Q29" s="150" t="s">
        <v>2789</v>
      </c>
      <c r="R29" s="150" t="s">
        <v>2790</v>
      </c>
      <c r="S29" s="150" t="s">
        <v>2791</v>
      </c>
      <c r="T29" s="150" t="s">
        <v>2792</v>
      </c>
      <c r="U29" s="150" t="s">
        <v>2793</v>
      </c>
      <c r="V29" s="150" t="s">
        <v>2794</v>
      </c>
      <c r="W29" s="150" t="s">
        <v>2795</v>
      </c>
      <c r="X29" s="150" t="s">
        <v>2796</v>
      </c>
      <c r="Y29" s="150" t="s">
        <v>2797</v>
      </c>
      <c r="Z29" s="600" t="s">
        <v>2798</v>
      </c>
      <c r="AA29" s="429" t="s">
        <v>2799</v>
      </c>
      <c r="AB29" s="168" t="s">
        <v>2800</v>
      </c>
      <c r="AC29" s="168" t="s">
        <v>2801</v>
      </c>
      <c r="AD29" s="168" t="s">
        <v>2817</v>
      </c>
      <c r="AE29" s="1165" t="str">
        <f t="shared" si="0"/>
        <v/>
      </c>
      <c r="AF29" s="1085"/>
      <c r="AG29" s="1085"/>
      <c r="AH29" s="1085"/>
      <c r="AI29" s="1085"/>
      <c r="AJ29" s="1085"/>
      <c r="AK29" s="1085"/>
      <c r="AL29" s="1085"/>
      <c r="AM29" s="1085"/>
      <c r="AN29" s="1085"/>
      <c r="AO29" s="1085"/>
      <c r="AP29" s="1085"/>
      <c r="AQ29" s="884"/>
      <c r="AR29" s="884"/>
      <c r="AS29" s="884"/>
      <c r="CB29" s="1362" t="str">
        <f t="shared" si="1"/>
        <v/>
      </c>
      <c r="CC29" s="1362"/>
      <c r="CD29" s="1362"/>
      <c r="CE29" s="1362"/>
      <c r="CF29" s="1362"/>
      <c r="CG29" s="1362"/>
      <c r="CH29" s="1363">
        <f t="shared" si="2"/>
        <v>0</v>
      </c>
      <c r="CI29" s="1346"/>
      <c r="CJ29" s="1346"/>
      <c r="CK29" s="1346"/>
      <c r="CL29" s="1346"/>
      <c r="CM29" s="1346"/>
      <c r="CN29" s="1346"/>
      <c r="CO29" s="1346"/>
      <c r="CP29" s="1346"/>
    </row>
    <row r="30" spans="1:94" x14ac:dyDescent="0.25">
      <c r="A30" s="3097">
        <v>27290700</v>
      </c>
      <c r="B30" s="6684"/>
      <c r="C30" s="5267" t="s">
        <v>1784</v>
      </c>
      <c r="D30" s="5268"/>
      <c r="E30" s="140" t="s">
        <v>2777</v>
      </c>
      <c r="F30" s="141" t="s">
        <v>2778</v>
      </c>
      <c r="G30" s="142" t="s">
        <v>2779</v>
      </c>
      <c r="H30" s="142" t="s">
        <v>2780</v>
      </c>
      <c r="I30" s="142" t="s">
        <v>2781</v>
      </c>
      <c r="J30" s="198" t="s">
        <v>2782</v>
      </c>
      <c r="K30" s="180" t="s">
        <v>2783</v>
      </c>
      <c r="L30" s="142" t="s">
        <v>2784</v>
      </c>
      <c r="M30" s="142" t="s">
        <v>2785</v>
      </c>
      <c r="N30" s="247" t="s">
        <v>2786</v>
      </c>
      <c r="O30" s="247" t="s">
        <v>2787</v>
      </c>
      <c r="P30" s="247" t="s">
        <v>2788</v>
      </c>
      <c r="Q30" s="247" t="s">
        <v>2789</v>
      </c>
      <c r="R30" s="247" t="s">
        <v>2790</v>
      </c>
      <c r="S30" s="247" t="s">
        <v>2791</v>
      </c>
      <c r="T30" s="247" t="s">
        <v>2792</v>
      </c>
      <c r="U30" s="247" t="s">
        <v>2793</v>
      </c>
      <c r="V30" s="247" t="s">
        <v>2794</v>
      </c>
      <c r="W30" s="247" t="s">
        <v>2795</v>
      </c>
      <c r="X30" s="247" t="s">
        <v>2796</v>
      </c>
      <c r="Y30" s="247" t="s">
        <v>2797</v>
      </c>
      <c r="Z30" s="592" t="s">
        <v>2798</v>
      </c>
      <c r="AA30" s="318" t="s">
        <v>2799</v>
      </c>
      <c r="AB30" s="198" t="s">
        <v>2800</v>
      </c>
      <c r="AC30" s="240" t="s">
        <v>2801</v>
      </c>
      <c r="AD30" s="198" t="s">
        <v>2817</v>
      </c>
      <c r="AE30" s="1165" t="str">
        <f t="shared" si="0"/>
        <v/>
      </c>
      <c r="AF30" s="1085"/>
      <c r="AG30" s="1085"/>
      <c r="AH30" s="1085"/>
      <c r="AI30" s="1085"/>
      <c r="AJ30" s="1085"/>
      <c r="AK30" s="1085"/>
      <c r="AL30" s="1085"/>
      <c r="AM30" s="1085"/>
      <c r="AN30" s="1085"/>
      <c r="AO30" s="1085"/>
      <c r="AP30" s="1085"/>
      <c r="AQ30" s="884"/>
      <c r="AR30" s="884"/>
      <c r="AS30" s="884"/>
      <c r="CB30" s="1362" t="str">
        <f t="shared" si="1"/>
        <v/>
      </c>
      <c r="CC30" s="1362"/>
      <c r="CD30" s="1362"/>
      <c r="CE30" s="1362"/>
      <c r="CF30" s="1362"/>
      <c r="CG30" s="1362"/>
      <c r="CH30" s="1363">
        <f t="shared" si="2"/>
        <v>0</v>
      </c>
      <c r="CI30" s="1346"/>
      <c r="CJ30" s="1346"/>
      <c r="CK30" s="1346"/>
      <c r="CL30" s="1346"/>
      <c r="CM30" s="1346"/>
      <c r="CN30" s="1346"/>
      <c r="CO30" s="1346"/>
      <c r="CP30" s="1346"/>
    </row>
    <row r="31" spans="1:94" x14ac:dyDescent="0.25">
      <c r="A31" s="2458">
        <v>27300919</v>
      </c>
      <c r="B31" s="6684"/>
      <c r="C31" s="5711" t="s">
        <v>1785</v>
      </c>
      <c r="D31" s="1317" t="s">
        <v>1786</v>
      </c>
      <c r="E31" s="140" t="s">
        <v>2777</v>
      </c>
      <c r="F31" s="141" t="s">
        <v>2778</v>
      </c>
      <c r="G31" s="142" t="s">
        <v>2779</v>
      </c>
      <c r="H31" s="142" t="s">
        <v>2780</v>
      </c>
      <c r="I31" s="142" t="s">
        <v>2781</v>
      </c>
      <c r="J31" s="198" t="s">
        <v>2782</v>
      </c>
      <c r="K31" s="180" t="s">
        <v>2783</v>
      </c>
      <c r="L31" s="142" t="s">
        <v>2784</v>
      </c>
      <c r="M31" s="142" t="s">
        <v>2785</v>
      </c>
      <c r="N31" s="247" t="s">
        <v>2786</v>
      </c>
      <c r="O31" s="247" t="s">
        <v>2787</v>
      </c>
      <c r="P31" s="247" t="s">
        <v>2788</v>
      </c>
      <c r="Q31" s="247" t="s">
        <v>2789</v>
      </c>
      <c r="R31" s="247" t="s">
        <v>2790</v>
      </c>
      <c r="S31" s="247" t="s">
        <v>2791</v>
      </c>
      <c r="T31" s="247" t="s">
        <v>2792</v>
      </c>
      <c r="U31" s="247" t="s">
        <v>2793</v>
      </c>
      <c r="V31" s="247" t="s">
        <v>2794</v>
      </c>
      <c r="W31" s="247" t="s">
        <v>2795</v>
      </c>
      <c r="X31" s="247" t="s">
        <v>2796</v>
      </c>
      <c r="Y31" s="247" t="s">
        <v>2797</v>
      </c>
      <c r="Z31" s="592" t="s">
        <v>2798</v>
      </c>
      <c r="AA31" s="318" t="s">
        <v>2799</v>
      </c>
      <c r="AB31" s="198" t="s">
        <v>2800</v>
      </c>
      <c r="AC31" s="198" t="s">
        <v>2801</v>
      </c>
      <c r="AD31" s="198" t="s">
        <v>2817</v>
      </c>
      <c r="AE31" s="1165" t="str">
        <f t="shared" si="0"/>
        <v/>
      </c>
      <c r="AF31" s="1085"/>
      <c r="AG31" s="1085"/>
      <c r="AH31" s="1085"/>
      <c r="AI31" s="1085"/>
      <c r="AJ31" s="1085"/>
      <c r="AK31" s="1085"/>
      <c r="AL31" s="1085"/>
      <c r="AM31" s="1085"/>
      <c r="AN31" s="1085"/>
      <c r="AO31" s="1085"/>
      <c r="AP31" s="1085"/>
      <c r="AQ31" s="884"/>
      <c r="AR31" s="884"/>
      <c r="AS31" s="884"/>
      <c r="CB31" s="1362" t="str">
        <f t="shared" si="1"/>
        <v/>
      </c>
      <c r="CC31" s="1362"/>
      <c r="CD31" s="1362"/>
      <c r="CE31" s="1362"/>
      <c r="CF31" s="1362"/>
      <c r="CG31" s="1362"/>
      <c r="CH31" s="1363">
        <f t="shared" si="2"/>
        <v>0</v>
      </c>
      <c r="CI31" s="1346"/>
      <c r="CJ31" s="1346"/>
      <c r="CK31" s="1346"/>
      <c r="CL31" s="1346"/>
      <c r="CM31" s="1346"/>
      <c r="CN31" s="1346"/>
      <c r="CO31" s="1346"/>
      <c r="CP31" s="1346"/>
    </row>
    <row r="32" spans="1:94" x14ac:dyDescent="0.25">
      <c r="A32" s="2458">
        <v>27300920</v>
      </c>
      <c r="B32" s="6684"/>
      <c r="C32" s="5711"/>
      <c r="D32" s="1377" t="s">
        <v>1787</v>
      </c>
      <c r="E32" s="140" t="s">
        <v>2777</v>
      </c>
      <c r="F32" s="141" t="s">
        <v>2778</v>
      </c>
      <c r="G32" s="142" t="s">
        <v>2779</v>
      </c>
      <c r="H32" s="142" t="s">
        <v>2780</v>
      </c>
      <c r="I32" s="142" t="s">
        <v>2781</v>
      </c>
      <c r="J32" s="198" t="s">
        <v>2782</v>
      </c>
      <c r="K32" s="180" t="s">
        <v>2783</v>
      </c>
      <c r="L32" s="142" t="s">
        <v>2784</v>
      </c>
      <c r="M32" s="142" t="s">
        <v>2785</v>
      </c>
      <c r="N32" s="247" t="s">
        <v>2786</v>
      </c>
      <c r="O32" s="247" t="s">
        <v>2787</v>
      </c>
      <c r="P32" s="247" t="s">
        <v>2788</v>
      </c>
      <c r="Q32" s="247" t="s">
        <v>2789</v>
      </c>
      <c r="R32" s="247" t="s">
        <v>2790</v>
      </c>
      <c r="S32" s="247" t="s">
        <v>2791</v>
      </c>
      <c r="T32" s="247" t="s">
        <v>2792</v>
      </c>
      <c r="U32" s="247" t="s">
        <v>2793</v>
      </c>
      <c r="V32" s="247" t="s">
        <v>2794</v>
      </c>
      <c r="W32" s="247" t="s">
        <v>2795</v>
      </c>
      <c r="X32" s="247" t="s">
        <v>2796</v>
      </c>
      <c r="Y32" s="247" t="s">
        <v>2797</v>
      </c>
      <c r="Z32" s="592" t="s">
        <v>2798</v>
      </c>
      <c r="AA32" s="318" t="s">
        <v>2799</v>
      </c>
      <c r="AB32" s="198" t="s">
        <v>2800</v>
      </c>
      <c r="AC32" s="198" t="s">
        <v>2801</v>
      </c>
      <c r="AD32" s="198" t="s">
        <v>2817</v>
      </c>
      <c r="AE32" s="1165" t="str">
        <f t="shared" si="0"/>
        <v/>
      </c>
      <c r="AF32" s="1085"/>
      <c r="AG32" s="1085"/>
      <c r="AH32" s="1085"/>
      <c r="AI32" s="1085"/>
      <c r="AJ32" s="1085"/>
      <c r="AK32" s="1085"/>
      <c r="AL32" s="1085"/>
      <c r="AM32" s="1085"/>
      <c r="AN32" s="1085"/>
      <c r="AO32" s="1085"/>
      <c r="AP32" s="1085"/>
      <c r="AQ32" s="884"/>
      <c r="AR32" s="884"/>
      <c r="AS32" s="884"/>
      <c r="CB32" s="1362" t="str">
        <f t="shared" si="1"/>
        <v/>
      </c>
      <c r="CC32" s="1362"/>
      <c r="CD32" s="1362"/>
      <c r="CE32" s="1362"/>
      <c r="CF32" s="1362"/>
      <c r="CG32" s="1362"/>
      <c r="CH32" s="1363">
        <f t="shared" si="2"/>
        <v>0</v>
      </c>
      <c r="CI32" s="1346"/>
      <c r="CJ32" s="1346"/>
      <c r="CK32" s="1346"/>
      <c r="CL32" s="1346"/>
      <c r="CM32" s="1346"/>
      <c r="CN32" s="1346"/>
      <c r="CO32" s="1346"/>
      <c r="CP32" s="1346"/>
    </row>
    <row r="33" spans="1:94" x14ac:dyDescent="0.25">
      <c r="A33" s="2458">
        <v>27300921</v>
      </c>
      <c r="B33" s="6684"/>
      <c r="C33" s="6664" t="s">
        <v>2705</v>
      </c>
      <c r="D33" s="6664"/>
      <c r="E33" s="140" t="s">
        <v>2777</v>
      </c>
      <c r="F33" s="141" t="s">
        <v>2778</v>
      </c>
      <c r="G33" s="142" t="s">
        <v>2779</v>
      </c>
      <c r="H33" s="142" t="s">
        <v>2780</v>
      </c>
      <c r="I33" s="142" t="s">
        <v>2781</v>
      </c>
      <c r="J33" s="198" t="s">
        <v>2782</v>
      </c>
      <c r="K33" s="180" t="s">
        <v>2783</v>
      </c>
      <c r="L33" s="142" t="s">
        <v>2784</v>
      </c>
      <c r="M33" s="142" t="s">
        <v>2785</v>
      </c>
      <c r="N33" s="247" t="s">
        <v>2786</v>
      </c>
      <c r="O33" s="247" t="s">
        <v>2787</v>
      </c>
      <c r="P33" s="247" t="s">
        <v>2788</v>
      </c>
      <c r="Q33" s="247" t="s">
        <v>2789</v>
      </c>
      <c r="R33" s="247" t="s">
        <v>2790</v>
      </c>
      <c r="S33" s="247" t="s">
        <v>2791</v>
      </c>
      <c r="T33" s="247" t="s">
        <v>2792</v>
      </c>
      <c r="U33" s="247" t="s">
        <v>2793</v>
      </c>
      <c r="V33" s="247" t="s">
        <v>2794</v>
      </c>
      <c r="W33" s="247" t="s">
        <v>2795</v>
      </c>
      <c r="X33" s="247" t="s">
        <v>2796</v>
      </c>
      <c r="Y33" s="247" t="s">
        <v>2797</v>
      </c>
      <c r="Z33" s="592" t="s">
        <v>2798</v>
      </c>
      <c r="AA33" s="318" t="s">
        <v>2799</v>
      </c>
      <c r="AB33" s="198" t="s">
        <v>2800</v>
      </c>
      <c r="AC33" s="198" t="s">
        <v>2801</v>
      </c>
      <c r="AD33" s="198" t="s">
        <v>2817</v>
      </c>
      <c r="AE33" s="1165" t="str">
        <f t="shared" si="0"/>
        <v/>
      </c>
      <c r="AF33" s="1085"/>
      <c r="AG33" s="1085"/>
      <c r="AH33" s="1085"/>
      <c r="AI33" s="1085"/>
      <c r="AJ33" s="1085"/>
      <c r="AK33" s="1085"/>
      <c r="AL33" s="1085"/>
      <c r="AM33" s="1085"/>
      <c r="AN33" s="1085"/>
      <c r="AO33" s="1085"/>
      <c r="AP33" s="1085"/>
      <c r="AQ33" s="884"/>
      <c r="AR33" s="884"/>
      <c r="AS33" s="884"/>
      <c r="CB33" s="1362" t="str">
        <f t="shared" si="1"/>
        <v/>
      </c>
      <c r="CC33" s="1362"/>
      <c r="CD33" s="1362"/>
      <c r="CE33" s="1362"/>
      <c r="CF33" s="1362"/>
      <c r="CG33" s="1362"/>
      <c r="CH33" s="1363">
        <f t="shared" si="2"/>
        <v>0</v>
      </c>
      <c r="CI33" s="1346"/>
      <c r="CJ33" s="1346"/>
      <c r="CK33" s="1346"/>
      <c r="CL33" s="1346"/>
      <c r="CM33" s="1346"/>
      <c r="CN33" s="1346"/>
      <c r="CO33" s="1346"/>
      <c r="CP33" s="1346"/>
    </row>
    <row r="34" spans="1:94" x14ac:dyDescent="0.25">
      <c r="A34" s="3097">
        <v>27290301</v>
      </c>
      <c r="B34" s="6684"/>
      <c r="C34" s="6427" t="s">
        <v>1788</v>
      </c>
      <c r="D34" s="6428"/>
      <c r="E34" s="140" t="s">
        <v>2777</v>
      </c>
      <c r="F34" s="141" t="s">
        <v>2778</v>
      </c>
      <c r="G34" s="142" t="s">
        <v>2779</v>
      </c>
      <c r="H34" s="142" t="s">
        <v>2780</v>
      </c>
      <c r="I34" s="142" t="s">
        <v>2781</v>
      </c>
      <c r="J34" s="198" t="s">
        <v>2782</v>
      </c>
      <c r="K34" s="180" t="s">
        <v>2783</v>
      </c>
      <c r="L34" s="142" t="s">
        <v>2784</v>
      </c>
      <c r="M34" s="142" t="s">
        <v>2785</v>
      </c>
      <c r="N34" s="247" t="s">
        <v>2786</v>
      </c>
      <c r="O34" s="247" t="s">
        <v>2787</v>
      </c>
      <c r="P34" s="247" t="s">
        <v>2788</v>
      </c>
      <c r="Q34" s="247" t="s">
        <v>2789</v>
      </c>
      <c r="R34" s="247" t="s">
        <v>2790</v>
      </c>
      <c r="S34" s="247" t="s">
        <v>2791</v>
      </c>
      <c r="T34" s="247" t="s">
        <v>2792</v>
      </c>
      <c r="U34" s="247" t="s">
        <v>2793</v>
      </c>
      <c r="V34" s="247" t="s">
        <v>2794</v>
      </c>
      <c r="W34" s="247" t="s">
        <v>2795</v>
      </c>
      <c r="X34" s="247" t="s">
        <v>2796</v>
      </c>
      <c r="Y34" s="247" t="s">
        <v>2797</v>
      </c>
      <c r="Z34" s="592" t="s">
        <v>2798</v>
      </c>
      <c r="AA34" s="318" t="s">
        <v>2799</v>
      </c>
      <c r="AB34" s="198" t="s">
        <v>2800</v>
      </c>
      <c r="AC34" s="198" t="s">
        <v>2801</v>
      </c>
      <c r="AD34" s="198" t="s">
        <v>2817</v>
      </c>
      <c r="AE34" s="1165" t="str">
        <f t="shared" si="0"/>
        <v/>
      </c>
      <c r="AF34" s="1085"/>
      <c r="AG34" s="1085"/>
      <c r="AH34" s="1085"/>
      <c r="AI34" s="1085"/>
      <c r="AJ34" s="1085"/>
      <c r="AK34" s="1085"/>
      <c r="AL34" s="1085"/>
      <c r="AM34" s="1085"/>
      <c r="AN34" s="1085"/>
      <c r="AO34" s="1085"/>
      <c r="AP34" s="1085"/>
      <c r="AQ34" s="884"/>
      <c r="AR34" s="884"/>
      <c r="AS34" s="884"/>
      <c r="CB34" s="1362" t="str">
        <f t="shared" si="1"/>
        <v/>
      </c>
      <c r="CC34" s="1362"/>
      <c r="CD34" s="1362"/>
      <c r="CE34" s="1362"/>
      <c r="CF34" s="1362"/>
      <c r="CG34" s="1362"/>
      <c r="CH34" s="1363">
        <f t="shared" si="2"/>
        <v>0</v>
      </c>
      <c r="CI34" s="1346"/>
      <c r="CJ34" s="1346"/>
      <c r="CK34" s="1346"/>
      <c r="CL34" s="1346"/>
      <c r="CM34" s="1346"/>
      <c r="CN34" s="1346"/>
      <c r="CO34" s="1346"/>
      <c r="CP34" s="1346"/>
    </row>
    <row r="35" spans="1:94" x14ac:dyDescent="0.25">
      <c r="A35" s="2458">
        <v>27400010</v>
      </c>
      <c r="B35" s="6684"/>
      <c r="C35" s="5313" t="s">
        <v>1789</v>
      </c>
      <c r="D35" s="5303"/>
      <c r="E35" s="272" t="s">
        <v>2777</v>
      </c>
      <c r="F35" s="173" t="s">
        <v>2778</v>
      </c>
      <c r="G35" s="145" t="s">
        <v>2779</v>
      </c>
      <c r="H35" s="145" t="s">
        <v>2780</v>
      </c>
      <c r="I35" s="145" t="s">
        <v>2781</v>
      </c>
      <c r="J35" s="174" t="s">
        <v>2782</v>
      </c>
      <c r="K35" s="180" t="s">
        <v>2783</v>
      </c>
      <c r="L35" s="142" t="s">
        <v>2784</v>
      </c>
      <c r="M35" s="142" t="s">
        <v>2785</v>
      </c>
      <c r="N35" s="247" t="s">
        <v>2786</v>
      </c>
      <c r="O35" s="247" t="s">
        <v>2787</v>
      </c>
      <c r="P35" s="247" t="s">
        <v>2788</v>
      </c>
      <c r="Q35" s="247" t="s">
        <v>2789</v>
      </c>
      <c r="R35" s="247" t="s">
        <v>2790</v>
      </c>
      <c r="S35" s="247" t="s">
        <v>2791</v>
      </c>
      <c r="T35" s="247" t="s">
        <v>2792</v>
      </c>
      <c r="U35" s="1368" t="s">
        <v>2793</v>
      </c>
      <c r="V35" s="1368" t="s">
        <v>2794</v>
      </c>
      <c r="W35" s="1368" t="s">
        <v>2795</v>
      </c>
      <c r="X35" s="1368" t="s">
        <v>2796</v>
      </c>
      <c r="Y35" s="1368" t="s">
        <v>2797</v>
      </c>
      <c r="Z35" s="592" t="s">
        <v>2798</v>
      </c>
      <c r="AA35" s="318" t="s">
        <v>2799</v>
      </c>
      <c r="AB35" s="198" t="s">
        <v>2800</v>
      </c>
      <c r="AC35" s="198" t="s">
        <v>2801</v>
      </c>
      <c r="AD35" s="174" t="s">
        <v>2817</v>
      </c>
      <c r="AE35" s="1165" t="str">
        <f t="shared" si="0"/>
        <v/>
      </c>
      <c r="AF35" s="1085"/>
      <c r="AG35" s="1085"/>
      <c r="AH35" s="1085"/>
      <c r="AI35" s="1085"/>
      <c r="AJ35" s="1085"/>
      <c r="AK35" s="1085"/>
      <c r="AL35" s="1085"/>
      <c r="AM35" s="1085"/>
      <c r="AN35" s="1085"/>
      <c r="AO35" s="1085"/>
      <c r="AP35" s="1085"/>
      <c r="AQ35" s="884"/>
      <c r="AR35" s="884"/>
      <c r="AS35" s="884"/>
      <c r="CB35" s="1362" t="str">
        <f t="shared" si="1"/>
        <v/>
      </c>
      <c r="CC35" s="1362"/>
      <c r="CD35" s="1362"/>
      <c r="CE35" s="1362"/>
      <c r="CF35" s="1362"/>
      <c r="CG35" s="1362"/>
      <c r="CH35" s="1363">
        <f t="shared" si="2"/>
        <v>0</v>
      </c>
      <c r="CI35" s="1346"/>
      <c r="CJ35" s="1346"/>
      <c r="CK35" s="1346"/>
      <c r="CL35" s="1346"/>
      <c r="CM35" s="1346"/>
      <c r="CN35" s="1346"/>
      <c r="CO35" s="1346"/>
      <c r="CP35" s="1346"/>
    </row>
    <row r="36" spans="1:94" x14ac:dyDescent="0.25">
      <c r="A36" s="3097">
        <v>27281000</v>
      </c>
      <c r="B36" s="6684"/>
      <c r="C36" s="6478" t="s">
        <v>1790</v>
      </c>
      <c r="D36" s="6479"/>
      <c r="E36" s="113" t="s">
        <v>2777</v>
      </c>
      <c r="F36" s="182" t="s">
        <v>2778</v>
      </c>
      <c r="G36" s="146" t="s">
        <v>2779</v>
      </c>
      <c r="H36" s="146" t="s">
        <v>2780</v>
      </c>
      <c r="I36" s="146" t="s">
        <v>2781</v>
      </c>
      <c r="J36" s="240" t="s">
        <v>2782</v>
      </c>
      <c r="K36" s="144" t="s">
        <v>2783</v>
      </c>
      <c r="L36" s="146" t="s">
        <v>2784</v>
      </c>
      <c r="M36" s="146" t="s">
        <v>2785</v>
      </c>
      <c r="N36" s="147" t="s">
        <v>2786</v>
      </c>
      <c r="O36" s="147" t="s">
        <v>2787</v>
      </c>
      <c r="P36" s="147" t="s">
        <v>2788</v>
      </c>
      <c r="Q36" s="147" t="s">
        <v>2789</v>
      </c>
      <c r="R36" s="147" t="s">
        <v>2790</v>
      </c>
      <c r="S36" s="147" t="s">
        <v>2791</v>
      </c>
      <c r="T36" s="147" t="s">
        <v>2792</v>
      </c>
      <c r="U36" s="147" t="s">
        <v>2793</v>
      </c>
      <c r="V36" s="147" t="s">
        <v>2794</v>
      </c>
      <c r="W36" s="147" t="s">
        <v>2795</v>
      </c>
      <c r="X36" s="147" t="s">
        <v>2796</v>
      </c>
      <c r="Y36" s="147" t="s">
        <v>2797</v>
      </c>
      <c r="Z36" s="598" t="s">
        <v>2798</v>
      </c>
      <c r="AA36" s="593" t="s">
        <v>2799</v>
      </c>
      <c r="AB36" s="240" t="s">
        <v>2800</v>
      </c>
      <c r="AC36" s="198" t="s">
        <v>2801</v>
      </c>
      <c r="AD36" s="240" t="s">
        <v>2817</v>
      </c>
      <c r="AE36" s="1165" t="str">
        <f t="shared" si="0"/>
        <v/>
      </c>
      <c r="AF36" s="1085"/>
      <c r="AG36" s="1085"/>
      <c r="AH36" s="1085"/>
      <c r="AI36" s="1085"/>
      <c r="AJ36" s="1085"/>
      <c r="AK36" s="1085"/>
      <c r="AL36" s="1085"/>
      <c r="AM36" s="1085"/>
      <c r="AN36" s="1085"/>
      <c r="AO36" s="1085"/>
      <c r="AP36" s="1085"/>
      <c r="AQ36" s="884"/>
      <c r="AR36" s="884"/>
      <c r="AS36" s="884"/>
      <c r="CB36" s="1362" t="str">
        <f t="shared" si="1"/>
        <v/>
      </c>
      <c r="CC36" s="1362"/>
      <c r="CD36" s="1362"/>
      <c r="CE36" s="1362"/>
      <c r="CF36" s="1362"/>
      <c r="CG36" s="1362"/>
      <c r="CH36" s="1363">
        <f t="shared" si="2"/>
        <v>0</v>
      </c>
      <c r="CI36" s="1346"/>
      <c r="CJ36" s="1346"/>
      <c r="CK36" s="1346"/>
      <c r="CL36" s="1346"/>
      <c r="CM36" s="1346"/>
      <c r="CN36" s="1346"/>
      <c r="CO36" s="1346"/>
      <c r="CP36" s="1346"/>
    </row>
    <row r="37" spans="1:94" x14ac:dyDescent="0.25">
      <c r="A37" s="3097">
        <v>27281100</v>
      </c>
      <c r="B37" s="6684"/>
      <c r="C37" s="5158" t="s">
        <v>1791</v>
      </c>
      <c r="D37" s="1378" t="s">
        <v>1792</v>
      </c>
      <c r="E37" s="95" t="s">
        <v>2777</v>
      </c>
      <c r="F37" s="96" t="s">
        <v>2778</v>
      </c>
      <c r="G37" s="98" t="s">
        <v>2779</v>
      </c>
      <c r="H37" s="98" t="s">
        <v>2780</v>
      </c>
      <c r="I37" s="98" t="s">
        <v>2781</v>
      </c>
      <c r="J37" s="1375" t="s">
        <v>2782</v>
      </c>
      <c r="K37" s="159" t="s">
        <v>2783</v>
      </c>
      <c r="L37" s="98" t="s">
        <v>2784</v>
      </c>
      <c r="M37" s="98" t="s">
        <v>2785</v>
      </c>
      <c r="N37" s="98" t="s">
        <v>2786</v>
      </c>
      <c r="O37" s="98" t="s">
        <v>2787</v>
      </c>
      <c r="P37" s="98" t="s">
        <v>2788</v>
      </c>
      <c r="Q37" s="98" t="s">
        <v>2789</v>
      </c>
      <c r="R37" s="98" t="s">
        <v>2790</v>
      </c>
      <c r="S37" s="98" t="s">
        <v>2791</v>
      </c>
      <c r="T37" s="98" t="s">
        <v>2792</v>
      </c>
      <c r="U37" s="98" t="s">
        <v>2793</v>
      </c>
      <c r="V37" s="268" t="s">
        <v>2794</v>
      </c>
      <c r="W37" s="268" t="s">
        <v>2795</v>
      </c>
      <c r="X37" s="268" t="s">
        <v>2796</v>
      </c>
      <c r="Y37" s="268" t="s">
        <v>2797</v>
      </c>
      <c r="Z37" s="601" t="s">
        <v>2798</v>
      </c>
      <c r="AA37" s="602" t="s">
        <v>2799</v>
      </c>
      <c r="AB37" s="1375" t="s">
        <v>2800</v>
      </c>
      <c r="AC37" s="1375" t="s">
        <v>2801</v>
      </c>
      <c r="AD37" s="1375" t="s">
        <v>2817</v>
      </c>
      <c r="AE37" s="1057"/>
      <c r="AF37" s="1085"/>
      <c r="AG37" s="1085"/>
      <c r="AH37" s="1085"/>
      <c r="AI37" s="1085"/>
      <c r="AJ37" s="1085"/>
      <c r="AK37" s="1085"/>
      <c r="AL37" s="1085"/>
      <c r="AM37" s="1085"/>
      <c r="AN37" s="1085"/>
      <c r="AO37" s="1085"/>
      <c r="AP37" s="1085"/>
      <c r="AQ37" s="884"/>
      <c r="AR37" s="884"/>
      <c r="AS37" s="884"/>
      <c r="CH37" s="1346"/>
      <c r="CI37" s="1346"/>
      <c r="CJ37" s="1346"/>
      <c r="CK37" s="1346"/>
      <c r="CL37" s="1346"/>
      <c r="CM37" s="1346"/>
      <c r="CN37" s="1346"/>
      <c r="CO37" s="1346"/>
      <c r="CP37" s="1346"/>
    </row>
    <row r="38" spans="1:94" x14ac:dyDescent="0.25">
      <c r="A38" s="3097">
        <v>27281200</v>
      </c>
      <c r="B38" s="6684"/>
      <c r="C38" s="5113"/>
      <c r="D38" s="1379" t="s">
        <v>1793</v>
      </c>
      <c r="E38" s="140" t="s">
        <v>2777</v>
      </c>
      <c r="F38" s="173" t="s">
        <v>2778</v>
      </c>
      <c r="G38" s="145" t="s">
        <v>2779</v>
      </c>
      <c r="H38" s="145" t="s">
        <v>2780</v>
      </c>
      <c r="I38" s="145" t="s">
        <v>2781</v>
      </c>
      <c r="J38" s="174" t="s">
        <v>2782</v>
      </c>
      <c r="K38" s="161" t="s">
        <v>2783</v>
      </c>
      <c r="L38" s="145" t="s">
        <v>2784</v>
      </c>
      <c r="M38" s="145" t="s">
        <v>2785</v>
      </c>
      <c r="N38" s="145" t="s">
        <v>2786</v>
      </c>
      <c r="O38" s="145" t="s">
        <v>2787</v>
      </c>
      <c r="P38" s="145" t="s">
        <v>2788</v>
      </c>
      <c r="Q38" s="145" t="s">
        <v>2789</v>
      </c>
      <c r="R38" s="145" t="s">
        <v>2790</v>
      </c>
      <c r="S38" s="145" t="s">
        <v>2791</v>
      </c>
      <c r="T38" s="145" t="s">
        <v>2792</v>
      </c>
      <c r="U38" s="145" t="s">
        <v>2793</v>
      </c>
      <c r="V38" s="247" t="s">
        <v>2794</v>
      </c>
      <c r="W38" s="247" t="s">
        <v>2795</v>
      </c>
      <c r="X38" s="247" t="s">
        <v>2796</v>
      </c>
      <c r="Y38" s="247" t="s">
        <v>2797</v>
      </c>
      <c r="Z38" s="603" t="s">
        <v>2798</v>
      </c>
      <c r="AA38" s="507" t="s">
        <v>2799</v>
      </c>
      <c r="AB38" s="174" t="s">
        <v>2800</v>
      </c>
      <c r="AC38" s="174" t="s">
        <v>2801</v>
      </c>
      <c r="AD38" s="174" t="s">
        <v>2817</v>
      </c>
      <c r="AE38" s="1057"/>
      <c r="AF38" s="1085"/>
      <c r="AG38" s="1085"/>
      <c r="AH38" s="1085"/>
      <c r="AI38" s="1085"/>
      <c r="AJ38" s="1085"/>
      <c r="AK38" s="1085"/>
      <c r="AL38" s="1085"/>
      <c r="AM38" s="1085"/>
      <c r="AN38" s="1085"/>
      <c r="AO38" s="1085"/>
      <c r="AP38" s="1085"/>
      <c r="AQ38" s="884"/>
      <c r="AR38" s="884"/>
      <c r="AS38" s="884"/>
      <c r="CH38" s="1346"/>
      <c r="CI38" s="1346"/>
      <c r="CJ38" s="1346"/>
      <c r="CK38" s="1346"/>
      <c r="CL38" s="1346"/>
      <c r="CM38" s="1346"/>
      <c r="CN38" s="1346"/>
      <c r="CO38" s="1346"/>
      <c r="CP38" s="1346"/>
    </row>
    <row r="39" spans="1:94" ht="22.5" x14ac:dyDescent="0.25">
      <c r="A39" s="3097">
        <v>27281300</v>
      </c>
      <c r="B39" s="6684"/>
      <c r="C39" s="5424"/>
      <c r="D39" s="1380" t="s">
        <v>1794</v>
      </c>
      <c r="E39" s="100" t="s">
        <v>2777</v>
      </c>
      <c r="F39" s="101" t="s">
        <v>2778</v>
      </c>
      <c r="G39" s="103" t="s">
        <v>2779</v>
      </c>
      <c r="H39" s="103" t="s">
        <v>2780</v>
      </c>
      <c r="I39" s="103" t="s">
        <v>2781</v>
      </c>
      <c r="J39" s="169" t="s">
        <v>2782</v>
      </c>
      <c r="K39" s="599" t="s">
        <v>2783</v>
      </c>
      <c r="L39" s="103" t="s">
        <v>2784</v>
      </c>
      <c r="M39" s="103" t="s">
        <v>2785</v>
      </c>
      <c r="N39" s="103" t="s">
        <v>2786</v>
      </c>
      <c r="O39" s="103" t="s">
        <v>2787</v>
      </c>
      <c r="P39" s="103" t="s">
        <v>2788</v>
      </c>
      <c r="Q39" s="103" t="s">
        <v>2789</v>
      </c>
      <c r="R39" s="103" t="s">
        <v>2790</v>
      </c>
      <c r="S39" s="103" t="s">
        <v>2791</v>
      </c>
      <c r="T39" s="103" t="s">
        <v>2792</v>
      </c>
      <c r="U39" s="103" t="s">
        <v>2793</v>
      </c>
      <c r="V39" s="270" t="s">
        <v>2794</v>
      </c>
      <c r="W39" s="270" t="s">
        <v>2795</v>
      </c>
      <c r="X39" s="270" t="s">
        <v>2796</v>
      </c>
      <c r="Y39" s="270" t="s">
        <v>2797</v>
      </c>
      <c r="Z39" s="600" t="s">
        <v>2798</v>
      </c>
      <c r="AA39" s="429" t="s">
        <v>2799</v>
      </c>
      <c r="AB39" s="169" t="s">
        <v>2800</v>
      </c>
      <c r="AC39" s="169" t="s">
        <v>2801</v>
      </c>
      <c r="AD39" s="169" t="s">
        <v>2817</v>
      </c>
      <c r="AE39" s="1057"/>
      <c r="AF39" s="1085"/>
      <c r="AG39" s="1085"/>
      <c r="AH39" s="1085"/>
      <c r="AI39" s="1085"/>
      <c r="AJ39" s="1085"/>
      <c r="AK39" s="1085"/>
      <c r="AL39" s="1085"/>
      <c r="AM39" s="1085"/>
      <c r="AN39" s="1085"/>
      <c r="AO39" s="1085"/>
      <c r="AP39" s="1085"/>
      <c r="AQ39" s="884"/>
      <c r="AR39" s="884"/>
      <c r="AS39" s="884"/>
      <c r="CH39" s="1346"/>
      <c r="CI39" s="1346"/>
      <c r="CJ39" s="1346"/>
      <c r="CK39" s="1346"/>
      <c r="CL39" s="1346"/>
      <c r="CM39" s="1346"/>
      <c r="CN39" s="1346"/>
      <c r="CO39" s="1346"/>
      <c r="CP39" s="1346"/>
    </row>
    <row r="40" spans="1:94" x14ac:dyDescent="0.25">
      <c r="A40" s="2458">
        <v>27300906</v>
      </c>
      <c r="B40" s="6684"/>
      <c r="C40" s="6677" t="s">
        <v>1795</v>
      </c>
      <c r="D40" s="6678"/>
      <c r="E40" s="95" t="s">
        <v>2777</v>
      </c>
      <c r="F40" s="137" t="s">
        <v>2778</v>
      </c>
      <c r="G40" s="110" t="s">
        <v>2779</v>
      </c>
      <c r="H40" s="110" t="s">
        <v>2780</v>
      </c>
      <c r="I40" s="110" t="s">
        <v>2781</v>
      </c>
      <c r="J40" s="1121" t="s">
        <v>2782</v>
      </c>
      <c r="K40" s="178" t="s">
        <v>2783</v>
      </c>
      <c r="L40" s="110" t="s">
        <v>2784</v>
      </c>
      <c r="M40" s="110" t="s">
        <v>2785</v>
      </c>
      <c r="N40" s="268" t="s">
        <v>2786</v>
      </c>
      <c r="O40" s="268" t="s">
        <v>2787</v>
      </c>
      <c r="P40" s="268" t="s">
        <v>2788</v>
      </c>
      <c r="Q40" s="268" t="s">
        <v>2789</v>
      </c>
      <c r="R40" s="268" t="s">
        <v>2790</v>
      </c>
      <c r="S40" s="268" t="s">
        <v>2791</v>
      </c>
      <c r="T40" s="268" t="s">
        <v>2792</v>
      </c>
      <c r="U40" s="268" t="s">
        <v>2793</v>
      </c>
      <c r="V40" s="268" t="s">
        <v>2794</v>
      </c>
      <c r="W40" s="268" t="s">
        <v>2795</v>
      </c>
      <c r="X40" s="268" t="s">
        <v>2796</v>
      </c>
      <c r="Y40" s="268" t="s">
        <v>2797</v>
      </c>
      <c r="Z40" s="601" t="s">
        <v>2798</v>
      </c>
      <c r="AA40" s="602" t="s">
        <v>2799</v>
      </c>
      <c r="AB40" s="1375" t="s">
        <v>2800</v>
      </c>
      <c r="AC40" s="1375" t="s">
        <v>2801</v>
      </c>
      <c r="AD40" s="1375" t="s">
        <v>2817</v>
      </c>
      <c r="AE40" s="1057"/>
      <c r="AF40" s="1085"/>
      <c r="AG40" s="1085"/>
      <c r="AH40" s="1085"/>
      <c r="AI40" s="1085"/>
      <c r="AJ40" s="1085"/>
      <c r="AK40" s="1085"/>
      <c r="AL40" s="1085"/>
      <c r="AM40" s="1085"/>
      <c r="AN40" s="1085"/>
      <c r="AO40" s="1085"/>
      <c r="AP40" s="1085"/>
      <c r="AQ40" s="884"/>
      <c r="AR40" s="884"/>
      <c r="AS40" s="884"/>
      <c r="CH40" s="1346"/>
      <c r="CI40" s="1346"/>
      <c r="CJ40" s="1346"/>
      <c r="CK40" s="1346"/>
      <c r="CL40" s="1346"/>
      <c r="CM40" s="1346"/>
      <c r="CN40" s="1346"/>
      <c r="CO40" s="1346"/>
      <c r="CP40" s="1346"/>
    </row>
    <row r="41" spans="1:94" ht="20.25" customHeight="1" x14ac:dyDescent="0.25">
      <c r="A41" s="2458">
        <v>27500120</v>
      </c>
      <c r="B41" s="6684"/>
      <c r="C41" s="6679" t="s">
        <v>1796</v>
      </c>
      <c r="D41" s="6680"/>
      <c r="E41" s="1366" t="s">
        <v>2777</v>
      </c>
      <c r="F41" s="203" t="s">
        <v>2778</v>
      </c>
      <c r="G41" s="117" t="s">
        <v>2779</v>
      </c>
      <c r="H41" s="117" t="s">
        <v>2780</v>
      </c>
      <c r="I41" s="117" t="s">
        <v>2781</v>
      </c>
      <c r="J41" s="1367" t="s">
        <v>2782</v>
      </c>
      <c r="K41" s="277" t="s">
        <v>2783</v>
      </c>
      <c r="L41" s="117" t="s">
        <v>2784</v>
      </c>
      <c r="M41" s="117" t="s">
        <v>2785</v>
      </c>
      <c r="N41" s="278" t="s">
        <v>2786</v>
      </c>
      <c r="O41" s="278" t="s">
        <v>2787</v>
      </c>
      <c r="P41" s="278" t="s">
        <v>2788</v>
      </c>
      <c r="Q41" s="278" t="s">
        <v>2789</v>
      </c>
      <c r="R41" s="278" t="s">
        <v>2790</v>
      </c>
      <c r="S41" s="278" t="s">
        <v>2791</v>
      </c>
      <c r="T41" s="278" t="s">
        <v>2792</v>
      </c>
      <c r="U41" s="278" t="s">
        <v>2793</v>
      </c>
      <c r="V41" s="278" t="s">
        <v>2794</v>
      </c>
      <c r="W41" s="278" t="s">
        <v>2795</v>
      </c>
      <c r="X41" s="278" t="s">
        <v>2796</v>
      </c>
      <c r="Y41" s="278" t="s">
        <v>2797</v>
      </c>
      <c r="Z41" s="1381" t="s">
        <v>2798</v>
      </c>
      <c r="AA41" s="1382" t="s">
        <v>2799</v>
      </c>
      <c r="AB41" s="1383" t="s">
        <v>2800</v>
      </c>
      <c r="AC41" s="1383" t="s">
        <v>2801</v>
      </c>
      <c r="AD41" s="1383" t="s">
        <v>2817</v>
      </c>
      <c r="AE41" s="1091"/>
      <c r="AF41" s="1085"/>
      <c r="AG41" s="1085"/>
      <c r="AH41" s="1085"/>
      <c r="AI41" s="1085"/>
      <c r="AJ41" s="1085"/>
      <c r="AK41" s="1085"/>
      <c r="AL41" s="1085"/>
      <c r="AM41" s="1085"/>
      <c r="AN41" s="1085"/>
      <c r="AO41" s="1085"/>
      <c r="AP41" s="1085"/>
      <c r="AQ41" s="884"/>
      <c r="AR41" s="884"/>
      <c r="AS41" s="884"/>
      <c r="CH41" s="1346"/>
      <c r="CI41" s="1346"/>
      <c r="CJ41" s="1346"/>
      <c r="CK41" s="1346"/>
      <c r="CL41" s="1346"/>
      <c r="CM41" s="1346"/>
      <c r="CN41" s="1346"/>
      <c r="CO41" s="1346"/>
      <c r="CP41" s="1346"/>
    </row>
    <row r="42" spans="1:94" x14ac:dyDescent="0.25">
      <c r="A42" s="2579"/>
      <c r="B42" s="6686"/>
      <c r="C42" s="6681" t="s">
        <v>42</v>
      </c>
      <c r="D42" s="6682"/>
      <c r="E42" s="1384">
        <f>SUM(F42:Y42)</f>
        <v>0</v>
      </c>
      <c r="F42" s="1138">
        <f>SUM(F11:F41)</f>
        <v>0</v>
      </c>
      <c r="G42" s="1385">
        <f t="shared" ref="G42:AC42" si="3">SUM(G11:G41)</f>
        <v>0</v>
      </c>
      <c r="H42" s="1385">
        <f t="shared" si="3"/>
        <v>0</v>
      </c>
      <c r="I42" s="1385">
        <f t="shared" si="3"/>
        <v>0</v>
      </c>
      <c r="J42" s="1386">
        <f t="shared" si="3"/>
        <v>0</v>
      </c>
      <c r="K42" s="1387">
        <f t="shared" si="3"/>
        <v>0</v>
      </c>
      <c r="L42" s="1385">
        <f t="shared" si="3"/>
        <v>0</v>
      </c>
      <c r="M42" s="1385">
        <f t="shared" si="3"/>
        <v>0</v>
      </c>
      <c r="N42" s="1388">
        <f t="shared" si="3"/>
        <v>0</v>
      </c>
      <c r="O42" s="1388">
        <f t="shared" si="3"/>
        <v>0</v>
      </c>
      <c r="P42" s="1388">
        <f t="shared" si="3"/>
        <v>0</v>
      </c>
      <c r="Q42" s="1388">
        <f t="shared" si="3"/>
        <v>0</v>
      </c>
      <c r="R42" s="1388">
        <f t="shared" si="3"/>
        <v>0</v>
      </c>
      <c r="S42" s="1388">
        <f t="shared" si="3"/>
        <v>0</v>
      </c>
      <c r="T42" s="1388">
        <f t="shared" si="3"/>
        <v>0</v>
      </c>
      <c r="U42" s="1388">
        <f t="shared" si="3"/>
        <v>0</v>
      </c>
      <c r="V42" s="1388">
        <f t="shared" si="3"/>
        <v>0</v>
      </c>
      <c r="W42" s="1388">
        <f t="shared" si="3"/>
        <v>0</v>
      </c>
      <c r="X42" s="1388">
        <f>SUM(X11:X41)</f>
        <v>0</v>
      </c>
      <c r="Y42" s="1388">
        <f t="shared" si="3"/>
        <v>0</v>
      </c>
      <c r="Z42" s="1389">
        <f t="shared" si="3"/>
        <v>0</v>
      </c>
      <c r="AA42" s="1140">
        <f t="shared" si="3"/>
        <v>0</v>
      </c>
      <c r="AB42" s="1386">
        <f t="shared" si="3"/>
        <v>0</v>
      </c>
      <c r="AC42" s="1386">
        <f t="shared" si="3"/>
        <v>0</v>
      </c>
      <c r="AD42" s="1386">
        <f>SUM(AD11:AD41)</f>
        <v>0</v>
      </c>
      <c r="AE42" s="927"/>
      <c r="AF42" s="884"/>
      <c r="AG42" s="884"/>
      <c r="AH42" s="884"/>
      <c r="AI42" s="884"/>
      <c r="AJ42" s="884"/>
      <c r="AK42" s="884"/>
      <c r="AL42" s="884"/>
      <c r="AM42" s="884"/>
      <c r="AN42" s="884"/>
      <c r="AO42" s="884"/>
      <c r="AP42" s="884"/>
      <c r="AQ42" s="884"/>
      <c r="AR42" s="884"/>
      <c r="AS42" s="884"/>
      <c r="CH42" s="1346"/>
      <c r="CI42" s="1346"/>
      <c r="CJ42" s="1346"/>
      <c r="CK42" s="1346"/>
      <c r="CL42" s="1346"/>
      <c r="CM42" s="1346"/>
      <c r="CN42" s="1346"/>
      <c r="CO42" s="1346"/>
      <c r="CP42" s="1346"/>
    </row>
    <row r="43" spans="1:94" ht="32.1" customHeight="1" x14ac:dyDescent="0.25">
      <c r="B43" s="1345" t="s">
        <v>1797</v>
      </c>
      <c r="C43" s="1390"/>
      <c r="D43" s="1390"/>
      <c r="E43" s="1390"/>
      <c r="F43" s="1390"/>
      <c r="G43" s="1390"/>
      <c r="H43" s="1391"/>
      <c r="I43" s="1391"/>
      <c r="J43" s="378"/>
      <c r="K43" s="378"/>
      <c r="L43" s="378"/>
      <c r="M43" s="378"/>
      <c r="N43" s="378"/>
      <c r="O43" s="378"/>
      <c r="P43" s="81"/>
      <c r="Q43" s="378"/>
      <c r="R43" s="378"/>
      <c r="S43" s="190"/>
      <c r="T43" s="190"/>
      <c r="U43" s="190"/>
      <c r="V43" s="190"/>
      <c r="W43" s="190"/>
      <c r="X43" s="190"/>
      <c r="Y43" s="190"/>
      <c r="Z43" s="190"/>
      <c r="AA43" s="190"/>
      <c r="AB43" s="190"/>
      <c r="AC43" s="190"/>
      <c r="AD43" s="190"/>
      <c r="AE43" s="884"/>
      <c r="AF43" s="884"/>
      <c r="AG43" s="884"/>
      <c r="AH43" s="884"/>
      <c r="AI43" s="884"/>
      <c r="AJ43" s="884"/>
      <c r="AK43" s="884"/>
      <c r="AL43" s="884"/>
      <c r="AM43" s="884"/>
      <c r="AN43" s="884"/>
      <c r="AO43" s="884"/>
      <c r="AP43" s="884"/>
      <c r="AQ43" s="884"/>
      <c r="AR43" s="884"/>
      <c r="AS43" s="884"/>
      <c r="CH43" s="1346"/>
      <c r="CI43" s="1346"/>
      <c r="CJ43" s="1346"/>
      <c r="CK43" s="1346"/>
      <c r="CL43" s="1346"/>
      <c r="CM43" s="1346"/>
      <c r="CN43" s="1346"/>
      <c r="CO43" s="1346"/>
      <c r="CP43" s="1346"/>
    </row>
    <row r="44" spans="1:94" ht="45.6" customHeight="1" x14ac:dyDescent="0.25">
      <c r="B44" s="5413" t="s">
        <v>1752</v>
      </c>
      <c r="C44" s="5426"/>
      <c r="D44" s="5414"/>
      <c r="E44" s="1334" t="s">
        <v>42</v>
      </c>
      <c r="F44" s="1392" t="s">
        <v>675</v>
      </c>
      <c r="G44" s="1149" t="s">
        <v>1798</v>
      </c>
      <c r="H44" s="1149" t="s">
        <v>1799</v>
      </c>
      <c r="I44" s="1132" t="s">
        <v>1800</v>
      </c>
      <c r="J44" s="1393" t="s">
        <v>1801</v>
      </c>
      <c r="K44" s="378"/>
      <c r="L44" s="378"/>
      <c r="M44" s="378"/>
      <c r="N44" s="378"/>
      <c r="O44" s="378"/>
      <c r="P44" s="378"/>
      <c r="Q44" s="378"/>
      <c r="R44" s="378"/>
      <c r="S44" s="190"/>
      <c r="T44" s="190"/>
      <c r="U44" s="190"/>
      <c r="V44" s="190"/>
      <c r="W44" s="190"/>
      <c r="X44" s="190"/>
      <c r="Y44" s="190"/>
      <c r="Z44" s="190"/>
      <c r="AA44" s="190"/>
      <c r="AB44" s="190"/>
      <c r="AC44" s="190"/>
      <c r="AD44" s="190"/>
      <c r="AE44" s="884"/>
      <c r="AF44" s="884"/>
      <c r="AG44" s="884"/>
      <c r="AH44" s="884"/>
      <c r="AI44" s="884"/>
      <c r="AJ44" s="884"/>
      <c r="AK44" s="884"/>
      <c r="AL44" s="884"/>
      <c r="AM44" s="884"/>
      <c r="AN44" s="884"/>
      <c r="AO44" s="884"/>
      <c r="AP44" s="884"/>
      <c r="AQ44" s="884"/>
      <c r="AR44" s="884"/>
      <c r="AS44" s="884"/>
      <c r="CH44" s="1346"/>
      <c r="CI44" s="1346"/>
      <c r="CJ44" s="1346"/>
      <c r="CK44" s="1346"/>
      <c r="CL44" s="1346"/>
      <c r="CM44" s="1346"/>
      <c r="CN44" s="1346"/>
      <c r="CO44" s="1346"/>
      <c r="CP44" s="1346"/>
    </row>
    <row r="45" spans="1:94" x14ac:dyDescent="0.25">
      <c r="A45" s="2458">
        <v>27281500</v>
      </c>
      <c r="B45" s="6683" t="s">
        <v>1764</v>
      </c>
      <c r="C45" s="6687" t="s">
        <v>1765</v>
      </c>
      <c r="D45" s="6688"/>
      <c r="E45" s="3112" t="s">
        <v>2777</v>
      </c>
      <c r="F45" s="3585" t="s">
        <v>2778</v>
      </c>
      <c r="G45" s="3586" t="s">
        <v>2779</v>
      </c>
      <c r="H45" s="3586" t="s">
        <v>2780</v>
      </c>
      <c r="I45" s="3587" t="s">
        <v>2781</v>
      </c>
      <c r="J45" s="3588" t="s">
        <v>2782</v>
      </c>
      <c r="K45" s="1079" t="str">
        <f>CB45</f>
        <v/>
      </c>
      <c r="L45" s="1085"/>
      <c r="M45" s="1085"/>
      <c r="N45" s="1085"/>
      <c r="O45" s="1085"/>
      <c r="P45" s="1085"/>
      <c r="Q45" s="1085"/>
      <c r="R45" s="1085"/>
      <c r="S45" s="1085"/>
      <c r="T45" s="1085"/>
      <c r="U45" s="1085"/>
      <c r="V45" s="1085"/>
      <c r="W45" s="881"/>
      <c r="X45" s="190"/>
      <c r="Y45" s="190"/>
      <c r="Z45" s="190"/>
      <c r="AA45" s="190"/>
      <c r="AB45" s="190"/>
      <c r="AC45" s="190"/>
      <c r="AD45" s="190"/>
      <c r="CB45" s="1362" t="str">
        <f>IF(CH45=1,"* En esta área en Sección A se consignan personas pero falta registrar la Sesión. ","")</f>
        <v/>
      </c>
      <c r="CC45" s="1362"/>
      <c r="CD45" s="1362"/>
      <c r="CE45" s="1362"/>
      <c r="CF45" s="1362"/>
      <c r="CG45" s="1362"/>
      <c r="CH45" s="1363">
        <f t="shared" ref="CH45:CH54" si="4">IF(AND(E45=0,E11&lt;&gt;0),1,0)</f>
        <v>0</v>
      </c>
      <c r="CI45" s="1346"/>
      <c r="CJ45" s="1346"/>
      <c r="CK45" s="1346"/>
      <c r="CL45" s="1346"/>
      <c r="CM45" s="1346"/>
      <c r="CN45" s="1346"/>
      <c r="CO45" s="1346"/>
      <c r="CP45" s="1346"/>
    </row>
    <row r="46" spans="1:94" x14ac:dyDescent="0.25">
      <c r="A46" s="2458" t="s">
        <v>3696</v>
      </c>
      <c r="B46" s="6684"/>
      <c r="C46" s="6689" t="s">
        <v>1766</v>
      </c>
      <c r="D46" s="1361" t="s">
        <v>1767</v>
      </c>
      <c r="E46" s="3112" t="s">
        <v>2777</v>
      </c>
      <c r="F46" s="3307" t="s">
        <v>2778</v>
      </c>
      <c r="G46" s="3430" t="s">
        <v>2779</v>
      </c>
      <c r="H46" s="3430" t="s">
        <v>2780</v>
      </c>
      <c r="I46" s="3327" t="s">
        <v>2781</v>
      </c>
      <c r="J46" s="3581" t="s">
        <v>2782</v>
      </c>
      <c r="K46" s="1079" t="str">
        <f t="shared" ref="K46:K75" si="5">CB46</f>
        <v/>
      </c>
      <c r="L46" s="1085"/>
      <c r="M46" s="1085"/>
      <c r="N46" s="1085"/>
      <c r="O46" s="1085"/>
      <c r="P46" s="1085"/>
      <c r="Q46" s="1085"/>
      <c r="R46" s="1085"/>
      <c r="S46" s="1085"/>
      <c r="T46" s="1085"/>
      <c r="U46" s="1085"/>
      <c r="V46" s="1085"/>
      <c r="W46" s="881"/>
      <c r="X46" s="190"/>
      <c r="Y46" s="190"/>
      <c r="Z46" s="190"/>
      <c r="AA46" s="190"/>
      <c r="AB46" s="190"/>
      <c r="AC46" s="190"/>
      <c r="AD46" s="190"/>
      <c r="CB46" s="1362" t="str">
        <f t="shared" ref="CB46:CB75" si="6">IF(CH46=1,"* En esta área en Sección A se consignan personas pero falta registrar la Sesión. ","")</f>
        <v/>
      </c>
      <c r="CC46" s="1362"/>
      <c r="CD46" s="1362"/>
      <c r="CE46" s="1362"/>
      <c r="CF46" s="1362"/>
      <c r="CG46" s="1362"/>
      <c r="CH46" s="1363">
        <f t="shared" si="4"/>
        <v>0</v>
      </c>
      <c r="CI46" s="1346"/>
      <c r="CJ46" s="1346"/>
      <c r="CK46" s="1346"/>
      <c r="CL46" s="1346"/>
      <c r="CM46" s="1346"/>
      <c r="CN46" s="1346"/>
      <c r="CO46" s="1346"/>
      <c r="CP46" s="1346"/>
    </row>
    <row r="47" spans="1:94" x14ac:dyDescent="0.25">
      <c r="A47" s="2458" t="s">
        <v>3697</v>
      </c>
      <c r="B47" s="6684"/>
      <c r="C47" s="5725"/>
      <c r="D47" s="1329" t="s">
        <v>1768</v>
      </c>
      <c r="E47" s="3113" t="s">
        <v>2777</v>
      </c>
      <c r="F47" s="2901" t="s">
        <v>2778</v>
      </c>
      <c r="G47" s="3431" t="s">
        <v>2779</v>
      </c>
      <c r="H47" s="3431" t="s">
        <v>2780</v>
      </c>
      <c r="I47" s="3330" t="s">
        <v>2781</v>
      </c>
      <c r="J47" s="3576" t="s">
        <v>2782</v>
      </c>
      <c r="K47" s="1079" t="str">
        <f t="shared" si="5"/>
        <v/>
      </c>
      <c r="L47" s="1085"/>
      <c r="M47" s="1085"/>
      <c r="N47" s="1085"/>
      <c r="O47" s="1085"/>
      <c r="P47" s="1085"/>
      <c r="Q47" s="1085"/>
      <c r="R47" s="1085"/>
      <c r="S47" s="1085"/>
      <c r="T47" s="1085"/>
      <c r="U47" s="1085"/>
      <c r="V47" s="1085"/>
      <c r="W47" s="881"/>
      <c r="X47" s="190"/>
      <c r="Y47" s="190"/>
      <c r="Z47" s="190"/>
      <c r="AA47" s="190"/>
      <c r="AB47" s="190"/>
      <c r="AC47" s="190"/>
      <c r="AD47" s="190"/>
      <c r="CB47" s="1362" t="str">
        <f t="shared" si="6"/>
        <v/>
      </c>
      <c r="CC47" s="1362"/>
      <c r="CD47" s="1362"/>
      <c r="CE47" s="1362"/>
      <c r="CF47" s="1362"/>
      <c r="CG47" s="1362"/>
      <c r="CH47" s="1363">
        <f t="shared" si="4"/>
        <v>0</v>
      </c>
      <c r="CI47" s="1346"/>
      <c r="CJ47" s="1346"/>
      <c r="CK47" s="1346"/>
      <c r="CL47" s="1346"/>
      <c r="CM47" s="1346"/>
      <c r="CN47" s="1346"/>
      <c r="CO47" s="1346"/>
      <c r="CP47" s="1346"/>
    </row>
    <row r="48" spans="1:94" x14ac:dyDescent="0.25">
      <c r="A48" s="2458" t="s">
        <v>3698</v>
      </c>
      <c r="B48" s="6684"/>
      <c r="C48" s="5725"/>
      <c r="D48" s="1329" t="s">
        <v>1769</v>
      </c>
      <c r="E48" s="3104" t="s">
        <v>2777</v>
      </c>
      <c r="F48" s="2901" t="s">
        <v>2778</v>
      </c>
      <c r="G48" s="3431" t="s">
        <v>2779</v>
      </c>
      <c r="H48" s="3431" t="s">
        <v>2780</v>
      </c>
      <c r="I48" s="3330" t="s">
        <v>2781</v>
      </c>
      <c r="J48" s="3576" t="s">
        <v>2782</v>
      </c>
      <c r="K48" s="1079" t="str">
        <f t="shared" si="5"/>
        <v/>
      </c>
      <c r="L48" s="1085"/>
      <c r="M48" s="1085"/>
      <c r="N48" s="1085"/>
      <c r="O48" s="1085"/>
      <c r="P48" s="1085"/>
      <c r="Q48" s="1085"/>
      <c r="R48" s="1085"/>
      <c r="S48" s="1085"/>
      <c r="T48" s="1085"/>
      <c r="U48" s="1085"/>
      <c r="V48" s="1085"/>
      <c r="W48" s="881"/>
      <c r="X48" s="190"/>
      <c r="Y48" s="190"/>
      <c r="Z48" s="190"/>
      <c r="AA48" s="190"/>
      <c r="AB48" s="190"/>
      <c r="AC48" s="190"/>
      <c r="AD48" s="190"/>
      <c r="CB48" s="1362" t="str">
        <f t="shared" si="6"/>
        <v/>
      </c>
      <c r="CC48" s="1362"/>
      <c r="CD48" s="1362"/>
      <c r="CE48" s="1362"/>
      <c r="CF48" s="1362"/>
      <c r="CG48" s="1362"/>
      <c r="CH48" s="1363">
        <f t="shared" si="4"/>
        <v>0</v>
      </c>
      <c r="CI48" s="1346"/>
      <c r="CJ48" s="1346"/>
      <c r="CK48" s="1346"/>
      <c r="CL48" s="1346"/>
      <c r="CM48" s="1346"/>
      <c r="CN48" s="1346"/>
      <c r="CO48" s="1346"/>
      <c r="CP48" s="1346"/>
    </row>
    <row r="49" spans="1:94" x14ac:dyDescent="0.25">
      <c r="A49" s="2458">
        <v>27500130</v>
      </c>
      <c r="B49" s="6684"/>
      <c r="C49" s="6690"/>
      <c r="D49" s="1394" t="s">
        <v>1770</v>
      </c>
      <c r="E49" s="3589" t="s">
        <v>2777</v>
      </c>
      <c r="F49" s="3423" t="s">
        <v>2778</v>
      </c>
      <c r="G49" s="3578" t="s">
        <v>2779</v>
      </c>
      <c r="H49" s="3578" t="s">
        <v>2780</v>
      </c>
      <c r="I49" s="3583" t="s">
        <v>2781</v>
      </c>
      <c r="J49" s="3584" t="s">
        <v>2782</v>
      </c>
      <c r="K49" s="1079" t="str">
        <f t="shared" si="5"/>
        <v/>
      </c>
      <c r="L49" s="1085"/>
      <c r="M49" s="1085"/>
      <c r="N49" s="1085"/>
      <c r="O49" s="1085"/>
      <c r="P49" s="1085"/>
      <c r="Q49" s="1085"/>
      <c r="R49" s="1085"/>
      <c r="S49" s="1085"/>
      <c r="T49" s="1085"/>
      <c r="U49" s="1085"/>
      <c r="V49" s="1085"/>
      <c r="W49" s="881"/>
      <c r="X49" s="190"/>
      <c r="Y49" s="190"/>
      <c r="Z49" s="190"/>
      <c r="AA49" s="190"/>
      <c r="AB49" s="190"/>
      <c r="AC49" s="190"/>
      <c r="AD49" s="190"/>
      <c r="CB49" s="1362" t="str">
        <f t="shared" si="6"/>
        <v/>
      </c>
      <c r="CC49" s="1362"/>
      <c r="CD49" s="1362"/>
      <c r="CE49" s="1362"/>
      <c r="CF49" s="1362"/>
      <c r="CG49" s="1362"/>
      <c r="CH49" s="1363">
        <f t="shared" si="4"/>
        <v>0</v>
      </c>
      <c r="CI49" s="1346"/>
      <c r="CJ49" s="1346"/>
      <c r="CK49" s="1346"/>
      <c r="CL49" s="1346"/>
      <c r="CM49" s="1346"/>
      <c r="CN49" s="1346"/>
      <c r="CO49" s="1346"/>
      <c r="CP49" s="1346"/>
    </row>
    <row r="50" spans="1:94" x14ac:dyDescent="0.25">
      <c r="A50" s="2458">
        <v>27281700</v>
      </c>
      <c r="B50" s="6684"/>
      <c r="C50" s="6672" t="s">
        <v>1771</v>
      </c>
      <c r="D50" s="6673"/>
      <c r="E50" s="3111" t="s">
        <v>2777</v>
      </c>
      <c r="F50" s="3287" t="s">
        <v>2778</v>
      </c>
      <c r="G50" s="3434" t="s">
        <v>2779</v>
      </c>
      <c r="H50" s="3434" t="s">
        <v>2780</v>
      </c>
      <c r="I50" s="3405" t="s">
        <v>2781</v>
      </c>
      <c r="J50" s="3574" t="s">
        <v>2782</v>
      </c>
      <c r="K50" s="1079" t="str">
        <f t="shared" si="5"/>
        <v/>
      </c>
      <c r="L50" s="1085"/>
      <c r="M50" s="1085"/>
      <c r="N50" s="1085"/>
      <c r="O50" s="1085"/>
      <c r="P50" s="1085"/>
      <c r="Q50" s="1085"/>
      <c r="R50" s="1085"/>
      <c r="S50" s="1085"/>
      <c r="T50" s="1085"/>
      <c r="U50" s="1085"/>
      <c r="V50" s="1085"/>
      <c r="W50" s="881"/>
      <c r="X50" s="190"/>
      <c r="Y50" s="190"/>
      <c r="Z50" s="190"/>
      <c r="AA50" s="190"/>
      <c r="AB50" s="190"/>
      <c r="AC50" s="190"/>
      <c r="AD50" s="190"/>
      <c r="CB50" s="1362" t="str">
        <f t="shared" si="6"/>
        <v/>
      </c>
      <c r="CC50" s="1362"/>
      <c r="CD50" s="1362"/>
      <c r="CE50" s="1362"/>
      <c r="CF50" s="1362"/>
      <c r="CG50" s="1362"/>
      <c r="CH50" s="1363">
        <f t="shared" si="4"/>
        <v>0</v>
      </c>
      <c r="CI50" s="1346"/>
      <c r="CJ50" s="1346"/>
      <c r="CK50" s="1346"/>
      <c r="CL50" s="1346"/>
      <c r="CM50" s="1346"/>
      <c r="CN50" s="1346"/>
      <c r="CO50" s="1346"/>
      <c r="CP50" s="1346"/>
    </row>
    <row r="51" spans="1:94" x14ac:dyDescent="0.25">
      <c r="A51" s="2458">
        <v>27281900</v>
      </c>
      <c r="B51" s="6684"/>
      <c r="C51" s="6658" t="s">
        <v>1772</v>
      </c>
      <c r="D51" s="6659"/>
      <c r="E51" s="3113" t="s">
        <v>2777</v>
      </c>
      <c r="F51" s="2901" t="s">
        <v>2778</v>
      </c>
      <c r="G51" s="3431" t="s">
        <v>2779</v>
      </c>
      <c r="H51" s="3431" t="s">
        <v>2780</v>
      </c>
      <c r="I51" s="3330" t="s">
        <v>2781</v>
      </c>
      <c r="J51" s="3576" t="s">
        <v>2782</v>
      </c>
      <c r="K51" s="1079" t="str">
        <f t="shared" si="5"/>
        <v/>
      </c>
      <c r="L51" s="1085"/>
      <c r="M51" s="1085"/>
      <c r="N51" s="1085"/>
      <c r="O51" s="1085"/>
      <c r="P51" s="1085"/>
      <c r="Q51" s="1085"/>
      <c r="R51" s="1085"/>
      <c r="S51" s="1085"/>
      <c r="T51" s="1085"/>
      <c r="U51" s="1085"/>
      <c r="V51" s="1085"/>
      <c r="W51" s="881"/>
      <c r="X51" s="190"/>
      <c r="Y51" s="190"/>
      <c r="Z51" s="190"/>
      <c r="AA51" s="190"/>
      <c r="AB51" s="190"/>
      <c r="AC51" s="190"/>
      <c r="AD51" s="190"/>
      <c r="CB51" s="1362" t="str">
        <f t="shared" si="6"/>
        <v/>
      </c>
      <c r="CC51" s="1362"/>
      <c r="CD51" s="1362"/>
      <c r="CE51" s="1362"/>
      <c r="CF51" s="1362"/>
      <c r="CG51" s="1362"/>
      <c r="CH51" s="1363">
        <f t="shared" si="4"/>
        <v>0</v>
      </c>
      <c r="CI51" s="1346"/>
      <c r="CJ51" s="1346"/>
      <c r="CK51" s="1346"/>
      <c r="CL51" s="1346"/>
      <c r="CM51" s="1346"/>
      <c r="CN51" s="1346"/>
      <c r="CO51" s="1346"/>
      <c r="CP51" s="1346"/>
    </row>
    <row r="52" spans="1:94" x14ac:dyDescent="0.25">
      <c r="A52" s="2458">
        <v>27282000</v>
      </c>
      <c r="B52" s="6684"/>
      <c r="C52" s="6658" t="s">
        <v>1773</v>
      </c>
      <c r="D52" s="6659"/>
      <c r="E52" s="3113" t="s">
        <v>2777</v>
      </c>
      <c r="F52" s="2901" t="s">
        <v>2778</v>
      </c>
      <c r="G52" s="3431" t="s">
        <v>2779</v>
      </c>
      <c r="H52" s="3431" t="s">
        <v>2780</v>
      </c>
      <c r="I52" s="3330" t="s">
        <v>2781</v>
      </c>
      <c r="J52" s="3576" t="s">
        <v>2782</v>
      </c>
      <c r="K52" s="1079" t="str">
        <f t="shared" si="5"/>
        <v/>
      </c>
      <c r="L52" s="1085"/>
      <c r="M52" s="1085"/>
      <c r="N52" s="1085"/>
      <c r="O52" s="1085"/>
      <c r="P52" s="1085"/>
      <c r="Q52" s="1085"/>
      <c r="R52" s="1085"/>
      <c r="S52" s="1085"/>
      <c r="T52" s="1085"/>
      <c r="U52" s="1085"/>
      <c r="V52" s="1085"/>
      <c r="W52" s="881"/>
      <c r="X52" s="190"/>
      <c r="Y52" s="190"/>
      <c r="Z52" s="190"/>
      <c r="AA52" s="190"/>
      <c r="AB52" s="190"/>
      <c r="AC52" s="190"/>
      <c r="AD52" s="190"/>
      <c r="CB52" s="1362" t="str">
        <f t="shared" si="6"/>
        <v/>
      </c>
      <c r="CC52" s="1362"/>
      <c r="CD52" s="1362"/>
      <c r="CE52" s="1362"/>
      <c r="CF52" s="1362"/>
      <c r="CG52" s="1362"/>
      <c r="CH52" s="1363">
        <f t="shared" si="4"/>
        <v>0</v>
      </c>
      <c r="CI52" s="1346"/>
      <c r="CJ52" s="1346"/>
      <c r="CK52" s="1346"/>
      <c r="CL52" s="1346"/>
      <c r="CM52" s="1346"/>
      <c r="CN52" s="1346"/>
      <c r="CO52" s="1346"/>
      <c r="CP52" s="1346"/>
    </row>
    <row r="53" spans="1:94" x14ac:dyDescent="0.25">
      <c r="A53" s="2458">
        <v>27282100</v>
      </c>
      <c r="B53" s="6684"/>
      <c r="C53" s="6658" t="s">
        <v>1774</v>
      </c>
      <c r="D53" s="6659"/>
      <c r="E53" s="3113" t="s">
        <v>2777</v>
      </c>
      <c r="F53" s="2901" t="s">
        <v>2778</v>
      </c>
      <c r="G53" s="3431" t="s">
        <v>2779</v>
      </c>
      <c r="H53" s="3431" t="s">
        <v>2780</v>
      </c>
      <c r="I53" s="3330" t="s">
        <v>2781</v>
      </c>
      <c r="J53" s="3576" t="s">
        <v>2782</v>
      </c>
      <c r="K53" s="1079" t="str">
        <f t="shared" si="5"/>
        <v/>
      </c>
      <c r="L53" s="1085"/>
      <c r="M53" s="1085"/>
      <c r="N53" s="1085"/>
      <c r="O53" s="1085"/>
      <c r="P53" s="1085"/>
      <c r="Q53" s="1085"/>
      <c r="R53" s="1085"/>
      <c r="S53" s="1085"/>
      <c r="T53" s="1085"/>
      <c r="U53" s="1085"/>
      <c r="V53" s="1085"/>
      <c r="W53" s="881"/>
      <c r="X53" s="190"/>
      <c r="Y53" s="190"/>
      <c r="Z53" s="190"/>
      <c r="AA53" s="190"/>
      <c r="AB53" s="190"/>
      <c r="AC53" s="190"/>
      <c r="AD53" s="190"/>
      <c r="CB53" s="1362" t="str">
        <f t="shared" si="6"/>
        <v/>
      </c>
      <c r="CC53" s="1362"/>
      <c r="CD53" s="1362"/>
      <c r="CE53" s="1362"/>
      <c r="CF53" s="1362"/>
      <c r="CG53" s="1362"/>
      <c r="CH53" s="1363">
        <f t="shared" si="4"/>
        <v>0</v>
      </c>
      <c r="CI53" s="1346"/>
      <c r="CJ53" s="1346"/>
      <c r="CK53" s="1346"/>
      <c r="CL53" s="1346"/>
      <c r="CM53" s="1346"/>
      <c r="CN53" s="1346"/>
      <c r="CO53" s="1346"/>
      <c r="CP53" s="1346"/>
    </row>
    <row r="54" spans="1:94" x14ac:dyDescent="0.25">
      <c r="A54" s="2458">
        <v>27282200</v>
      </c>
      <c r="B54" s="6684"/>
      <c r="C54" s="6658" t="s">
        <v>1775</v>
      </c>
      <c r="D54" s="6659"/>
      <c r="E54" s="3113" t="s">
        <v>2777</v>
      </c>
      <c r="F54" s="2901" t="s">
        <v>2778</v>
      </c>
      <c r="G54" s="3431" t="s">
        <v>2779</v>
      </c>
      <c r="H54" s="3431" t="s">
        <v>2780</v>
      </c>
      <c r="I54" s="3330" t="s">
        <v>2781</v>
      </c>
      <c r="J54" s="3576" t="s">
        <v>2782</v>
      </c>
      <c r="K54" s="1079" t="str">
        <f t="shared" si="5"/>
        <v/>
      </c>
      <c r="L54" s="1085"/>
      <c r="M54" s="1085"/>
      <c r="N54" s="1085"/>
      <c r="O54" s="1085"/>
      <c r="P54" s="1085"/>
      <c r="Q54" s="1085"/>
      <c r="R54" s="1085"/>
      <c r="S54" s="1085"/>
      <c r="T54" s="1085"/>
      <c r="U54" s="1085"/>
      <c r="V54" s="1085"/>
      <c r="W54" s="881"/>
      <c r="X54" s="190"/>
      <c r="Y54" s="190"/>
      <c r="Z54" s="190"/>
      <c r="AA54" s="190"/>
      <c r="AB54" s="190"/>
      <c r="AC54" s="190"/>
      <c r="AD54" s="190"/>
      <c r="CB54" s="1362" t="str">
        <f t="shared" si="6"/>
        <v/>
      </c>
      <c r="CC54" s="1362"/>
      <c r="CD54" s="1362"/>
      <c r="CE54" s="1362"/>
      <c r="CF54" s="1362"/>
      <c r="CG54" s="1362"/>
      <c r="CH54" s="1363">
        <f t="shared" si="4"/>
        <v>0</v>
      </c>
      <c r="CI54" s="1346"/>
      <c r="CJ54" s="1346"/>
      <c r="CK54" s="1346"/>
      <c r="CL54" s="1346"/>
      <c r="CM54" s="1346"/>
      <c r="CN54" s="1346"/>
      <c r="CO54" s="1346"/>
      <c r="CP54" s="1346"/>
    </row>
    <row r="55" spans="1:94" x14ac:dyDescent="0.25">
      <c r="A55" s="4665">
        <v>27500260</v>
      </c>
      <c r="B55" s="6685"/>
      <c r="C55" s="6662" t="s">
        <v>1956</v>
      </c>
      <c r="D55" s="6663"/>
      <c r="E55" s="2630" t="s">
        <v>2777</v>
      </c>
      <c r="F55" s="3611" t="s">
        <v>2778</v>
      </c>
      <c r="G55" s="3432" t="s">
        <v>2779</v>
      </c>
      <c r="H55" s="3432" t="s">
        <v>2780</v>
      </c>
      <c r="I55" s="3400" t="s">
        <v>2781</v>
      </c>
      <c r="J55" s="3577" t="s">
        <v>2782</v>
      </c>
      <c r="K55" s="1079"/>
      <c r="L55" s="1085"/>
      <c r="M55" s="1085"/>
      <c r="N55" s="1085"/>
      <c r="O55" s="1085"/>
      <c r="P55" s="1085"/>
      <c r="Q55" s="1085"/>
      <c r="R55" s="1085"/>
      <c r="S55" s="1085"/>
      <c r="T55" s="1085"/>
      <c r="U55" s="1085"/>
      <c r="V55" s="1085"/>
      <c r="W55" s="881"/>
      <c r="X55" s="190"/>
      <c r="Y55" s="190"/>
      <c r="Z55" s="190"/>
      <c r="AA55" s="190"/>
      <c r="AB55" s="190"/>
      <c r="AC55" s="190"/>
      <c r="AD55" s="190"/>
      <c r="CB55" s="1362"/>
      <c r="CC55" s="1362"/>
      <c r="CD55" s="1362"/>
      <c r="CE55" s="1362"/>
      <c r="CF55" s="1362"/>
      <c r="CG55" s="1362"/>
      <c r="CH55" s="1363"/>
      <c r="CI55" s="1346"/>
      <c r="CJ55" s="1346"/>
      <c r="CK55" s="1346"/>
      <c r="CL55" s="1346"/>
      <c r="CM55" s="1346"/>
      <c r="CN55" s="1346"/>
      <c r="CO55" s="1346"/>
      <c r="CP55" s="1346"/>
    </row>
    <row r="56" spans="1:94" ht="22.5" customHeight="1" x14ac:dyDescent="0.25">
      <c r="A56" s="2458">
        <v>27500140</v>
      </c>
      <c r="B56" s="6684"/>
      <c r="C56" s="5696" t="s">
        <v>1776</v>
      </c>
      <c r="D56" s="5697"/>
      <c r="E56" s="3113" t="s">
        <v>2777</v>
      </c>
      <c r="F56" s="3398" t="s">
        <v>2778</v>
      </c>
      <c r="G56" s="3432" t="s">
        <v>2779</v>
      </c>
      <c r="H56" s="3432" t="s">
        <v>2780</v>
      </c>
      <c r="I56" s="3400" t="s">
        <v>2781</v>
      </c>
      <c r="J56" s="3577" t="s">
        <v>2782</v>
      </c>
      <c r="K56" s="1079" t="str">
        <f t="shared" si="5"/>
        <v/>
      </c>
      <c r="L56" s="1085"/>
      <c r="M56" s="1085"/>
      <c r="N56" s="1085"/>
      <c r="O56" s="1085"/>
      <c r="P56" s="1085"/>
      <c r="Q56" s="1085"/>
      <c r="R56" s="1085"/>
      <c r="S56" s="1085"/>
      <c r="T56" s="1085"/>
      <c r="U56" s="1085"/>
      <c r="V56" s="1085"/>
      <c r="W56" s="881"/>
      <c r="X56" s="190"/>
      <c r="Y56" s="190"/>
      <c r="Z56" s="190"/>
      <c r="AA56" s="190"/>
      <c r="AB56" s="190"/>
      <c r="AC56" s="190"/>
      <c r="AD56" s="190"/>
      <c r="CB56" s="1362" t="str">
        <f t="shared" si="6"/>
        <v/>
      </c>
      <c r="CC56" s="1362"/>
      <c r="CD56" s="1362"/>
      <c r="CE56" s="1362"/>
      <c r="CF56" s="1362"/>
      <c r="CG56" s="1362"/>
      <c r="CH56" s="1363">
        <f t="shared" ref="CH56:CH75" si="7">IF(AND(E56=0,E22&lt;&gt;0),1,0)</f>
        <v>0</v>
      </c>
      <c r="CI56" s="1346"/>
      <c r="CJ56" s="1346"/>
      <c r="CK56" s="1346"/>
      <c r="CL56" s="1346"/>
      <c r="CM56" s="1346"/>
      <c r="CN56" s="1346"/>
      <c r="CO56" s="1346"/>
      <c r="CP56" s="1346"/>
    </row>
    <row r="57" spans="1:94" x14ac:dyDescent="0.25">
      <c r="A57" s="2458">
        <v>27300922</v>
      </c>
      <c r="B57" s="6684"/>
      <c r="C57" s="6478" t="s">
        <v>1777</v>
      </c>
      <c r="D57" s="6479"/>
      <c r="E57" s="3113" t="s">
        <v>2777</v>
      </c>
      <c r="F57" s="3398" t="s">
        <v>2778</v>
      </c>
      <c r="G57" s="3432" t="s">
        <v>2779</v>
      </c>
      <c r="H57" s="3432" t="s">
        <v>2780</v>
      </c>
      <c r="I57" s="3400" t="s">
        <v>2781</v>
      </c>
      <c r="J57" s="3577" t="s">
        <v>2782</v>
      </c>
      <c r="K57" s="1079" t="str">
        <f t="shared" si="5"/>
        <v/>
      </c>
      <c r="L57" s="1085"/>
      <c r="M57" s="1085"/>
      <c r="N57" s="1085"/>
      <c r="O57" s="1085"/>
      <c r="P57" s="1085"/>
      <c r="Q57" s="1085"/>
      <c r="R57" s="1085"/>
      <c r="S57" s="1085"/>
      <c r="T57" s="1085"/>
      <c r="U57" s="1085"/>
      <c r="V57" s="1085"/>
      <c r="W57" s="881"/>
      <c r="X57" s="190"/>
      <c r="Y57" s="190"/>
      <c r="Z57" s="190"/>
      <c r="AA57" s="190"/>
      <c r="AB57" s="190"/>
      <c r="AC57" s="190"/>
      <c r="AD57" s="190"/>
      <c r="CB57" s="1362" t="str">
        <f t="shared" si="6"/>
        <v/>
      </c>
      <c r="CC57" s="1362"/>
      <c r="CD57" s="1362"/>
      <c r="CE57" s="1362"/>
      <c r="CF57" s="1362"/>
      <c r="CG57" s="1362"/>
      <c r="CH57" s="1363">
        <f t="shared" si="7"/>
        <v>0</v>
      </c>
      <c r="CI57" s="1346"/>
      <c r="CJ57" s="1346"/>
      <c r="CK57" s="1346"/>
      <c r="CL57" s="1346"/>
      <c r="CM57" s="1346"/>
      <c r="CN57" s="1346"/>
      <c r="CO57" s="1346"/>
      <c r="CP57" s="1346"/>
    </row>
    <row r="58" spans="1:94" x14ac:dyDescent="0.25">
      <c r="A58" s="2458">
        <v>27300908</v>
      </c>
      <c r="B58" s="6684"/>
      <c r="C58" s="5158" t="s">
        <v>1778</v>
      </c>
      <c r="D58" s="1369" t="s">
        <v>1779</v>
      </c>
      <c r="E58" s="3107" t="s">
        <v>2777</v>
      </c>
      <c r="F58" s="3590" t="s">
        <v>2778</v>
      </c>
      <c r="G58" s="3430" t="s">
        <v>2779</v>
      </c>
      <c r="H58" s="3430" t="s">
        <v>2780</v>
      </c>
      <c r="I58" s="3327" t="s">
        <v>2781</v>
      </c>
      <c r="J58" s="3581" t="s">
        <v>2782</v>
      </c>
      <c r="K58" s="1079" t="str">
        <f t="shared" si="5"/>
        <v/>
      </c>
      <c r="L58" s="1085"/>
      <c r="M58" s="1085"/>
      <c r="N58" s="1085"/>
      <c r="O58" s="1085"/>
      <c r="P58" s="1085"/>
      <c r="Q58" s="1085"/>
      <c r="R58" s="1085"/>
      <c r="S58" s="1085"/>
      <c r="T58" s="1085"/>
      <c r="U58" s="1085"/>
      <c r="V58" s="1085"/>
      <c r="W58" s="881"/>
      <c r="X58" s="190"/>
      <c r="Y58" s="190"/>
      <c r="Z58" s="190"/>
      <c r="AA58" s="190"/>
      <c r="AB58" s="190"/>
      <c r="AC58" s="190"/>
      <c r="AD58" s="190"/>
      <c r="CB58" s="1362" t="str">
        <f t="shared" si="6"/>
        <v/>
      </c>
      <c r="CC58" s="1362"/>
      <c r="CD58" s="1362"/>
      <c r="CE58" s="1362"/>
      <c r="CF58" s="1362"/>
      <c r="CG58" s="1362"/>
      <c r="CH58" s="1363">
        <f t="shared" si="7"/>
        <v>0</v>
      </c>
      <c r="CI58" s="1346"/>
      <c r="CJ58" s="1346"/>
      <c r="CK58" s="1346"/>
      <c r="CL58" s="1346"/>
      <c r="CM58" s="1346"/>
      <c r="CN58" s="1346"/>
      <c r="CO58" s="1346"/>
      <c r="CP58" s="1346"/>
    </row>
    <row r="59" spans="1:94" x14ac:dyDescent="0.25">
      <c r="A59" s="2458">
        <v>27300909</v>
      </c>
      <c r="B59" s="6684"/>
      <c r="C59" s="5113"/>
      <c r="D59" s="1327" t="s">
        <v>1780</v>
      </c>
      <c r="E59" s="3104" t="s">
        <v>2777</v>
      </c>
      <c r="F59" s="3329" t="s">
        <v>2778</v>
      </c>
      <c r="G59" s="3431" t="s">
        <v>2779</v>
      </c>
      <c r="H59" s="3431" t="s">
        <v>2780</v>
      </c>
      <c r="I59" s="3330" t="s">
        <v>2781</v>
      </c>
      <c r="J59" s="3576" t="s">
        <v>2782</v>
      </c>
      <c r="K59" s="1079" t="str">
        <f t="shared" si="5"/>
        <v/>
      </c>
      <c r="L59" s="1085"/>
      <c r="M59" s="1085"/>
      <c r="N59" s="1085"/>
      <c r="O59" s="1085"/>
      <c r="P59" s="1085"/>
      <c r="Q59" s="1085"/>
      <c r="R59" s="1085"/>
      <c r="S59" s="1085"/>
      <c r="T59" s="1085"/>
      <c r="U59" s="1085"/>
      <c r="V59" s="1085"/>
      <c r="W59" s="881"/>
      <c r="X59" s="190"/>
      <c r="Y59" s="190"/>
      <c r="Z59" s="190"/>
      <c r="AA59" s="190"/>
      <c r="AB59" s="190"/>
      <c r="AC59" s="190"/>
      <c r="AD59" s="190"/>
      <c r="CB59" s="1362" t="str">
        <f t="shared" si="6"/>
        <v/>
      </c>
      <c r="CC59" s="1362"/>
      <c r="CD59" s="1362"/>
      <c r="CE59" s="1362"/>
      <c r="CF59" s="1362"/>
      <c r="CG59" s="1362"/>
      <c r="CH59" s="1363">
        <f t="shared" si="7"/>
        <v>0</v>
      </c>
      <c r="CI59" s="1346"/>
      <c r="CJ59" s="1346"/>
      <c r="CK59" s="1346"/>
      <c r="CL59" s="1346"/>
      <c r="CM59" s="1346"/>
      <c r="CN59" s="1346"/>
      <c r="CO59" s="1346"/>
      <c r="CP59" s="1346"/>
    </row>
    <row r="60" spans="1:94" x14ac:dyDescent="0.25">
      <c r="A60" s="2458">
        <v>27300910</v>
      </c>
      <c r="B60" s="6684"/>
      <c r="C60" s="5424"/>
      <c r="D60" s="1313" t="s">
        <v>318</v>
      </c>
      <c r="E60" s="3105" t="s">
        <v>2777</v>
      </c>
      <c r="F60" s="3333" t="s">
        <v>2778</v>
      </c>
      <c r="G60" s="3435" t="s">
        <v>2779</v>
      </c>
      <c r="H60" s="3435" t="s">
        <v>2780</v>
      </c>
      <c r="I60" s="3334" t="s">
        <v>2781</v>
      </c>
      <c r="J60" s="3579" t="s">
        <v>2782</v>
      </c>
      <c r="K60" s="1079" t="str">
        <f t="shared" si="5"/>
        <v/>
      </c>
      <c r="L60" s="1085"/>
      <c r="M60" s="1085"/>
      <c r="N60" s="1085"/>
      <c r="O60" s="1085"/>
      <c r="P60" s="1085"/>
      <c r="Q60" s="1085"/>
      <c r="R60" s="1085"/>
      <c r="S60" s="1085"/>
      <c r="T60" s="1085"/>
      <c r="U60" s="1085"/>
      <c r="V60" s="1085"/>
      <c r="W60" s="881"/>
      <c r="X60" s="190"/>
      <c r="Y60" s="190"/>
      <c r="Z60" s="190"/>
      <c r="AA60" s="190"/>
      <c r="AB60" s="190"/>
      <c r="AC60" s="190"/>
      <c r="AD60" s="190"/>
      <c r="CB60" s="1362" t="str">
        <f t="shared" si="6"/>
        <v/>
      </c>
      <c r="CC60" s="1362"/>
      <c r="CD60" s="1362"/>
      <c r="CE60" s="1362"/>
      <c r="CF60" s="1362"/>
      <c r="CG60" s="1362"/>
      <c r="CH60" s="1363">
        <f t="shared" si="7"/>
        <v>0</v>
      </c>
      <c r="CI60" s="1346"/>
      <c r="CJ60" s="1346"/>
      <c r="CK60" s="1346"/>
      <c r="CL60" s="1346"/>
      <c r="CM60" s="1346"/>
      <c r="CN60" s="1346"/>
      <c r="CO60" s="1346"/>
      <c r="CP60" s="1346"/>
    </row>
    <row r="61" spans="1:94" x14ac:dyDescent="0.25">
      <c r="A61" s="2458">
        <v>27300900</v>
      </c>
      <c r="B61" s="6684"/>
      <c r="C61" s="5158" t="s">
        <v>1781</v>
      </c>
      <c r="D61" s="1248" t="s">
        <v>1782</v>
      </c>
      <c r="E61" s="3112" t="s">
        <v>2777</v>
      </c>
      <c r="F61" s="3307" t="s">
        <v>2778</v>
      </c>
      <c r="G61" s="3430" t="s">
        <v>2779</v>
      </c>
      <c r="H61" s="3430" t="s">
        <v>2780</v>
      </c>
      <c r="I61" s="3327" t="s">
        <v>2781</v>
      </c>
      <c r="J61" s="3581" t="s">
        <v>2782</v>
      </c>
      <c r="K61" s="1079" t="str">
        <f t="shared" si="5"/>
        <v/>
      </c>
      <c r="L61" s="1085"/>
      <c r="M61" s="1085"/>
      <c r="N61" s="1085"/>
      <c r="O61" s="1085"/>
      <c r="P61" s="1085"/>
      <c r="Q61" s="1085"/>
      <c r="R61" s="1085"/>
      <c r="S61" s="1085"/>
      <c r="T61" s="1085"/>
      <c r="U61" s="1085"/>
      <c r="V61" s="1085"/>
      <c r="W61" s="881"/>
      <c r="X61" s="190"/>
      <c r="Y61" s="190"/>
      <c r="Z61" s="190"/>
      <c r="AA61" s="190"/>
      <c r="AB61" s="190"/>
      <c r="AC61" s="190"/>
      <c r="AD61" s="190"/>
      <c r="CB61" s="1362" t="str">
        <f t="shared" si="6"/>
        <v/>
      </c>
      <c r="CC61" s="1362"/>
      <c r="CD61" s="1362"/>
      <c r="CE61" s="1362"/>
      <c r="CF61" s="1362"/>
      <c r="CG61" s="1362"/>
      <c r="CH61" s="1363">
        <f t="shared" si="7"/>
        <v>0</v>
      </c>
      <c r="CI61" s="1346"/>
      <c r="CJ61" s="1346"/>
      <c r="CK61" s="1346"/>
      <c r="CL61" s="1346"/>
      <c r="CM61" s="1346"/>
      <c r="CN61" s="1346"/>
      <c r="CO61" s="1346"/>
      <c r="CP61" s="1346"/>
    </row>
    <row r="62" spans="1:94" x14ac:dyDescent="0.25">
      <c r="A62" s="2458">
        <v>27400200</v>
      </c>
      <c r="B62" s="6684"/>
      <c r="C62" s="5113"/>
      <c r="D62" s="1312" t="s">
        <v>1783</v>
      </c>
      <c r="E62" s="3113" t="s">
        <v>2777</v>
      </c>
      <c r="F62" s="2901" t="s">
        <v>2778</v>
      </c>
      <c r="G62" s="3431" t="s">
        <v>2779</v>
      </c>
      <c r="H62" s="3431" t="s">
        <v>2780</v>
      </c>
      <c r="I62" s="3330" t="s">
        <v>2781</v>
      </c>
      <c r="J62" s="3576" t="s">
        <v>2782</v>
      </c>
      <c r="K62" s="1079" t="str">
        <f t="shared" si="5"/>
        <v/>
      </c>
      <c r="L62" s="1085"/>
      <c r="M62" s="1085"/>
      <c r="N62" s="1085"/>
      <c r="O62" s="1085"/>
      <c r="P62" s="1085"/>
      <c r="Q62" s="1085"/>
      <c r="R62" s="1085"/>
      <c r="S62" s="1085"/>
      <c r="T62" s="1085"/>
      <c r="U62" s="1085"/>
      <c r="V62" s="1085"/>
      <c r="W62" s="881"/>
      <c r="X62" s="190"/>
      <c r="Y62" s="190"/>
      <c r="Z62" s="190"/>
      <c r="AA62" s="190"/>
      <c r="AB62" s="190"/>
      <c r="AC62" s="190"/>
      <c r="AD62" s="190"/>
      <c r="CB62" s="1362" t="str">
        <f t="shared" si="6"/>
        <v/>
      </c>
      <c r="CC62" s="1362"/>
      <c r="CD62" s="1362"/>
      <c r="CE62" s="1362"/>
      <c r="CF62" s="1362"/>
      <c r="CG62" s="1362"/>
      <c r="CH62" s="1363">
        <f t="shared" si="7"/>
        <v>0</v>
      </c>
      <c r="CI62" s="1346"/>
      <c r="CJ62" s="1346"/>
      <c r="CK62" s="1346"/>
      <c r="CL62" s="1346"/>
      <c r="CM62" s="1346"/>
      <c r="CN62" s="1346"/>
      <c r="CO62" s="1346"/>
      <c r="CP62" s="1346"/>
    </row>
    <row r="63" spans="1:94" x14ac:dyDescent="0.25">
      <c r="A63" s="2458">
        <v>27400250</v>
      </c>
      <c r="B63" s="6684"/>
      <c r="C63" s="5424"/>
      <c r="D63" s="1313" t="s">
        <v>318</v>
      </c>
      <c r="E63" s="3105" t="s">
        <v>2777</v>
      </c>
      <c r="F63" s="2905" t="s">
        <v>2778</v>
      </c>
      <c r="G63" s="3435" t="s">
        <v>2779</v>
      </c>
      <c r="H63" s="3435" t="s">
        <v>2780</v>
      </c>
      <c r="I63" s="3334" t="s">
        <v>2781</v>
      </c>
      <c r="J63" s="3579" t="s">
        <v>2782</v>
      </c>
      <c r="K63" s="1079" t="str">
        <f t="shared" si="5"/>
        <v/>
      </c>
      <c r="L63" s="1085"/>
      <c r="M63" s="1085"/>
      <c r="N63" s="1085"/>
      <c r="O63" s="1085"/>
      <c r="P63" s="1085"/>
      <c r="Q63" s="1085"/>
      <c r="R63" s="1085"/>
      <c r="S63" s="1085"/>
      <c r="T63" s="1085"/>
      <c r="U63" s="1085"/>
      <c r="V63" s="1085"/>
      <c r="W63" s="881"/>
      <c r="X63" s="190"/>
      <c r="Y63" s="190"/>
      <c r="Z63" s="190"/>
      <c r="AA63" s="190"/>
      <c r="AB63" s="190"/>
      <c r="AC63" s="190"/>
      <c r="AD63" s="190"/>
      <c r="CB63" s="1362" t="str">
        <f t="shared" si="6"/>
        <v/>
      </c>
      <c r="CC63" s="1362"/>
      <c r="CD63" s="1362"/>
      <c r="CE63" s="1362"/>
      <c r="CF63" s="1362"/>
      <c r="CG63" s="1362"/>
      <c r="CH63" s="1363">
        <f t="shared" si="7"/>
        <v>0</v>
      </c>
      <c r="CI63" s="1346"/>
      <c r="CJ63" s="1346"/>
      <c r="CK63" s="1346"/>
      <c r="CL63" s="1346"/>
      <c r="CM63" s="1346"/>
      <c r="CN63" s="1346"/>
      <c r="CO63" s="1346"/>
      <c r="CP63" s="1346"/>
    </row>
    <row r="64" spans="1:94" x14ac:dyDescent="0.25">
      <c r="A64" s="2458">
        <v>27300200</v>
      </c>
      <c r="B64" s="6684"/>
      <c r="C64" s="5267" t="s">
        <v>1784</v>
      </c>
      <c r="D64" s="5268"/>
      <c r="E64" s="3113" t="s">
        <v>2777</v>
      </c>
      <c r="F64" s="2901" t="s">
        <v>2778</v>
      </c>
      <c r="G64" s="3431" t="s">
        <v>2779</v>
      </c>
      <c r="H64" s="3431" t="s">
        <v>2780</v>
      </c>
      <c r="I64" s="3330" t="s">
        <v>2781</v>
      </c>
      <c r="J64" s="3576" t="s">
        <v>2782</v>
      </c>
      <c r="K64" s="1079" t="str">
        <f t="shared" si="5"/>
        <v/>
      </c>
      <c r="L64" s="1085"/>
      <c r="M64" s="1085"/>
      <c r="N64" s="1085"/>
      <c r="O64" s="1085"/>
      <c r="P64" s="1085"/>
      <c r="Q64" s="1085"/>
      <c r="R64" s="1085"/>
      <c r="S64" s="1085"/>
      <c r="T64" s="1085"/>
      <c r="U64" s="1085"/>
      <c r="V64" s="1085"/>
      <c r="W64" s="881"/>
      <c r="X64" s="190"/>
      <c r="Y64" s="190"/>
      <c r="Z64" s="190"/>
      <c r="AA64" s="190"/>
      <c r="AB64" s="190"/>
      <c r="AC64" s="190"/>
      <c r="AD64" s="190"/>
      <c r="CB64" s="1362" t="str">
        <f t="shared" si="6"/>
        <v/>
      </c>
      <c r="CC64" s="1362"/>
      <c r="CD64" s="1362"/>
      <c r="CE64" s="1362"/>
      <c r="CF64" s="1362"/>
      <c r="CG64" s="1362"/>
      <c r="CH64" s="1363">
        <f t="shared" si="7"/>
        <v>0</v>
      </c>
      <c r="CI64" s="1346"/>
      <c r="CJ64" s="1346"/>
      <c r="CK64" s="1346"/>
      <c r="CL64" s="1346"/>
      <c r="CM64" s="1346"/>
      <c r="CN64" s="1346"/>
      <c r="CO64" s="1346"/>
      <c r="CP64" s="1346"/>
    </row>
    <row r="65" spans="1:94" x14ac:dyDescent="0.25">
      <c r="A65" s="2458">
        <v>27300923</v>
      </c>
      <c r="B65" s="6684"/>
      <c r="C65" s="5711" t="s">
        <v>1785</v>
      </c>
      <c r="D65" s="1395" t="s">
        <v>1786</v>
      </c>
      <c r="E65" s="3113" t="s">
        <v>2777</v>
      </c>
      <c r="F65" s="2901" t="s">
        <v>2778</v>
      </c>
      <c r="G65" s="3431" t="s">
        <v>2779</v>
      </c>
      <c r="H65" s="3431" t="s">
        <v>2780</v>
      </c>
      <c r="I65" s="3330" t="s">
        <v>2781</v>
      </c>
      <c r="J65" s="3576" t="s">
        <v>2782</v>
      </c>
      <c r="K65" s="1079" t="str">
        <f t="shared" si="5"/>
        <v/>
      </c>
      <c r="L65" s="1085"/>
      <c r="M65" s="1085"/>
      <c r="N65" s="1085"/>
      <c r="O65" s="1085"/>
      <c r="P65" s="1085"/>
      <c r="Q65" s="1085"/>
      <c r="R65" s="1085"/>
      <c r="S65" s="1085"/>
      <c r="T65" s="1085"/>
      <c r="U65" s="1085"/>
      <c r="V65" s="1085"/>
      <c r="W65" s="881"/>
      <c r="X65" s="190"/>
      <c r="Y65" s="190"/>
      <c r="Z65" s="190"/>
      <c r="AA65" s="190"/>
      <c r="AB65" s="190"/>
      <c r="AC65" s="190"/>
      <c r="AD65" s="190"/>
      <c r="CB65" s="1362" t="str">
        <f t="shared" si="6"/>
        <v/>
      </c>
      <c r="CC65" s="1362"/>
      <c r="CD65" s="1362"/>
      <c r="CE65" s="1362"/>
      <c r="CF65" s="1362"/>
      <c r="CG65" s="1362"/>
      <c r="CH65" s="1363">
        <f t="shared" si="7"/>
        <v>0</v>
      </c>
      <c r="CI65" s="1346"/>
      <c r="CJ65" s="1346"/>
      <c r="CK65" s="1346"/>
      <c r="CL65" s="1346"/>
      <c r="CM65" s="1346"/>
      <c r="CN65" s="1346"/>
      <c r="CO65" s="1346"/>
      <c r="CP65" s="1346"/>
    </row>
    <row r="66" spans="1:94" x14ac:dyDescent="0.25">
      <c r="A66" s="2458">
        <v>27300924</v>
      </c>
      <c r="B66" s="6684"/>
      <c r="C66" s="5711"/>
      <c r="D66" s="1395" t="s">
        <v>1787</v>
      </c>
      <c r="E66" s="3113" t="s">
        <v>2777</v>
      </c>
      <c r="F66" s="2901" t="s">
        <v>2778</v>
      </c>
      <c r="G66" s="3431" t="s">
        <v>2779</v>
      </c>
      <c r="H66" s="3431" t="s">
        <v>2780</v>
      </c>
      <c r="I66" s="3330" t="s">
        <v>2781</v>
      </c>
      <c r="J66" s="3576" t="s">
        <v>2782</v>
      </c>
      <c r="K66" s="1079" t="str">
        <f t="shared" si="5"/>
        <v/>
      </c>
      <c r="L66" s="1085"/>
      <c r="M66" s="1085"/>
      <c r="N66" s="1085"/>
      <c r="O66" s="1085"/>
      <c r="P66" s="1085"/>
      <c r="Q66" s="1085"/>
      <c r="R66" s="1085"/>
      <c r="S66" s="1085"/>
      <c r="T66" s="1085"/>
      <c r="U66" s="1085"/>
      <c r="V66" s="1085"/>
      <c r="W66" s="881"/>
      <c r="X66" s="190"/>
      <c r="Y66" s="190"/>
      <c r="Z66" s="190"/>
      <c r="AA66" s="190"/>
      <c r="AB66" s="190"/>
      <c r="AC66" s="190"/>
      <c r="AD66" s="190"/>
      <c r="CB66" s="1362" t="str">
        <f t="shared" si="6"/>
        <v/>
      </c>
      <c r="CC66" s="1362"/>
      <c r="CD66" s="1362"/>
      <c r="CE66" s="1362"/>
      <c r="CF66" s="1362"/>
      <c r="CG66" s="1362"/>
      <c r="CH66" s="1363">
        <f t="shared" si="7"/>
        <v>0</v>
      </c>
      <c r="CI66" s="1346"/>
      <c r="CJ66" s="1346"/>
      <c r="CK66" s="1346"/>
      <c r="CL66" s="1346"/>
      <c r="CM66" s="1346"/>
      <c r="CN66" s="1346"/>
      <c r="CO66" s="1346"/>
      <c r="CP66" s="1346"/>
    </row>
    <row r="67" spans="1:94" x14ac:dyDescent="0.25">
      <c r="A67" s="2458">
        <v>27300925</v>
      </c>
      <c r="B67" s="6684"/>
      <c r="C67" s="6712" t="s">
        <v>2705</v>
      </c>
      <c r="D67" s="6712"/>
      <c r="E67" s="3113" t="s">
        <v>2777</v>
      </c>
      <c r="F67" s="2901" t="s">
        <v>2778</v>
      </c>
      <c r="G67" s="3431" t="s">
        <v>2779</v>
      </c>
      <c r="H67" s="3431" t="s">
        <v>2780</v>
      </c>
      <c r="I67" s="3330" t="s">
        <v>2781</v>
      </c>
      <c r="J67" s="3576" t="s">
        <v>2782</v>
      </c>
      <c r="K67" s="1079" t="str">
        <f t="shared" si="5"/>
        <v/>
      </c>
      <c r="L67" s="1085"/>
      <c r="M67" s="1085"/>
      <c r="N67" s="1085"/>
      <c r="O67" s="1085"/>
      <c r="P67" s="1085"/>
      <c r="Q67" s="1085"/>
      <c r="R67" s="1085"/>
      <c r="S67" s="1085"/>
      <c r="T67" s="1085"/>
      <c r="U67" s="1085"/>
      <c r="V67" s="1085"/>
      <c r="W67" s="881"/>
      <c r="X67" s="190"/>
      <c r="Y67" s="190"/>
      <c r="Z67" s="190"/>
      <c r="AA67" s="190"/>
      <c r="AB67" s="190"/>
      <c r="AC67" s="190"/>
      <c r="AD67" s="190"/>
      <c r="CB67" s="1362" t="str">
        <f t="shared" si="6"/>
        <v/>
      </c>
      <c r="CC67" s="1362"/>
      <c r="CD67" s="1362"/>
      <c r="CE67" s="1362"/>
      <c r="CF67" s="1362"/>
      <c r="CG67" s="1362"/>
      <c r="CH67" s="1363">
        <f t="shared" si="7"/>
        <v>0</v>
      </c>
      <c r="CI67" s="1346"/>
      <c r="CJ67" s="1346"/>
      <c r="CK67" s="1346"/>
      <c r="CL67" s="1346"/>
      <c r="CM67" s="1346"/>
      <c r="CN67" s="1346"/>
      <c r="CO67" s="1346"/>
      <c r="CP67" s="1346"/>
    </row>
    <row r="68" spans="1:94" x14ac:dyDescent="0.25">
      <c r="A68" s="2458">
        <v>27290302</v>
      </c>
      <c r="B68" s="6684"/>
      <c r="C68" s="6713" t="s">
        <v>1788</v>
      </c>
      <c r="D68" s="6714"/>
      <c r="E68" s="3113" t="s">
        <v>2777</v>
      </c>
      <c r="F68" s="2901" t="s">
        <v>2778</v>
      </c>
      <c r="G68" s="3431" t="s">
        <v>2779</v>
      </c>
      <c r="H68" s="3431" t="s">
        <v>2780</v>
      </c>
      <c r="I68" s="3330" t="s">
        <v>2781</v>
      </c>
      <c r="J68" s="3576" t="s">
        <v>2782</v>
      </c>
      <c r="K68" s="1079" t="str">
        <f t="shared" si="5"/>
        <v/>
      </c>
      <c r="L68" s="1085"/>
      <c r="M68" s="1085"/>
      <c r="N68" s="1085"/>
      <c r="O68" s="1085"/>
      <c r="P68" s="1085"/>
      <c r="Q68" s="1085"/>
      <c r="R68" s="1085"/>
      <c r="S68" s="1085"/>
      <c r="T68" s="1085"/>
      <c r="U68" s="1085"/>
      <c r="V68" s="1085"/>
      <c r="W68" s="881"/>
      <c r="X68" s="190"/>
      <c r="Y68" s="190"/>
      <c r="Z68" s="190"/>
      <c r="AA68" s="190"/>
      <c r="AB68" s="190"/>
      <c r="AC68" s="190"/>
      <c r="AD68" s="190"/>
      <c r="CB68" s="1362" t="str">
        <f t="shared" si="6"/>
        <v/>
      </c>
      <c r="CC68" s="1362"/>
      <c r="CD68" s="1362"/>
      <c r="CE68" s="1362"/>
      <c r="CF68" s="1362"/>
      <c r="CG68" s="1362"/>
      <c r="CH68" s="1363">
        <f t="shared" si="7"/>
        <v>0</v>
      </c>
      <c r="CI68" s="1346"/>
      <c r="CJ68" s="1346"/>
      <c r="CK68" s="1346"/>
      <c r="CL68" s="1346"/>
      <c r="CM68" s="1346"/>
      <c r="CN68" s="1346"/>
      <c r="CO68" s="1346"/>
      <c r="CP68" s="1346"/>
    </row>
    <row r="69" spans="1:94" x14ac:dyDescent="0.25">
      <c r="A69" s="2458">
        <v>27400020</v>
      </c>
      <c r="B69" s="6684"/>
      <c r="C69" s="5313" t="s">
        <v>1789</v>
      </c>
      <c r="D69" s="5303"/>
      <c r="E69" s="3113" t="s">
        <v>2777</v>
      </c>
      <c r="F69" s="3398" t="s">
        <v>2778</v>
      </c>
      <c r="G69" s="3432" t="s">
        <v>2779</v>
      </c>
      <c r="H69" s="3432" t="s">
        <v>2780</v>
      </c>
      <c r="I69" s="3400" t="s">
        <v>2781</v>
      </c>
      <c r="J69" s="3577" t="s">
        <v>2782</v>
      </c>
      <c r="K69" s="1079" t="str">
        <f t="shared" si="5"/>
        <v/>
      </c>
      <c r="L69" s="1085"/>
      <c r="M69" s="1085"/>
      <c r="N69" s="1085"/>
      <c r="O69" s="1085"/>
      <c r="P69" s="1085"/>
      <c r="Q69" s="1085"/>
      <c r="R69" s="1085"/>
      <c r="S69" s="1085"/>
      <c r="T69" s="1085"/>
      <c r="U69" s="1085"/>
      <c r="V69" s="1085"/>
      <c r="W69" s="881"/>
      <c r="X69" s="190"/>
      <c r="Y69" s="190"/>
      <c r="Z69" s="190"/>
      <c r="AA69" s="190"/>
      <c r="AB69" s="190"/>
      <c r="AC69" s="190"/>
      <c r="AD69" s="190"/>
      <c r="CB69" s="1362" t="str">
        <f t="shared" si="6"/>
        <v/>
      </c>
      <c r="CC69" s="1362"/>
      <c r="CD69" s="1362"/>
      <c r="CE69" s="1362"/>
      <c r="CF69" s="1362"/>
      <c r="CG69" s="1362"/>
      <c r="CH69" s="1363">
        <f t="shared" si="7"/>
        <v>0</v>
      </c>
      <c r="CI69" s="1346"/>
      <c r="CJ69" s="1346"/>
      <c r="CK69" s="1346"/>
      <c r="CL69" s="1346"/>
      <c r="CM69" s="1346"/>
      <c r="CN69" s="1346"/>
      <c r="CO69" s="1346"/>
      <c r="CP69" s="1346"/>
    </row>
    <row r="70" spans="1:94" x14ac:dyDescent="0.25">
      <c r="A70" s="2458">
        <v>27282400</v>
      </c>
      <c r="B70" s="6684"/>
      <c r="C70" s="6478" t="s">
        <v>1790</v>
      </c>
      <c r="D70" s="6479"/>
      <c r="E70" s="3113" t="s">
        <v>2777</v>
      </c>
      <c r="F70" s="3398" t="s">
        <v>2778</v>
      </c>
      <c r="G70" s="3432" t="s">
        <v>2779</v>
      </c>
      <c r="H70" s="3432" t="s">
        <v>2780</v>
      </c>
      <c r="I70" s="3400" t="s">
        <v>2781</v>
      </c>
      <c r="J70" s="3577" t="s">
        <v>2782</v>
      </c>
      <c r="K70" s="1079" t="str">
        <f t="shared" si="5"/>
        <v/>
      </c>
      <c r="L70" s="1085"/>
      <c r="M70" s="1085"/>
      <c r="N70" s="1085"/>
      <c r="O70" s="1085"/>
      <c r="P70" s="1085"/>
      <c r="Q70" s="1085"/>
      <c r="R70" s="1085"/>
      <c r="S70" s="1085"/>
      <c r="T70" s="1085"/>
      <c r="U70" s="1085"/>
      <c r="V70" s="1085"/>
      <c r="W70" s="881"/>
      <c r="X70" s="190"/>
      <c r="Y70" s="190"/>
      <c r="Z70" s="190"/>
      <c r="AA70" s="190"/>
      <c r="AB70" s="190"/>
      <c r="AC70" s="190"/>
      <c r="AD70" s="190"/>
      <c r="CB70" s="1362" t="str">
        <f t="shared" si="6"/>
        <v/>
      </c>
      <c r="CC70" s="1362"/>
      <c r="CD70" s="1362"/>
      <c r="CE70" s="1362"/>
      <c r="CF70" s="1362"/>
      <c r="CG70" s="1362"/>
      <c r="CH70" s="1363">
        <f t="shared" si="7"/>
        <v>0</v>
      </c>
      <c r="CI70" s="1346"/>
      <c r="CJ70" s="1346"/>
      <c r="CK70" s="1346"/>
      <c r="CL70" s="1346"/>
      <c r="CM70" s="1346"/>
      <c r="CN70" s="1346"/>
      <c r="CO70" s="1346"/>
      <c r="CP70" s="1346"/>
    </row>
    <row r="71" spans="1:94" x14ac:dyDescent="0.25">
      <c r="A71" s="2458">
        <v>27282500</v>
      </c>
      <c r="B71" s="6684"/>
      <c r="C71" s="5158" t="s">
        <v>1791</v>
      </c>
      <c r="D71" s="1378" t="s">
        <v>1792</v>
      </c>
      <c r="E71" s="3112" t="s">
        <v>2777</v>
      </c>
      <c r="F71" s="3307" t="s">
        <v>2778</v>
      </c>
      <c r="G71" s="3430" t="s">
        <v>2779</v>
      </c>
      <c r="H71" s="3430" t="s">
        <v>2780</v>
      </c>
      <c r="I71" s="3327" t="s">
        <v>2781</v>
      </c>
      <c r="J71" s="3581" t="s">
        <v>2782</v>
      </c>
      <c r="K71" s="1079" t="str">
        <f t="shared" si="5"/>
        <v/>
      </c>
      <c r="L71" s="1085"/>
      <c r="M71" s="1085"/>
      <c r="N71" s="1085"/>
      <c r="O71" s="1085"/>
      <c r="P71" s="1085"/>
      <c r="Q71" s="1085"/>
      <c r="R71" s="1085"/>
      <c r="S71" s="1085"/>
      <c r="T71" s="1085"/>
      <c r="U71" s="1085"/>
      <c r="V71" s="1085"/>
      <c r="W71" s="881"/>
      <c r="X71" s="190"/>
      <c r="Y71" s="190"/>
      <c r="Z71" s="190"/>
      <c r="AA71" s="190"/>
      <c r="AB71" s="190"/>
      <c r="AC71" s="190"/>
      <c r="AD71" s="190"/>
      <c r="CB71" s="1362" t="str">
        <f t="shared" si="6"/>
        <v/>
      </c>
      <c r="CC71" s="1362"/>
      <c r="CD71" s="1362"/>
      <c r="CE71" s="1362"/>
      <c r="CF71" s="1362"/>
      <c r="CG71" s="1362"/>
      <c r="CH71" s="1363">
        <f t="shared" si="7"/>
        <v>0</v>
      </c>
      <c r="CI71" s="1346"/>
      <c r="CJ71" s="1346"/>
      <c r="CK71" s="1346"/>
      <c r="CL71" s="1346"/>
      <c r="CM71" s="1346"/>
      <c r="CN71" s="1346"/>
      <c r="CO71" s="1346"/>
      <c r="CP71" s="1346"/>
    </row>
    <row r="72" spans="1:94" x14ac:dyDescent="0.25">
      <c r="A72" s="2458">
        <v>27282600</v>
      </c>
      <c r="B72" s="6684"/>
      <c r="C72" s="5113"/>
      <c r="D72" s="1396" t="s">
        <v>1793</v>
      </c>
      <c r="E72" s="3113" t="s">
        <v>2777</v>
      </c>
      <c r="F72" s="2901" t="s">
        <v>2778</v>
      </c>
      <c r="G72" s="3431" t="s">
        <v>2779</v>
      </c>
      <c r="H72" s="3431" t="s">
        <v>2780</v>
      </c>
      <c r="I72" s="3330" t="s">
        <v>2781</v>
      </c>
      <c r="J72" s="3576" t="s">
        <v>2782</v>
      </c>
      <c r="K72" s="1079" t="str">
        <f t="shared" si="5"/>
        <v/>
      </c>
      <c r="L72" s="1085"/>
      <c r="M72" s="1085"/>
      <c r="N72" s="1085"/>
      <c r="O72" s="1085"/>
      <c r="P72" s="1085"/>
      <c r="Q72" s="1085"/>
      <c r="R72" s="1085"/>
      <c r="S72" s="1085"/>
      <c r="T72" s="1085"/>
      <c r="U72" s="1085"/>
      <c r="V72" s="1085"/>
      <c r="W72" s="881"/>
      <c r="X72" s="190"/>
      <c r="Y72" s="190"/>
      <c r="Z72" s="190"/>
      <c r="AA72" s="190"/>
      <c r="AB72" s="190"/>
      <c r="AC72" s="190"/>
      <c r="AD72" s="190"/>
      <c r="CB72" s="1362" t="str">
        <f t="shared" si="6"/>
        <v/>
      </c>
      <c r="CC72" s="1362"/>
      <c r="CD72" s="1362"/>
      <c r="CE72" s="1362"/>
      <c r="CF72" s="1362"/>
      <c r="CG72" s="1362"/>
      <c r="CH72" s="1363">
        <f t="shared" si="7"/>
        <v>0</v>
      </c>
      <c r="CI72" s="1346"/>
      <c r="CJ72" s="1346"/>
      <c r="CK72" s="1346"/>
      <c r="CL72" s="1346"/>
      <c r="CM72" s="1346"/>
      <c r="CN72" s="1346"/>
      <c r="CO72" s="1346"/>
      <c r="CP72" s="1346"/>
    </row>
    <row r="73" spans="1:94" ht="22.5" x14ac:dyDescent="0.25">
      <c r="A73" s="2458">
        <v>27290303</v>
      </c>
      <c r="B73" s="6684"/>
      <c r="C73" s="5424"/>
      <c r="D73" s="1380" t="s">
        <v>1794</v>
      </c>
      <c r="E73" s="3113" t="s">
        <v>2777</v>
      </c>
      <c r="F73" s="3398" t="s">
        <v>2778</v>
      </c>
      <c r="G73" s="3432" t="s">
        <v>2779</v>
      </c>
      <c r="H73" s="3432" t="s">
        <v>2780</v>
      </c>
      <c r="I73" s="3400" t="s">
        <v>2781</v>
      </c>
      <c r="J73" s="3577" t="s">
        <v>2782</v>
      </c>
      <c r="K73" s="1079" t="str">
        <f t="shared" si="5"/>
        <v/>
      </c>
      <c r="L73" s="1085"/>
      <c r="M73" s="1085"/>
      <c r="N73" s="1085"/>
      <c r="O73" s="1085"/>
      <c r="P73" s="1085"/>
      <c r="Q73" s="1085"/>
      <c r="R73" s="1085"/>
      <c r="S73" s="1085"/>
      <c r="T73" s="1085"/>
      <c r="U73" s="1085"/>
      <c r="V73" s="1085"/>
      <c r="W73" s="881"/>
      <c r="X73" s="190"/>
      <c r="Y73" s="190"/>
      <c r="Z73" s="190"/>
      <c r="AA73" s="190"/>
      <c r="AB73" s="190"/>
      <c r="AC73" s="190"/>
      <c r="AD73" s="190"/>
      <c r="CB73" s="1362" t="str">
        <f t="shared" si="6"/>
        <v/>
      </c>
      <c r="CC73" s="1362"/>
      <c r="CD73" s="1362"/>
      <c r="CE73" s="1362"/>
      <c r="CF73" s="1362"/>
      <c r="CG73" s="1362"/>
      <c r="CH73" s="1363">
        <f t="shared" si="7"/>
        <v>0</v>
      </c>
      <c r="CI73" s="1346"/>
      <c r="CJ73" s="1346"/>
      <c r="CK73" s="1346"/>
      <c r="CL73" s="1346"/>
      <c r="CM73" s="1346"/>
      <c r="CN73" s="1346"/>
      <c r="CO73" s="1346"/>
      <c r="CP73" s="1346"/>
    </row>
    <row r="74" spans="1:94" x14ac:dyDescent="0.25">
      <c r="A74" s="2458">
        <v>27300912</v>
      </c>
      <c r="B74" s="6684"/>
      <c r="C74" s="6691" t="s">
        <v>1795</v>
      </c>
      <c r="D74" s="6692"/>
      <c r="E74" s="3107" t="s">
        <v>2777</v>
      </c>
      <c r="F74" s="3307" t="s">
        <v>2778</v>
      </c>
      <c r="G74" s="3430" t="s">
        <v>2779</v>
      </c>
      <c r="H74" s="3430" t="s">
        <v>2780</v>
      </c>
      <c r="I74" s="3591" t="s">
        <v>2781</v>
      </c>
      <c r="J74" s="3581" t="s">
        <v>2782</v>
      </c>
      <c r="K74" s="1079" t="str">
        <f t="shared" si="5"/>
        <v/>
      </c>
      <c r="L74" s="1085"/>
      <c r="M74" s="1085"/>
      <c r="N74" s="1085"/>
      <c r="O74" s="1085"/>
      <c r="P74" s="1085"/>
      <c r="Q74" s="1085"/>
      <c r="R74" s="1085"/>
      <c r="S74" s="1085"/>
      <c r="T74" s="1085"/>
      <c r="U74" s="1085"/>
      <c r="V74" s="1085"/>
      <c r="W74" s="881"/>
      <c r="X74" s="190"/>
      <c r="Y74" s="190"/>
      <c r="Z74" s="190"/>
      <c r="AA74" s="190"/>
      <c r="AB74" s="190"/>
      <c r="AC74" s="190"/>
      <c r="AD74" s="190"/>
      <c r="CB74" s="1362" t="str">
        <f t="shared" si="6"/>
        <v/>
      </c>
      <c r="CC74" s="1362"/>
      <c r="CD74" s="1362"/>
      <c r="CE74" s="1362"/>
      <c r="CF74" s="1362"/>
      <c r="CG74" s="1362"/>
      <c r="CH74" s="1363">
        <f t="shared" si="7"/>
        <v>0</v>
      </c>
      <c r="CI74" s="1346"/>
      <c r="CJ74" s="1346"/>
      <c r="CK74" s="1346"/>
      <c r="CL74" s="1346"/>
      <c r="CM74" s="1346"/>
      <c r="CN74" s="1346"/>
      <c r="CO74" s="1346"/>
      <c r="CP74" s="1346"/>
    </row>
    <row r="75" spans="1:94" x14ac:dyDescent="0.25">
      <c r="A75" s="2458">
        <v>27500150</v>
      </c>
      <c r="B75" s="6684"/>
      <c r="C75" s="6679" t="s">
        <v>1796</v>
      </c>
      <c r="D75" s="6680"/>
      <c r="E75" s="3589" t="s">
        <v>2777</v>
      </c>
      <c r="F75" s="3423" t="s">
        <v>2778</v>
      </c>
      <c r="G75" s="3578" t="s">
        <v>2779</v>
      </c>
      <c r="H75" s="3578" t="s">
        <v>2780</v>
      </c>
      <c r="I75" s="3592" t="s">
        <v>2781</v>
      </c>
      <c r="J75" s="3584" t="s">
        <v>2782</v>
      </c>
      <c r="K75" s="1079" t="str">
        <f t="shared" si="5"/>
        <v/>
      </c>
      <c r="L75" s="1085"/>
      <c r="M75" s="1085"/>
      <c r="N75" s="1085"/>
      <c r="O75" s="1085"/>
      <c r="P75" s="1085"/>
      <c r="Q75" s="1085"/>
      <c r="R75" s="1085"/>
      <c r="S75" s="1085"/>
      <c r="T75" s="1085"/>
      <c r="U75" s="1085"/>
      <c r="V75" s="1085"/>
      <c r="W75" s="881"/>
      <c r="X75" s="190"/>
      <c r="Y75" s="190"/>
      <c r="Z75" s="190"/>
      <c r="AA75" s="190"/>
      <c r="AB75" s="190"/>
      <c r="AC75" s="190"/>
      <c r="AD75" s="190"/>
      <c r="CB75" s="1362" t="str">
        <f t="shared" si="6"/>
        <v/>
      </c>
      <c r="CC75" s="1362"/>
      <c r="CD75" s="1362"/>
      <c r="CE75" s="1362"/>
      <c r="CF75" s="1362"/>
      <c r="CG75" s="1362"/>
      <c r="CH75" s="1363">
        <f t="shared" si="7"/>
        <v>0</v>
      </c>
      <c r="CI75" s="1346"/>
      <c r="CJ75" s="1346"/>
      <c r="CK75" s="1346"/>
      <c r="CL75" s="1346"/>
      <c r="CM75" s="1346"/>
      <c r="CN75" s="1346"/>
      <c r="CO75" s="1346"/>
      <c r="CP75" s="1346"/>
    </row>
    <row r="76" spans="1:94" x14ac:dyDescent="0.25">
      <c r="A76" s="2579"/>
      <c r="B76" s="6686"/>
      <c r="C76" s="6693" t="s">
        <v>42</v>
      </c>
      <c r="D76" s="6694"/>
      <c r="E76" s="1384">
        <f>SUM(F76:I76)</f>
        <v>0</v>
      </c>
      <c r="F76" s="1138">
        <f>SUM(F45:F75)</f>
        <v>0</v>
      </c>
      <c r="G76" s="1387">
        <f t="shared" ref="G76:J76" si="8">SUM(G45:G75)</f>
        <v>0</v>
      </c>
      <c r="H76" s="1387">
        <f t="shared" si="8"/>
        <v>0</v>
      </c>
      <c r="I76" s="1397">
        <f t="shared" si="8"/>
        <v>0</v>
      </c>
      <c r="J76" s="1398">
        <f t="shared" si="8"/>
        <v>0</v>
      </c>
      <c r="K76" s="956"/>
      <c r="L76" s="1071"/>
      <c r="M76" s="1071"/>
      <c r="N76" s="1071"/>
      <c r="O76" s="1071"/>
      <c r="P76" s="1071"/>
      <c r="Q76" s="1071"/>
      <c r="R76" s="1071"/>
      <c r="S76" s="881"/>
      <c r="T76" s="881"/>
      <c r="U76" s="881"/>
      <c r="V76" s="881"/>
      <c r="W76" s="881"/>
      <c r="X76" s="190"/>
      <c r="Y76" s="190"/>
      <c r="Z76" s="190"/>
      <c r="AA76" s="190"/>
      <c r="AB76" s="190"/>
      <c r="AC76" s="190"/>
      <c r="CH76" s="1346"/>
      <c r="CI76" s="1346"/>
      <c r="CJ76" s="1346"/>
      <c r="CK76" s="1346"/>
      <c r="CL76" s="1346"/>
      <c r="CM76" s="1346"/>
      <c r="CN76" s="1346"/>
      <c r="CO76" s="1346"/>
      <c r="CP76" s="1346"/>
    </row>
    <row r="77" spans="1:94" ht="32.1" customHeight="1" x14ac:dyDescent="0.25">
      <c r="B77" s="1402" t="s">
        <v>1802</v>
      </c>
      <c r="C77" s="1390"/>
      <c r="D77" s="1390"/>
      <c r="E77" s="1390"/>
      <c r="F77" s="1390"/>
      <c r="G77" s="1390"/>
      <c r="H77" s="1391"/>
      <c r="I77" s="1391"/>
      <c r="J77" s="81"/>
      <c r="K77" s="128"/>
      <c r="L77" s="128"/>
      <c r="M77" s="128"/>
      <c r="N77" s="128"/>
      <c r="O77" s="128"/>
      <c r="P77" s="128"/>
      <c r="Q77" s="1071"/>
      <c r="R77" s="1071"/>
      <c r="S77" s="881"/>
      <c r="T77" s="881"/>
      <c r="U77" s="881"/>
      <c r="V77" s="881"/>
      <c r="W77" s="881"/>
      <c r="X77" s="190"/>
      <c r="Y77" s="190"/>
      <c r="Z77" s="190"/>
      <c r="AA77" s="190"/>
      <c r="AB77" s="190"/>
      <c r="AC77" s="190"/>
      <c r="CH77" s="1346"/>
      <c r="CI77" s="1346"/>
      <c r="CJ77" s="1346"/>
      <c r="CK77" s="1346"/>
      <c r="CL77" s="1346"/>
      <c r="CM77" s="1346"/>
      <c r="CN77" s="1346"/>
      <c r="CO77" s="1346"/>
      <c r="CP77" s="1346"/>
    </row>
    <row r="78" spans="1:94" ht="36" customHeight="1" x14ac:dyDescent="0.25">
      <c r="B78" s="5711" t="s">
        <v>39</v>
      </c>
      <c r="C78" s="5711"/>
      <c r="D78" s="5711"/>
      <c r="E78" s="1320" t="s">
        <v>1803</v>
      </c>
      <c r="F78" s="1116" t="s">
        <v>1804</v>
      </c>
      <c r="G78" s="1149" t="s">
        <v>499</v>
      </c>
      <c r="H78" s="1149" t="s">
        <v>285</v>
      </c>
      <c r="I78" s="1348" t="s">
        <v>69</v>
      </c>
      <c r="J78" s="1400"/>
      <c r="K78" s="1071"/>
      <c r="L78" s="1071"/>
      <c r="M78" s="1071"/>
      <c r="N78" s="1071"/>
      <c r="O78" s="1071"/>
      <c r="P78" s="1071"/>
      <c r="Q78" s="1071"/>
      <c r="R78" s="1071"/>
      <c r="S78" s="881"/>
      <c r="T78" s="881"/>
      <c r="U78" s="881"/>
      <c r="V78" s="881"/>
      <c r="W78" s="881"/>
      <c r="X78" s="190"/>
      <c r="Y78" s="190"/>
      <c r="Z78" s="190"/>
      <c r="AA78" s="190"/>
      <c r="AB78" s="190"/>
      <c r="AC78" s="190"/>
      <c r="CH78" s="1346"/>
      <c r="CI78" s="1346"/>
      <c r="CJ78" s="1346"/>
      <c r="CK78" s="1346"/>
      <c r="CL78" s="1346"/>
      <c r="CM78" s="1346"/>
      <c r="CN78" s="1346"/>
      <c r="CO78" s="1346"/>
      <c r="CP78" s="1346"/>
    </row>
    <row r="79" spans="1:94" x14ac:dyDescent="0.25">
      <c r="A79" s="2458">
        <v>27300500</v>
      </c>
      <c r="B79" s="6709" t="s">
        <v>1805</v>
      </c>
      <c r="C79" s="6710"/>
      <c r="D79" s="6711"/>
      <c r="E79" s="179" t="s">
        <v>2777</v>
      </c>
      <c r="F79" s="137" t="s">
        <v>2778</v>
      </c>
      <c r="G79" s="110" t="s">
        <v>2779</v>
      </c>
      <c r="H79" s="110" t="s">
        <v>2780</v>
      </c>
      <c r="I79" s="123" t="s">
        <v>2781</v>
      </c>
      <c r="J79" s="138"/>
      <c r="K79" s="378"/>
      <c r="L79" s="378"/>
      <c r="M79" s="378"/>
      <c r="N79" s="378"/>
      <c r="O79" s="378"/>
      <c r="P79" s="378"/>
      <c r="Q79" s="378"/>
      <c r="R79" s="378"/>
      <c r="S79" s="190"/>
      <c r="T79" s="190"/>
      <c r="U79" s="190"/>
      <c r="V79" s="190"/>
      <c r="W79" s="190"/>
      <c r="X79" s="190"/>
      <c r="Y79" s="190"/>
      <c r="Z79" s="190"/>
      <c r="AA79" s="190"/>
      <c r="AB79" s="190"/>
      <c r="AC79" s="190"/>
      <c r="CH79" s="1346"/>
      <c r="CI79" s="1346"/>
      <c r="CJ79" s="1346"/>
      <c r="CK79" s="1346"/>
      <c r="CL79" s="1346"/>
      <c r="CM79" s="1346"/>
      <c r="CN79" s="1346"/>
      <c r="CO79" s="1346"/>
      <c r="CP79" s="1346"/>
    </row>
    <row r="80" spans="1:94" x14ac:dyDescent="0.25">
      <c r="A80" s="3097">
        <v>27290100</v>
      </c>
      <c r="B80" s="6695" t="s">
        <v>1806</v>
      </c>
      <c r="C80" s="6696"/>
      <c r="D80" s="6697"/>
      <c r="E80" s="179" t="s">
        <v>2777</v>
      </c>
      <c r="F80" s="170" t="s">
        <v>2778</v>
      </c>
      <c r="G80" s="97" t="s">
        <v>2779</v>
      </c>
      <c r="H80" s="97" t="s">
        <v>2780</v>
      </c>
      <c r="I80" s="171" t="s">
        <v>2781</v>
      </c>
      <c r="J80" s="138"/>
      <c r="K80" s="378"/>
      <c r="L80" s="378"/>
      <c r="M80" s="378"/>
      <c r="N80" s="378"/>
      <c r="O80" s="378"/>
      <c r="P80" s="378"/>
      <c r="Q80" s="81"/>
      <c r="R80" s="378"/>
      <c r="S80" s="190"/>
      <c r="T80" s="190"/>
      <c r="U80" s="190"/>
      <c r="V80" s="190"/>
      <c r="W80" s="190"/>
      <c r="X80" s="190"/>
      <c r="Y80" s="190"/>
      <c r="Z80" s="190"/>
      <c r="AA80" s="190"/>
      <c r="AB80" s="190"/>
      <c r="AC80" s="190"/>
      <c r="CH80" s="1346"/>
      <c r="CI80" s="1346"/>
      <c r="CJ80" s="1346"/>
      <c r="CK80" s="1346"/>
      <c r="CL80" s="1346"/>
      <c r="CM80" s="1346"/>
      <c r="CN80" s="1346"/>
      <c r="CO80" s="1346"/>
      <c r="CP80" s="1346"/>
    </row>
    <row r="81" spans="1:94" x14ac:dyDescent="0.25">
      <c r="A81" s="3097">
        <v>27290200</v>
      </c>
      <c r="B81" s="6698" t="s">
        <v>1807</v>
      </c>
      <c r="C81" s="6699"/>
      <c r="D81" s="6700"/>
      <c r="E81" s="179" t="s">
        <v>2777</v>
      </c>
      <c r="F81" s="141" t="s">
        <v>2778</v>
      </c>
      <c r="G81" s="142" t="s">
        <v>2779</v>
      </c>
      <c r="H81" s="142" t="s">
        <v>2780</v>
      </c>
      <c r="I81" s="163" t="s">
        <v>2781</v>
      </c>
      <c r="J81" s="138"/>
      <c r="K81" s="378"/>
      <c r="L81" s="378"/>
      <c r="M81" s="378"/>
      <c r="N81" s="378"/>
      <c r="O81" s="378"/>
      <c r="P81" s="378"/>
      <c r="Q81" s="378"/>
      <c r="R81" s="378"/>
      <c r="S81" s="190"/>
      <c r="T81" s="190"/>
      <c r="U81" s="190"/>
      <c r="V81" s="190"/>
      <c r="W81" s="190"/>
      <c r="X81" s="190"/>
      <c r="Y81" s="190"/>
      <c r="Z81" s="190"/>
      <c r="AA81" s="190"/>
      <c r="AB81" s="190"/>
      <c r="AC81" s="190"/>
      <c r="CH81" s="1346"/>
      <c r="CI81" s="1346"/>
      <c r="CJ81" s="1346"/>
      <c r="CK81" s="1346"/>
      <c r="CL81" s="1346"/>
      <c r="CM81" s="1346"/>
      <c r="CN81" s="1346"/>
      <c r="CO81" s="1346"/>
      <c r="CP81" s="1346"/>
    </row>
    <row r="82" spans="1:94" x14ac:dyDescent="0.25">
      <c r="A82" s="3097">
        <v>27290300</v>
      </c>
      <c r="B82" s="6701" t="s">
        <v>730</v>
      </c>
      <c r="C82" s="6702"/>
      <c r="D82" s="6703"/>
      <c r="E82" s="120" t="s">
        <v>2777</v>
      </c>
      <c r="F82" s="182" t="s">
        <v>2778</v>
      </c>
      <c r="G82" s="146" t="s">
        <v>2779</v>
      </c>
      <c r="H82" s="146" t="s">
        <v>2780</v>
      </c>
      <c r="I82" s="183" t="s">
        <v>2781</v>
      </c>
      <c r="J82" s="138"/>
      <c r="K82" s="378"/>
      <c r="L82" s="378"/>
      <c r="M82" s="378"/>
      <c r="N82" s="378"/>
      <c r="O82" s="378"/>
      <c r="P82" s="378"/>
      <c r="Q82" s="378"/>
      <c r="R82" s="378"/>
      <c r="S82" s="190"/>
      <c r="T82" s="190"/>
      <c r="U82" s="190"/>
      <c r="V82" s="190"/>
      <c r="W82" s="190"/>
      <c r="X82" s="190"/>
      <c r="Y82" s="190"/>
      <c r="Z82" s="190"/>
      <c r="AA82" s="190"/>
      <c r="AB82" s="190"/>
      <c r="AC82" s="190"/>
      <c r="CH82" s="1346"/>
      <c r="CI82" s="1346"/>
      <c r="CJ82" s="1346"/>
      <c r="CK82" s="1346"/>
      <c r="CL82" s="1346"/>
      <c r="CM82" s="1346"/>
      <c r="CN82" s="1346"/>
      <c r="CO82" s="1346"/>
      <c r="CP82" s="1346"/>
    </row>
    <row r="83" spans="1:94" x14ac:dyDescent="0.25">
      <c r="A83" s="2518"/>
      <c r="B83" s="6693" t="s">
        <v>42</v>
      </c>
      <c r="C83" s="6704"/>
      <c r="D83" s="6694"/>
      <c r="E83" s="1401">
        <f>SUM(F83:I83)</f>
        <v>0</v>
      </c>
      <c r="F83" s="1138">
        <f>SUM(F79:F82)</f>
        <v>0</v>
      </c>
      <c r="G83" s="1385">
        <f>SUM(G79:G82)</f>
        <v>0</v>
      </c>
      <c r="H83" s="1385">
        <f>SUM(H79:H82)</f>
        <v>0</v>
      </c>
      <c r="I83" s="1139">
        <f>SUM(I79:I82)</f>
        <v>0</v>
      </c>
      <c r="J83" s="138"/>
      <c r="K83" s="378"/>
      <c r="L83" s="378"/>
      <c r="M83" s="378"/>
      <c r="N83" s="378"/>
      <c r="O83" s="378"/>
      <c r="P83" s="378"/>
      <c r="Q83" s="378"/>
      <c r="R83" s="378"/>
      <c r="S83" s="190"/>
      <c r="T83" s="190"/>
      <c r="U83" s="190"/>
      <c r="V83" s="190"/>
      <c r="W83" s="190"/>
      <c r="X83" s="190"/>
      <c r="Y83" s="190"/>
      <c r="Z83" s="190"/>
      <c r="AA83" s="190"/>
      <c r="AB83" s="190"/>
      <c r="AC83" s="190"/>
      <c r="CH83" s="1346"/>
      <c r="CI83" s="1346"/>
      <c r="CJ83" s="1346"/>
      <c r="CK83" s="1346"/>
      <c r="CL83" s="1346"/>
      <c r="CM83" s="1346"/>
      <c r="CN83" s="1346"/>
      <c r="CO83" s="1346"/>
      <c r="CP83" s="1346"/>
    </row>
    <row r="84" spans="1:94" ht="32.1" customHeight="1" x14ac:dyDescent="0.25">
      <c r="B84" s="1402" t="s">
        <v>1808</v>
      </c>
      <c r="C84" s="1390"/>
      <c r="D84" s="1390"/>
      <c r="E84" s="1390"/>
      <c r="F84" s="1403"/>
      <c r="G84" s="1403"/>
      <c r="H84" s="1403"/>
      <c r="I84" s="1403"/>
      <c r="J84" s="1403"/>
      <c r="K84" s="1403"/>
      <c r="L84" s="505"/>
      <c r="M84" s="505"/>
      <c r="N84" s="505"/>
      <c r="O84" s="378"/>
      <c r="P84" s="378"/>
      <c r="Q84" s="378"/>
      <c r="R84" s="378"/>
      <c r="S84" s="190"/>
      <c r="T84" s="190"/>
      <c r="U84" s="190"/>
      <c r="V84" s="190"/>
      <c r="W84" s="190"/>
      <c r="X84" s="190"/>
      <c r="Y84" s="190"/>
      <c r="Z84" s="190"/>
      <c r="AA84" s="190"/>
      <c r="AB84" s="190"/>
      <c r="AC84" s="190"/>
      <c r="CH84" s="1346"/>
      <c r="CI84" s="1346"/>
      <c r="CJ84" s="1346"/>
      <c r="CK84" s="1346"/>
      <c r="CL84" s="1346"/>
      <c r="CM84" s="1346"/>
      <c r="CN84" s="1346"/>
      <c r="CO84" s="1346"/>
      <c r="CP84" s="1346"/>
    </row>
    <row r="85" spans="1:94" ht="26.45" customHeight="1" x14ac:dyDescent="0.25">
      <c r="B85" s="6705" t="s">
        <v>674</v>
      </c>
      <c r="C85" s="6706"/>
      <c r="D85" s="6707"/>
      <c r="E85" s="1334" t="s">
        <v>1809</v>
      </c>
      <c r="F85" s="6708"/>
      <c r="G85" s="6708"/>
      <c r="H85" s="378"/>
      <c r="I85" s="378"/>
      <c r="J85" s="378"/>
      <c r="K85" s="378"/>
      <c r="L85" s="378"/>
      <c r="M85" s="378"/>
      <c r="N85" s="378"/>
      <c r="O85" s="378"/>
      <c r="P85" s="378"/>
      <c r="Q85" s="378"/>
      <c r="R85" s="378"/>
      <c r="S85" s="190"/>
      <c r="T85" s="190"/>
      <c r="U85" s="190"/>
      <c r="V85" s="190"/>
      <c r="W85" s="190"/>
      <c r="X85" s="190"/>
      <c r="Y85" s="190"/>
      <c r="Z85" s="190"/>
      <c r="AA85" s="190"/>
      <c r="AB85" s="190"/>
      <c r="AC85" s="190"/>
      <c r="CH85" s="1346"/>
      <c r="CI85" s="1346"/>
      <c r="CJ85" s="1346"/>
      <c r="CK85" s="1346"/>
      <c r="CL85" s="1346"/>
      <c r="CM85" s="1346"/>
      <c r="CN85" s="1346"/>
      <c r="CO85" s="1346"/>
      <c r="CP85" s="1346"/>
    </row>
    <row r="86" spans="1:94" x14ac:dyDescent="0.25">
      <c r="A86" s="2458">
        <v>27300300</v>
      </c>
      <c r="B86" s="6674" t="s">
        <v>731</v>
      </c>
      <c r="C86" s="6675"/>
      <c r="D86" s="6676"/>
      <c r="E86" s="501" t="s">
        <v>2777</v>
      </c>
      <c r="F86" s="6708"/>
      <c r="G86" s="6708"/>
      <c r="H86" s="378"/>
      <c r="I86" s="378"/>
      <c r="J86" s="378"/>
      <c r="K86" s="378"/>
      <c r="L86" s="378"/>
      <c r="M86" s="378"/>
      <c r="N86" s="378"/>
      <c r="O86" s="378"/>
      <c r="P86" s="378"/>
      <c r="Q86" s="378"/>
      <c r="R86" s="378"/>
      <c r="S86" s="190"/>
      <c r="T86" s="190"/>
      <c r="U86" s="190"/>
      <c r="V86" s="190"/>
      <c r="W86" s="190"/>
      <c r="X86" s="190"/>
      <c r="Y86" s="190"/>
      <c r="Z86" s="190"/>
      <c r="AA86" s="190"/>
      <c r="AB86" s="190"/>
      <c r="AC86" s="190"/>
      <c r="CH86" s="1346"/>
      <c r="CI86" s="1346"/>
      <c r="CJ86" s="1346"/>
      <c r="CK86" s="1346"/>
      <c r="CL86" s="1346"/>
      <c r="CM86" s="1346"/>
      <c r="CN86" s="1346"/>
      <c r="CO86" s="1346"/>
      <c r="CP86" s="1346"/>
    </row>
    <row r="87" spans="1:94" x14ac:dyDescent="0.25">
      <c r="A87" s="2458">
        <v>27300400</v>
      </c>
      <c r="B87" s="6698" t="s">
        <v>1810</v>
      </c>
      <c r="C87" s="6699"/>
      <c r="D87" s="6700"/>
      <c r="E87" s="501" t="s">
        <v>2778</v>
      </c>
      <c r="F87" s="6708"/>
      <c r="G87" s="6708"/>
      <c r="H87" s="378"/>
      <c r="I87" s="378"/>
      <c r="J87" s="378"/>
      <c r="K87" s="378"/>
      <c r="L87" s="378"/>
      <c r="M87" s="378"/>
      <c r="N87" s="378"/>
      <c r="O87" s="378"/>
      <c r="P87" s="378"/>
      <c r="Q87" s="378"/>
      <c r="R87" s="378"/>
      <c r="S87" s="190"/>
      <c r="T87" s="190"/>
      <c r="U87" s="190"/>
      <c r="V87" s="190"/>
      <c r="W87" s="190"/>
      <c r="X87" s="190"/>
      <c r="Y87" s="190"/>
      <c r="Z87" s="190"/>
      <c r="AA87" s="190"/>
      <c r="AB87" s="190"/>
      <c r="AC87" s="190"/>
      <c r="CH87" s="1346"/>
      <c r="CI87" s="1346"/>
      <c r="CJ87" s="1346"/>
      <c r="CK87" s="1346"/>
      <c r="CL87" s="1346"/>
      <c r="CM87" s="1346"/>
      <c r="CN87" s="1346"/>
      <c r="CO87" s="1346"/>
      <c r="CP87" s="1346"/>
    </row>
    <row r="88" spans="1:94" x14ac:dyDescent="0.25">
      <c r="A88" s="2458">
        <v>27300600</v>
      </c>
      <c r="B88" s="6749" t="s">
        <v>1811</v>
      </c>
      <c r="C88" s="6750"/>
      <c r="D88" s="6751"/>
      <c r="E88" s="582" t="s">
        <v>2779</v>
      </c>
      <c r="F88" s="378"/>
      <c r="G88" s="378"/>
      <c r="H88" s="378"/>
      <c r="I88" s="378"/>
      <c r="J88" s="378"/>
      <c r="K88" s="378"/>
      <c r="L88" s="378"/>
      <c r="M88" s="378"/>
      <c r="N88" s="378"/>
      <c r="O88" s="378"/>
      <c r="P88" s="378"/>
      <c r="Q88" s="378"/>
      <c r="R88" s="378"/>
      <c r="S88" s="190"/>
      <c r="T88" s="190"/>
      <c r="U88" s="190"/>
      <c r="V88" s="190"/>
      <c r="W88" s="190"/>
      <c r="X88" s="190"/>
      <c r="Y88" s="190"/>
      <c r="Z88" s="190"/>
      <c r="AA88" s="190"/>
      <c r="AB88" s="190"/>
      <c r="AC88" s="190"/>
      <c r="CH88" s="1346"/>
      <c r="CI88" s="1346"/>
      <c r="CJ88" s="1346"/>
      <c r="CK88" s="1346"/>
      <c r="CL88" s="1346"/>
      <c r="CM88" s="1346"/>
      <c r="CN88" s="1346"/>
      <c r="CO88" s="1346"/>
      <c r="CP88" s="1346"/>
    </row>
    <row r="89" spans="1:94" ht="32.1" customHeight="1" x14ac:dyDescent="0.25">
      <c r="B89" s="1404" t="s">
        <v>3699</v>
      </c>
      <c r="C89" s="1404"/>
      <c r="D89" s="1405"/>
      <c r="E89" s="1406"/>
      <c r="F89" s="1407"/>
      <c r="CH89" s="1346"/>
      <c r="CI89" s="1346"/>
      <c r="CJ89" s="1346"/>
      <c r="CK89" s="1346"/>
      <c r="CL89" s="1346"/>
      <c r="CM89" s="1346"/>
      <c r="CN89" s="1346"/>
      <c r="CO89" s="1346"/>
      <c r="CP89" s="1346"/>
    </row>
    <row r="90" spans="1:94" x14ac:dyDescent="0.25">
      <c r="B90" s="5710" t="s">
        <v>1812</v>
      </c>
      <c r="C90" s="5710"/>
      <c r="D90" s="5710"/>
      <c r="E90" s="6705" t="s">
        <v>1813</v>
      </c>
      <c r="F90" s="5414" t="s">
        <v>2712</v>
      </c>
      <c r="CH90" s="1346"/>
      <c r="CI90" s="1346"/>
      <c r="CJ90" s="1346"/>
      <c r="CK90" s="1346"/>
      <c r="CL90" s="1346"/>
      <c r="CM90" s="1346"/>
      <c r="CN90" s="1346"/>
      <c r="CO90" s="1346"/>
      <c r="CP90" s="1346"/>
    </row>
    <row r="91" spans="1:94" ht="18.75" customHeight="1" x14ac:dyDescent="0.25">
      <c r="B91" s="5710"/>
      <c r="C91" s="5710"/>
      <c r="D91" s="5710"/>
      <c r="E91" s="6705"/>
      <c r="F91" s="5414"/>
      <c r="CH91" s="1346"/>
      <c r="CI91" s="1346"/>
      <c r="CJ91" s="1346"/>
      <c r="CK91" s="1346"/>
      <c r="CL91" s="1346"/>
      <c r="CM91" s="1346"/>
      <c r="CN91" s="1346"/>
      <c r="CO91" s="1346"/>
      <c r="CP91" s="1346"/>
    </row>
    <row r="92" spans="1:94" x14ac:dyDescent="0.25">
      <c r="A92" s="2458">
        <v>27300913</v>
      </c>
      <c r="B92" s="6726" t="s">
        <v>1815</v>
      </c>
      <c r="C92" s="6727"/>
      <c r="D92" s="6728"/>
      <c r="E92" s="1408" t="s">
        <v>2777</v>
      </c>
      <c r="F92" s="1409" t="s">
        <v>2778</v>
      </c>
      <c r="CH92" s="1346"/>
      <c r="CI92" s="1346"/>
      <c r="CJ92" s="1346"/>
      <c r="CK92" s="1346"/>
      <c r="CL92" s="1346"/>
      <c r="CM92" s="1346"/>
      <c r="CN92" s="1346"/>
      <c r="CO92" s="1346"/>
      <c r="CP92" s="1346"/>
    </row>
    <row r="93" spans="1:94" x14ac:dyDescent="0.25">
      <c r="A93" s="2458">
        <v>27300914</v>
      </c>
      <c r="B93" s="6031" t="s">
        <v>1816</v>
      </c>
      <c r="C93" s="6032"/>
      <c r="D93" s="6033"/>
      <c r="E93" s="1410" t="s">
        <v>2777</v>
      </c>
      <c r="F93" s="1411" t="s">
        <v>2778</v>
      </c>
      <c r="CH93" s="1346"/>
      <c r="CI93" s="1346"/>
      <c r="CJ93" s="1346"/>
      <c r="CK93" s="1346"/>
      <c r="CL93" s="1346"/>
      <c r="CM93" s="1346"/>
      <c r="CN93" s="1346"/>
      <c r="CO93" s="1346"/>
      <c r="CP93" s="1346"/>
    </row>
    <row r="94" spans="1:94" x14ac:dyDescent="0.25">
      <c r="A94" s="2458">
        <v>27300915</v>
      </c>
      <c r="B94" s="5279" t="s">
        <v>1817</v>
      </c>
      <c r="C94" s="6729"/>
      <c r="D94" s="5280"/>
      <c r="E94" s="1412" t="s">
        <v>2777</v>
      </c>
      <c r="F94" s="1413" t="s">
        <v>2778</v>
      </c>
      <c r="CH94" s="1346"/>
      <c r="CI94" s="1346"/>
      <c r="CJ94" s="1346"/>
      <c r="CK94" s="1346"/>
      <c r="CL94" s="1346"/>
      <c r="CM94" s="1346"/>
      <c r="CN94" s="1346"/>
      <c r="CO94" s="1346"/>
      <c r="CP94" s="1346"/>
    </row>
    <row r="95" spans="1:94" ht="32.1" customHeight="1" x14ac:dyDescent="0.25">
      <c r="B95" s="1404" t="s">
        <v>1818</v>
      </c>
      <c r="C95" s="1404"/>
      <c r="D95" s="1405"/>
      <c r="E95" s="1406"/>
      <c r="F95" s="1407"/>
      <c r="CH95" s="1346"/>
      <c r="CI95" s="1346"/>
      <c r="CJ95" s="1346"/>
      <c r="CK95" s="1346"/>
      <c r="CL95" s="1346"/>
      <c r="CM95" s="1346"/>
      <c r="CN95" s="1346"/>
      <c r="CO95" s="1346"/>
      <c r="CP95" s="1346"/>
    </row>
    <row r="96" spans="1:94" ht="29.25" customHeight="1" x14ac:dyDescent="0.25">
      <c r="B96" s="5710" t="s">
        <v>1812</v>
      </c>
      <c r="C96" s="5710"/>
      <c r="D96" s="5710"/>
      <c r="E96" s="5711" t="s">
        <v>1813</v>
      </c>
      <c r="F96" s="5414" t="s">
        <v>1814</v>
      </c>
      <c r="G96" s="6730" t="s">
        <v>1753</v>
      </c>
      <c r="H96" s="6731"/>
      <c r="I96" s="6746" t="s">
        <v>5</v>
      </c>
      <c r="J96" s="6747"/>
      <c r="K96" s="6747"/>
      <c r="L96" s="6747"/>
      <c r="M96" s="6747"/>
      <c r="N96" s="6747"/>
      <c r="O96" s="6747"/>
      <c r="P96" s="6747"/>
      <c r="Q96" s="6747"/>
      <c r="R96" s="6747"/>
      <c r="S96" s="6747"/>
      <c r="T96" s="6747"/>
      <c r="U96" s="6747"/>
      <c r="V96" s="6748"/>
      <c r="W96" s="6715" t="s">
        <v>353</v>
      </c>
      <c r="X96" s="6689" t="s">
        <v>1819</v>
      </c>
      <c r="BU96" s="211"/>
      <c r="BV96" s="211"/>
      <c r="BW96" s="211"/>
      <c r="BX96" s="211"/>
      <c r="CH96" s="1346"/>
      <c r="CI96" s="1346"/>
      <c r="CJ96" s="1346"/>
      <c r="CK96" s="1346"/>
      <c r="CL96" s="1346"/>
      <c r="CM96" s="1346"/>
      <c r="CN96" s="1346"/>
      <c r="CO96" s="1346"/>
      <c r="CP96" s="1346"/>
    </row>
    <row r="97" spans="1:94" ht="26.25" customHeight="1" x14ac:dyDescent="0.25">
      <c r="B97" s="5710"/>
      <c r="C97" s="5710"/>
      <c r="D97" s="5710"/>
      <c r="E97" s="5711"/>
      <c r="F97" s="5414"/>
      <c r="G97" s="1187" t="s">
        <v>729</v>
      </c>
      <c r="H97" s="1939" t="s">
        <v>1758</v>
      </c>
      <c r="I97" s="1732" t="s">
        <v>1820</v>
      </c>
      <c r="J97" s="1415" t="s">
        <v>1821</v>
      </c>
      <c r="K97" s="1416" t="s">
        <v>275</v>
      </c>
      <c r="L97" s="1416" t="s">
        <v>1761</v>
      </c>
      <c r="M97" s="1416" t="s">
        <v>9</v>
      </c>
      <c r="N97" s="1416" t="s">
        <v>1762</v>
      </c>
      <c r="O97" s="1416" t="s">
        <v>11</v>
      </c>
      <c r="P97" s="1416" t="s">
        <v>12</v>
      </c>
      <c r="Q97" s="1416" t="s">
        <v>13</v>
      </c>
      <c r="R97" s="1416" t="s">
        <v>14</v>
      </c>
      <c r="S97" s="1416" t="s">
        <v>15</v>
      </c>
      <c r="T97" s="1416" t="s">
        <v>16</v>
      </c>
      <c r="U97" s="1416" t="s">
        <v>17</v>
      </c>
      <c r="V97" s="1417" t="s">
        <v>18</v>
      </c>
      <c r="W97" s="6716"/>
      <c r="X97" s="6690"/>
      <c r="BK97" s="211"/>
      <c r="BL97" s="211"/>
      <c r="BW97" s="211"/>
      <c r="BX97" s="211"/>
      <c r="CH97" s="1346"/>
      <c r="CI97" s="1346"/>
      <c r="CJ97" s="1346"/>
      <c r="CK97" s="1346"/>
      <c r="CL97" s="1346"/>
      <c r="CM97" s="1346"/>
      <c r="CN97" s="1346"/>
      <c r="CO97" s="1346"/>
      <c r="CP97" s="1346"/>
    </row>
    <row r="98" spans="1:94" x14ac:dyDescent="0.25">
      <c r="A98" s="2458">
        <v>27300916</v>
      </c>
      <c r="B98" s="6720" t="s">
        <v>2706</v>
      </c>
      <c r="C98" s="6721"/>
      <c r="D98" s="6722"/>
      <c r="E98" s="1418" t="s">
        <v>2777</v>
      </c>
      <c r="F98" s="1419" t="s">
        <v>2778</v>
      </c>
      <c r="G98" s="1408" t="s">
        <v>2779</v>
      </c>
      <c r="H98" s="1940" t="s">
        <v>2780</v>
      </c>
      <c r="I98" s="1938" t="s">
        <v>2781</v>
      </c>
      <c r="J98" s="1420" t="s">
        <v>2782</v>
      </c>
      <c r="K98" s="1420" t="s">
        <v>2783</v>
      </c>
      <c r="L98" s="1420" t="s">
        <v>2784</v>
      </c>
      <c r="M98" s="1420" t="s">
        <v>2785</v>
      </c>
      <c r="N98" s="1420" t="s">
        <v>2786</v>
      </c>
      <c r="O98" s="1420" t="s">
        <v>2787</v>
      </c>
      <c r="P98" s="1420" t="s">
        <v>2788</v>
      </c>
      <c r="Q98" s="1420" t="s">
        <v>2789</v>
      </c>
      <c r="R98" s="1420" t="s">
        <v>2790</v>
      </c>
      <c r="S98" s="1420" t="s">
        <v>2791</v>
      </c>
      <c r="T98" s="1420" t="s">
        <v>2792</v>
      </c>
      <c r="U98" s="1420" t="s">
        <v>2793</v>
      </c>
      <c r="V98" s="1421" t="s">
        <v>2794</v>
      </c>
      <c r="W98" s="1422" t="s">
        <v>2795</v>
      </c>
      <c r="X98" s="1409" t="s">
        <v>2796</v>
      </c>
      <c r="Y98" s="1165" t="str">
        <f>CB98</f>
        <v/>
      </c>
      <c r="BI98" s="211"/>
      <c r="BJ98" s="211"/>
      <c r="BW98" s="211"/>
      <c r="BX98" s="211"/>
      <c r="CB98" s="1362" t="str">
        <f>IF(CH98=1," * No olvide agregar la columna Gestantes y/o Post Parto (Digite Cero si no tiene). ","")</f>
        <v/>
      </c>
      <c r="CH98" s="1363">
        <f>IF(AND(F98&lt;&gt;0,OR(W98="",X98="")),1,0)</f>
        <v>0</v>
      </c>
      <c r="CI98" s="1346"/>
      <c r="CJ98" s="1346"/>
      <c r="CK98" s="1346"/>
      <c r="CL98" s="1346"/>
      <c r="CM98" s="1346"/>
      <c r="CN98" s="1346"/>
      <c r="CO98" s="1346"/>
      <c r="CP98" s="1346"/>
    </row>
    <row r="99" spans="1:94" x14ac:dyDescent="0.25">
      <c r="A99" s="2458">
        <v>27500160</v>
      </c>
      <c r="B99" s="6723" t="s">
        <v>1822</v>
      </c>
      <c r="C99" s="6724"/>
      <c r="D99" s="6725"/>
      <c r="E99" s="1423" t="s">
        <v>2777</v>
      </c>
      <c r="F99" s="1424" t="s">
        <v>2778</v>
      </c>
      <c r="G99" s="1410" t="s">
        <v>2779</v>
      </c>
      <c r="H99" s="1941" t="s">
        <v>2780</v>
      </c>
      <c r="I99" s="1425" t="s">
        <v>2781</v>
      </c>
      <c r="J99" s="1426" t="s">
        <v>2782</v>
      </c>
      <c r="K99" s="1426" t="s">
        <v>2783</v>
      </c>
      <c r="L99" s="1426" t="s">
        <v>2784</v>
      </c>
      <c r="M99" s="1426" t="s">
        <v>2785</v>
      </c>
      <c r="N99" s="1426" t="s">
        <v>2786</v>
      </c>
      <c r="O99" s="1426" t="s">
        <v>2787</v>
      </c>
      <c r="P99" s="1426" t="s">
        <v>2788</v>
      </c>
      <c r="Q99" s="1426" t="s">
        <v>2789</v>
      </c>
      <c r="R99" s="1426" t="s">
        <v>2790</v>
      </c>
      <c r="S99" s="1426" t="s">
        <v>2791</v>
      </c>
      <c r="T99" s="1426" t="s">
        <v>2792</v>
      </c>
      <c r="U99" s="1426" t="s">
        <v>2793</v>
      </c>
      <c r="V99" s="1427" t="s">
        <v>2794</v>
      </c>
      <c r="W99" s="1428" t="s">
        <v>2795</v>
      </c>
      <c r="X99" s="1411" t="s">
        <v>2796</v>
      </c>
      <c r="Y99" s="1165" t="str">
        <f>CB99</f>
        <v/>
      </c>
      <c r="BI99" s="211"/>
      <c r="BJ99" s="211"/>
      <c r="BW99" s="211"/>
      <c r="BX99" s="211"/>
      <c r="CB99" s="1362" t="str">
        <f t="shared" ref="CB99:CB100" si="9">IF(CH99=1," * No olvide agregar la columna Gestantes y/o Post Parto (Digite Cero si no tiene). ","")</f>
        <v/>
      </c>
      <c r="CH99" s="1363">
        <f>IF(AND(F99&lt;&gt;0,OR(W99="",X99="")),1,0)</f>
        <v>0</v>
      </c>
      <c r="CI99" s="1346"/>
      <c r="CJ99" s="1346"/>
      <c r="CK99" s="1346"/>
      <c r="CL99" s="1346"/>
      <c r="CM99" s="1346"/>
      <c r="CN99" s="1346"/>
      <c r="CO99" s="1346"/>
      <c r="CP99" s="1346"/>
    </row>
    <row r="100" spans="1:94" x14ac:dyDescent="0.25">
      <c r="A100" s="2458">
        <v>27500170</v>
      </c>
      <c r="B100" s="6723" t="s">
        <v>1823</v>
      </c>
      <c r="C100" s="6724"/>
      <c r="D100" s="6725"/>
      <c r="E100" s="1429" t="s">
        <v>2777</v>
      </c>
      <c r="F100" s="1430" t="s">
        <v>2778</v>
      </c>
      <c r="G100" s="1412" t="s">
        <v>2779</v>
      </c>
      <c r="H100" s="1942" t="s">
        <v>2780</v>
      </c>
      <c r="I100" s="1431" t="s">
        <v>2781</v>
      </c>
      <c r="J100" s="1432" t="s">
        <v>2782</v>
      </c>
      <c r="K100" s="1432" t="s">
        <v>2783</v>
      </c>
      <c r="L100" s="1432" t="s">
        <v>2784</v>
      </c>
      <c r="M100" s="1432" t="s">
        <v>2785</v>
      </c>
      <c r="N100" s="1432" t="s">
        <v>2786</v>
      </c>
      <c r="O100" s="1432" t="s">
        <v>2787</v>
      </c>
      <c r="P100" s="1432" t="s">
        <v>2788</v>
      </c>
      <c r="Q100" s="1432" t="s">
        <v>2789</v>
      </c>
      <c r="R100" s="1432" t="s">
        <v>2790</v>
      </c>
      <c r="S100" s="1432" t="s">
        <v>2791</v>
      </c>
      <c r="T100" s="1432" t="s">
        <v>2792</v>
      </c>
      <c r="U100" s="1432" t="s">
        <v>2793</v>
      </c>
      <c r="V100" s="1433" t="s">
        <v>2794</v>
      </c>
      <c r="W100" s="1434" t="s">
        <v>2795</v>
      </c>
      <c r="X100" s="1413" t="s">
        <v>2796</v>
      </c>
      <c r="Y100" s="1165" t="str">
        <f>CB100</f>
        <v/>
      </c>
      <c r="BI100" s="211"/>
      <c r="BJ100" s="211"/>
      <c r="BW100" s="211"/>
      <c r="BX100" s="211"/>
      <c r="CB100" s="1362" t="str">
        <f t="shared" si="9"/>
        <v/>
      </c>
      <c r="CH100" s="1363">
        <f>IF(AND(F100&lt;&gt;0,OR(W100="",X100="")),1,0)</f>
        <v>0</v>
      </c>
      <c r="CI100" s="1346"/>
      <c r="CJ100" s="1346"/>
      <c r="CK100" s="1346"/>
      <c r="CL100" s="1346"/>
      <c r="CM100" s="1346"/>
      <c r="CN100" s="1346"/>
      <c r="CO100" s="1346"/>
      <c r="CP100" s="1346"/>
    </row>
    <row r="101" spans="1:94" ht="32.1" customHeight="1" x14ac:dyDescent="0.25">
      <c r="B101" s="1404" t="s">
        <v>2707</v>
      </c>
      <c r="C101" s="1405"/>
      <c r="D101" s="1405"/>
      <c r="E101" s="1406"/>
      <c r="I101" s="494"/>
      <c r="CH101" s="1346"/>
      <c r="CI101" s="1346"/>
      <c r="CJ101" s="1346"/>
      <c r="CK101" s="1346"/>
      <c r="CL101" s="1346"/>
      <c r="CM101" s="1346"/>
      <c r="CN101" s="1346"/>
      <c r="CO101" s="1346"/>
      <c r="CP101" s="1346"/>
    </row>
    <row r="102" spans="1:94" ht="20.45" customHeight="1" x14ac:dyDescent="0.25">
      <c r="B102" s="6739" t="s">
        <v>1824</v>
      </c>
      <c r="C102" s="6740"/>
      <c r="D102" s="6741"/>
      <c r="E102" s="5711" t="s">
        <v>2708</v>
      </c>
      <c r="F102" s="6665" t="s">
        <v>5</v>
      </c>
      <c r="G102" s="6745"/>
      <c r="H102" s="6745"/>
      <c r="I102" s="6745"/>
      <c r="J102" s="6745"/>
      <c r="K102" s="6745"/>
      <c r="L102" s="5404" t="s">
        <v>40</v>
      </c>
      <c r="M102" s="5406"/>
      <c r="N102" s="884"/>
      <c r="O102" s="884"/>
      <c r="P102" s="884"/>
      <c r="Q102" s="884"/>
      <c r="R102" s="884"/>
      <c r="S102" s="884"/>
      <c r="T102" s="884"/>
      <c r="U102" s="884"/>
      <c r="V102" s="884"/>
      <c r="W102" s="884"/>
      <c r="X102" s="884"/>
      <c r="Y102" s="884"/>
      <c r="Z102" s="884"/>
      <c r="AA102" s="884"/>
      <c r="CH102" s="1346"/>
      <c r="CI102" s="1346"/>
      <c r="CJ102" s="1346"/>
      <c r="CK102" s="1346"/>
      <c r="CL102" s="1346"/>
      <c r="CM102" s="1346"/>
      <c r="CN102" s="1346"/>
      <c r="CO102" s="1346"/>
      <c r="CP102" s="1346"/>
    </row>
    <row r="103" spans="1:94" ht="20.45" customHeight="1" x14ac:dyDescent="0.25">
      <c r="B103" s="6742"/>
      <c r="C103" s="6743"/>
      <c r="D103" s="6744"/>
      <c r="E103" s="5711"/>
      <c r="F103" s="1116" t="s">
        <v>232</v>
      </c>
      <c r="G103" s="1296" t="s">
        <v>233</v>
      </c>
      <c r="H103" s="1149" t="s">
        <v>234</v>
      </c>
      <c r="I103" s="1149" t="s">
        <v>235</v>
      </c>
      <c r="J103" s="1321" t="s">
        <v>236</v>
      </c>
      <c r="K103" s="1348" t="s">
        <v>237</v>
      </c>
      <c r="L103" s="1116" t="s">
        <v>24</v>
      </c>
      <c r="M103" s="1435" t="s">
        <v>25</v>
      </c>
      <c r="N103" s="884"/>
      <c r="O103" s="884"/>
      <c r="P103" s="884"/>
      <c r="Q103" s="884"/>
      <c r="R103" s="884"/>
      <c r="S103" s="884"/>
      <c r="T103" s="884"/>
      <c r="U103" s="884"/>
      <c r="V103" s="884"/>
      <c r="W103" s="884"/>
      <c r="X103" s="884"/>
      <c r="Y103" s="884"/>
      <c r="Z103" s="884"/>
      <c r="AA103" s="884"/>
      <c r="CH103" s="1346"/>
      <c r="CI103" s="1346"/>
      <c r="CJ103" s="1346"/>
      <c r="CK103" s="1346"/>
      <c r="CL103" s="1346"/>
      <c r="CM103" s="1346"/>
      <c r="CN103" s="1346"/>
      <c r="CO103" s="1346"/>
      <c r="CP103" s="1346"/>
    </row>
    <row r="104" spans="1:94" x14ac:dyDescent="0.25">
      <c r="A104" s="2458">
        <v>27300926</v>
      </c>
      <c r="B104" s="5398" t="s">
        <v>1825</v>
      </c>
      <c r="C104" s="6666"/>
      <c r="D104" s="464" t="s">
        <v>1826</v>
      </c>
      <c r="E104" s="179" t="s">
        <v>2777</v>
      </c>
      <c r="F104" s="137" t="s">
        <v>2778</v>
      </c>
      <c r="G104" s="178" t="s">
        <v>2779</v>
      </c>
      <c r="H104" s="110" t="s">
        <v>2780</v>
      </c>
      <c r="I104" s="110" t="s">
        <v>2781</v>
      </c>
      <c r="J104" s="110" t="s">
        <v>2782</v>
      </c>
      <c r="K104" s="1121" t="s">
        <v>2783</v>
      </c>
      <c r="L104" s="137" t="s">
        <v>2784</v>
      </c>
      <c r="M104" s="1121" t="s">
        <v>2785</v>
      </c>
      <c r="N104" s="1165" t="e">
        <f>CB104</f>
        <v>#VALUE!</v>
      </c>
      <c r="O104" s="1085"/>
      <c r="P104" s="1085"/>
      <c r="Q104" s="1085"/>
      <c r="R104" s="1085"/>
      <c r="S104" s="1085"/>
      <c r="T104" s="1085"/>
      <c r="U104" s="1085"/>
      <c r="V104" s="1085"/>
      <c r="W104" s="1085"/>
      <c r="X104" s="1085"/>
      <c r="Y104" s="1085"/>
      <c r="Z104" s="884"/>
      <c r="AA104" s="884"/>
      <c r="CB104" s="1362" t="e">
        <f>IF(CH104=1,"* La Suma por edad NO DEBE ser distinto al total por Sexo. ","")</f>
        <v>#VALUE!</v>
      </c>
      <c r="CC104" s="1362"/>
      <c r="CD104" s="1362"/>
      <c r="CE104" s="1362"/>
      <c r="CF104" s="1362"/>
      <c r="CG104" s="1362"/>
      <c r="CH104" s="1363" t="e">
        <f>IF((L104+M104)&lt;&gt;(F104+G104+H104+I104+J104+K104),1,0)</f>
        <v>#VALUE!</v>
      </c>
      <c r="CI104" s="1346"/>
      <c r="CJ104" s="1346"/>
      <c r="CK104" s="1346"/>
      <c r="CL104" s="1346"/>
      <c r="CM104" s="1346"/>
      <c r="CN104" s="1346"/>
      <c r="CO104" s="1346"/>
      <c r="CP104" s="1346"/>
    </row>
    <row r="105" spans="1:94" x14ac:dyDescent="0.25">
      <c r="A105" s="2458">
        <v>27300927</v>
      </c>
      <c r="B105" s="5547"/>
      <c r="C105" s="5548"/>
      <c r="D105" s="466" t="s">
        <v>1827</v>
      </c>
      <c r="E105" s="179" t="s">
        <v>2777</v>
      </c>
      <c r="F105" s="141" t="s">
        <v>2778</v>
      </c>
      <c r="G105" s="180" t="s">
        <v>2779</v>
      </c>
      <c r="H105" s="142" t="s">
        <v>2780</v>
      </c>
      <c r="I105" s="142" t="s">
        <v>2781</v>
      </c>
      <c r="J105" s="142" t="s">
        <v>2782</v>
      </c>
      <c r="K105" s="198" t="s">
        <v>2783</v>
      </c>
      <c r="L105" s="141" t="s">
        <v>2784</v>
      </c>
      <c r="M105" s="198" t="s">
        <v>2785</v>
      </c>
      <c r="N105" s="1165" t="e">
        <f t="shared" ref="N105:N112" si="10">CB105</f>
        <v>#VALUE!</v>
      </c>
      <c r="O105" s="1085"/>
      <c r="P105" s="1085"/>
      <c r="Q105" s="1085"/>
      <c r="R105" s="1085"/>
      <c r="S105" s="1085"/>
      <c r="T105" s="1085"/>
      <c r="U105" s="1085"/>
      <c r="V105" s="1085"/>
      <c r="W105" s="1085"/>
      <c r="X105" s="1085"/>
      <c r="Y105" s="1085"/>
      <c r="Z105" s="884"/>
      <c r="AA105" s="884"/>
      <c r="CB105" s="1362" t="e">
        <f t="shared" ref="CB105:CB112" si="11">IF(CH105=1,"* La Suma por edad NO DEBE ser distinto al total por Sexo. ","")</f>
        <v>#VALUE!</v>
      </c>
      <c r="CC105" s="1362"/>
      <c r="CD105" s="1362"/>
      <c r="CE105" s="1362"/>
      <c r="CF105" s="1362"/>
      <c r="CG105" s="1362"/>
      <c r="CH105" s="1363" t="e">
        <f t="shared" ref="CH105:CH111" si="12">IF((L105+M105)&lt;&gt;(F105+G105+H105+I105+J105+K105),1,0)</f>
        <v>#VALUE!</v>
      </c>
      <c r="CI105" s="1346"/>
      <c r="CJ105" s="1346"/>
      <c r="CK105" s="1346"/>
      <c r="CL105" s="1346"/>
      <c r="CM105" s="1346"/>
      <c r="CN105" s="1346"/>
      <c r="CO105" s="1346"/>
      <c r="CP105" s="1346"/>
    </row>
    <row r="106" spans="1:94" x14ac:dyDescent="0.25">
      <c r="A106" s="2458">
        <v>27300928</v>
      </c>
      <c r="B106" s="5547"/>
      <c r="C106" s="5548"/>
      <c r="D106" s="466" t="s">
        <v>1828</v>
      </c>
      <c r="E106" s="100" t="s">
        <v>2777</v>
      </c>
      <c r="F106" s="166" t="s">
        <v>2778</v>
      </c>
      <c r="G106" s="126" t="s">
        <v>2779</v>
      </c>
      <c r="H106" s="102" t="s">
        <v>2780</v>
      </c>
      <c r="I106" s="102" t="s">
        <v>2781</v>
      </c>
      <c r="J106" s="102" t="s">
        <v>2782</v>
      </c>
      <c r="K106" s="168" t="s">
        <v>2783</v>
      </c>
      <c r="L106" s="166" t="s">
        <v>2784</v>
      </c>
      <c r="M106" s="168" t="s">
        <v>2785</v>
      </c>
      <c r="N106" s="1165" t="e">
        <f t="shared" si="10"/>
        <v>#VALUE!</v>
      </c>
      <c r="O106" s="1085"/>
      <c r="P106" s="1085"/>
      <c r="Q106" s="1085"/>
      <c r="R106" s="1085"/>
      <c r="S106" s="1085"/>
      <c r="T106" s="1085"/>
      <c r="U106" s="1085"/>
      <c r="V106" s="1085"/>
      <c r="W106" s="1085"/>
      <c r="X106" s="1085"/>
      <c r="Y106" s="1085"/>
      <c r="Z106" s="884"/>
      <c r="AA106" s="884"/>
      <c r="CB106" s="1362" t="e">
        <f t="shared" si="11"/>
        <v>#VALUE!</v>
      </c>
      <c r="CC106" s="1362"/>
      <c r="CD106" s="1362"/>
      <c r="CE106" s="1362"/>
      <c r="CF106" s="1362"/>
      <c r="CG106" s="1362"/>
      <c r="CH106" s="1363" t="e">
        <f t="shared" si="12"/>
        <v>#VALUE!</v>
      </c>
      <c r="CI106" s="1346"/>
      <c r="CJ106" s="1346"/>
      <c r="CK106" s="1346"/>
      <c r="CL106" s="1346"/>
      <c r="CM106" s="1346"/>
      <c r="CN106" s="1346"/>
      <c r="CO106" s="1346"/>
      <c r="CP106" s="1346"/>
    </row>
    <row r="107" spans="1:94" x14ac:dyDescent="0.25">
      <c r="A107" s="2458">
        <v>27300929</v>
      </c>
      <c r="B107" s="5398" t="s">
        <v>1829</v>
      </c>
      <c r="C107" s="6666"/>
      <c r="D107" s="464" t="s">
        <v>1826</v>
      </c>
      <c r="E107" s="120" t="s">
        <v>2777</v>
      </c>
      <c r="F107" s="170" t="s">
        <v>2778</v>
      </c>
      <c r="G107" s="124" t="s">
        <v>2779</v>
      </c>
      <c r="H107" s="97" t="s">
        <v>2780</v>
      </c>
      <c r="I107" s="97" t="s">
        <v>2781</v>
      </c>
      <c r="J107" s="97" t="s">
        <v>2782</v>
      </c>
      <c r="K107" s="197" t="s">
        <v>2783</v>
      </c>
      <c r="L107" s="170" t="s">
        <v>2784</v>
      </c>
      <c r="M107" s="197" t="s">
        <v>2785</v>
      </c>
      <c r="N107" s="1165" t="e">
        <f t="shared" si="10"/>
        <v>#VALUE!</v>
      </c>
      <c r="O107" s="1085"/>
      <c r="P107" s="1085"/>
      <c r="Q107" s="1085"/>
      <c r="R107" s="1085"/>
      <c r="S107" s="1085"/>
      <c r="T107" s="1085"/>
      <c r="U107" s="1085"/>
      <c r="V107" s="1085"/>
      <c r="W107" s="1085"/>
      <c r="X107" s="1085"/>
      <c r="Y107" s="1085"/>
      <c r="Z107" s="884"/>
      <c r="AA107" s="884"/>
      <c r="CB107" s="1362" t="e">
        <f t="shared" si="11"/>
        <v>#VALUE!</v>
      </c>
      <c r="CC107" s="1362"/>
      <c r="CD107" s="1362"/>
      <c r="CE107" s="1362"/>
      <c r="CF107" s="1362"/>
      <c r="CG107" s="1362"/>
      <c r="CH107" s="1363" t="e">
        <f t="shared" si="12"/>
        <v>#VALUE!</v>
      </c>
      <c r="CI107" s="1346"/>
      <c r="CJ107" s="1346"/>
      <c r="CK107" s="1346"/>
      <c r="CL107" s="1346"/>
      <c r="CM107" s="1346"/>
      <c r="CN107" s="1346"/>
      <c r="CO107" s="1346"/>
      <c r="CP107" s="1346"/>
    </row>
    <row r="108" spans="1:94" x14ac:dyDescent="0.25">
      <c r="A108" s="2458">
        <v>27300930</v>
      </c>
      <c r="B108" s="5547"/>
      <c r="C108" s="5548"/>
      <c r="D108" s="466" t="s">
        <v>1827</v>
      </c>
      <c r="E108" s="179" t="s">
        <v>2777</v>
      </c>
      <c r="F108" s="182" t="s">
        <v>2778</v>
      </c>
      <c r="G108" s="144" t="s">
        <v>2779</v>
      </c>
      <c r="H108" s="146" t="s">
        <v>2780</v>
      </c>
      <c r="I108" s="146" t="s">
        <v>2781</v>
      </c>
      <c r="J108" s="146" t="s">
        <v>2782</v>
      </c>
      <c r="K108" s="240" t="s">
        <v>2783</v>
      </c>
      <c r="L108" s="182" t="s">
        <v>2784</v>
      </c>
      <c r="M108" s="240" t="s">
        <v>2785</v>
      </c>
      <c r="N108" s="1165" t="e">
        <f t="shared" si="10"/>
        <v>#VALUE!</v>
      </c>
      <c r="O108" s="1085"/>
      <c r="P108" s="1085"/>
      <c r="Q108" s="1085"/>
      <c r="R108" s="1085"/>
      <c r="S108" s="1085"/>
      <c r="T108" s="1085"/>
      <c r="U108" s="1085"/>
      <c r="V108" s="1085"/>
      <c r="W108" s="1085"/>
      <c r="X108" s="1085"/>
      <c r="Y108" s="1085"/>
      <c r="Z108" s="884"/>
      <c r="AA108" s="884"/>
      <c r="CB108" s="1362" t="e">
        <f t="shared" si="11"/>
        <v>#VALUE!</v>
      </c>
      <c r="CC108" s="1362"/>
      <c r="CD108" s="1362"/>
      <c r="CE108" s="1362"/>
      <c r="CF108" s="1362"/>
      <c r="CG108" s="1362"/>
      <c r="CH108" s="1363" t="e">
        <f t="shared" si="12"/>
        <v>#VALUE!</v>
      </c>
      <c r="CI108" s="1346"/>
      <c r="CJ108" s="1346"/>
      <c r="CK108" s="1346"/>
      <c r="CL108" s="1346"/>
      <c r="CM108" s="1346"/>
      <c r="CN108" s="1346"/>
      <c r="CO108" s="1346"/>
      <c r="CP108" s="1346"/>
    </row>
    <row r="109" spans="1:94" x14ac:dyDescent="0.25">
      <c r="A109" s="2458">
        <v>27300931</v>
      </c>
      <c r="B109" s="5547"/>
      <c r="C109" s="5548"/>
      <c r="D109" s="466" t="s">
        <v>1828</v>
      </c>
      <c r="E109" s="100" t="s">
        <v>2777</v>
      </c>
      <c r="F109" s="182" t="s">
        <v>2778</v>
      </c>
      <c r="G109" s="144" t="s">
        <v>2779</v>
      </c>
      <c r="H109" s="146" t="s">
        <v>2780</v>
      </c>
      <c r="I109" s="146" t="s">
        <v>2781</v>
      </c>
      <c r="J109" s="146" t="s">
        <v>2782</v>
      </c>
      <c r="K109" s="240" t="s">
        <v>2783</v>
      </c>
      <c r="L109" s="182" t="s">
        <v>2784</v>
      </c>
      <c r="M109" s="240" t="s">
        <v>2785</v>
      </c>
      <c r="N109" s="1165" t="e">
        <f t="shared" si="10"/>
        <v>#VALUE!</v>
      </c>
      <c r="O109" s="1085"/>
      <c r="P109" s="1085"/>
      <c r="Q109" s="1085"/>
      <c r="R109" s="1085"/>
      <c r="S109" s="1085"/>
      <c r="T109" s="1085"/>
      <c r="U109" s="1085"/>
      <c r="V109" s="1085"/>
      <c r="W109" s="1085"/>
      <c r="X109" s="1085"/>
      <c r="Y109" s="1085"/>
      <c r="Z109" s="884"/>
      <c r="AA109" s="884"/>
      <c r="CB109" s="1362" t="e">
        <f t="shared" si="11"/>
        <v>#VALUE!</v>
      </c>
      <c r="CC109" s="1362"/>
      <c r="CD109" s="1362"/>
      <c r="CE109" s="1362"/>
      <c r="CF109" s="1362"/>
      <c r="CG109" s="1362"/>
      <c r="CH109" s="1363" t="e">
        <f t="shared" si="12"/>
        <v>#VALUE!</v>
      </c>
      <c r="CI109" s="1346"/>
      <c r="CJ109" s="1346"/>
      <c r="CK109" s="1346"/>
      <c r="CL109" s="1346"/>
      <c r="CM109" s="1346"/>
      <c r="CN109" s="1346"/>
      <c r="CO109" s="1346"/>
      <c r="CP109" s="1346"/>
    </row>
    <row r="110" spans="1:94" x14ac:dyDescent="0.25">
      <c r="A110" s="2458">
        <v>27300932</v>
      </c>
      <c r="B110" s="5398" t="s">
        <v>1830</v>
      </c>
      <c r="C110" s="5400"/>
      <c r="D110" s="464" t="s">
        <v>1826</v>
      </c>
      <c r="E110" s="120" t="s">
        <v>2777</v>
      </c>
      <c r="F110" s="137" t="s">
        <v>2778</v>
      </c>
      <c r="G110" s="178" t="s">
        <v>2779</v>
      </c>
      <c r="H110" s="110" t="s">
        <v>2780</v>
      </c>
      <c r="I110" s="110" t="s">
        <v>2781</v>
      </c>
      <c r="J110" s="110" t="s">
        <v>2782</v>
      </c>
      <c r="K110" s="1121" t="s">
        <v>2783</v>
      </c>
      <c r="L110" s="137" t="s">
        <v>2784</v>
      </c>
      <c r="M110" s="1121" t="s">
        <v>2785</v>
      </c>
      <c r="N110" s="1165" t="e">
        <f t="shared" si="10"/>
        <v>#VALUE!</v>
      </c>
      <c r="O110" s="1085"/>
      <c r="P110" s="1085"/>
      <c r="Q110" s="1085"/>
      <c r="R110" s="1085"/>
      <c r="S110" s="1085"/>
      <c r="T110" s="1085"/>
      <c r="U110" s="1085"/>
      <c r="V110" s="1085"/>
      <c r="W110" s="1085"/>
      <c r="X110" s="1085"/>
      <c r="Y110" s="1085"/>
      <c r="Z110" s="884"/>
      <c r="AA110" s="884"/>
      <c r="CB110" s="1362" t="e">
        <f t="shared" si="11"/>
        <v>#VALUE!</v>
      </c>
      <c r="CC110" s="1362"/>
      <c r="CD110" s="1362"/>
      <c r="CE110" s="1362"/>
      <c r="CF110" s="1362"/>
      <c r="CG110" s="1362"/>
      <c r="CH110" s="1363" t="e">
        <f t="shared" si="12"/>
        <v>#VALUE!</v>
      </c>
      <c r="CI110" s="1346"/>
      <c r="CJ110" s="1346"/>
      <c r="CK110" s="1346"/>
      <c r="CL110" s="1346"/>
      <c r="CM110" s="1346"/>
      <c r="CN110" s="1346"/>
      <c r="CO110" s="1346"/>
      <c r="CP110" s="1346"/>
    </row>
    <row r="111" spans="1:94" x14ac:dyDescent="0.25">
      <c r="A111" s="2458">
        <v>27300933</v>
      </c>
      <c r="B111" s="5121"/>
      <c r="C111" s="5123"/>
      <c r="D111" s="466" t="s">
        <v>1827</v>
      </c>
      <c r="E111" s="179" t="s">
        <v>2777</v>
      </c>
      <c r="F111" s="141" t="s">
        <v>2778</v>
      </c>
      <c r="G111" s="180" t="s">
        <v>2779</v>
      </c>
      <c r="H111" s="142" t="s">
        <v>2780</v>
      </c>
      <c r="I111" s="142" t="s">
        <v>2781</v>
      </c>
      <c r="J111" s="142" t="s">
        <v>2782</v>
      </c>
      <c r="K111" s="198" t="s">
        <v>2783</v>
      </c>
      <c r="L111" s="141" t="s">
        <v>2784</v>
      </c>
      <c r="M111" s="198" t="s">
        <v>2785</v>
      </c>
      <c r="N111" s="1165" t="e">
        <f t="shared" si="10"/>
        <v>#VALUE!</v>
      </c>
      <c r="O111" s="1085"/>
      <c r="P111" s="1085"/>
      <c r="Q111" s="1085"/>
      <c r="R111" s="1085"/>
      <c r="S111" s="1085"/>
      <c r="T111" s="1085"/>
      <c r="U111" s="1085"/>
      <c r="V111" s="1085"/>
      <c r="W111" s="1085"/>
      <c r="X111" s="1085"/>
      <c r="Y111" s="1085"/>
      <c r="Z111" s="884"/>
      <c r="AA111" s="884"/>
      <c r="CB111" s="1362" t="e">
        <f t="shared" si="11"/>
        <v>#VALUE!</v>
      </c>
      <c r="CC111" s="1362"/>
      <c r="CD111" s="1362"/>
      <c r="CE111" s="1362"/>
      <c r="CF111" s="1362"/>
      <c r="CG111" s="1362"/>
      <c r="CH111" s="1363" t="e">
        <f t="shared" si="12"/>
        <v>#VALUE!</v>
      </c>
      <c r="CI111" s="1346"/>
      <c r="CJ111" s="1346"/>
      <c r="CK111" s="1346"/>
      <c r="CL111" s="1346"/>
      <c r="CM111" s="1346"/>
      <c r="CN111" s="1346"/>
      <c r="CO111" s="1346"/>
      <c r="CP111" s="1346"/>
    </row>
    <row r="112" spans="1:94" x14ac:dyDescent="0.25">
      <c r="A112" s="2458">
        <v>27300934</v>
      </c>
      <c r="B112" s="5401"/>
      <c r="C112" s="5403"/>
      <c r="D112" s="465" t="s">
        <v>1828</v>
      </c>
      <c r="E112" s="100" t="s">
        <v>2777</v>
      </c>
      <c r="F112" s="166" t="s">
        <v>2778</v>
      </c>
      <c r="G112" s="126" t="s">
        <v>2779</v>
      </c>
      <c r="H112" s="102" t="s">
        <v>2780</v>
      </c>
      <c r="I112" s="102" t="s">
        <v>2781</v>
      </c>
      <c r="J112" s="102" t="s">
        <v>2782</v>
      </c>
      <c r="K112" s="168" t="s">
        <v>2783</v>
      </c>
      <c r="L112" s="166" t="s">
        <v>2784</v>
      </c>
      <c r="M112" s="168" t="s">
        <v>2785</v>
      </c>
      <c r="N112" s="1165" t="e">
        <f t="shared" si="10"/>
        <v>#VALUE!</v>
      </c>
      <c r="O112" s="1085"/>
      <c r="P112" s="1085"/>
      <c r="Q112" s="1085"/>
      <c r="R112" s="1085"/>
      <c r="S112" s="1085"/>
      <c r="T112" s="1085"/>
      <c r="U112" s="1085"/>
      <c r="V112" s="1085"/>
      <c r="W112" s="1085"/>
      <c r="X112" s="1085"/>
      <c r="Y112" s="1085"/>
      <c r="Z112" s="884"/>
      <c r="AA112" s="884"/>
      <c r="CB112" s="1362" t="e">
        <f t="shared" si="11"/>
        <v>#VALUE!</v>
      </c>
      <c r="CC112" s="1362"/>
      <c r="CD112" s="1362"/>
      <c r="CE112" s="1362"/>
      <c r="CF112" s="1362"/>
      <c r="CG112" s="1362"/>
      <c r="CH112" s="1363" t="e">
        <f>IF((L112+M112)&lt;&gt;(F112+G112+H112+I112+J112+K112),1,0)</f>
        <v>#VALUE!</v>
      </c>
      <c r="CI112" s="1346"/>
      <c r="CJ112" s="1346"/>
      <c r="CK112" s="1346"/>
      <c r="CL112" s="1346"/>
      <c r="CM112" s="1346"/>
      <c r="CN112" s="1346"/>
      <c r="CO112" s="1346"/>
      <c r="CP112" s="1346"/>
    </row>
    <row r="113" spans="1:94" ht="27.75" customHeight="1" x14ac:dyDescent="0.25">
      <c r="B113" s="1404" t="s">
        <v>1831</v>
      </c>
      <c r="C113" s="1414"/>
      <c r="D113" s="1414"/>
      <c r="E113" s="1414"/>
      <c r="F113" s="1436"/>
      <c r="G113" s="1436"/>
      <c r="N113" s="884"/>
      <c r="O113" s="884"/>
      <c r="P113" s="884"/>
      <c r="Q113" s="884"/>
      <c r="R113" s="884"/>
      <c r="S113" s="884"/>
      <c r="T113" s="884"/>
      <c r="U113" s="884"/>
      <c r="V113" s="884"/>
      <c r="W113" s="884"/>
      <c r="X113" s="884"/>
      <c r="Y113" s="884"/>
      <c r="Z113" s="884"/>
      <c r="AA113" s="884"/>
      <c r="CH113" s="1346"/>
      <c r="CI113" s="1346"/>
      <c r="CJ113" s="1346"/>
      <c r="CK113" s="1346"/>
      <c r="CL113" s="1346"/>
      <c r="CM113" s="1346"/>
      <c r="CN113" s="1346"/>
      <c r="CO113" s="1346"/>
      <c r="CP113" s="1346"/>
    </row>
    <row r="114" spans="1:94" ht="29.25" customHeight="1" x14ac:dyDescent="0.25">
      <c r="B114" s="1335" t="s">
        <v>1832</v>
      </c>
      <c r="C114" s="1437" t="s">
        <v>1833</v>
      </c>
      <c r="D114" s="1438" t="s">
        <v>1834</v>
      </c>
      <c r="E114" s="1439" t="s">
        <v>1835</v>
      </c>
      <c r="N114" s="884"/>
      <c r="O114" s="884"/>
      <c r="P114" s="884"/>
      <c r="Q114" s="884"/>
      <c r="R114" s="884"/>
      <c r="S114" s="884"/>
      <c r="T114" s="884"/>
      <c r="U114" s="884"/>
      <c r="V114" s="884"/>
      <c r="W114" s="884"/>
      <c r="X114" s="884"/>
      <c r="Y114" s="884"/>
      <c r="Z114" s="884"/>
      <c r="AA114" s="884"/>
      <c r="CH114" s="1346"/>
      <c r="CI114" s="1346"/>
      <c r="CJ114" s="1346"/>
      <c r="CK114" s="1346"/>
      <c r="CL114" s="1346"/>
      <c r="CM114" s="1346"/>
      <c r="CN114" s="1346"/>
      <c r="CO114" s="1346"/>
      <c r="CP114" s="1346"/>
    </row>
    <row r="115" spans="1:94" ht="23.25" customHeight="1" x14ac:dyDescent="0.25">
      <c r="A115" s="2458">
        <v>27500180</v>
      </c>
      <c r="B115" s="1440" t="s">
        <v>1836</v>
      </c>
      <c r="C115" s="1441" t="s">
        <v>2777</v>
      </c>
      <c r="D115" s="1442" t="s">
        <v>2778</v>
      </c>
      <c r="E115" s="1443" t="s">
        <v>2779</v>
      </c>
      <c r="F115" s="1444"/>
      <c r="N115" s="884"/>
      <c r="O115" s="884"/>
      <c r="P115" s="884"/>
      <c r="Q115" s="884"/>
      <c r="R115" s="884"/>
      <c r="S115" s="884"/>
      <c r="T115" s="884"/>
      <c r="U115" s="884"/>
      <c r="V115" s="884"/>
      <c r="W115" s="884"/>
      <c r="X115" s="884"/>
      <c r="Y115" s="884"/>
      <c r="Z115" s="884"/>
      <c r="AA115" s="884"/>
      <c r="CH115" s="1346"/>
      <c r="CI115" s="1346"/>
      <c r="CJ115" s="1346"/>
      <c r="CK115" s="1346"/>
      <c r="CL115" s="1346"/>
      <c r="CM115" s="1346"/>
      <c r="CN115" s="1346"/>
      <c r="CO115" s="1346"/>
      <c r="CP115" s="1346"/>
    </row>
    <row r="116" spans="1:94" ht="27.75" customHeight="1" x14ac:dyDescent="0.25">
      <c r="B116" s="1445" t="s">
        <v>1837</v>
      </c>
      <c r="C116" s="1414"/>
      <c r="D116" s="1414"/>
      <c r="E116" s="1414"/>
      <c r="F116" s="1399"/>
      <c r="G116" s="1399"/>
      <c r="H116" s="1399"/>
      <c r="I116" s="1399"/>
      <c r="J116" s="1399"/>
      <c r="N116" s="884"/>
      <c r="O116" s="884"/>
      <c r="P116" s="884"/>
      <c r="Q116" s="884"/>
      <c r="R116" s="884"/>
      <c r="S116" s="884"/>
      <c r="T116" s="884"/>
      <c r="U116" s="884"/>
      <c r="V116" s="884"/>
      <c r="W116" s="884"/>
      <c r="X116" s="884"/>
      <c r="Y116" s="884"/>
      <c r="Z116" s="884"/>
      <c r="AA116" s="884"/>
      <c r="CH116" s="1346"/>
      <c r="CI116" s="1346"/>
      <c r="CJ116" s="1346"/>
      <c r="CK116" s="1346"/>
      <c r="CL116" s="1346"/>
      <c r="CM116" s="1346"/>
      <c r="CN116" s="1346"/>
      <c r="CO116" s="1346"/>
      <c r="CP116" s="1346"/>
    </row>
    <row r="117" spans="1:94" ht="27" customHeight="1" x14ac:dyDescent="0.25">
      <c r="B117" s="6732" t="s">
        <v>1832</v>
      </c>
      <c r="C117" s="5584" t="s">
        <v>1838</v>
      </c>
      <c r="D117" s="6734"/>
      <c r="E117" s="6734"/>
      <c r="F117" s="6734"/>
      <c r="G117" s="6734"/>
      <c r="H117" s="6734"/>
      <c r="I117" s="6734"/>
      <c r="J117" s="6735"/>
      <c r="CH117" s="1346"/>
      <c r="CI117" s="1346"/>
      <c r="CJ117" s="1346"/>
      <c r="CK117" s="1346"/>
      <c r="CL117" s="1346"/>
      <c r="CM117" s="1346"/>
      <c r="CN117" s="1346"/>
      <c r="CO117" s="1346"/>
      <c r="CP117" s="1346"/>
    </row>
    <row r="118" spans="1:94" ht="42" x14ac:dyDescent="0.25">
      <c r="B118" s="6733"/>
      <c r="C118" s="1187" t="s">
        <v>1839</v>
      </c>
      <c r="D118" s="1446" t="s">
        <v>1840</v>
      </c>
      <c r="E118" s="1447" t="s">
        <v>1841</v>
      </c>
      <c r="F118" s="1447" t="s">
        <v>1842</v>
      </c>
      <c r="G118" s="1447" t="s">
        <v>1843</v>
      </c>
      <c r="H118" s="1447" t="s">
        <v>1844</v>
      </c>
      <c r="I118" s="1447" t="s">
        <v>1845</v>
      </c>
      <c r="J118" s="1448" t="s">
        <v>1846</v>
      </c>
      <c r="CH118" s="1346"/>
      <c r="CI118" s="1346"/>
      <c r="CJ118" s="1346"/>
      <c r="CK118" s="1346"/>
      <c r="CL118" s="1346"/>
      <c r="CM118" s="1346"/>
      <c r="CN118" s="1346"/>
      <c r="CO118" s="1346"/>
      <c r="CP118" s="1346"/>
    </row>
    <row r="119" spans="1:94" ht="36" customHeight="1" x14ac:dyDescent="0.25">
      <c r="A119" s="2458">
        <v>27500190</v>
      </c>
      <c r="B119" s="3593" t="s">
        <v>1847</v>
      </c>
      <c r="C119" s="1450" t="s">
        <v>2777</v>
      </c>
      <c r="D119" s="1451" t="s">
        <v>2778</v>
      </c>
      <c r="E119" s="1452" t="s">
        <v>2779</v>
      </c>
      <c r="F119" s="1452" t="s">
        <v>2780</v>
      </c>
      <c r="G119" s="1452" t="s">
        <v>2781</v>
      </c>
      <c r="H119" s="1452" t="s">
        <v>2782</v>
      </c>
      <c r="I119" s="1452" t="s">
        <v>2783</v>
      </c>
      <c r="J119" s="1182" t="s">
        <v>2784</v>
      </c>
      <c r="CH119" s="1346"/>
      <c r="CI119" s="1346"/>
      <c r="CJ119" s="1346"/>
      <c r="CK119" s="1346"/>
      <c r="CL119" s="1346"/>
      <c r="CM119" s="1346"/>
      <c r="CN119" s="1346"/>
      <c r="CO119" s="1346"/>
      <c r="CP119" s="1346"/>
    </row>
    <row r="120" spans="1:94" ht="26.25" customHeight="1" x14ac:dyDescent="0.25">
      <c r="A120" s="2458">
        <v>27500200</v>
      </c>
      <c r="B120" s="3594" t="s">
        <v>1848</v>
      </c>
      <c r="C120" s="1454" t="s">
        <v>2777</v>
      </c>
      <c r="D120" s="1455" t="s">
        <v>2778</v>
      </c>
      <c r="E120" s="1456" t="s">
        <v>2779</v>
      </c>
      <c r="F120" s="1456" t="s">
        <v>2780</v>
      </c>
      <c r="G120" s="1456" t="s">
        <v>2781</v>
      </c>
      <c r="H120" s="1456" t="s">
        <v>2782</v>
      </c>
      <c r="I120" s="1456" t="s">
        <v>2783</v>
      </c>
      <c r="J120" s="1457" t="s">
        <v>2784</v>
      </c>
      <c r="CH120" s="1346"/>
      <c r="CI120" s="1346"/>
      <c r="CJ120" s="1346"/>
      <c r="CK120" s="1346"/>
      <c r="CL120" s="1346"/>
      <c r="CM120" s="1346"/>
      <c r="CN120" s="1346"/>
      <c r="CO120" s="1346"/>
      <c r="CP120" s="1346"/>
    </row>
    <row r="121" spans="1:94" ht="27.75" customHeight="1" x14ac:dyDescent="0.25">
      <c r="B121" s="1445" t="s">
        <v>2709</v>
      </c>
      <c r="CH121" s="1346"/>
      <c r="CI121" s="1346"/>
      <c r="CJ121" s="1346"/>
      <c r="CK121" s="1346"/>
      <c r="CL121" s="1346"/>
      <c r="CM121" s="1346"/>
      <c r="CN121" s="1346"/>
      <c r="CO121" s="1346"/>
      <c r="CP121" s="1346"/>
    </row>
    <row r="122" spans="1:94" ht="20.25" customHeight="1" x14ac:dyDescent="0.25">
      <c r="B122" s="6732" t="s">
        <v>1832</v>
      </c>
      <c r="C122" s="6736" t="s">
        <v>1849</v>
      </c>
      <c r="D122" s="6737"/>
      <c r="E122" s="6737"/>
      <c r="F122" s="6737"/>
      <c r="G122" s="6737"/>
      <c r="H122" s="6737"/>
      <c r="I122" s="6737"/>
      <c r="J122" s="6737"/>
      <c r="K122" s="6737"/>
      <c r="L122" s="6737"/>
      <c r="M122" s="6737"/>
      <c r="N122" s="6738"/>
      <c r="CH122" s="1346"/>
      <c r="CI122" s="1346"/>
      <c r="CJ122" s="1346"/>
      <c r="CK122" s="1346"/>
      <c r="CL122" s="1346"/>
      <c r="CM122" s="1346"/>
      <c r="CN122" s="1346"/>
      <c r="CO122" s="1346"/>
      <c r="CP122" s="1346"/>
    </row>
    <row r="123" spans="1:94" ht="42" customHeight="1" x14ac:dyDescent="0.25">
      <c r="B123" s="6733"/>
      <c r="C123" s="1187" t="s">
        <v>1850</v>
      </c>
      <c r="D123" s="1187" t="s">
        <v>1851</v>
      </c>
      <c r="E123" s="1415" t="s">
        <v>1852</v>
      </c>
      <c r="F123" s="1415" t="s">
        <v>1853</v>
      </c>
      <c r="G123" s="1415" t="s">
        <v>1854</v>
      </c>
      <c r="H123" s="1415" t="s">
        <v>1855</v>
      </c>
      <c r="I123" s="1415" t="s">
        <v>1856</v>
      </c>
      <c r="J123" s="1415" t="s">
        <v>2710</v>
      </c>
      <c r="K123" s="1415" t="s">
        <v>1857</v>
      </c>
      <c r="L123" s="1415" t="s">
        <v>1858</v>
      </c>
      <c r="M123" s="1415" t="s">
        <v>1859</v>
      </c>
      <c r="N123" s="1448" t="s">
        <v>1860</v>
      </c>
      <c r="CH123" s="1346"/>
      <c r="CI123" s="1346"/>
      <c r="CJ123" s="1346"/>
      <c r="CK123" s="1346"/>
      <c r="CL123" s="1346"/>
      <c r="CM123" s="1346"/>
      <c r="CN123" s="1346"/>
      <c r="CO123" s="1346"/>
      <c r="CP123" s="1346"/>
    </row>
    <row r="124" spans="1:94" ht="31.5" customHeight="1" x14ac:dyDescent="0.25">
      <c r="A124" s="2458">
        <v>27500210</v>
      </c>
      <c r="B124" s="1449" t="s">
        <v>1861</v>
      </c>
      <c r="C124" s="1450" t="s">
        <v>2777</v>
      </c>
      <c r="D124" s="837" t="s">
        <v>2778</v>
      </c>
      <c r="E124" s="836" t="s">
        <v>2779</v>
      </c>
      <c r="F124" s="836" t="s">
        <v>2780</v>
      </c>
      <c r="G124" s="836" t="s">
        <v>2781</v>
      </c>
      <c r="H124" s="836" t="s">
        <v>2782</v>
      </c>
      <c r="I124" s="836" t="s">
        <v>2783</v>
      </c>
      <c r="J124" s="836" t="s">
        <v>2784</v>
      </c>
      <c r="K124" s="836" t="s">
        <v>2785</v>
      </c>
      <c r="L124" s="836" t="s">
        <v>2786</v>
      </c>
      <c r="M124" s="836" t="s">
        <v>2787</v>
      </c>
      <c r="N124" s="1182" t="s">
        <v>2788</v>
      </c>
      <c r="CH124" s="1346"/>
      <c r="CI124" s="1346"/>
      <c r="CJ124" s="1346"/>
      <c r="CK124" s="1346"/>
      <c r="CL124" s="1346"/>
      <c r="CM124" s="1346"/>
      <c r="CN124" s="1346"/>
      <c r="CO124" s="1346"/>
      <c r="CP124" s="1346"/>
    </row>
    <row r="125" spans="1:94" ht="43.5" customHeight="1" x14ac:dyDescent="0.25">
      <c r="A125" s="2458">
        <v>27500220</v>
      </c>
      <c r="B125" s="1453" t="s">
        <v>1862</v>
      </c>
      <c r="C125" s="1454" t="s">
        <v>2777</v>
      </c>
      <c r="D125" s="1458" t="s">
        <v>2778</v>
      </c>
      <c r="E125" s="833" t="s">
        <v>2779</v>
      </c>
      <c r="F125" s="833" t="s">
        <v>2780</v>
      </c>
      <c r="G125" s="833" t="s">
        <v>2781</v>
      </c>
      <c r="H125" s="833" t="s">
        <v>2782</v>
      </c>
      <c r="I125" s="833" t="s">
        <v>2783</v>
      </c>
      <c r="J125" s="833" t="s">
        <v>2784</v>
      </c>
      <c r="K125" s="833" t="s">
        <v>2785</v>
      </c>
      <c r="L125" s="833" t="s">
        <v>2786</v>
      </c>
      <c r="M125" s="833" t="s">
        <v>2787</v>
      </c>
      <c r="N125" s="1457" t="s">
        <v>2788</v>
      </c>
      <c r="CH125" s="1346"/>
      <c r="CI125" s="1346"/>
      <c r="CJ125" s="1346"/>
      <c r="CK125" s="1346"/>
      <c r="CL125" s="1346"/>
      <c r="CM125" s="1346"/>
      <c r="CN125" s="1346"/>
      <c r="CO125" s="1346"/>
      <c r="CP125" s="1346"/>
    </row>
    <row r="126" spans="1:94" ht="24.75" customHeight="1" x14ac:dyDescent="0.25">
      <c r="B126" s="1404" t="s">
        <v>1863</v>
      </c>
      <c r="C126" s="4906"/>
      <c r="D126" s="4906"/>
      <c r="E126" s="4906"/>
      <c r="F126" s="783"/>
      <c r="G126" s="783"/>
      <c r="H126" s="783"/>
      <c r="I126" s="783"/>
      <c r="J126" s="783"/>
      <c r="K126" s="783"/>
      <c r="L126" s="783"/>
      <c r="M126" s="783"/>
      <c r="N126" s="783"/>
      <c r="CH126" s="1346"/>
      <c r="CI126" s="1346"/>
      <c r="CJ126" s="1346"/>
      <c r="CK126" s="1346"/>
      <c r="CL126" s="1346"/>
      <c r="CM126" s="1346"/>
      <c r="CN126" s="1346"/>
      <c r="CO126" s="1346"/>
      <c r="CP126" s="1346"/>
    </row>
    <row r="127" spans="1:94" x14ac:dyDescent="0.25">
      <c r="B127" s="6717" t="s">
        <v>1832</v>
      </c>
      <c r="C127" s="5407" t="s">
        <v>1864</v>
      </c>
      <c r="D127" s="6718" t="s">
        <v>1865</v>
      </c>
      <c r="E127" s="6718"/>
      <c r="F127" s="6718"/>
      <c r="G127" s="6718"/>
      <c r="H127" s="6718"/>
      <c r="I127" s="6718"/>
      <c r="J127" s="6718"/>
      <c r="K127" s="6718"/>
      <c r="L127" s="6718"/>
      <c r="M127" s="6718"/>
      <c r="N127" s="6719"/>
      <c r="CH127" s="1346"/>
      <c r="CI127" s="1346"/>
      <c r="CJ127" s="1346"/>
      <c r="CK127" s="1346"/>
      <c r="CL127" s="1346"/>
      <c r="CM127" s="1346"/>
      <c r="CN127" s="1346"/>
      <c r="CO127" s="1346"/>
      <c r="CP127" s="1346"/>
    </row>
    <row r="128" spans="1:94" ht="35.25" customHeight="1" x14ac:dyDescent="0.25">
      <c r="B128" s="5147"/>
      <c r="C128" s="5409"/>
      <c r="D128" s="4907" t="s">
        <v>125</v>
      </c>
      <c r="E128" s="4908" t="s">
        <v>126</v>
      </c>
      <c r="F128" s="4908" t="s">
        <v>167</v>
      </c>
      <c r="G128" s="4908" t="s">
        <v>651</v>
      </c>
      <c r="H128" s="4908" t="s">
        <v>652</v>
      </c>
      <c r="I128" s="4908" t="s">
        <v>653</v>
      </c>
      <c r="J128" s="4908" t="s">
        <v>654</v>
      </c>
      <c r="K128" s="4908" t="s">
        <v>655</v>
      </c>
      <c r="L128" s="4909" t="s">
        <v>656</v>
      </c>
      <c r="M128" s="4910" t="s">
        <v>6</v>
      </c>
      <c r="N128" s="4911" t="s">
        <v>23</v>
      </c>
      <c r="CH128" s="1346"/>
      <c r="CI128" s="1346"/>
      <c r="CJ128" s="1346"/>
      <c r="CK128" s="1346"/>
      <c r="CL128" s="1346"/>
      <c r="CM128" s="1346"/>
      <c r="CN128" s="1346"/>
      <c r="CO128" s="1346"/>
      <c r="CP128" s="1346"/>
    </row>
    <row r="129" spans="1:94" ht="27.75" customHeight="1" x14ac:dyDescent="0.25">
      <c r="A129" s="2458">
        <v>27500230</v>
      </c>
      <c r="B129" s="4912" t="s">
        <v>1866</v>
      </c>
      <c r="C129" s="4913" t="s">
        <v>2777</v>
      </c>
      <c r="D129" s="4914" t="s">
        <v>2778</v>
      </c>
      <c r="E129" s="4915" t="s">
        <v>2779</v>
      </c>
      <c r="F129" s="4915" t="s">
        <v>2780</v>
      </c>
      <c r="G129" s="4915" t="s">
        <v>2781</v>
      </c>
      <c r="H129" s="4915" t="s">
        <v>2782</v>
      </c>
      <c r="I129" s="4915" t="s">
        <v>2783</v>
      </c>
      <c r="J129" s="4915" t="s">
        <v>2784</v>
      </c>
      <c r="K129" s="4915" t="s">
        <v>2785</v>
      </c>
      <c r="L129" s="4916" t="s">
        <v>2786</v>
      </c>
      <c r="M129" s="4917" t="s">
        <v>2787</v>
      </c>
      <c r="N129" s="4918" t="s">
        <v>2788</v>
      </c>
      <c r="O129" s="1165" t="str">
        <f>CB129&amp;CC129&amp;CD129&amp;CE129</f>
        <v>* El total de Pueblos Originarios NO DEBE superar la suma por grupo de edad. * El total de Migrantes NO DEBE superar la suma por grupo de edad</v>
      </c>
      <c r="CB129" s="1362" t="str">
        <f>IF(CH129=1,"* No olvide ingresar la columna Pueblos Originarios (Digite cero si no tiene). ","")</f>
        <v/>
      </c>
      <c r="CC129" s="1362" t="str">
        <f>IF(CI129=1,"* No olvide ingresar la columna Migrantes (Digite cero si no tiene). ","")</f>
        <v/>
      </c>
      <c r="CD129" s="1362" t="str">
        <f>IF(CJ129=1,"* El total de Pueblos Originarios NO DEBE superar la suma por grupo de edad. ","")</f>
        <v xml:space="preserve">* El total de Pueblos Originarios NO DEBE superar la suma por grupo de edad. </v>
      </c>
      <c r="CE129" s="1362" t="str">
        <f>IF(CK129=1,"* El total de Migrantes NO DEBE superar la suma por grupo de edad","")</f>
        <v>* El total de Migrantes NO DEBE superar la suma por grupo de edad</v>
      </c>
      <c r="CF129" s="1362"/>
      <c r="CG129" s="1362"/>
      <c r="CH129" s="1363">
        <f>IF(AND(M129="",SUM(D129:L129)&lt;&gt;0),1,0)</f>
        <v>0</v>
      </c>
      <c r="CI129" s="1363">
        <f>IF(AND(N129="",SUM(D129:L129)&lt;&gt;0),1,0)</f>
        <v>0</v>
      </c>
      <c r="CJ129" s="1363">
        <f>IF(SUM(D129:L129)&lt;M129,1,0)</f>
        <v>1</v>
      </c>
      <c r="CK129" s="1363">
        <f>IF(SUM(D129:L129)&lt;N129,1,0)</f>
        <v>1</v>
      </c>
      <c r="CL129" s="1346"/>
      <c r="CM129" s="1346"/>
      <c r="CN129" s="1346"/>
      <c r="CO129" s="1346"/>
      <c r="CP129" s="1346"/>
    </row>
    <row r="130" spans="1:94" ht="24.75" customHeight="1" x14ac:dyDescent="0.25">
      <c r="B130" s="1404" t="s">
        <v>1867</v>
      </c>
      <c r="C130" s="85"/>
      <c r="D130" s="783"/>
      <c r="E130" s="783"/>
      <c r="F130" s="783"/>
      <c r="G130" s="783"/>
      <c r="H130" s="783"/>
      <c r="I130" s="783"/>
      <c r="J130" s="783"/>
      <c r="K130" s="783"/>
      <c r="L130" s="783"/>
      <c r="M130" s="783"/>
      <c r="N130" s="783"/>
      <c r="CH130" s="1346"/>
      <c r="CI130" s="1346"/>
      <c r="CJ130" s="1346"/>
      <c r="CK130" s="1346"/>
      <c r="CL130" s="1346"/>
      <c r="CM130" s="1346"/>
      <c r="CN130" s="1346"/>
      <c r="CO130" s="1346"/>
      <c r="CP130" s="1346"/>
    </row>
    <row r="131" spans="1:94" ht="21" customHeight="1" x14ac:dyDescent="0.25">
      <c r="B131" s="6717" t="s">
        <v>1832</v>
      </c>
      <c r="C131" s="5407" t="s">
        <v>1864</v>
      </c>
      <c r="D131" s="6718" t="s">
        <v>1297</v>
      </c>
      <c r="E131" s="6718"/>
      <c r="F131" s="6718"/>
      <c r="G131" s="6718"/>
      <c r="H131" s="6718"/>
      <c r="I131" s="6719"/>
      <c r="J131" s="783"/>
      <c r="K131" s="783"/>
      <c r="L131" s="783"/>
      <c r="M131" s="783"/>
      <c r="N131" s="783"/>
      <c r="CH131" s="1346"/>
      <c r="CI131" s="1346"/>
      <c r="CJ131" s="1346"/>
      <c r="CK131" s="1346"/>
      <c r="CL131" s="1346"/>
      <c r="CM131" s="1346"/>
      <c r="CN131" s="1346"/>
      <c r="CO131" s="1346"/>
      <c r="CP131" s="1346"/>
    </row>
    <row r="132" spans="1:94" ht="34.5" customHeight="1" x14ac:dyDescent="0.25">
      <c r="B132" s="5147"/>
      <c r="C132" s="5409"/>
      <c r="D132" s="1296" t="s">
        <v>1276</v>
      </c>
      <c r="E132" s="4790" t="s">
        <v>1275</v>
      </c>
      <c r="F132" s="4790" t="s">
        <v>1274</v>
      </c>
      <c r="G132" s="1132" t="s">
        <v>1277</v>
      </c>
      <c r="H132" s="1296" t="s">
        <v>6</v>
      </c>
      <c r="I132" s="4757" t="s">
        <v>23</v>
      </c>
      <c r="J132" s="783"/>
      <c r="K132" s="783"/>
      <c r="L132" s="783"/>
      <c r="M132" s="783"/>
      <c r="N132" s="783"/>
      <c r="BW132" s="211"/>
      <c r="BX132" s="211"/>
      <c r="BZ132" s="210"/>
      <c r="CA132" s="210"/>
      <c r="CH132" s="1346"/>
      <c r="CI132" s="1346"/>
      <c r="CJ132" s="1346"/>
      <c r="CK132" s="1346"/>
      <c r="CL132" s="1346"/>
      <c r="CM132" s="1346"/>
      <c r="CN132" s="1346"/>
      <c r="CO132" s="1346"/>
      <c r="CP132" s="1346"/>
    </row>
    <row r="133" spans="1:94" ht="36" customHeight="1" x14ac:dyDescent="0.25">
      <c r="A133" s="2458">
        <v>27500240</v>
      </c>
      <c r="B133" s="4919" t="s">
        <v>2711</v>
      </c>
      <c r="C133" s="4913" t="s">
        <v>2777</v>
      </c>
      <c r="D133" s="4914" t="s">
        <v>2778</v>
      </c>
      <c r="E133" s="4915" t="s">
        <v>2779</v>
      </c>
      <c r="F133" s="4915" t="s">
        <v>2780</v>
      </c>
      <c r="G133" s="4916" t="s">
        <v>2781</v>
      </c>
      <c r="H133" s="4914" t="s">
        <v>2782</v>
      </c>
      <c r="I133" s="4920" t="s">
        <v>2783</v>
      </c>
      <c r="J133" s="4921" t="str">
        <f>CB133&amp;CC133&amp;CD133&amp;CE133</f>
        <v>* El total de Pueblos Originarios NO DEBE superar la suma por grupo de edad. * El total de Migrantes NO DEBE superar la suma por grupo de edad</v>
      </c>
      <c r="K133" s="783"/>
      <c r="L133" s="783"/>
      <c r="M133" s="783"/>
      <c r="N133" s="783"/>
      <c r="CB133" s="1362" t="str">
        <f>IF(CH133=1,"* No olvide ingresar la columna Pueblos Originarios (Digite cero si no tiene). ","")</f>
        <v/>
      </c>
      <c r="CC133" s="1362" t="str">
        <f>IF(CI133=1,"* No olvide ingresar la columna Migrantes (Digite cero si no tiene). ","")</f>
        <v/>
      </c>
      <c r="CD133" s="1362" t="str">
        <f>IF(CJ133=1,"* El total de Pueblos Originarios NO DEBE superar la suma por grupo de edad. ","")</f>
        <v xml:space="preserve">* El total de Pueblos Originarios NO DEBE superar la suma por grupo de edad. </v>
      </c>
      <c r="CE133" s="1362" t="str">
        <f>IF(CK133=1,"* El total de Migrantes NO DEBE superar la suma por grupo de edad","")</f>
        <v>* El total de Migrantes NO DEBE superar la suma por grupo de edad</v>
      </c>
      <c r="CF133" s="1362"/>
      <c r="CG133" s="1362"/>
      <c r="CH133" s="1363">
        <f>IF(AND(H133="",SUM(D133:G133)&lt;&gt;0),1,0)</f>
        <v>0</v>
      </c>
      <c r="CI133" s="1363">
        <f>IF(AND(I133="",SUM(D133:G133)&lt;&gt;0),1,0)</f>
        <v>0</v>
      </c>
      <c r="CJ133" s="1363">
        <f>IF(SUM(D133:G133)&lt;H133,1,0)</f>
        <v>1</v>
      </c>
      <c r="CK133" s="1363">
        <f>IF(SUM(D133:G133)&lt;I133,1,0)</f>
        <v>1</v>
      </c>
      <c r="CL133" s="1346"/>
      <c r="CM133" s="1346"/>
      <c r="CN133" s="1346"/>
      <c r="CO133" s="1346"/>
      <c r="CP133" s="1346"/>
    </row>
    <row r="138" spans="1:94" x14ac:dyDescent="0.25">
      <c r="A138" s="210" t="s">
        <v>3742</v>
      </c>
    </row>
    <row r="139" spans="1:94" x14ac:dyDescent="0.25">
      <c r="A139" s="4665">
        <v>27500250</v>
      </c>
    </row>
    <row r="140" spans="1:94" x14ac:dyDescent="0.25">
      <c r="A140" s="4665">
        <v>27500260</v>
      </c>
    </row>
    <row r="197" spans="2:105" ht="14.25" customHeight="1" x14ac:dyDescent="0.25"/>
    <row r="198" spans="2:105" s="489" customFormat="1" hidden="1" x14ac:dyDescent="0.25">
      <c r="B198" s="489">
        <f>SUM(E42,E76,E83,E86:E88,E92:F94,E98:F99,E104:M112)</f>
        <v>0</v>
      </c>
      <c r="C198" s="489" t="e">
        <f>SUM(CH8:CP113)</f>
        <v>#VALUE!</v>
      </c>
      <c r="BZ198" s="1461"/>
      <c r="CA198" s="1461"/>
      <c r="CB198" s="1461"/>
      <c r="CC198" s="1461"/>
      <c r="CD198" s="1461"/>
      <c r="CE198" s="1461"/>
      <c r="CF198" s="1461"/>
      <c r="CG198" s="1461"/>
      <c r="CH198" s="1461"/>
      <c r="CI198" s="1461"/>
      <c r="CJ198" s="1461"/>
      <c r="CK198" s="1461"/>
      <c r="CL198" s="1461"/>
      <c r="CM198" s="1461"/>
      <c r="CN198" s="1461"/>
      <c r="CO198" s="1461"/>
      <c r="CP198" s="1461"/>
      <c r="CQ198" s="1461"/>
      <c r="CR198" s="1461"/>
      <c r="CS198" s="1461"/>
      <c r="CT198" s="1461"/>
      <c r="CU198" s="1461"/>
      <c r="CV198" s="1461"/>
      <c r="CW198" s="1461"/>
      <c r="CX198" s="1461"/>
      <c r="CY198" s="1461"/>
      <c r="CZ198" s="1461"/>
      <c r="DA198" s="1461"/>
    </row>
  </sheetData>
  <mergeCells count="103">
    <mergeCell ref="C55:D55"/>
    <mergeCell ref="A9:A10"/>
    <mergeCell ref="B131:B132"/>
    <mergeCell ref="C131:C132"/>
    <mergeCell ref="D131:I131"/>
    <mergeCell ref="B107:C109"/>
    <mergeCell ref="B110:C112"/>
    <mergeCell ref="B117:B118"/>
    <mergeCell ref="C117:J117"/>
    <mergeCell ref="B122:B123"/>
    <mergeCell ref="C122:N122"/>
    <mergeCell ref="B100:D100"/>
    <mergeCell ref="B102:D103"/>
    <mergeCell ref="E102:E103"/>
    <mergeCell ref="F102:K102"/>
    <mergeCell ref="L102:M102"/>
    <mergeCell ref="B104:C106"/>
    <mergeCell ref="I96:V96"/>
    <mergeCell ref="F86:G86"/>
    <mergeCell ref="B87:D87"/>
    <mergeCell ref="F87:G87"/>
    <mergeCell ref="B88:D88"/>
    <mergeCell ref="B90:D91"/>
    <mergeCell ref="E90:E91"/>
    <mergeCell ref="F90:F91"/>
    <mergeCell ref="W96:W97"/>
    <mergeCell ref="B127:B128"/>
    <mergeCell ref="C127:C128"/>
    <mergeCell ref="D127:N127"/>
    <mergeCell ref="X96:X97"/>
    <mergeCell ref="B98:D98"/>
    <mergeCell ref="B99:D99"/>
    <mergeCell ref="B92:D92"/>
    <mergeCell ref="B93:D93"/>
    <mergeCell ref="B94:D94"/>
    <mergeCell ref="B96:D97"/>
    <mergeCell ref="E96:E97"/>
    <mergeCell ref="F96:F97"/>
    <mergeCell ref="G96:H96"/>
    <mergeCell ref="B80:D80"/>
    <mergeCell ref="B81:D81"/>
    <mergeCell ref="B82:D82"/>
    <mergeCell ref="B83:D83"/>
    <mergeCell ref="B85:D85"/>
    <mergeCell ref="F85:G85"/>
    <mergeCell ref="B78:D78"/>
    <mergeCell ref="B79:D79"/>
    <mergeCell ref="C64:D64"/>
    <mergeCell ref="C65:C66"/>
    <mergeCell ref="C67:D67"/>
    <mergeCell ref="C68:D68"/>
    <mergeCell ref="C69:D69"/>
    <mergeCell ref="C70:D70"/>
    <mergeCell ref="B86:D86"/>
    <mergeCell ref="C53:D53"/>
    <mergeCell ref="C54:D54"/>
    <mergeCell ref="C56:D56"/>
    <mergeCell ref="C57:D57"/>
    <mergeCell ref="C58:C60"/>
    <mergeCell ref="C61:C63"/>
    <mergeCell ref="C40:D40"/>
    <mergeCell ref="C41:D41"/>
    <mergeCell ref="C42:D42"/>
    <mergeCell ref="B44:D44"/>
    <mergeCell ref="B45:B76"/>
    <mergeCell ref="C45:D45"/>
    <mergeCell ref="C46:C49"/>
    <mergeCell ref="C50:D50"/>
    <mergeCell ref="C51:D51"/>
    <mergeCell ref="C52:D52"/>
    <mergeCell ref="C71:C73"/>
    <mergeCell ref="C74:D74"/>
    <mergeCell ref="C75:D75"/>
    <mergeCell ref="C76:D76"/>
    <mergeCell ref="B11:B42"/>
    <mergeCell ref="C11:D11"/>
    <mergeCell ref="C12:C15"/>
    <mergeCell ref="B6:P6"/>
    <mergeCell ref="B9:D10"/>
    <mergeCell ref="E9:E10"/>
    <mergeCell ref="F9:J9"/>
    <mergeCell ref="K9:Y9"/>
    <mergeCell ref="C16:D16"/>
    <mergeCell ref="C17:D17"/>
    <mergeCell ref="C18:D18"/>
    <mergeCell ref="C19:D19"/>
    <mergeCell ref="Z9:AA9"/>
    <mergeCell ref="AB9:AB10"/>
    <mergeCell ref="AC9:AC10"/>
    <mergeCell ref="AD9:AD10"/>
    <mergeCell ref="C37:C39"/>
    <mergeCell ref="C20:D20"/>
    <mergeCell ref="C22:D22"/>
    <mergeCell ref="C23:D23"/>
    <mergeCell ref="C24:C26"/>
    <mergeCell ref="C27:C29"/>
    <mergeCell ref="C30:D30"/>
    <mergeCell ref="C21:D21"/>
    <mergeCell ref="C31:C32"/>
    <mergeCell ref="C33:D33"/>
    <mergeCell ref="C34:D34"/>
    <mergeCell ref="C35:D35"/>
    <mergeCell ref="C36:D36"/>
  </mergeCells>
  <phoneticPr fontId="87" type="noConversion"/>
  <dataValidations count="2">
    <dataValidation operator="greaterThanOrEqual" allowBlank="1" showInputMessage="1" showErrorMessage="1" error="Valor no Permitido" sqref="B1:B5" xr:uid="{00000000-0002-0000-1200-000000000000}"/>
    <dataValidation type="whole" allowBlank="1" showInputMessage="1" showErrorMessage="1" errorTitle="ERROR" error="Por favor ingrese solo Números." sqref="A83" xr:uid="{00000000-0002-0000-1200-000001000000}">
      <formula1>0</formula1>
      <formula2>10000000000</formula2>
    </dataValidation>
  </dataValidations>
  <pageMargins left="0.7" right="0.7" top="0.75" bottom="0.75" header="0.3" footer="0.3"/>
  <pageSetup orientation="portrait" r:id="rId1"/>
  <extLst>
    <ext xmlns:mx="http://schemas.microsoft.com/office/mac/excel/2008/main" uri="{64002731-A6B0-56B0-2670-7721B7C09600}">
      <mx:PLV Mode="0" OnePage="0" WScale="0"/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Hoja25">
    <tabColor theme="0"/>
  </sheetPr>
  <dimension ref="A1:DA400"/>
  <sheetViews>
    <sheetView showGridLines="0" zoomScaleNormal="100" zoomScalePageLayoutView="90" workbookViewId="0"/>
  </sheetViews>
  <sheetFormatPr baseColWidth="10" defaultColWidth="11.42578125" defaultRowHeight="14.25" x14ac:dyDescent="0.2"/>
  <cols>
    <col min="1" max="1" width="13.85546875" style="80" customWidth="1"/>
    <col min="2" max="2" width="49.85546875" style="80" customWidth="1"/>
    <col min="3" max="3" width="29.7109375" style="80" customWidth="1"/>
    <col min="4" max="4" width="16.28515625" style="80" customWidth="1"/>
    <col min="5" max="22" width="19.28515625" style="80" customWidth="1"/>
    <col min="23" max="40" width="11.42578125" style="80"/>
    <col min="41" max="41" width="12.7109375" style="80" customWidth="1"/>
    <col min="42" max="42" width="11.42578125" style="80"/>
    <col min="43" max="43" width="13" style="80" customWidth="1"/>
    <col min="44" max="44" width="14.42578125" style="80" customWidth="1"/>
    <col min="45" max="45" width="12.42578125" style="80" customWidth="1"/>
    <col min="46" max="46" width="11.42578125" style="80"/>
    <col min="47" max="47" width="13.28515625" style="80" customWidth="1"/>
    <col min="48" max="48" width="11.42578125" style="80"/>
    <col min="49" max="74" width="11.42578125" style="80" customWidth="1"/>
    <col min="75" max="77" width="11" style="80" customWidth="1"/>
    <col min="78" max="78" width="11" style="79" customWidth="1"/>
    <col min="79" max="79" width="13.28515625" style="79" customWidth="1"/>
    <col min="80" max="105" width="13.28515625" style="889" customWidth="1"/>
    <col min="106" max="16384" width="11.42578125" style="80"/>
  </cols>
  <sheetData>
    <row r="1" spans="1:105" ht="16.350000000000001" customHeight="1" x14ac:dyDescent="0.2">
      <c r="B1" s="78" t="s">
        <v>910</v>
      </c>
      <c r="CV1" s="80"/>
      <c r="CW1" s="80"/>
      <c r="CX1" s="80"/>
      <c r="CY1" s="80"/>
      <c r="CZ1" s="80"/>
      <c r="DA1" s="80"/>
    </row>
    <row r="2" spans="1:105" ht="16.350000000000001" customHeight="1" x14ac:dyDescent="0.2">
      <c r="B2" s="78" t="str">
        <f>CONCATENATE("COMUNA: ",NOMBRE!B2," - ","( ",NOMBRE!C2,NOMBRE!D2,NOMBRE!E2,NOMBRE!F2,NOMBRE!G2," )")</f>
        <v>COMUNA:  - (  )</v>
      </c>
      <c r="CV2" s="80"/>
      <c r="CW2" s="80"/>
      <c r="CX2" s="80"/>
      <c r="CY2" s="80"/>
      <c r="CZ2" s="80"/>
      <c r="DA2" s="80"/>
    </row>
    <row r="3" spans="1:105" ht="16.350000000000001" customHeight="1" x14ac:dyDescent="0.2">
      <c r="B3" s="78" t="str">
        <f>CONCATENATE("ESTABLECIMIENTO/ESTRATEGIA: ",NOMBRE!B3," - ","( ",NOMBRE!C3,NOMBRE!D3,NOMBRE!E3,NOMBRE!F3,NOMBRE!G3,NOMBRE!H3," )")</f>
        <v>ESTABLECIMIENTO/ESTRATEGIA:  - (  )</v>
      </c>
      <c r="CV3" s="80"/>
      <c r="CW3" s="80"/>
      <c r="CX3" s="80"/>
      <c r="CY3" s="80"/>
      <c r="CZ3" s="80"/>
      <c r="DA3" s="80"/>
    </row>
    <row r="4" spans="1:105" ht="16.350000000000001" customHeight="1" x14ac:dyDescent="0.2">
      <c r="B4" s="78" t="str">
        <f>CONCATENATE("MES: ",NOMBRE!B6," - ","( ",NOMBRE!C6,NOMBRE!D6," )")</f>
        <v>MES:  - (  )</v>
      </c>
      <c r="CV4" s="80"/>
      <c r="CW4" s="80"/>
      <c r="CX4" s="80"/>
      <c r="CY4" s="80"/>
      <c r="CZ4" s="80"/>
      <c r="DA4" s="80"/>
    </row>
    <row r="5" spans="1:105" ht="16.350000000000001" customHeight="1" x14ac:dyDescent="0.2">
      <c r="B5" s="78" t="str">
        <f>CONCATENATE("AÑO: ",NOMBRE!B7)</f>
        <v>AÑO: 2020</v>
      </c>
      <c r="CV5" s="80"/>
      <c r="CW5" s="80"/>
      <c r="CX5" s="80"/>
      <c r="CY5" s="80"/>
      <c r="CZ5" s="80"/>
      <c r="DA5" s="80"/>
    </row>
    <row r="6" spans="1:105" ht="15" x14ac:dyDescent="0.2">
      <c r="B6" s="6195" t="s">
        <v>732</v>
      </c>
      <c r="C6" s="6195"/>
      <c r="D6" s="6195"/>
      <c r="E6" s="6195"/>
      <c r="F6" s="6195"/>
      <c r="G6" s="6195"/>
      <c r="H6" s="6195"/>
      <c r="I6" s="6195"/>
      <c r="J6" s="6195"/>
      <c r="K6" s="6195"/>
      <c r="L6" s="6195"/>
      <c r="M6" s="6195"/>
      <c r="N6" s="6195"/>
      <c r="O6" s="6195"/>
      <c r="P6" s="605"/>
      <c r="Q6" s="190"/>
      <c r="R6" s="190"/>
      <c r="S6" s="190"/>
      <c r="T6" s="190"/>
      <c r="U6" s="190"/>
      <c r="V6" s="190"/>
      <c r="W6" s="190"/>
      <c r="X6" s="190"/>
      <c r="Y6" s="190"/>
      <c r="Z6" s="190"/>
      <c r="AA6" s="190"/>
      <c r="AB6" s="190"/>
      <c r="AC6" s="190"/>
      <c r="AD6" s="190"/>
      <c r="AE6" s="190"/>
      <c r="AF6" s="190"/>
      <c r="AG6" s="190"/>
      <c r="AH6" s="190"/>
      <c r="AI6" s="190"/>
      <c r="AJ6" s="190"/>
      <c r="AK6" s="190"/>
      <c r="AL6" s="190"/>
      <c r="AM6" s="190"/>
      <c r="AN6" s="190"/>
      <c r="AO6" s="190"/>
      <c r="AP6" s="190"/>
      <c r="CH6" s="1020"/>
      <c r="CI6" s="1020"/>
      <c r="CJ6" s="1020"/>
      <c r="CK6" s="1020"/>
      <c r="CL6" s="1020"/>
      <c r="CM6" s="1020"/>
      <c r="CN6" s="1020"/>
      <c r="CO6" s="1020"/>
      <c r="CP6" s="1020"/>
      <c r="CQ6" s="1020"/>
      <c r="CR6" s="1020"/>
      <c r="CS6" s="1020"/>
      <c r="CT6" s="1020"/>
      <c r="CU6" s="1020"/>
      <c r="CV6" s="80"/>
      <c r="CW6" s="80"/>
      <c r="CX6" s="80"/>
      <c r="CY6" s="80"/>
      <c r="CZ6" s="80"/>
      <c r="DA6" s="80"/>
    </row>
    <row r="7" spans="1:105" x14ac:dyDescent="0.2">
      <c r="B7" s="81"/>
      <c r="C7" s="81"/>
      <c r="D7" s="81"/>
      <c r="E7" s="81"/>
      <c r="F7" s="81"/>
      <c r="G7" s="81"/>
      <c r="H7" s="81"/>
      <c r="I7" s="81"/>
      <c r="J7" s="81"/>
      <c r="K7" s="81"/>
      <c r="L7" s="81"/>
      <c r="M7" s="81"/>
      <c r="N7" s="81"/>
      <c r="O7" s="81"/>
      <c r="P7" s="190"/>
      <c r="Q7" s="190"/>
      <c r="R7" s="190"/>
      <c r="S7" s="190"/>
      <c r="T7" s="190"/>
      <c r="U7" s="190"/>
      <c r="V7" s="190"/>
      <c r="W7" s="190"/>
      <c r="X7" s="190"/>
      <c r="Y7" s="190"/>
      <c r="Z7" s="190"/>
      <c r="AA7" s="190"/>
      <c r="AB7" s="190"/>
      <c r="AC7" s="190"/>
      <c r="AD7" s="190"/>
      <c r="AE7" s="190"/>
      <c r="AF7" s="190"/>
      <c r="AG7" s="190"/>
      <c r="AH7" s="190"/>
      <c r="AI7" s="190"/>
      <c r="AJ7" s="190"/>
      <c r="AK7" s="190"/>
      <c r="AL7" s="190"/>
      <c r="AM7" s="190"/>
      <c r="AN7" s="190"/>
      <c r="AO7" s="190"/>
      <c r="AP7" s="190"/>
      <c r="CH7" s="1020"/>
      <c r="CI7" s="1020"/>
      <c r="CJ7" s="1020"/>
      <c r="CK7" s="1020"/>
      <c r="CL7" s="1020"/>
      <c r="CM7" s="1020"/>
      <c r="CN7" s="1020"/>
      <c r="CO7" s="1020"/>
      <c r="CP7" s="1020"/>
      <c r="CQ7" s="1020"/>
      <c r="CR7" s="1020"/>
      <c r="CS7" s="1020"/>
      <c r="CT7" s="1020"/>
      <c r="CU7" s="1020"/>
      <c r="CV7" s="80"/>
      <c r="CW7" s="80"/>
      <c r="CX7" s="80"/>
      <c r="CY7" s="80"/>
      <c r="CZ7" s="80"/>
      <c r="DA7" s="80"/>
    </row>
    <row r="8" spans="1:105" ht="32.1" customHeight="1" x14ac:dyDescent="0.2">
      <c r="B8" s="85" t="s">
        <v>1704</v>
      </c>
      <c r="C8" s="81"/>
      <c r="D8" s="81"/>
      <c r="E8" s="81"/>
      <c r="F8" s="81"/>
      <c r="CH8" s="1020"/>
      <c r="CI8" s="1020"/>
      <c r="CJ8" s="1020"/>
      <c r="CK8" s="1020"/>
      <c r="CL8" s="1020"/>
      <c r="CM8" s="1020"/>
      <c r="CN8" s="1020"/>
      <c r="CO8" s="1020"/>
      <c r="CP8" s="1020"/>
      <c r="CQ8" s="1020"/>
      <c r="CR8" s="1020"/>
      <c r="CS8" s="1020"/>
      <c r="CT8" s="1020"/>
      <c r="CU8" s="1020"/>
      <c r="CV8" s="80"/>
      <c r="CW8" s="80"/>
      <c r="CX8" s="80"/>
      <c r="CY8" s="80"/>
      <c r="CZ8" s="80"/>
      <c r="DA8" s="80"/>
    </row>
    <row r="9" spans="1:105" ht="32.1" customHeight="1" x14ac:dyDescent="0.2">
      <c r="B9" s="295" t="s">
        <v>733</v>
      </c>
      <c r="C9" s="295"/>
      <c r="D9" s="219"/>
      <c r="CH9" s="1020"/>
      <c r="CI9" s="1020"/>
      <c r="CJ9" s="1020"/>
      <c r="CK9" s="1020"/>
      <c r="CL9" s="1020"/>
      <c r="CM9" s="1020"/>
      <c r="CN9" s="1020"/>
      <c r="CO9" s="1020"/>
      <c r="CP9" s="1020"/>
      <c r="CQ9" s="1020"/>
      <c r="CR9" s="1020"/>
      <c r="CS9" s="1020"/>
      <c r="CT9" s="1020"/>
      <c r="CU9" s="1020"/>
      <c r="CV9" s="80"/>
      <c r="CW9" s="80"/>
      <c r="CX9" s="80"/>
      <c r="CY9" s="80"/>
      <c r="CZ9" s="80"/>
      <c r="DA9" s="80"/>
    </row>
    <row r="10" spans="1:105" ht="14.25" customHeight="1" x14ac:dyDescent="0.2">
      <c r="B10" s="5430" t="s">
        <v>734</v>
      </c>
      <c r="C10" s="6308" t="s">
        <v>42</v>
      </c>
      <c r="D10" s="6309"/>
      <c r="E10" s="6219"/>
      <c r="F10" s="5160" t="s">
        <v>494</v>
      </c>
      <c r="G10" s="6321"/>
      <c r="H10" s="6321"/>
      <c r="I10" s="6321"/>
      <c r="J10" s="6321"/>
      <c r="K10" s="6321"/>
      <c r="L10" s="6321"/>
      <c r="M10" s="6321"/>
      <c r="N10" s="6321"/>
      <c r="O10" s="6321"/>
      <c r="P10" s="6321"/>
      <c r="Q10" s="6321"/>
      <c r="R10" s="6321"/>
      <c r="S10" s="6321"/>
      <c r="T10" s="6321"/>
      <c r="U10" s="6321"/>
      <c r="V10" s="6321"/>
      <c r="W10" s="6321"/>
      <c r="X10" s="6321"/>
      <c r="Y10" s="6321"/>
      <c r="Z10" s="6321"/>
      <c r="AA10" s="6321"/>
      <c r="AB10" s="6321"/>
      <c r="AC10" s="6321"/>
      <c r="AD10" s="6321"/>
      <c r="AE10" s="6321"/>
      <c r="AF10" s="6321"/>
      <c r="AG10" s="6321"/>
      <c r="AH10" s="6321"/>
      <c r="AI10" s="6321"/>
      <c r="AJ10" s="6321"/>
      <c r="AK10" s="6321"/>
      <c r="AL10" s="6321"/>
      <c r="AM10" s="6321"/>
      <c r="AN10" s="6321"/>
      <c r="AO10" s="6321"/>
      <c r="AP10" s="6321"/>
      <c r="AQ10" s="6212"/>
      <c r="AR10" s="6758" t="s">
        <v>736</v>
      </c>
      <c r="AS10" s="6321"/>
      <c r="AT10" s="6321"/>
      <c r="AU10" s="6321"/>
      <c r="AV10" s="5162"/>
      <c r="AW10" s="94"/>
      <c r="AX10" s="94"/>
      <c r="AY10" s="94"/>
      <c r="AZ10" s="94"/>
      <c r="BA10" s="94"/>
      <c r="BB10" s="94"/>
      <c r="BC10" s="94"/>
      <c r="BD10" s="94"/>
      <c r="BE10" s="94"/>
      <c r="BF10" s="94"/>
      <c r="BG10" s="94"/>
      <c r="BH10" s="94"/>
      <c r="BI10" s="94"/>
      <c r="CH10" s="1020"/>
      <c r="CI10" s="1020"/>
      <c r="CJ10" s="1020"/>
      <c r="CK10" s="1020"/>
      <c r="CL10" s="1020"/>
      <c r="CM10" s="1020"/>
      <c r="CN10" s="1020"/>
      <c r="CO10" s="1020"/>
      <c r="CP10" s="1020"/>
      <c r="CQ10" s="1020"/>
      <c r="CR10" s="1020"/>
      <c r="CS10" s="1020"/>
      <c r="CT10" s="1020"/>
      <c r="CU10" s="1020"/>
      <c r="CV10" s="80"/>
      <c r="CW10" s="80"/>
      <c r="CX10" s="80"/>
      <c r="CY10" s="80"/>
      <c r="CZ10" s="80"/>
      <c r="DA10" s="80"/>
    </row>
    <row r="11" spans="1:105" ht="15" customHeight="1" x14ac:dyDescent="0.2">
      <c r="A11" s="5168" t="s">
        <v>2775</v>
      </c>
      <c r="B11" s="5113"/>
      <c r="C11" s="5121"/>
      <c r="D11" s="5122"/>
      <c r="E11" s="5123"/>
      <c r="F11" s="5165" t="s">
        <v>737</v>
      </c>
      <c r="G11" s="5167"/>
      <c r="H11" s="5165" t="s">
        <v>738</v>
      </c>
      <c r="I11" s="5167"/>
      <c r="J11" s="5165" t="s">
        <v>739</v>
      </c>
      <c r="K11" s="5167"/>
      <c r="L11" s="5165" t="s">
        <v>351</v>
      </c>
      <c r="M11" s="5167"/>
      <c r="N11" s="5165" t="s">
        <v>352</v>
      </c>
      <c r="O11" s="5167"/>
      <c r="P11" s="5165" t="s">
        <v>295</v>
      </c>
      <c r="Q11" s="5167"/>
      <c r="R11" s="5165" t="s">
        <v>740</v>
      </c>
      <c r="S11" s="5167"/>
      <c r="T11" s="5165" t="s">
        <v>741</v>
      </c>
      <c r="U11" s="5167"/>
      <c r="V11" s="5165" t="s">
        <v>742</v>
      </c>
      <c r="W11" s="5167"/>
      <c r="X11" s="5165" t="s">
        <v>13</v>
      </c>
      <c r="Y11" s="5167"/>
      <c r="Z11" s="5165" t="s">
        <v>14</v>
      </c>
      <c r="AA11" s="5167"/>
      <c r="AB11" s="5165" t="s">
        <v>743</v>
      </c>
      <c r="AC11" s="5167"/>
      <c r="AD11" s="5165" t="s">
        <v>16</v>
      </c>
      <c r="AE11" s="5167"/>
      <c r="AF11" s="5165" t="s">
        <v>17</v>
      </c>
      <c r="AG11" s="5167"/>
      <c r="AH11" s="5165" t="s">
        <v>18</v>
      </c>
      <c r="AI11" s="5167"/>
      <c r="AJ11" s="5165" t="s">
        <v>19</v>
      </c>
      <c r="AK11" s="5167"/>
      <c r="AL11" s="5165" t="s">
        <v>20</v>
      </c>
      <c r="AM11" s="5167"/>
      <c r="AN11" s="5165" t="s">
        <v>21</v>
      </c>
      <c r="AO11" s="5167"/>
      <c r="AP11" s="5160" t="s">
        <v>22</v>
      </c>
      <c r="AQ11" s="6212"/>
      <c r="AR11" s="6773" t="s">
        <v>744</v>
      </c>
      <c r="AS11" s="6765" t="s">
        <v>745</v>
      </c>
      <c r="AT11" s="6763" t="s">
        <v>746</v>
      </c>
      <c r="AU11" s="5430" t="s">
        <v>727</v>
      </c>
      <c r="AV11" s="5430" t="s">
        <v>1650</v>
      </c>
      <c r="AW11" s="94"/>
      <c r="AX11" s="94"/>
      <c r="AY11" s="94"/>
      <c r="AZ11" s="94"/>
      <c r="BA11" s="94"/>
      <c r="BB11" s="94"/>
      <c r="BC11" s="94"/>
      <c r="BD11" s="94"/>
      <c r="BE11" s="94"/>
      <c r="BF11" s="94"/>
      <c r="BG11" s="94"/>
      <c r="BH11" s="94"/>
      <c r="BI11" s="94"/>
      <c r="CH11" s="1020"/>
      <c r="CI11" s="1020"/>
      <c r="CJ11" s="1020"/>
      <c r="CK11" s="1020"/>
      <c r="CL11" s="1020"/>
      <c r="CM11" s="1020"/>
      <c r="CN11" s="1020"/>
      <c r="CO11" s="1020"/>
      <c r="CP11" s="1020"/>
      <c r="CQ11" s="1020"/>
      <c r="CR11" s="1020"/>
      <c r="CS11" s="1020"/>
      <c r="CT11" s="1020"/>
      <c r="CU11" s="1020"/>
      <c r="CV11" s="80"/>
      <c r="CW11" s="80"/>
      <c r="CX11" s="80"/>
      <c r="CY11" s="80"/>
      <c r="CZ11" s="80"/>
      <c r="DA11" s="80"/>
    </row>
    <row r="12" spans="1:105" ht="21" customHeight="1" x14ac:dyDescent="0.2">
      <c r="A12" s="5168"/>
      <c r="B12" s="5159"/>
      <c r="C12" s="1597" t="s">
        <v>184</v>
      </c>
      <c r="D12" s="1695" t="s">
        <v>24</v>
      </c>
      <c r="E12" s="1792" t="s">
        <v>25</v>
      </c>
      <c r="F12" s="1597" t="s">
        <v>24</v>
      </c>
      <c r="G12" s="1792" t="s">
        <v>25</v>
      </c>
      <c r="H12" s="1597" t="s">
        <v>24</v>
      </c>
      <c r="I12" s="1792" t="s">
        <v>25</v>
      </c>
      <c r="J12" s="1597" t="s">
        <v>24</v>
      </c>
      <c r="K12" s="1792" t="s">
        <v>25</v>
      </c>
      <c r="L12" s="1597" t="s">
        <v>24</v>
      </c>
      <c r="M12" s="1792" t="s">
        <v>25</v>
      </c>
      <c r="N12" s="1597" t="s">
        <v>24</v>
      </c>
      <c r="O12" s="1792" t="s">
        <v>25</v>
      </c>
      <c r="P12" s="1597" t="s">
        <v>24</v>
      </c>
      <c r="Q12" s="1792" t="s">
        <v>25</v>
      </c>
      <c r="R12" s="1597" t="s">
        <v>24</v>
      </c>
      <c r="S12" s="1792" t="s">
        <v>25</v>
      </c>
      <c r="T12" s="1597" t="s">
        <v>24</v>
      </c>
      <c r="U12" s="1792" t="s">
        <v>25</v>
      </c>
      <c r="V12" s="1597" t="s">
        <v>24</v>
      </c>
      <c r="W12" s="1792" t="s">
        <v>25</v>
      </c>
      <c r="X12" s="1597" t="s">
        <v>24</v>
      </c>
      <c r="Y12" s="1792" t="s">
        <v>25</v>
      </c>
      <c r="Z12" s="1597" t="s">
        <v>24</v>
      </c>
      <c r="AA12" s="1792" t="s">
        <v>25</v>
      </c>
      <c r="AB12" s="1597" t="s">
        <v>24</v>
      </c>
      <c r="AC12" s="1792" t="s">
        <v>25</v>
      </c>
      <c r="AD12" s="1597" t="s">
        <v>24</v>
      </c>
      <c r="AE12" s="1792" t="s">
        <v>25</v>
      </c>
      <c r="AF12" s="1597" t="s">
        <v>24</v>
      </c>
      <c r="AG12" s="1792" t="s">
        <v>25</v>
      </c>
      <c r="AH12" s="1597" t="s">
        <v>24</v>
      </c>
      <c r="AI12" s="1792" t="s">
        <v>25</v>
      </c>
      <c r="AJ12" s="1597" t="s">
        <v>24</v>
      </c>
      <c r="AK12" s="1792" t="s">
        <v>25</v>
      </c>
      <c r="AL12" s="1597" t="s">
        <v>24</v>
      </c>
      <c r="AM12" s="1792" t="s">
        <v>25</v>
      </c>
      <c r="AN12" s="1597" t="s">
        <v>24</v>
      </c>
      <c r="AO12" s="1792" t="s">
        <v>25</v>
      </c>
      <c r="AP12" s="1597" t="s">
        <v>24</v>
      </c>
      <c r="AQ12" s="1789" t="s">
        <v>25</v>
      </c>
      <c r="AR12" s="6774"/>
      <c r="AS12" s="6766"/>
      <c r="AT12" s="6764"/>
      <c r="AU12" s="5159"/>
      <c r="AV12" s="5159"/>
      <c r="AW12" s="94"/>
      <c r="AX12" s="94"/>
      <c r="AY12" s="94"/>
      <c r="AZ12" s="94"/>
      <c r="BA12" s="94"/>
      <c r="BB12" s="94"/>
      <c r="BC12" s="94"/>
      <c r="BD12" s="94"/>
      <c r="BE12" s="94"/>
      <c r="BF12" s="94"/>
      <c r="BG12" s="94"/>
      <c r="BH12" s="94"/>
      <c r="BI12" s="94"/>
      <c r="CH12" s="1020"/>
      <c r="CI12" s="1020"/>
      <c r="CJ12" s="1020"/>
      <c r="CK12" s="1020"/>
      <c r="CL12" s="1020"/>
      <c r="CM12" s="1020"/>
      <c r="CN12" s="1020"/>
      <c r="CO12" s="1020"/>
      <c r="CP12" s="1020"/>
      <c r="CQ12" s="1020"/>
      <c r="CR12" s="1020"/>
      <c r="CS12" s="1020"/>
      <c r="CT12" s="1020"/>
      <c r="CU12" s="1020"/>
      <c r="CV12" s="80"/>
      <c r="CW12" s="80"/>
      <c r="CX12" s="80"/>
      <c r="CY12" s="80"/>
      <c r="CZ12" s="80"/>
      <c r="DA12" s="80"/>
    </row>
    <row r="13" spans="1:105" ht="14.45" customHeight="1" x14ac:dyDescent="0.2">
      <c r="A13" s="3009">
        <v>28020500</v>
      </c>
      <c r="B13" s="1858" t="s">
        <v>111</v>
      </c>
      <c r="C13" s="1810" t="s">
        <v>2777</v>
      </c>
      <c r="D13" s="1856" t="s">
        <v>2778</v>
      </c>
      <c r="E13" s="1807" t="s">
        <v>2779</v>
      </c>
      <c r="F13" s="1751" t="s">
        <v>2780</v>
      </c>
      <c r="G13" s="1753" t="s">
        <v>2781</v>
      </c>
      <c r="H13" s="1751" t="s">
        <v>2782</v>
      </c>
      <c r="I13" s="215" t="s">
        <v>2783</v>
      </c>
      <c r="J13" s="1751" t="s">
        <v>2784</v>
      </c>
      <c r="K13" s="215" t="s">
        <v>2785</v>
      </c>
      <c r="L13" s="1751" t="s">
        <v>2786</v>
      </c>
      <c r="M13" s="215" t="s">
        <v>2787</v>
      </c>
      <c r="N13" s="1751" t="s">
        <v>2788</v>
      </c>
      <c r="O13" s="215" t="s">
        <v>2789</v>
      </c>
      <c r="P13" s="1751" t="s">
        <v>2790</v>
      </c>
      <c r="Q13" s="215" t="s">
        <v>2791</v>
      </c>
      <c r="R13" s="1751" t="s">
        <v>2792</v>
      </c>
      <c r="S13" s="215" t="s">
        <v>2793</v>
      </c>
      <c r="T13" s="1751" t="s">
        <v>2794</v>
      </c>
      <c r="U13" s="215" t="s">
        <v>2795</v>
      </c>
      <c r="V13" s="1751" t="s">
        <v>2796</v>
      </c>
      <c r="W13" s="215" t="s">
        <v>2797</v>
      </c>
      <c r="X13" s="1751" t="s">
        <v>2798</v>
      </c>
      <c r="Y13" s="215" t="s">
        <v>2799</v>
      </c>
      <c r="Z13" s="1751" t="s">
        <v>2800</v>
      </c>
      <c r="AA13" s="215" t="s">
        <v>2801</v>
      </c>
      <c r="AB13" s="1751" t="s">
        <v>2817</v>
      </c>
      <c r="AC13" s="215" t="s">
        <v>2818</v>
      </c>
      <c r="AD13" s="1751" t="s">
        <v>2819</v>
      </c>
      <c r="AE13" s="215" t="s">
        <v>2821</v>
      </c>
      <c r="AF13" s="1751" t="s">
        <v>2822</v>
      </c>
      <c r="AG13" s="215" t="s">
        <v>2823</v>
      </c>
      <c r="AH13" s="1751" t="s">
        <v>2824</v>
      </c>
      <c r="AI13" s="215" t="s">
        <v>2825</v>
      </c>
      <c r="AJ13" s="1751" t="s">
        <v>2826</v>
      </c>
      <c r="AK13" s="215" t="s">
        <v>2827</v>
      </c>
      <c r="AL13" s="1751" t="s">
        <v>2831</v>
      </c>
      <c r="AM13" s="215" t="s">
        <v>2832</v>
      </c>
      <c r="AN13" s="1751" t="s">
        <v>2833</v>
      </c>
      <c r="AO13" s="215" t="s">
        <v>2834</v>
      </c>
      <c r="AP13" s="1813" t="s">
        <v>3011</v>
      </c>
      <c r="AQ13" s="611" t="s">
        <v>3012</v>
      </c>
      <c r="AR13" s="1752" t="s">
        <v>3013</v>
      </c>
      <c r="AS13" s="1860" t="s">
        <v>3014</v>
      </c>
      <c r="AT13" s="1753" t="s">
        <v>3015</v>
      </c>
      <c r="AU13" s="215" t="s">
        <v>3206</v>
      </c>
      <c r="AV13" s="215" t="s">
        <v>3207</v>
      </c>
      <c r="AW13" s="1085" t="e">
        <f t="shared" ref="AW13:AW20" si="0">CB13</f>
        <v>#VALUE!</v>
      </c>
      <c r="AX13" s="1085"/>
      <c r="AY13" s="1085"/>
      <c r="AZ13" s="1085"/>
      <c r="BA13" s="1085"/>
      <c r="BB13" s="1085"/>
      <c r="BC13" s="1085"/>
      <c r="BD13" s="1085"/>
      <c r="BE13" s="1085"/>
      <c r="BF13" s="1085"/>
      <c r="BG13" s="1085"/>
      <c r="BH13" s="94"/>
      <c r="BI13" s="94"/>
      <c r="CB13" s="1031" t="e">
        <f t="shared" ref="CB13:CB20" si="1">IF(CH13=1,"* Total Ingresos debe ser igual que Tipo de Estrategia Más Otros. ","")</f>
        <v>#VALUE!</v>
      </c>
      <c r="CC13" s="1031"/>
      <c r="CD13" s="1031"/>
      <c r="CE13" s="1031"/>
      <c r="CF13" s="1031"/>
      <c r="CG13" s="1031"/>
      <c r="CH13" s="1163" t="e">
        <f t="shared" ref="CH13:CH20" si="2">IF(C13&lt;&gt;(AR13+AS13+AT13+AU13+AV13),1,0)</f>
        <v>#VALUE!</v>
      </c>
      <c r="CI13" s="1020"/>
      <c r="CJ13" s="1020"/>
      <c r="CK13" s="1020"/>
      <c r="CL13" s="1020"/>
      <c r="CM13" s="1020"/>
      <c r="CN13" s="1020"/>
      <c r="CO13" s="1020"/>
      <c r="CP13" s="1020"/>
      <c r="CQ13" s="1020"/>
      <c r="CR13" s="1020"/>
      <c r="CS13" s="1020"/>
      <c r="CT13" s="1020"/>
      <c r="CU13" s="1020"/>
      <c r="CV13" s="80"/>
      <c r="CW13" s="80"/>
      <c r="CX13" s="80"/>
      <c r="CY13" s="80"/>
      <c r="CZ13" s="80"/>
      <c r="DA13" s="80"/>
    </row>
    <row r="14" spans="1:105" ht="18" customHeight="1" x14ac:dyDescent="0.2">
      <c r="A14" s="3009">
        <v>28020550</v>
      </c>
      <c r="B14" s="238" t="s">
        <v>747</v>
      </c>
      <c r="C14" s="697" t="s">
        <v>2777</v>
      </c>
      <c r="D14" s="698" t="s">
        <v>2778</v>
      </c>
      <c r="E14" s="239" t="s">
        <v>2779</v>
      </c>
      <c r="F14" s="170" t="s">
        <v>2780</v>
      </c>
      <c r="G14" s="197" t="s">
        <v>2781</v>
      </c>
      <c r="H14" s="170" t="s">
        <v>2782</v>
      </c>
      <c r="I14" s="171" t="s">
        <v>2783</v>
      </c>
      <c r="J14" s="170" t="s">
        <v>2784</v>
      </c>
      <c r="K14" s="171" t="s">
        <v>2785</v>
      </c>
      <c r="L14" s="170" t="s">
        <v>2786</v>
      </c>
      <c r="M14" s="171" t="s">
        <v>2787</v>
      </c>
      <c r="N14" s="170" t="s">
        <v>2788</v>
      </c>
      <c r="O14" s="171" t="s">
        <v>2789</v>
      </c>
      <c r="P14" s="170" t="s">
        <v>2790</v>
      </c>
      <c r="Q14" s="171" t="s">
        <v>2791</v>
      </c>
      <c r="R14" s="170" t="s">
        <v>2792</v>
      </c>
      <c r="S14" s="171" t="s">
        <v>2793</v>
      </c>
      <c r="T14" s="170" t="s">
        <v>2794</v>
      </c>
      <c r="U14" s="171" t="s">
        <v>2795</v>
      </c>
      <c r="V14" s="170" t="s">
        <v>2796</v>
      </c>
      <c r="W14" s="171" t="s">
        <v>2797</v>
      </c>
      <c r="X14" s="170" t="s">
        <v>2798</v>
      </c>
      <c r="Y14" s="171" t="s">
        <v>2799</v>
      </c>
      <c r="Z14" s="170" t="s">
        <v>2800</v>
      </c>
      <c r="AA14" s="171" t="s">
        <v>2801</v>
      </c>
      <c r="AB14" s="170" t="s">
        <v>2817</v>
      </c>
      <c r="AC14" s="171" t="s">
        <v>2818</v>
      </c>
      <c r="AD14" s="170" t="s">
        <v>2819</v>
      </c>
      <c r="AE14" s="171" t="s">
        <v>2821</v>
      </c>
      <c r="AF14" s="170" t="s">
        <v>2822</v>
      </c>
      <c r="AG14" s="171" t="s">
        <v>2823</v>
      </c>
      <c r="AH14" s="170" t="s">
        <v>2824</v>
      </c>
      <c r="AI14" s="171" t="s">
        <v>2825</v>
      </c>
      <c r="AJ14" s="170" t="s">
        <v>2826</v>
      </c>
      <c r="AK14" s="171" t="s">
        <v>2827</v>
      </c>
      <c r="AL14" s="170" t="s">
        <v>2831</v>
      </c>
      <c r="AM14" s="171" t="s">
        <v>2832</v>
      </c>
      <c r="AN14" s="170" t="s">
        <v>2833</v>
      </c>
      <c r="AO14" s="171" t="s">
        <v>2834</v>
      </c>
      <c r="AP14" s="223" t="s">
        <v>3011</v>
      </c>
      <c r="AQ14" s="317" t="s">
        <v>3012</v>
      </c>
      <c r="AR14" s="124" t="s">
        <v>3013</v>
      </c>
      <c r="AS14" s="97" t="s">
        <v>3014</v>
      </c>
      <c r="AT14" s="197" t="s">
        <v>3015</v>
      </c>
      <c r="AU14" s="171" t="s">
        <v>3206</v>
      </c>
      <c r="AV14" s="171" t="s">
        <v>3207</v>
      </c>
      <c r="AW14" s="1085" t="e">
        <f t="shared" si="0"/>
        <v>#VALUE!</v>
      </c>
      <c r="AX14" s="1085"/>
      <c r="AY14" s="1085"/>
      <c r="AZ14" s="1085"/>
      <c r="BA14" s="1085"/>
      <c r="BB14" s="1085"/>
      <c r="BC14" s="1085"/>
      <c r="BD14" s="1085"/>
      <c r="BE14" s="1085"/>
      <c r="BF14" s="1085"/>
      <c r="BG14" s="1085"/>
      <c r="BH14" s="94"/>
      <c r="BI14" s="94"/>
      <c r="CB14" s="1031" t="e">
        <f t="shared" si="1"/>
        <v>#VALUE!</v>
      </c>
      <c r="CC14" s="1031"/>
      <c r="CD14" s="1031"/>
      <c r="CE14" s="1031"/>
      <c r="CF14" s="1031"/>
      <c r="CG14" s="1031"/>
      <c r="CH14" s="1163" t="e">
        <f t="shared" si="2"/>
        <v>#VALUE!</v>
      </c>
      <c r="CI14" s="1020"/>
      <c r="CJ14" s="1020"/>
      <c r="CK14" s="1020"/>
      <c r="CL14" s="1020"/>
      <c r="CM14" s="1020"/>
      <c r="CN14" s="1020"/>
      <c r="CO14" s="1020"/>
      <c r="CP14" s="1020"/>
      <c r="CQ14" s="1020"/>
      <c r="CR14" s="1020"/>
      <c r="CS14" s="1020"/>
      <c r="CT14" s="1020"/>
      <c r="CU14" s="1020"/>
      <c r="CV14" s="80"/>
      <c r="CW14" s="80"/>
      <c r="CX14" s="80"/>
      <c r="CY14" s="80"/>
      <c r="CZ14" s="80"/>
      <c r="DA14" s="80"/>
    </row>
    <row r="15" spans="1:105" ht="24.75" customHeight="1" x14ac:dyDescent="0.2">
      <c r="A15" s="3009">
        <v>28020560</v>
      </c>
      <c r="B15" s="1249" t="s">
        <v>748</v>
      </c>
      <c r="C15" s="1797" t="s">
        <v>2777</v>
      </c>
      <c r="D15" s="729" t="s">
        <v>2778</v>
      </c>
      <c r="E15" s="200" t="s">
        <v>2779</v>
      </c>
      <c r="F15" s="173" t="s">
        <v>2780</v>
      </c>
      <c r="G15" s="174" t="s">
        <v>2781</v>
      </c>
      <c r="H15" s="173" t="s">
        <v>2782</v>
      </c>
      <c r="I15" s="162" t="s">
        <v>2783</v>
      </c>
      <c r="J15" s="173" t="s">
        <v>2784</v>
      </c>
      <c r="K15" s="162" t="s">
        <v>2785</v>
      </c>
      <c r="L15" s="173" t="s">
        <v>2786</v>
      </c>
      <c r="M15" s="162" t="s">
        <v>2787</v>
      </c>
      <c r="N15" s="173" t="s">
        <v>2788</v>
      </c>
      <c r="O15" s="162" t="s">
        <v>2789</v>
      </c>
      <c r="P15" s="173" t="s">
        <v>2790</v>
      </c>
      <c r="Q15" s="162" t="s">
        <v>2791</v>
      </c>
      <c r="R15" s="141" t="s">
        <v>2792</v>
      </c>
      <c r="S15" s="163" t="s">
        <v>2793</v>
      </c>
      <c r="T15" s="141" t="s">
        <v>2794</v>
      </c>
      <c r="U15" s="163" t="s">
        <v>2795</v>
      </c>
      <c r="V15" s="141" t="s">
        <v>2796</v>
      </c>
      <c r="W15" s="163" t="s">
        <v>2797</v>
      </c>
      <c r="X15" s="141" t="s">
        <v>2798</v>
      </c>
      <c r="Y15" s="163" t="s">
        <v>2799</v>
      </c>
      <c r="Z15" s="141" t="s">
        <v>2800</v>
      </c>
      <c r="AA15" s="163" t="s">
        <v>2801</v>
      </c>
      <c r="AB15" s="141" t="s">
        <v>2817</v>
      </c>
      <c r="AC15" s="163" t="s">
        <v>2818</v>
      </c>
      <c r="AD15" s="141" t="s">
        <v>2819</v>
      </c>
      <c r="AE15" s="163" t="s">
        <v>2821</v>
      </c>
      <c r="AF15" s="141" t="s">
        <v>2822</v>
      </c>
      <c r="AG15" s="163" t="s">
        <v>2823</v>
      </c>
      <c r="AH15" s="141" t="s">
        <v>2824</v>
      </c>
      <c r="AI15" s="163" t="s">
        <v>2825</v>
      </c>
      <c r="AJ15" s="141" t="s">
        <v>2826</v>
      </c>
      <c r="AK15" s="163" t="s">
        <v>2827</v>
      </c>
      <c r="AL15" s="141" t="s">
        <v>2831</v>
      </c>
      <c r="AM15" s="163" t="s">
        <v>2832</v>
      </c>
      <c r="AN15" s="141" t="s">
        <v>2833</v>
      </c>
      <c r="AO15" s="163" t="s">
        <v>2834</v>
      </c>
      <c r="AP15" s="224" t="s">
        <v>3011</v>
      </c>
      <c r="AQ15" s="318" t="s">
        <v>3012</v>
      </c>
      <c r="AR15" s="180" t="s">
        <v>3013</v>
      </c>
      <c r="AS15" s="142" t="s">
        <v>3014</v>
      </c>
      <c r="AT15" s="198" t="s">
        <v>3015</v>
      </c>
      <c r="AU15" s="163" t="s">
        <v>3206</v>
      </c>
      <c r="AV15" s="163" t="s">
        <v>3207</v>
      </c>
      <c r="AW15" s="1085" t="e">
        <f t="shared" si="0"/>
        <v>#VALUE!</v>
      </c>
      <c r="AX15" s="1085"/>
      <c r="AY15" s="1085"/>
      <c r="AZ15" s="1085"/>
      <c r="BA15" s="1085"/>
      <c r="BB15" s="1085"/>
      <c r="BC15" s="1085"/>
      <c r="BD15" s="1085"/>
      <c r="BE15" s="1085"/>
      <c r="BF15" s="1085"/>
      <c r="BG15" s="1085"/>
      <c r="BH15" s="94"/>
      <c r="BI15" s="94"/>
      <c r="CB15" s="1031" t="e">
        <f t="shared" si="1"/>
        <v>#VALUE!</v>
      </c>
      <c r="CC15" s="1031"/>
      <c r="CD15" s="1031"/>
      <c r="CE15" s="1031"/>
      <c r="CF15" s="1031"/>
      <c r="CG15" s="1031"/>
      <c r="CH15" s="1163" t="e">
        <f t="shared" si="2"/>
        <v>#VALUE!</v>
      </c>
      <c r="CI15" s="1020"/>
      <c r="CJ15" s="1020"/>
      <c r="CK15" s="1020"/>
      <c r="CL15" s="1020"/>
      <c r="CM15" s="1020"/>
      <c r="CN15" s="1020"/>
      <c r="CO15" s="1020"/>
      <c r="CP15" s="1020"/>
      <c r="CQ15" s="1020"/>
      <c r="CR15" s="1020"/>
      <c r="CS15" s="1020"/>
      <c r="CT15" s="1020"/>
      <c r="CU15" s="1020"/>
      <c r="CV15" s="80"/>
      <c r="CW15" s="80"/>
      <c r="CX15" s="80"/>
      <c r="CY15" s="80"/>
      <c r="CZ15" s="80"/>
      <c r="DA15" s="80"/>
    </row>
    <row r="16" spans="1:105" ht="18" customHeight="1" x14ac:dyDescent="0.2">
      <c r="A16" s="3009">
        <v>28021621</v>
      </c>
      <c r="B16" s="606" t="s">
        <v>749</v>
      </c>
      <c r="C16" s="730" t="s">
        <v>2777</v>
      </c>
      <c r="D16" s="731" t="s">
        <v>2778</v>
      </c>
      <c r="E16" s="264" t="s">
        <v>2779</v>
      </c>
      <c r="F16" s="141" t="s">
        <v>2780</v>
      </c>
      <c r="G16" s="198" t="s">
        <v>2781</v>
      </c>
      <c r="H16" s="141" t="s">
        <v>2782</v>
      </c>
      <c r="I16" s="163" t="s">
        <v>2783</v>
      </c>
      <c r="J16" s="141" t="s">
        <v>2784</v>
      </c>
      <c r="K16" s="163" t="s">
        <v>2785</v>
      </c>
      <c r="L16" s="141" t="s">
        <v>2786</v>
      </c>
      <c r="M16" s="163" t="s">
        <v>2787</v>
      </c>
      <c r="N16" s="141" t="s">
        <v>2788</v>
      </c>
      <c r="O16" s="163" t="s">
        <v>2789</v>
      </c>
      <c r="P16" s="141" t="s">
        <v>2790</v>
      </c>
      <c r="Q16" s="163" t="s">
        <v>2791</v>
      </c>
      <c r="R16" s="141" t="s">
        <v>2792</v>
      </c>
      <c r="S16" s="163" t="s">
        <v>2793</v>
      </c>
      <c r="T16" s="141" t="s">
        <v>2794</v>
      </c>
      <c r="U16" s="163" t="s">
        <v>2795</v>
      </c>
      <c r="V16" s="141" t="s">
        <v>2796</v>
      </c>
      <c r="W16" s="163" t="s">
        <v>2797</v>
      </c>
      <c r="X16" s="141" t="s">
        <v>2798</v>
      </c>
      <c r="Y16" s="163" t="s">
        <v>2799</v>
      </c>
      <c r="Z16" s="141" t="s">
        <v>2800</v>
      </c>
      <c r="AA16" s="163" t="s">
        <v>2801</v>
      </c>
      <c r="AB16" s="141" t="s">
        <v>2817</v>
      </c>
      <c r="AC16" s="163" t="s">
        <v>2818</v>
      </c>
      <c r="AD16" s="141" t="s">
        <v>2819</v>
      </c>
      <c r="AE16" s="163" t="s">
        <v>2821</v>
      </c>
      <c r="AF16" s="141" t="s">
        <v>2822</v>
      </c>
      <c r="AG16" s="163" t="s">
        <v>2823</v>
      </c>
      <c r="AH16" s="141" t="s">
        <v>2824</v>
      </c>
      <c r="AI16" s="163" t="s">
        <v>2825</v>
      </c>
      <c r="AJ16" s="141" t="s">
        <v>2826</v>
      </c>
      <c r="AK16" s="163" t="s">
        <v>2827</v>
      </c>
      <c r="AL16" s="141" t="s">
        <v>2831</v>
      </c>
      <c r="AM16" s="163" t="s">
        <v>2832</v>
      </c>
      <c r="AN16" s="141" t="s">
        <v>2833</v>
      </c>
      <c r="AO16" s="163" t="s">
        <v>2834</v>
      </c>
      <c r="AP16" s="224" t="s">
        <v>3011</v>
      </c>
      <c r="AQ16" s="318" t="s">
        <v>3012</v>
      </c>
      <c r="AR16" s="180" t="s">
        <v>3013</v>
      </c>
      <c r="AS16" s="142" t="s">
        <v>3014</v>
      </c>
      <c r="AT16" s="198" t="s">
        <v>3015</v>
      </c>
      <c r="AU16" s="163" t="s">
        <v>3206</v>
      </c>
      <c r="AV16" s="163" t="s">
        <v>3207</v>
      </c>
      <c r="AW16" s="1085" t="e">
        <f t="shared" si="0"/>
        <v>#VALUE!</v>
      </c>
      <c r="AX16" s="1085"/>
      <c r="AY16" s="1085"/>
      <c r="AZ16" s="1085"/>
      <c r="BA16" s="1085"/>
      <c r="BB16" s="1085"/>
      <c r="BC16" s="1085"/>
      <c r="BD16" s="1085"/>
      <c r="BE16" s="1085"/>
      <c r="BF16" s="1085"/>
      <c r="BG16" s="1085"/>
      <c r="BH16" s="94"/>
      <c r="BI16" s="94"/>
      <c r="CB16" s="1031" t="e">
        <f t="shared" si="1"/>
        <v>#VALUE!</v>
      </c>
      <c r="CC16" s="1031"/>
      <c r="CD16" s="1031"/>
      <c r="CE16" s="1031"/>
      <c r="CF16" s="1031"/>
      <c r="CG16" s="1031"/>
      <c r="CH16" s="1163" t="e">
        <f t="shared" si="2"/>
        <v>#VALUE!</v>
      </c>
      <c r="CI16" s="1020"/>
      <c r="CJ16" s="1020"/>
      <c r="CK16" s="1020"/>
      <c r="CL16" s="1020"/>
      <c r="CM16" s="1020"/>
      <c r="CN16" s="1020"/>
      <c r="CO16" s="1020"/>
      <c r="CP16" s="1020"/>
      <c r="CQ16" s="1020"/>
      <c r="CR16" s="1020"/>
      <c r="CS16" s="1020"/>
      <c r="CT16" s="1020"/>
      <c r="CU16" s="1020"/>
      <c r="CV16" s="80"/>
      <c r="CW16" s="80"/>
      <c r="CX16" s="80"/>
      <c r="CY16" s="80"/>
      <c r="CZ16" s="80"/>
      <c r="DA16" s="80"/>
    </row>
    <row r="17" spans="1:105" ht="18" customHeight="1" x14ac:dyDescent="0.2">
      <c r="A17" s="3009">
        <v>28021622</v>
      </c>
      <c r="B17" s="606" t="s">
        <v>750</v>
      </c>
      <c r="C17" s="732" t="s">
        <v>2777</v>
      </c>
      <c r="D17" s="731" t="s">
        <v>2778</v>
      </c>
      <c r="E17" s="264" t="s">
        <v>2779</v>
      </c>
      <c r="F17" s="182" t="s">
        <v>2780</v>
      </c>
      <c r="G17" s="240" t="s">
        <v>2781</v>
      </c>
      <c r="H17" s="182" t="s">
        <v>2782</v>
      </c>
      <c r="I17" s="183" t="s">
        <v>2783</v>
      </c>
      <c r="J17" s="182" t="s">
        <v>2784</v>
      </c>
      <c r="K17" s="183" t="s">
        <v>2785</v>
      </c>
      <c r="L17" s="182" t="s">
        <v>2786</v>
      </c>
      <c r="M17" s="183" t="s">
        <v>2787</v>
      </c>
      <c r="N17" s="182" t="s">
        <v>2788</v>
      </c>
      <c r="O17" s="183" t="s">
        <v>2789</v>
      </c>
      <c r="P17" s="182" t="s">
        <v>2790</v>
      </c>
      <c r="Q17" s="183" t="s">
        <v>2791</v>
      </c>
      <c r="R17" s="182" t="s">
        <v>2792</v>
      </c>
      <c r="S17" s="183" t="s">
        <v>2793</v>
      </c>
      <c r="T17" s="182" t="s">
        <v>2794</v>
      </c>
      <c r="U17" s="183" t="s">
        <v>2795</v>
      </c>
      <c r="V17" s="182" t="s">
        <v>2796</v>
      </c>
      <c r="W17" s="183" t="s">
        <v>2797</v>
      </c>
      <c r="X17" s="182" t="s">
        <v>2798</v>
      </c>
      <c r="Y17" s="183" t="s">
        <v>2799</v>
      </c>
      <c r="Z17" s="182" t="s">
        <v>2800</v>
      </c>
      <c r="AA17" s="183" t="s">
        <v>2801</v>
      </c>
      <c r="AB17" s="182" t="s">
        <v>2817</v>
      </c>
      <c r="AC17" s="183" t="s">
        <v>2818</v>
      </c>
      <c r="AD17" s="182" t="s">
        <v>2819</v>
      </c>
      <c r="AE17" s="183" t="s">
        <v>2821</v>
      </c>
      <c r="AF17" s="182" t="s">
        <v>2822</v>
      </c>
      <c r="AG17" s="183" t="s">
        <v>2823</v>
      </c>
      <c r="AH17" s="182" t="s">
        <v>2824</v>
      </c>
      <c r="AI17" s="183" t="s">
        <v>2825</v>
      </c>
      <c r="AJ17" s="182" t="s">
        <v>2826</v>
      </c>
      <c r="AK17" s="183" t="s">
        <v>2827</v>
      </c>
      <c r="AL17" s="182" t="s">
        <v>2831</v>
      </c>
      <c r="AM17" s="183" t="s">
        <v>2832</v>
      </c>
      <c r="AN17" s="182" t="s">
        <v>2833</v>
      </c>
      <c r="AO17" s="183" t="s">
        <v>2834</v>
      </c>
      <c r="AP17" s="229" t="s">
        <v>3011</v>
      </c>
      <c r="AQ17" s="593" t="s">
        <v>3012</v>
      </c>
      <c r="AR17" s="144" t="s">
        <v>3013</v>
      </c>
      <c r="AS17" s="146" t="s">
        <v>3014</v>
      </c>
      <c r="AT17" s="198" t="s">
        <v>3015</v>
      </c>
      <c r="AU17" s="183" t="s">
        <v>3206</v>
      </c>
      <c r="AV17" s="183" t="s">
        <v>3207</v>
      </c>
      <c r="AW17" s="1085" t="e">
        <f t="shared" si="0"/>
        <v>#VALUE!</v>
      </c>
      <c r="AX17" s="1085"/>
      <c r="AY17" s="1085"/>
      <c r="AZ17" s="1085"/>
      <c r="BA17" s="1085"/>
      <c r="BB17" s="1085"/>
      <c r="BC17" s="1085"/>
      <c r="BD17" s="1085"/>
      <c r="BE17" s="1085"/>
      <c r="BF17" s="1085"/>
      <c r="BG17" s="1085"/>
      <c r="BH17" s="94"/>
      <c r="BI17" s="94"/>
      <c r="CB17" s="1031" t="e">
        <f t="shared" si="1"/>
        <v>#VALUE!</v>
      </c>
      <c r="CC17" s="1031"/>
      <c r="CD17" s="1031"/>
      <c r="CE17" s="1031"/>
      <c r="CF17" s="1031"/>
      <c r="CG17" s="1031"/>
      <c r="CH17" s="1163" t="e">
        <f t="shared" si="2"/>
        <v>#VALUE!</v>
      </c>
      <c r="CI17" s="1020"/>
      <c r="CJ17" s="1020"/>
      <c r="CK17" s="1020"/>
      <c r="CL17" s="1020"/>
      <c r="CM17" s="1020"/>
      <c r="CN17" s="1020"/>
      <c r="CO17" s="1020"/>
      <c r="CP17" s="1020"/>
      <c r="CQ17" s="1020"/>
      <c r="CR17" s="1020"/>
      <c r="CS17" s="1020"/>
      <c r="CT17" s="1020"/>
      <c r="CU17" s="1020"/>
      <c r="CW17" s="80"/>
      <c r="CX17" s="80"/>
      <c r="CY17" s="80"/>
      <c r="CZ17" s="80"/>
      <c r="DA17" s="80"/>
    </row>
    <row r="18" spans="1:105" ht="18" customHeight="1" x14ac:dyDescent="0.2">
      <c r="A18" s="3009">
        <v>28022100</v>
      </c>
      <c r="B18" s="1186" t="s">
        <v>1522</v>
      </c>
      <c r="C18" s="733" t="s">
        <v>2777</v>
      </c>
      <c r="D18" s="731" t="s">
        <v>2778</v>
      </c>
      <c r="E18" s="200" t="s">
        <v>2779</v>
      </c>
      <c r="F18" s="141" t="s">
        <v>2780</v>
      </c>
      <c r="G18" s="198" t="s">
        <v>2781</v>
      </c>
      <c r="H18" s="141" t="s">
        <v>2782</v>
      </c>
      <c r="I18" s="163" t="s">
        <v>2783</v>
      </c>
      <c r="J18" s="141" t="s">
        <v>2784</v>
      </c>
      <c r="K18" s="163" t="s">
        <v>2785</v>
      </c>
      <c r="L18" s="141" t="s">
        <v>2786</v>
      </c>
      <c r="M18" s="163" t="s">
        <v>2787</v>
      </c>
      <c r="N18" s="141" t="s">
        <v>2788</v>
      </c>
      <c r="O18" s="163" t="s">
        <v>2789</v>
      </c>
      <c r="P18" s="141" t="s">
        <v>2790</v>
      </c>
      <c r="Q18" s="163" t="s">
        <v>2791</v>
      </c>
      <c r="R18" s="141" t="s">
        <v>2792</v>
      </c>
      <c r="S18" s="163" t="s">
        <v>2793</v>
      </c>
      <c r="T18" s="141" t="s">
        <v>2794</v>
      </c>
      <c r="U18" s="163" t="s">
        <v>2795</v>
      </c>
      <c r="V18" s="141" t="s">
        <v>2796</v>
      </c>
      <c r="W18" s="163" t="s">
        <v>2797</v>
      </c>
      <c r="X18" s="141" t="s">
        <v>2798</v>
      </c>
      <c r="Y18" s="163" t="s">
        <v>2799</v>
      </c>
      <c r="Z18" s="141" t="s">
        <v>2800</v>
      </c>
      <c r="AA18" s="163" t="s">
        <v>2801</v>
      </c>
      <c r="AB18" s="141" t="s">
        <v>2817</v>
      </c>
      <c r="AC18" s="163" t="s">
        <v>2818</v>
      </c>
      <c r="AD18" s="141" t="s">
        <v>2819</v>
      </c>
      <c r="AE18" s="163" t="s">
        <v>2821</v>
      </c>
      <c r="AF18" s="141" t="s">
        <v>2822</v>
      </c>
      <c r="AG18" s="163" t="s">
        <v>2823</v>
      </c>
      <c r="AH18" s="141" t="s">
        <v>2824</v>
      </c>
      <c r="AI18" s="163" t="s">
        <v>2825</v>
      </c>
      <c r="AJ18" s="141" t="s">
        <v>2826</v>
      </c>
      <c r="AK18" s="163" t="s">
        <v>2827</v>
      </c>
      <c r="AL18" s="141" t="s">
        <v>2831</v>
      </c>
      <c r="AM18" s="163" t="s">
        <v>2832</v>
      </c>
      <c r="AN18" s="141" t="s">
        <v>2833</v>
      </c>
      <c r="AO18" s="163" t="s">
        <v>2834</v>
      </c>
      <c r="AP18" s="224" t="s">
        <v>3011</v>
      </c>
      <c r="AQ18" s="318" t="s">
        <v>3012</v>
      </c>
      <c r="AR18" s="180" t="s">
        <v>3013</v>
      </c>
      <c r="AS18" s="146" t="s">
        <v>3014</v>
      </c>
      <c r="AT18" s="467" t="s">
        <v>3015</v>
      </c>
      <c r="AU18" s="119" t="s">
        <v>3206</v>
      </c>
      <c r="AV18" s="119" t="s">
        <v>3207</v>
      </c>
      <c r="AW18" s="1085" t="e">
        <f t="shared" si="0"/>
        <v>#VALUE!</v>
      </c>
      <c r="AX18" s="1085"/>
      <c r="AY18" s="1085"/>
      <c r="AZ18" s="1085"/>
      <c r="BA18" s="1085"/>
      <c r="BB18" s="1085"/>
      <c r="BC18" s="1085"/>
      <c r="BD18" s="1085"/>
      <c r="BE18" s="1085"/>
      <c r="BF18" s="1085"/>
      <c r="BG18" s="1085"/>
      <c r="BH18" s="94"/>
      <c r="BI18" s="94"/>
      <c r="CB18" s="1031" t="e">
        <f t="shared" si="1"/>
        <v>#VALUE!</v>
      </c>
      <c r="CC18" s="1031"/>
      <c r="CD18" s="1031"/>
      <c r="CE18" s="1031"/>
      <c r="CF18" s="1031"/>
      <c r="CG18" s="1031"/>
      <c r="CH18" s="1163" t="e">
        <f t="shared" si="2"/>
        <v>#VALUE!</v>
      </c>
      <c r="CI18" s="1020"/>
      <c r="CJ18" s="1020"/>
      <c r="CK18" s="1020"/>
      <c r="CL18" s="1020"/>
      <c r="CM18" s="1020"/>
      <c r="CN18" s="1020"/>
      <c r="CO18" s="1020"/>
      <c r="CP18" s="1020"/>
      <c r="CQ18" s="1020"/>
      <c r="CR18" s="1020"/>
      <c r="CS18" s="1020"/>
      <c r="CT18" s="1020"/>
      <c r="CU18" s="1020"/>
      <c r="CW18" s="80"/>
      <c r="CX18" s="80"/>
      <c r="CY18" s="80"/>
      <c r="CZ18" s="80"/>
      <c r="DA18" s="80"/>
    </row>
    <row r="19" spans="1:105" ht="18" customHeight="1" x14ac:dyDescent="0.2">
      <c r="A19" s="3009">
        <v>28021631</v>
      </c>
      <c r="B19" s="1249" t="s">
        <v>751</v>
      </c>
      <c r="C19" s="733" t="s">
        <v>2777</v>
      </c>
      <c r="D19" s="734" t="s">
        <v>2778</v>
      </c>
      <c r="E19" s="281" t="s">
        <v>2779</v>
      </c>
      <c r="F19" s="273" t="s">
        <v>2780</v>
      </c>
      <c r="G19" s="163" t="s">
        <v>2781</v>
      </c>
      <c r="H19" s="141" t="s">
        <v>2782</v>
      </c>
      <c r="I19" s="163" t="s">
        <v>2783</v>
      </c>
      <c r="J19" s="141" t="s">
        <v>2784</v>
      </c>
      <c r="K19" s="163" t="s">
        <v>2785</v>
      </c>
      <c r="L19" s="141" t="s">
        <v>2786</v>
      </c>
      <c r="M19" s="163" t="s">
        <v>2787</v>
      </c>
      <c r="N19" s="141" t="s">
        <v>2788</v>
      </c>
      <c r="O19" s="163" t="s">
        <v>2789</v>
      </c>
      <c r="P19" s="141" t="s">
        <v>2790</v>
      </c>
      <c r="Q19" s="163" t="s">
        <v>2791</v>
      </c>
      <c r="R19" s="141" t="s">
        <v>2792</v>
      </c>
      <c r="S19" s="163" t="s">
        <v>2793</v>
      </c>
      <c r="T19" s="141" t="s">
        <v>2794</v>
      </c>
      <c r="U19" s="163" t="s">
        <v>2795</v>
      </c>
      <c r="V19" s="141" t="s">
        <v>2796</v>
      </c>
      <c r="W19" s="163" t="s">
        <v>2797</v>
      </c>
      <c r="X19" s="141" t="s">
        <v>2798</v>
      </c>
      <c r="Y19" s="163" t="s">
        <v>2799</v>
      </c>
      <c r="Z19" s="141" t="s">
        <v>2800</v>
      </c>
      <c r="AA19" s="163" t="s">
        <v>2801</v>
      </c>
      <c r="AB19" s="141" t="s">
        <v>2817</v>
      </c>
      <c r="AC19" s="163" t="s">
        <v>2818</v>
      </c>
      <c r="AD19" s="141" t="s">
        <v>2819</v>
      </c>
      <c r="AE19" s="163" t="s">
        <v>2821</v>
      </c>
      <c r="AF19" s="141" t="s">
        <v>2822</v>
      </c>
      <c r="AG19" s="163" t="s">
        <v>2823</v>
      </c>
      <c r="AH19" s="141" t="s">
        <v>2824</v>
      </c>
      <c r="AI19" s="163" t="s">
        <v>2825</v>
      </c>
      <c r="AJ19" s="141" t="s">
        <v>2826</v>
      </c>
      <c r="AK19" s="163" t="s">
        <v>2827</v>
      </c>
      <c r="AL19" s="141" t="s">
        <v>2831</v>
      </c>
      <c r="AM19" s="163" t="s">
        <v>2832</v>
      </c>
      <c r="AN19" s="141" t="s">
        <v>2833</v>
      </c>
      <c r="AO19" s="163" t="s">
        <v>2834</v>
      </c>
      <c r="AP19" s="224" t="s">
        <v>3011</v>
      </c>
      <c r="AQ19" s="318" t="s">
        <v>3012</v>
      </c>
      <c r="AR19" s="180" t="s">
        <v>3013</v>
      </c>
      <c r="AS19" s="142" t="s">
        <v>3014</v>
      </c>
      <c r="AT19" s="198" t="s">
        <v>3015</v>
      </c>
      <c r="AU19" s="119" t="s">
        <v>3206</v>
      </c>
      <c r="AV19" s="119" t="s">
        <v>3207</v>
      </c>
      <c r="AW19" s="1085" t="e">
        <f t="shared" si="0"/>
        <v>#VALUE!</v>
      </c>
      <c r="AX19" s="1085"/>
      <c r="AY19" s="1085"/>
      <c r="AZ19" s="1085"/>
      <c r="BA19" s="1085"/>
      <c r="BB19" s="1085"/>
      <c r="BC19" s="1085"/>
      <c r="BD19" s="1085"/>
      <c r="BE19" s="1085"/>
      <c r="BF19" s="1085"/>
      <c r="BG19" s="1085"/>
      <c r="BH19" s="94"/>
      <c r="BI19" s="94"/>
      <c r="CB19" s="1031" t="e">
        <f t="shared" si="1"/>
        <v>#VALUE!</v>
      </c>
      <c r="CC19" s="1031"/>
      <c r="CD19" s="1031"/>
      <c r="CE19" s="1031"/>
      <c r="CF19" s="1031"/>
      <c r="CG19" s="1031"/>
      <c r="CH19" s="1163" t="e">
        <f t="shared" si="2"/>
        <v>#VALUE!</v>
      </c>
      <c r="CI19" s="1020"/>
      <c r="CJ19" s="1020"/>
      <c r="CK19" s="1020"/>
      <c r="CL19" s="1020"/>
      <c r="CM19" s="1020"/>
      <c r="CN19" s="1020"/>
      <c r="CO19" s="1020"/>
      <c r="CP19" s="1020"/>
      <c r="CQ19" s="1020"/>
      <c r="CR19" s="1020"/>
      <c r="CS19" s="1020"/>
      <c r="CT19" s="1020"/>
      <c r="CU19" s="1020"/>
      <c r="CW19" s="80"/>
      <c r="CX19" s="80"/>
      <c r="CY19" s="80"/>
      <c r="CZ19" s="80"/>
      <c r="DA19" s="80"/>
    </row>
    <row r="20" spans="1:105" ht="18" customHeight="1" x14ac:dyDescent="0.2">
      <c r="A20" s="3009">
        <v>28021632</v>
      </c>
      <c r="B20" s="1249" t="s">
        <v>735</v>
      </c>
      <c r="C20" s="735" t="s">
        <v>2777</v>
      </c>
      <c r="D20" s="1859" t="s">
        <v>2778</v>
      </c>
      <c r="E20" s="202" t="s">
        <v>2779</v>
      </c>
      <c r="F20" s="101" t="s">
        <v>2780</v>
      </c>
      <c r="G20" s="1383" t="s">
        <v>2781</v>
      </c>
      <c r="H20" s="1135" t="s">
        <v>2782</v>
      </c>
      <c r="I20" s="1136" t="s">
        <v>2783</v>
      </c>
      <c r="J20" s="1135" t="s">
        <v>2784</v>
      </c>
      <c r="K20" s="1136" t="s">
        <v>2785</v>
      </c>
      <c r="L20" s="1135" t="s">
        <v>2786</v>
      </c>
      <c r="M20" s="1136" t="s">
        <v>2787</v>
      </c>
      <c r="N20" s="1135" t="s">
        <v>2788</v>
      </c>
      <c r="O20" s="1136" t="s">
        <v>2789</v>
      </c>
      <c r="P20" s="1117" t="s">
        <v>2790</v>
      </c>
      <c r="Q20" s="1137" t="s">
        <v>2791</v>
      </c>
      <c r="R20" s="1117" t="s">
        <v>2792</v>
      </c>
      <c r="S20" s="1137" t="s">
        <v>2793</v>
      </c>
      <c r="T20" s="1117" t="s">
        <v>2794</v>
      </c>
      <c r="U20" s="1137" t="s">
        <v>2795</v>
      </c>
      <c r="V20" s="1117" t="s">
        <v>2796</v>
      </c>
      <c r="W20" s="1137" t="s">
        <v>2797</v>
      </c>
      <c r="X20" s="1117" t="s">
        <v>2798</v>
      </c>
      <c r="Y20" s="1137" t="s">
        <v>2799</v>
      </c>
      <c r="Z20" s="1117" t="s">
        <v>2800</v>
      </c>
      <c r="AA20" s="1137" t="s">
        <v>2801</v>
      </c>
      <c r="AB20" s="1117" t="s">
        <v>2817</v>
      </c>
      <c r="AC20" s="1137" t="s">
        <v>2818</v>
      </c>
      <c r="AD20" s="1117" t="s">
        <v>2819</v>
      </c>
      <c r="AE20" s="1137" t="s">
        <v>2821</v>
      </c>
      <c r="AF20" s="1117" t="s">
        <v>2822</v>
      </c>
      <c r="AG20" s="1137" t="s">
        <v>2823</v>
      </c>
      <c r="AH20" s="1117" t="s">
        <v>2824</v>
      </c>
      <c r="AI20" s="1137" t="s">
        <v>2825</v>
      </c>
      <c r="AJ20" s="1117" t="s">
        <v>2826</v>
      </c>
      <c r="AK20" s="1137" t="s">
        <v>2827</v>
      </c>
      <c r="AL20" s="1117" t="s">
        <v>2831</v>
      </c>
      <c r="AM20" s="1137" t="s">
        <v>2832</v>
      </c>
      <c r="AN20" s="1117" t="s">
        <v>2833</v>
      </c>
      <c r="AO20" s="1137" t="s">
        <v>2834</v>
      </c>
      <c r="AP20" s="1684" t="s">
        <v>3011</v>
      </c>
      <c r="AQ20" s="1134" t="s">
        <v>3012</v>
      </c>
      <c r="AR20" s="1122" t="s">
        <v>3013</v>
      </c>
      <c r="AS20" s="1825" t="s">
        <v>3014</v>
      </c>
      <c r="AT20" s="168" t="s">
        <v>3015</v>
      </c>
      <c r="AU20" s="105" t="s">
        <v>3206</v>
      </c>
      <c r="AV20" s="105" t="s">
        <v>3207</v>
      </c>
      <c r="AW20" s="1085" t="e">
        <f t="shared" si="0"/>
        <v>#VALUE!</v>
      </c>
      <c r="AX20" s="1085"/>
      <c r="AY20" s="1085"/>
      <c r="AZ20" s="1085"/>
      <c r="BA20" s="1085"/>
      <c r="BB20" s="1085"/>
      <c r="BC20" s="1085"/>
      <c r="BD20" s="1085"/>
      <c r="BE20" s="1085"/>
      <c r="BF20" s="1085"/>
      <c r="BG20" s="1085"/>
      <c r="BH20" s="94"/>
      <c r="BI20" s="94"/>
      <c r="CB20" s="1031" t="e">
        <f t="shared" si="1"/>
        <v>#VALUE!</v>
      </c>
      <c r="CC20" s="1031"/>
      <c r="CD20" s="1031"/>
      <c r="CE20" s="1031"/>
      <c r="CF20" s="1031"/>
      <c r="CG20" s="1031"/>
      <c r="CH20" s="1163" t="e">
        <f t="shared" si="2"/>
        <v>#VALUE!</v>
      </c>
      <c r="CI20" s="1020"/>
      <c r="CJ20" s="1020"/>
      <c r="CK20" s="1020"/>
      <c r="CL20" s="1020"/>
      <c r="CM20" s="1020"/>
      <c r="CN20" s="1020"/>
      <c r="CO20" s="1020"/>
      <c r="CP20" s="1020"/>
      <c r="CQ20" s="1020"/>
      <c r="CR20" s="1020"/>
      <c r="CS20" s="1020"/>
      <c r="CT20" s="1020"/>
      <c r="CU20" s="1020"/>
      <c r="CW20" s="80"/>
      <c r="CX20" s="80"/>
      <c r="CY20" s="80"/>
      <c r="CZ20" s="80"/>
      <c r="DA20" s="80"/>
    </row>
    <row r="21" spans="1:105" ht="18" customHeight="1" x14ac:dyDescent="0.2">
      <c r="A21" s="2527"/>
      <c r="B21" s="1858" t="s">
        <v>326</v>
      </c>
      <c r="C21" s="735" t="e">
        <f>SUM(D21+E21)</f>
        <v>#VALUE!</v>
      </c>
      <c r="D21" s="736" t="e">
        <f>SUM(D22+D23+D24+D25)</f>
        <v>#VALUE!</v>
      </c>
      <c r="E21" s="1807" t="e">
        <f>SUM(E22+E23+E24+E25)</f>
        <v>#VALUE!</v>
      </c>
      <c r="F21" s="1810">
        <f>SUM(F22:F25)</f>
        <v>0</v>
      </c>
      <c r="G21" s="1807">
        <f t="shared" ref="G21:AV21" si="3">SUM(G22:G25)</f>
        <v>0</v>
      </c>
      <c r="H21" s="1810">
        <f t="shared" si="3"/>
        <v>0</v>
      </c>
      <c r="I21" s="1796">
        <f t="shared" si="3"/>
        <v>0</v>
      </c>
      <c r="J21" s="1810">
        <f t="shared" si="3"/>
        <v>0</v>
      </c>
      <c r="K21" s="1796">
        <f t="shared" si="3"/>
        <v>0</v>
      </c>
      <c r="L21" s="1810">
        <f t="shared" si="3"/>
        <v>0</v>
      </c>
      <c r="M21" s="1796">
        <f t="shared" si="3"/>
        <v>0</v>
      </c>
      <c r="N21" s="1810">
        <f t="shared" si="3"/>
        <v>0</v>
      </c>
      <c r="O21" s="1796">
        <f t="shared" si="3"/>
        <v>0</v>
      </c>
      <c r="P21" s="1810">
        <f t="shared" si="3"/>
        <v>0</v>
      </c>
      <c r="Q21" s="1796">
        <f t="shared" si="3"/>
        <v>0</v>
      </c>
      <c r="R21" s="1810">
        <f t="shared" si="3"/>
        <v>0</v>
      </c>
      <c r="S21" s="1796">
        <f t="shared" si="3"/>
        <v>0</v>
      </c>
      <c r="T21" s="1810">
        <f t="shared" si="3"/>
        <v>0</v>
      </c>
      <c r="U21" s="1796">
        <f t="shared" si="3"/>
        <v>0</v>
      </c>
      <c r="V21" s="1810">
        <f t="shared" si="3"/>
        <v>0</v>
      </c>
      <c r="W21" s="1796">
        <f t="shared" si="3"/>
        <v>0</v>
      </c>
      <c r="X21" s="1810">
        <f t="shared" si="3"/>
        <v>0</v>
      </c>
      <c r="Y21" s="1796">
        <f t="shared" si="3"/>
        <v>0</v>
      </c>
      <c r="Z21" s="1810">
        <f t="shared" si="3"/>
        <v>0</v>
      </c>
      <c r="AA21" s="1796">
        <f t="shared" si="3"/>
        <v>0</v>
      </c>
      <c r="AB21" s="1810">
        <f t="shared" si="3"/>
        <v>0</v>
      </c>
      <c r="AC21" s="1796">
        <f t="shared" si="3"/>
        <v>0</v>
      </c>
      <c r="AD21" s="1810">
        <f t="shared" si="3"/>
        <v>0</v>
      </c>
      <c r="AE21" s="1796">
        <f t="shared" si="3"/>
        <v>0</v>
      </c>
      <c r="AF21" s="1810">
        <f t="shared" si="3"/>
        <v>0</v>
      </c>
      <c r="AG21" s="1796">
        <f t="shared" si="3"/>
        <v>0</v>
      </c>
      <c r="AH21" s="1810">
        <f t="shared" si="3"/>
        <v>0</v>
      </c>
      <c r="AI21" s="1796">
        <f t="shared" si="3"/>
        <v>0</v>
      </c>
      <c r="AJ21" s="1810">
        <f t="shared" si="3"/>
        <v>0</v>
      </c>
      <c r="AK21" s="1796">
        <f t="shared" si="3"/>
        <v>0</v>
      </c>
      <c r="AL21" s="1810">
        <f t="shared" si="3"/>
        <v>0</v>
      </c>
      <c r="AM21" s="1796">
        <f t="shared" si="3"/>
        <v>0</v>
      </c>
      <c r="AN21" s="1810">
        <f t="shared" si="3"/>
        <v>0</v>
      </c>
      <c r="AO21" s="1796">
        <f t="shared" si="3"/>
        <v>0</v>
      </c>
      <c r="AP21" s="1809">
        <f t="shared" si="3"/>
        <v>0</v>
      </c>
      <c r="AQ21" s="520">
        <f t="shared" si="3"/>
        <v>0</v>
      </c>
      <c r="AR21" s="1857">
        <f t="shared" si="3"/>
        <v>0</v>
      </c>
      <c r="AS21" s="1856">
        <f t="shared" si="3"/>
        <v>0</v>
      </c>
      <c r="AT21" s="1807">
        <f t="shared" si="3"/>
        <v>0</v>
      </c>
      <c r="AU21" s="1796">
        <f t="shared" si="3"/>
        <v>0</v>
      </c>
      <c r="AV21" s="1796">
        <f t="shared" si="3"/>
        <v>0</v>
      </c>
      <c r="AW21" s="1085"/>
      <c r="AX21" s="94"/>
      <c r="AY21" s="94"/>
      <c r="AZ21" s="94"/>
      <c r="BA21" s="94"/>
      <c r="BB21" s="94"/>
      <c r="BC21" s="94"/>
      <c r="BD21" s="94"/>
      <c r="BE21" s="94"/>
      <c r="BF21" s="94"/>
      <c r="BG21" s="94"/>
      <c r="BH21" s="94"/>
      <c r="BI21" s="94"/>
      <c r="CB21" s="1031"/>
      <c r="CC21" s="1031"/>
      <c r="CD21" s="1031"/>
      <c r="CE21" s="1031"/>
      <c r="CF21" s="1031"/>
      <c r="CG21" s="1031"/>
      <c r="CH21" s="1163"/>
      <c r="CI21" s="1020"/>
      <c r="CJ21" s="1020"/>
      <c r="CK21" s="1020"/>
      <c r="CL21" s="1020"/>
      <c r="CM21" s="1020"/>
      <c r="CN21" s="1020"/>
      <c r="CO21" s="1020"/>
      <c r="CP21" s="1020"/>
      <c r="CQ21" s="1020"/>
      <c r="CR21" s="1020"/>
      <c r="CS21" s="1020"/>
      <c r="CT21" s="1020"/>
      <c r="CU21" s="1020"/>
      <c r="CW21" s="80"/>
      <c r="CX21" s="80"/>
      <c r="CY21" s="80"/>
      <c r="CZ21" s="80"/>
      <c r="DA21" s="80"/>
    </row>
    <row r="22" spans="1:105" ht="18" customHeight="1" x14ac:dyDescent="0.2">
      <c r="A22" s="3009">
        <v>28020570</v>
      </c>
      <c r="B22" s="1743" t="s">
        <v>752</v>
      </c>
      <c r="C22" s="733" t="s">
        <v>2777</v>
      </c>
      <c r="D22" s="731" t="s">
        <v>2778</v>
      </c>
      <c r="E22" s="1855" t="s">
        <v>2779</v>
      </c>
      <c r="F22" s="182" t="s">
        <v>2780</v>
      </c>
      <c r="G22" s="240" t="s">
        <v>2781</v>
      </c>
      <c r="H22" s="182" t="s">
        <v>2782</v>
      </c>
      <c r="I22" s="183" t="s">
        <v>2783</v>
      </c>
      <c r="J22" s="182" t="s">
        <v>2784</v>
      </c>
      <c r="K22" s="183" t="s">
        <v>2785</v>
      </c>
      <c r="L22" s="182" t="s">
        <v>2786</v>
      </c>
      <c r="M22" s="183" t="s">
        <v>2787</v>
      </c>
      <c r="N22" s="182" t="s">
        <v>2788</v>
      </c>
      <c r="O22" s="183" t="s">
        <v>2789</v>
      </c>
      <c r="P22" s="182" t="s">
        <v>2790</v>
      </c>
      <c r="Q22" s="183" t="s">
        <v>2791</v>
      </c>
      <c r="R22" s="182" t="s">
        <v>2792</v>
      </c>
      <c r="S22" s="183" t="s">
        <v>2793</v>
      </c>
      <c r="T22" s="182" t="s">
        <v>2794</v>
      </c>
      <c r="U22" s="183" t="s">
        <v>2795</v>
      </c>
      <c r="V22" s="182" t="s">
        <v>2796</v>
      </c>
      <c r="W22" s="183" t="s">
        <v>2797</v>
      </c>
      <c r="X22" s="182" t="s">
        <v>2798</v>
      </c>
      <c r="Y22" s="183" t="s">
        <v>2799</v>
      </c>
      <c r="Z22" s="182" t="s">
        <v>2800</v>
      </c>
      <c r="AA22" s="183" t="s">
        <v>2801</v>
      </c>
      <c r="AB22" s="182" t="s">
        <v>2817</v>
      </c>
      <c r="AC22" s="183" t="s">
        <v>2818</v>
      </c>
      <c r="AD22" s="182" t="s">
        <v>2819</v>
      </c>
      <c r="AE22" s="183" t="s">
        <v>2821</v>
      </c>
      <c r="AF22" s="182" t="s">
        <v>2822</v>
      </c>
      <c r="AG22" s="183" t="s">
        <v>2823</v>
      </c>
      <c r="AH22" s="182" t="s">
        <v>2824</v>
      </c>
      <c r="AI22" s="183" t="s">
        <v>2825</v>
      </c>
      <c r="AJ22" s="182" t="s">
        <v>2826</v>
      </c>
      <c r="AK22" s="183" t="s">
        <v>2827</v>
      </c>
      <c r="AL22" s="182" t="s">
        <v>2831</v>
      </c>
      <c r="AM22" s="183" t="s">
        <v>2832</v>
      </c>
      <c r="AN22" s="182" t="s">
        <v>2833</v>
      </c>
      <c r="AO22" s="183" t="s">
        <v>2834</v>
      </c>
      <c r="AP22" s="229" t="s">
        <v>3011</v>
      </c>
      <c r="AQ22" s="593" t="s">
        <v>3012</v>
      </c>
      <c r="AR22" s="144" t="s">
        <v>3013</v>
      </c>
      <c r="AS22" s="146" t="s">
        <v>3014</v>
      </c>
      <c r="AT22" s="240" t="s">
        <v>3015</v>
      </c>
      <c r="AU22" s="1854" t="s">
        <v>3206</v>
      </c>
      <c r="AV22" s="1854" t="s">
        <v>3207</v>
      </c>
      <c r="AW22" s="1085" t="e">
        <f>CB22</f>
        <v>#VALUE!</v>
      </c>
      <c r="AX22" s="1085"/>
      <c r="AY22" s="1085"/>
      <c r="AZ22" s="1085"/>
      <c r="BA22" s="1085"/>
      <c r="BB22" s="1085"/>
      <c r="BC22" s="1085"/>
      <c r="BD22" s="1085"/>
      <c r="BE22" s="1085"/>
      <c r="BF22" s="1085"/>
      <c r="BG22" s="1085"/>
      <c r="BH22" s="94"/>
      <c r="BI22" s="94"/>
      <c r="CB22" s="1031" t="e">
        <f>IF(CH22=1,"* Total Egresos debe ser igual que Tipo de Estrategia Más Otros. ","")</f>
        <v>#VALUE!</v>
      </c>
      <c r="CC22" s="1031"/>
      <c r="CD22" s="1031"/>
      <c r="CE22" s="1031"/>
      <c r="CF22" s="1031"/>
      <c r="CG22" s="1031"/>
      <c r="CH22" s="1163" t="e">
        <f>IF(C22&lt;&gt;(AR22+AS22+AT22+AU22+AV22),1,0)</f>
        <v>#VALUE!</v>
      </c>
      <c r="CI22" s="1020"/>
      <c r="CJ22" s="1020"/>
      <c r="CK22" s="1020"/>
      <c r="CL22" s="1020"/>
      <c r="CM22" s="1020"/>
      <c r="CN22" s="1020"/>
      <c r="CO22" s="1020"/>
      <c r="CP22" s="1020"/>
      <c r="CQ22" s="1020"/>
      <c r="CR22" s="1020"/>
      <c r="CS22" s="1020"/>
      <c r="CT22" s="1020"/>
      <c r="CU22" s="1020"/>
      <c r="CW22" s="80"/>
      <c r="CX22" s="80"/>
      <c r="CY22" s="80"/>
      <c r="CZ22" s="80"/>
      <c r="DA22" s="80"/>
    </row>
    <row r="23" spans="1:105" ht="18" customHeight="1" x14ac:dyDescent="0.2">
      <c r="A23" s="3009">
        <v>28020580</v>
      </c>
      <c r="B23" s="1249" t="s">
        <v>753</v>
      </c>
      <c r="C23" s="730" t="s">
        <v>2777</v>
      </c>
      <c r="D23" s="734" t="s">
        <v>2778</v>
      </c>
      <c r="E23" s="200" t="s">
        <v>2779</v>
      </c>
      <c r="F23" s="141" t="s">
        <v>2780</v>
      </c>
      <c r="G23" s="198" t="s">
        <v>2781</v>
      </c>
      <c r="H23" s="141" t="s">
        <v>2782</v>
      </c>
      <c r="I23" s="163" t="s">
        <v>2783</v>
      </c>
      <c r="J23" s="141" t="s">
        <v>2784</v>
      </c>
      <c r="K23" s="163" t="s">
        <v>2785</v>
      </c>
      <c r="L23" s="141" t="s">
        <v>2786</v>
      </c>
      <c r="M23" s="163" t="s">
        <v>2787</v>
      </c>
      <c r="N23" s="141" t="s">
        <v>2788</v>
      </c>
      <c r="O23" s="163" t="s">
        <v>2789</v>
      </c>
      <c r="P23" s="141" t="s">
        <v>2790</v>
      </c>
      <c r="Q23" s="163" t="s">
        <v>2791</v>
      </c>
      <c r="R23" s="141" t="s">
        <v>2792</v>
      </c>
      <c r="S23" s="163" t="s">
        <v>2793</v>
      </c>
      <c r="T23" s="141" t="s">
        <v>2794</v>
      </c>
      <c r="U23" s="163" t="s">
        <v>2795</v>
      </c>
      <c r="V23" s="141" t="s">
        <v>2796</v>
      </c>
      <c r="W23" s="163" t="s">
        <v>2797</v>
      </c>
      <c r="X23" s="141" t="s">
        <v>2798</v>
      </c>
      <c r="Y23" s="163" t="s">
        <v>2799</v>
      </c>
      <c r="Z23" s="141" t="s">
        <v>2800</v>
      </c>
      <c r="AA23" s="163" t="s">
        <v>2801</v>
      </c>
      <c r="AB23" s="141" t="s">
        <v>2817</v>
      </c>
      <c r="AC23" s="163" t="s">
        <v>2818</v>
      </c>
      <c r="AD23" s="141" t="s">
        <v>2819</v>
      </c>
      <c r="AE23" s="163" t="s">
        <v>2821</v>
      </c>
      <c r="AF23" s="141" t="s">
        <v>2822</v>
      </c>
      <c r="AG23" s="163" t="s">
        <v>2823</v>
      </c>
      <c r="AH23" s="141" t="s">
        <v>2824</v>
      </c>
      <c r="AI23" s="163" t="s">
        <v>2825</v>
      </c>
      <c r="AJ23" s="141" t="s">
        <v>2826</v>
      </c>
      <c r="AK23" s="163" t="s">
        <v>2827</v>
      </c>
      <c r="AL23" s="141" t="s">
        <v>2831</v>
      </c>
      <c r="AM23" s="163" t="s">
        <v>2832</v>
      </c>
      <c r="AN23" s="141" t="s">
        <v>2833</v>
      </c>
      <c r="AO23" s="163" t="s">
        <v>2834</v>
      </c>
      <c r="AP23" s="224" t="s">
        <v>3011</v>
      </c>
      <c r="AQ23" s="318" t="s">
        <v>3012</v>
      </c>
      <c r="AR23" s="180" t="s">
        <v>3013</v>
      </c>
      <c r="AS23" s="142" t="s">
        <v>3014</v>
      </c>
      <c r="AT23" s="198" t="s">
        <v>3015</v>
      </c>
      <c r="AU23" s="164" t="s">
        <v>3206</v>
      </c>
      <c r="AV23" s="164" t="s">
        <v>3207</v>
      </c>
      <c r="AW23" s="1085" t="e">
        <f>CB23</f>
        <v>#VALUE!</v>
      </c>
      <c r="AX23" s="1085"/>
      <c r="AY23" s="1085"/>
      <c r="AZ23" s="1085"/>
      <c r="BA23" s="1085"/>
      <c r="BB23" s="1085"/>
      <c r="BC23" s="1085"/>
      <c r="BD23" s="1085"/>
      <c r="BE23" s="1085"/>
      <c r="BF23" s="1085"/>
      <c r="BG23" s="1085"/>
      <c r="BH23" s="94"/>
      <c r="BI23" s="94"/>
      <c r="CB23" s="1031" t="e">
        <f>IF(CH23=1,"* Total Egresos debe ser igual que Tipo de Estrategia Más Otros. ","")</f>
        <v>#VALUE!</v>
      </c>
      <c r="CC23" s="1031"/>
      <c r="CD23" s="1031"/>
      <c r="CE23" s="1031"/>
      <c r="CF23" s="1031"/>
      <c r="CG23" s="1031"/>
      <c r="CH23" s="1163" t="e">
        <f>IF(C23&lt;&gt;(AR23+AS23+AT23+AU23+AV23),1,0)</f>
        <v>#VALUE!</v>
      </c>
      <c r="CI23" s="1020"/>
      <c r="CJ23" s="1020"/>
      <c r="CK23" s="1020"/>
      <c r="CL23" s="1020"/>
      <c r="CM23" s="1020"/>
      <c r="CN23" s="1020"/>
      <c r="CO23" s="1020"/>
      <c r="CP23" s="1020"/>
      <c r="CQ23" s="1020"/>
      <c r="CR23" s="1020"/>
      <c r="CS23" s="1020"/>
      <c r="CT23" s="1020"/>
      <c r="CU23" s="1020"/>
      <c r="CW23" s="80"/>
      <c r="CX23" s="80"/>
      <c r="CY23" s="80"/>
      <c r="CZ23" s="80"/>
      <c r="DA23" s="80"/>
    </row>
    <row r="24" spans="1:105" ht="18" customHeight="1" x14ac:dyDescent="0.2">
      <c r="A24" s="3007">
        <v>28020590</v>
      </c>
      <c r="B24" s="4016" t="s">
        <v>754</v>
      </c>
      <c r="C24" s="732" t="s">
        <v>2777</v>
      </c>
      <c r="D24" s="737" t="s">
        <v>2778</v>
      </c>
      <c r="E24" s="281" t="s">
        <v>2779</v>
      </c>
      <c r="F24" s="273" t="s">
        <v>2780</v>
      </c>
      <c r="G24" s="467" t="s">
        <v>2781</v>
      </c>
      <c r="H24" s="273" t="s">
        <v>2782</v>
      </c>
      <c r="I24" s="276" t="s">
        <v>2783</v>
      </c>
      <c r="J24" s="273" t="s">
        <v>2784</v>
      </c>
      <c r="K24" s="276" t="s">
        <v>2785</v>
      </c>
      <c r="L24" s="273" t="s">
        <v>2786</v>
      </c>
      <c r="M24" s="276" t="s">
        <v>2787</v>
      </c>
      <c r="N24" s="273" t="s">
        <v>2788</v>
      </c>
      <c r="O24" s="276" t="s">
        <v>2789</v>
      </c>
      <c r="P24" s="273" t="s">
        <v>2790</v>
      </c>
      <c r="Q24" s="276" t="s">
        <v>2791</v>
      </c>
      <c r="R24" s="273" t="s">
        <v>2792</v>
      </c>
      <c r="S24" s="276" t="s">
        <v>2793</v>
      </c>
      <c r="T24" s="273" t="s">
        <v>2794</v>
      </c>
      <c r="U24" s="276" t="s">
        <v>2795</v>
      </c>
      <c r="V24" s="273" t="s">
        <v>2796</v>
      </c>
      <c r="W24" s="276" t="s">
        <v>2797</v>
      </c>
      <c r="X24" s="273" t="s">
        <v>2798</v>
      </c>
      <c r="Y24" s="276" t="s">
        <v>2799</v>
      </c>
      <c r="Z24" s="273" t="s">
        <v>2800</v>
      </c>
      <c r="AA24" s="276" t="s">
        <v>2801</v>
      </c>
      <c r="AB24" s="273" t="s">
        <v>2817</v>
      </c>
      <c r="AC24" s="276" t="s">
        <v>2818</v>
      </c>
      <c r="AD24" s="273" t="s">
        <v>2819</v>
      </c>
      <c r="AE24" s="276" t="s">
        <v>2821</v>
      </c>
      <c r="AF24" s="273" t="s">
        <v>2822</v>
      </c>
      <c r="AG24" s="276" t="s">
        <v>2823</v>
      </c>
      <c r="AH24" s="273" t="s">
        <v>2824</v>
      </c>
      <c r="AI24" s="276" t="s">
        <v>2825</v>
      </c>
      <c r="AJ24" s="273" t="s">
        <v>2826</v>
      </c>
      <c r="AK24" s="276" t="s">
        <v>2827</v>
      </c>
      <c r="AL24" s="273" t="s">
        <v>2831</v>
      </c>
      <c r="AM24" s="276" t="s">
        <v>2832</v>
      </c>
      <c r="AN24" s="273" t="s">
        <v>2833</v>
      </c>
      <c r="AO24" s="276" t="s">
        <v>2834</v>
      </c>
      <c r="AP24" s="342" t="s">
        <v>3011</v>
      </c>
      <c r="AQ24" s="521" t="s">
        <v>3012</v>
      </c>
      <c r="AR24" s="274" t="s">
        <v>3013</v>
      </c>
      <c r="AS24" s="116" t="s">
        <v>3014</v>
      </c>
      <c r="AT24" s="467" t="s">
        <v>3015</v>
      </c>
      <c r="AU24" s="343" t="s">
        <v>3206</v>
      </c>
      <c r="AV24" s="343" t="s">
        <v>3207</v>
      </c>
      <c r="AW24" s="1085" t="e">
        <f>CB24</f>
        <v>#VALUE!</v>
      </c>
      <c r="AX24" s="1085"/>
      <c r="AY24" s="1085"/>
      <c r="AZ24" s="1085"/>
      <c r="BA24" s="1085"/>
      <c r="BB24" s="1085"/>
      <c r="BC24" s="1085"/>
      <c r="BD24" s="1085"/>
      <c r="BE24" s="1085"/>
      <c r="BF24" s="1085"/>
      <c r="BG24" s="1085"/>
      <c r="BH24" s="94"/>
      <c r="BI24" s="94"/>
      <c r="CB24" s="1031" t="e">
        <f>IF(CH24=1,"* Total Egresos debe ser igual que Tipo de Estrategia Más Otros. ","")</f>
        <v>#VALUE!</v>
      </c>
      <c r="CC24" s="1031"/>
      <c r="CD24" s="1031"/>
      <c r="CE24" s="1031"/>
      <c r="CF24" s="1031"/>
      <c r="CG24" s="1031"/>
      <c r="CH24" s="1163" t="e">
        <f>IF(C24&lt;&gt;(AR24+AS24+AT24+AU24+AV24),1,0)</f>
        <v>#VALUE!</v>
      </c>
      <c r="CI24" s="1020"/>
      <c r="CJ24" s="1020"/>
      <c r="CK24" s="1020"/>
      <c r="CL24" s="1020"/>
      <c r="CM24" s="1020"/>
      <c r="CN24" s="1020"/>
      <c r="CO24" s="1020"/>
      <c r="CP24" s="1020"/>
      <c r="CQ24" s="1020"/>
      <c r="CR24" s="1020"/>
      <c r="CS24" s="1020"/>
      <c r="CT24" s="1020"/>
      <c r="CU24" s="1020"/>
      <c r="CW24" s="80"/>
      <c r="CX24" s="80"/>
      <c r="CY24" s="80"/>
      <c r="CZ24" s="80"/>
      <c r="DA24" s="80"/>
    </row>
    <row r="25" spans="1:105" ht="18" customHeight="1" x14ac:dyDescent="0.2">
      <c r="A25" s="3007">
        <v>28020592</v>
      </c>
      <c r="B25" s="4642" t="s">
        <v>1343</v>
      </c>
      <c r="C25" s="730" t="s">
        <v>2777</v>
      </c>
      <c r="D25" s="734" t="s">
        <v>2778</v>
      </c>
      <c r="E25" s="200" t="s">
        <v>2779</v>
      </c>
      <c r="F25" s="141" t="s">
        <v>2780</v>
      </c>
      <c r="G25" s="198" t="s">
        <v>2781</v>
      </c>
      <c r="H25" s="141" t="s">
        <v>2782</v>
      </c>
      <c r="I25" s="163" t="s">
        <v>2783</v>
      </c>
      <c r="J25" s="141" t="s">
        <v>2784</v>
      </c>
      <c r="K25" s="163" t="s">
        <v>2785</v>
      </c>
      <c r="L25" s="141" t="s">
        <v>2786</v>
      </c>
      <c r="M25" s="163" t="s">
        <v>2787</v>
      </c>
      <c r="N25" s="141" t="s">
        <v>2788</v>
      </c>
      <c r="O25" s="163" t="s">
        <v>2789</v>
      </c>
      <c r="P25" s="141" t="s">
        <v>2790</v>
      </c>
      <c r="Q25" s="163" t="s">
        <v>2791</v>
      </c>
      <c r="R25" s="141" t="s">
        <v>2792</v>
      </c>
      <c r="S25" s="163" t="s">
        <v>2793</v>
      </c>
      <c r="T25" s="141" t="s">
        <v>2794</v>
      </c>
      <c r="U25" s="163" t="s">
        <v>2795</v>
      </c>
      <c r="V25" s="141" t="s">
        <v>2796</v>
      </c>
      <c r="W25" s="163" t="s">
        <v>2797</v>
      </c>
      <c r="X25" s="141" t="s">
        <v>2798</v>
      </c>
      <c r="Y25" s="163" t="s">
        <v>2799</v>
      </c>
      <c r="Z25" s="141" t="s">
        <v>2800</v>
      </c>
      <c r="AA25" s="163" t="s">
        <v>2801</v>
      </c>
      <c r="AB25" s="141" t="s">
        <v>2817</v>
      </c>
      <c r="AC25" s="163" t="s">
        <v>2818</v>
      </c>
      <c r="AD25" s="141" t="s">
        <v>2819</v>
      </c>
      <c r="AE25" s="163" t="s">
        <v>2821</v>
      </c>
      <c r="AF25" s="141" t="s">
        <v>2822</v>
      </c>
      <c r="AG25" s="163" t="s">
        <v>2823</v>
      </c>
      <c r="AH25" s="141" t="s">
        <v>2824</v>
      </c>
      <c r="AI25" s="163" t="s">
        <v>2825</v>
      </c>
      <c r="AJ25" s="141" t="s">
        <v>2826</v>
      </c>
      <c r="AK25" s="163" t="s">
        <v>2827</v>
      </c>
      <c r="AL25" s="141" t="s">
        <v>2831</v>
      </c>
      <c r="AM25" s="163" t="s">
        <v>2832</v>
      </c>
      <c r="AN25" s="141" t="s">
        <v>2833</v>
      </c>
      <c r="AO25" s="163" t="s">
        <v>2834</v>
      </c>
      <c r="AP25" s="224" t="s">
        <v>3011</v>
      </c>
      <c r="AQ25" s="318" t="s">
        <v>3012</v>
      </c>
      <c r="AR25" s="180" t="s">
        <v>3013</v>
      </c>
      <c r="AS25" s="142" t="s">
        <v>3014</v>
      </c>
      <c r="AT25" s="198" t="s">
        <v>3015</v>
      </c>
      <c r="AU25" s="164" t="s">
        <v>3206</v>
      </c>
      <c r="AV25" s="164" t="s">
        <v>3207</v>
      </c>
      <c r="AW25" s="1085" t="e">
        <f>CB25</f>
        <v>#VALUE!</v>
      </c>
      <c r="AX25" s="1085"/>
      <c r="AY25" s="1085"/>
      <c r="AZ25" s="1085"/>
      <c r="BA25" s="1085"/>
      <c r="BB25" s="1085"/>
      <c r="BC25" s="1085"/>
      <c r="BD25" s="1085"/>
      <c r="BE25" s="1085"/>
      <c r="BF25" s="1085"/>
      <c r="BG25" s="1085"/>
      <c r="BH25" s="94"/>
      <c r="BI25" s="94"/>
      <c r="CB25" s="1031" t="e">
        <f>IF(CH25=1,"* Total Egresos debe ser igual que Tipo de Estrategia Más Otros. ","")</f>
        <v>#VALUE!</v>
      </c>
      <c r="CC25" s="1031"/>
      <c r="CD25" s="1031"/>
      <c r="CE25" s="1031"/>
      <c r="CF25" s="1031"/>
      <c r="CG25" s="1031"/>
      <c r="CH25" s="1163" t="e">
        <f>IF(C25&lt;&gt;(AR25+AS25+AT25+AU25+AV25),1,0)</f>
        <v>#VALUE!</v>
      </c>
      <c r="CI25" s="1020"/>
      <c r="CJ25" s="1020"/>
      <c r="CK25" s="1020"/>
      <c r="CL25" s="1020"/>
      <c r="CM25" s="1020"/>
      <c r="CN25" s="1020"/>
      <c r="CO25" s="1020"/>
      <c r="CP25" s="1020"/>
      <c r="CQ25" s="1020"/>
      <c r="CR25" s="1020"/>
      <c r="CS25" s="1020"/>
      <c r="CT25" s="1020"/>
      <c r="CU25" s="1020"/>
      <c r="CW25" s="80"/>
      <c r="CX25" s="80"/>
      <c r="CY25" s="80"/>
      <c r="CZ25" s="80"/>
      <c r="DA25" s="80"/>
    </row>
    <row r="26" spans="1:105" ht="18" customHeight="1" x14ac:dyDescent="0.2">
      <c r="A26" s="4676">
        <v>28020593</v>
      </c>
      <c r="B26" s="4643" t="s">
        <v>897</v>
      </c>
      <c r="C26" s="735" t="s">
        <v>2777</v>
      </c>
      <c r="D26" s="736" t="s">
        <v>2778</v>
      </c>
      <c r="E26" s="1853" t="s">
        <v>2779</v>
      </c>
      <c r="F26" s="1117" t="s">
        <v>2780</v>
      </c>
      <c r="G26" s="1367" t="s">
        <v>2781</v>
      </c>
      <c r="H26" s="1117" t="s">
        <v>2782</v>
      </c>
      <c r="I26" s="1137" t="s">
        <v>2783</v>
      </c>
      <c r="J26" s="1117" t="s">
        <v>2784</v>
      </c>
      <c r="K26" s="1137" t="s">
        <v>2785</v>
      </c>
      <c r="L26" s="1117" t="s">
        <v>2786</v>
      </c>
      <c r="M26" s="1137" t="s">
        <v>2787</v>
      </c>
      <c r="N26" s="1117" t="s">
        <v>2788</v>
      </c>
      <c r="O26" s="1137" t="s">
        <v>2789</v>
      </c>
      <c r="P26" s="1117" t="s">
        <v>2790</v>
      </c>
      <c r="Q26" s="1137" t="s">
        <v>2791</v>
      </c>
      <c r="R26" s="1117" t="s">
        <v>2792</v>
      </c>
      <c r="S26" s="1137" t="s">
        <v>2793</v>
      </c>
      <c r="T26" s="1117" t="s">
        <v>2794</v>
      </c>
      <c r="U26" s="1137" t="s">
        <v>2795</v>
      </c>
      <c r="V26" s="1117" t="s">
        <v>2796</v>
      </c>
      <c r="W26" s="1137" t="s">
        <v>2797</v>
      </c>
      <c r="X26" s="1117" t="s">
        <v>2798</v>
      </c>
      <c r="Y26" s="1137" t="s">
        <v>2799</v>
      </c>
      <c r="Z26" s="1117" t="s">
        <v>2800</v>
      </c>
      <c r="AA26" s="1137" t="s">
        <v>2801</v>
      </c>
      <c r="AB26" s="1117" t="s">
        <v>2817</v>
      </c>
      <c r="AC26" s="1137" t="s">
        <v>2818</v>
      </c>
      <c r="AD26" s="1117" t="s">
        <v>2819</v>
      </c>
      <c r="AE26" s="1137" t="s">
        <v>2821</v>
      </c>
      <c r="AF26" s="1117" t="s">
        <v>2822</v>
      </c>
      <c r="AG26" s="1137" t="s">
        <v>2823</v>
      </c>
      <c r="AH26" s="1117" t="s">
        <v>2824</v>
      </c>
      <c r="AI26" s="1137" t="s">
        <v>2825</v>
      </c>
      <c r="AJ26" s="1117" t="s">
        <v>2826</v>
      </c>
      <c r="AK26" s="1137" t="s">
        <v>2827</v>
      </c>
      <c r="AL26" s="1117" t="s">
        <v>2831</v>
      </c>
      <c r="AM26" s="1137" t="s">
        <v>2832</v>
      </c>
      <c r="AN26" s="1117" t="s">
        <v>2833</v>
      </c>
      <c r="AO26" s="1137" t="s">
        <v>2834</v>
      </c>
      <c r="AP26" s="1684" t="s">
        <v>3011</v>
      </c>
      <c r="AQ26" s="1134" t="s">
        <v>3012</v>
      </c>
      <c r="AR26" s="1122" t="s">
        <v>3013</v>
      </c>
      <c r="AS26" s="1825" t="s">
        <v>3014</v>
      </c>
      <c r="AT26" s="1367" t="s">
        <v>3015</v>
      </c>
      <c r="AU26" s="1137" t="s">
        <v>3206</v>
      </c>
      <c r="AV26" s="1137" t="s">
        <v>3207</v>
      </c>
      <c r="AW26" s="1085" t="e">
        <f>CB26</f>
        <v>#VALUE!</v>
      </c>
      <c r="AX26" s="1085"/>
      <c r="AY26" s="1085"/>
      <c r="AZ26" s="1085"/>
      <c r="BA26" s="1085"/>
      <c r="BB26" s="1085"/>
      <c r="BC26" s="1085"/>
      <c r="BD26" s="1085"/>
      <c r="BE26" s="1085"/>
      <c r="BF26" s="1085"/>
      <c r="BG26" s="1085"/>
      <c r="BH26" s="94"/>
      <c r="BI26" s="94"/>
      <c r="CB26" s="1031" t="e">
        <f>IF(CH26=1,"* Total Egresos debe ser igual que Tipo de Estrategia Más Otros. ","")</f>
        <v>#VALUE!</v>
      </c>
      <c r="CC26" s="1031"/>
      <c r="CD26" s="1031"/>
      <c r="CE26" s="1031"/>
      <c r="CF26" s="1031"/>
      <c r="CG26" s="1031"/>
      <c r="CH26" s="1163" t="e">
        <f>IF(C26&lt;&gt;(AR26+AS26+AT26+AU26+AV26),1,0)</f>
        <v>#VALUE!</v>
      </c>
      <c r="CI26" s="1020"/>
      <c r="CJ26" s="1020"/>
      <c r="CK26" s="1020"/>
      <c r="CL26" s="1020"/>
      <c r="CM26" s="1020"/>
      <c r="CN26" s="1020"/>
      <c r="CO26" s="1020"/>
      <c r="CP26" s="1020"/>
      <c r="CQ26" s="1020"/>
      <c r="CR26" s="1020"/>
      <c r="CS26" s="1020"/>
      <c r="CT26" s="1020"/>
      <c r="CU26" s="1020"/>
      <c r="CW26" s="80"/>
      <c r="CX26" s="80"/>
      <c r="CY26" s="80"/>
      <c r="CZ26" s="80"/>
      <c r="DA26" s="80"/>
    </row>
    <row r="27" spans="1:105" ht="32.1" customHeight="1" x14ac:dyDescent="0.2">
      <c r="B27" s="177" t="s">
        <v>2733</v>
      </c>
      <c r="C27" s="928"/>
      <c r="D27" s="903"/>
      <c r="E27" s="928"/>
      <c r="F27" s="928"/>
      <c r="G27" s="903"/>
      <c r="H27" s="903"/>
      <c r="I27" s="903"/>
      <c r="J27" s="903"/>
      <c r="K27" s="243"/>
      <c r="L27" s="243"/>
      <c r="M27" s="243"/>
      <c r="N27" s="243"/>
      <c r="O27" s="243"/>
      <c r="P27" s="243"/>
      <c r="Q27" s="243"/>
      <c r="R27" s="243"/>
      <c r="S27" s="243"/>
      <c r="T27" s="243"/>
      <c r="U27" s="243"/>
      <c r="V27" s="243"/>
      <c r="W27" s="243"/>
      <c r="X27" s="243"/>
      <c r="Y27" s="243"/>
      <c r="Z27" s="243"/>
      <c r="AA27" s="243"/>
      <c r="AB27" s="243"/>
      <c r="AC27" s="243"/>
      <c r="AD27" s="243"/>
      <c r="AE27" s="243"/>
      <c r="AF27" s="243"/>
      <c r="AG27" s="243"/>
      <c r="AH27" s="243"/>
      <c r="AI27" s="243"/>
      <c r="AJ27" s="243"/>
      <c r="AK27" s="243"/>
      <c r="AL27" s="243"/>
      <c r="AM27" s="243"/>
      <c r="AN27" s="243"/>
      <c r="AO27" s="243"/>
      <c r="AP27" s="243"/>
      <c r="AQ27" s="243"/>
      <c r="AR27" s="243"/>
      <c r="AS27" s="243"/>
      <c r="AT27" s="243"/>
      <c r="AU27" s="243"/>
      <c r="AV27" s="243"/>
      <c r="CH27" s="1020"/>
      <c r="CI27" s="1020"/>
      <c r="CJ27" s="1020"/>
      <c r="CK27" s="1020"/>
      <c r="CL27" s="1020"/>
      <c r="CM27" s="1020"/>
      <c r="CN27" s="1020"/>
      <c r="CO27" s="1020"/>
      <c r="CP27" s="1020"/>
      <c r="CQ27" s="1020"/>
      <c r="CR27" s="1020"/>
      <c r="CS27" s="1020"/>
      <c r="CT27" s="1020"/>
      <c r="CU27" s="1020"/>
      <c r="CW27" s="80"/>
      <c r="CX27" s="80"/>
      <c r="CY27" s="80"/>
      <c r="CZ27" s="80"/>
      <c r="DA27" s="80"/>
    </row>
    <row r="28" spans="1:105" x14ac:dyDescent="0.2">
      <c r="B28" s="6717" t="s">
        <v>755</v>
      </c>
      <c r="C28" s="6309" t="s">
        <v>120</v>
      </c>
      <c r="D28" s="6219"/>
      <c r="E28" s="6219" t="s">
        <v>42</v>
      </c>
      <c r="F28" s="5160" t="s">
        <v>494</v>
      </c>
      <c r="G28" s="6321"/>
      <c r="H28" s="6321"/>
      <c r="I28" s="6321"/>
      <c r="J28" s="6321"/>
      <c r="K28" s="6321"/>
      <c r="L28" s="6321"/>
      <c r="M28" s="6321"/>
      <c r="N28" s="6321"/>
      <c r="O28" s="6321"/>
      <c r="P28" s="6321"/>
      <c r="Q28" s="6321"/>
      <c r="R28" s="6321"/>
      <c r="S28" s="6321"/>
      <c r="T28" s="6321"/>
      <c r="U28" s="6321"/>
      <c r="V28" s="6321"/>
      <c r="W28" s="6321"/>
      <c r="X28" s="6321"/>
      <c r="Y28" s="6321"/>
      <c r="Z28" s="6321"/>
      <c r="AA28" s="6321"/>
      <c r="AB28" s="6321"/>
      <c r="AC28" s="6321"/>
      <c r="AD28" s="6321"/>
      <c r="AE28" s="6321"/>
      <c r="AF28" s="6321"/>
      <c r="AG28" s="6321"/>
      <c r="AH28" s="6321"/>
      <c r="AI28" s="6321"/>
      <c r="AJ28" s="6321"/>
      <c r="AK28" s="6321"/>
      <c r="AL28" s="6321"/>
      <c r="AM28" s="6321"/>
      <c r="AN28" s="6321"/>
      <c r="AO28" s="6321"/>
      <c r="AP28" s="6321"/>
      <c r="AQ28" s="6212"/>
      <c r="AR28" s="6758" t="s">
        <v>736</v>
      </c>
      <c r="AS28" s="6321"/>
      <c r="AT28" s="6321"/>
      <c r="AU28" s="6321"/>
      <c r="AV28" s="5162"/>
      <c r="AW28" s="94"/>
      <c r="AX28" s="94"/>
      <c r="AY28" s="94"/>
      <c r="AZ28" s="94"/>
      <c r="BA28" s="94"/>
      <c r="BB28" s="94"/>
      <c r="BC28" s="94"/>
      <c r="BD28" s="94"/>
      <c r="BE28" s="94"/>
      <c r="BF28" s="94"/>
      <c r="BG28" s="94"/>
      <c r="BH28" s="94"/>
      <c r="BI28" s="94"/>
      <c r="BY28" s="79"/>
      <c r="CH28" s="1020"/>
      <c r="CI28" s="1020"/>
      <c r="CJ28" s="1020"/>
      <c r="CK28" s="1020"/>
      <c r="CL28" s="1020"/>
      <c r="CM28" s="1020"/>
      <c r="CN28" s="1020"/>
      <c r="CO28" s="1020"/>
      <c r="CP28" s="1020"/>
      <c r="CQ28" s="1020"/>
      <c r="CR28" s="1020"/>
      <c r="CS28" s="1020"/>
      <c r="CT28" s="1020"/>
      <c r="CU28" s="1020"/>
      <c r="CW28" s="80"/>
      <c r="CX28" s="80"/>
      <c r="CY28" s="80"/>
      <c r="CZ28" s="80"/>
      <c r="DA28" s="80"/>
    </row>
    <row r="29" spans="1:105" ht="15" customHeight="1" x14ac:dyDescent="0.2">
      <c r="B29" s="5146"/>
      <c r="C29" s="5122"/>
      <c r="D29" s="5123"/>
      <c r="E29" s="5123"/>
      <c r="F29" s="5165" t="s">
        <v>737</v>
      </c>
      <c r="G29" s="5167"/>
      <c r="H29" s="5165" t="s">
        <v>738</v>
      </c>
      <c r="I29" s="5167"/>
      <c r="J29" s="5165" t="s">
        <v>739</v>
      </c>
      <c r="K29" s="5167"/>
      <c r="L29" s="5165" t="s">
        <v>351</v>
      </c>
      <c r="M29" s="5167"/>
      <c r="N29" s="6332" t="s">
        <v>352</v>
      </c>
      <c r="O29" s="5167"/>
      <c r="P29" s="5165" t="s">
        <v>295</v>
      </c>
      <c r="Q29" s="5167"/>
      <c r="R29" s="5165" t="s">
        <v>740</v>
      </c>
      <c r="S29" s="5167"/>
      <c r="T29" s="5165" t="s">
        <v>741</v>
      </c>
      <c r="U29" s="5167"/>
      <c r="V29" s="5165" t="s">
        <v>742</v>
      </c>
      <c r="W29" s="5167"/>
      <c r="X29" s="5165" t="s">
        <v>13</v>
      </c>
      <c r="Y29" s="5167"/>
      <c r="Z29" s="5165" t="s">
        <v>14</v>
      </c>
      <c r="AA29" s="5167"/>
      <c r="AB29" s="5165" t="s">
        <v>743</v>
      </c>
      <c r="AC29" s="5167"/>
      <c r="AD29" s="5165" t="s">
        <v>16</v>
      </c>
      <c r="AE29" s="5167"/>
      <c r="AF29" s="5165" t="s">
        <v>17</v>
      </c>
      <c r="AG29" s="5167"/>
      <c r="AH29" s="5165" t="s">
        <v>18</v>
      </c>
      <c r="AI29" s="5167"/>
      <c r="AJ29" s="5165" t="s">
        <v>19</v>
      </c>
      <c r="AK29" s="5167"/>
      <c r="AL29" s="5165" t="s">
        <v>20</v>
      </c>
      <c r="AM29" s="5167"/>
      <c r="AN29" s="5165" t="s">
        <v>21</v>
      </c>
      <c r="AO29" s="5167"/>
      <c r="AP29" s="5160" t="s">
        <v>22</v>
      </c>
      <c r="AQ29" s="6212"/>
      <c r="AR29" s="6771" t="s">
        <v>744</v>
      </c>
      <c r="AS29" s="6765" t="s">
        <v>745</v>
      </c>
      <c r="AT29" s="6770" t="s">
        <v>746</v>
      </c>
      <c r="AU29" s="5430" t="s">
        <v>727</v>
      </c>
      <c r="AV29" s="5430" t="s">
        <v>1650</v>
      </c>
      <c r="AW29" s="94"/>
      <c r="AX29" s="94"/>
      <c r="AY29" s="94"/>
      <c r="AZ29" s="94"/>
      <c r="BA29" s="94"/>
      <c r="BB29" s="94"/>
      <c r="BC29" s="94"/>
      <c r="BD29" s="94"/>
      <c r="BE29" s="94"/>
      <c r="BF29" s="94"/>
      <c r="BG29" s="94"/>
      <c r="BH29" s="94"/>
      <c r="BI29" s="94"/>
      <c r="BY29" s="79"/>
      <c r="CH29" s="1020"/>
      <c r="CI29" s="1020"/>
      <c r="CJ29" s="1020"/>
      <c r="CK29" s="1020"/>
      <c r="CL29" s="1020"/>
      <c r="CM29" s="1020"/>
      <c r="CN29" s="1020"/>
      <c r="CO29" s="1020"/>
      <c r="CP29" s="1020"/>
      <c r="CQ29" s="1020"/>
      <c r="CR29" s="1020"/>
      <c r="CS29" s="1020"/>
      <c r="CT29" s="1020"/>
      <c r="CU29" s="1020"/>
      <c r="CW29" s="80"/>
      <c r="CX29" s="80"/>
      <c r="CY29" s="80"/>
      <c r="CZ29" s="80"/>
      <c r="DA29" s="80"/>
    </row>
    <row r="30" spans="1:105" ht="29.25" customHeight="1" x14ac:dyDescent="0.2">
      <c r="B30" s="5147"/>
      <c r="C30" s="6752"/>
      <c r="D30" s="5403"/>
      <c r="E30" s="5403"/>
      <c r="F30" s="1597" t="s">
        <v>24</v>
      </c>
      <c r="G30" s="4738" t="s">
        <v>25</v>
      </c>
      <c r="H30" s="1597" t="s">
        <v>24</v>
      </c>
      <c r="I30" s="4738" t="s">
        <v>25</v>
      </c>
      <c r="J30" s="1597" t="s">
        <v>24</v>
      </c>
      <c r="K30" s="4738" t="s">
        <v>25</v>
      </c>
      <c r="L30" s="1597" t="s">
        <v>24</v>
      </c>
      <c r="M30" s="4738" t="s">
        <v>25</v>
      </c>
      <c r="N30" s="4778" t="s">
        <v>24</v>
      </c>
      <c r="O30" s="4738" t="s">
        <v>25</v>
      </c>
      <c r="P30" s="1597" t="s">
        <v>24</v>
      </c>
      <c r="Q30" s="4738" t="s">
        <v>25</v>
      </c>
      <c r="R30" s="1597" t="s">
        <v>24</v>
      </c>
      <c r="S30" s="4738" t="s">
        <v>25</v>
      </c>
      <c r="T30" s="1597" t="s">
        <v>24</v>
      </c>
      <c r="U30" s="4738" t="s">
        <v>25</v>
      </c>
      <c r="V30" s="1597" t="s">
        <v>24</v>
      </c>
      <c r="W30" s="4738" t="s">
        <v>25</v>
      </c>
      <c r="X30" s="1597" t="s">
        <v>24</v>
      </c>
      <c r="Y30" s="4738" t="s">
        <v>25</v>
      </c>
      <c r="Z30" s="1597" t="s">
        <v>24</v>
      </c>
      <c r="AA30" s="4738" t="s">
        <v>25</v>
      </c>
      <c r="AB30" s="1597" t="s">
        <v>24</v>
      </c>
      <c r="AC30" s="4738" t="s">
        <v>25</v>
      </c>
      <c r="AD30" s="1597" t="s">
        <v>24</v>
      </c>
      <c r="AE30" s="4738" t="s">
        <v>25</v>
      </c>
      <c r="AF30" s="1597" t="s">
        <v>24</v>
      </c>
      <c r="AG30" s="4738" t="s">
        <v>25</v>
      </c>
      <c r="AH30" s="1597" t="s">
        <v>24</v>
      </c>
      <c r="AI30" s="4738" t="s">
        <v>25</v>
      </c>
      <c r="AJ30" s="1597" t="s">
        <v>24</v>
      </c>
      <c r="AK30" s="4738" t="s">
        <v>25</v>
      </c>
      <c r="AL30" s="1597" t="s">
        <v>24</v>
      </c>
      <c r="AM30" s="4738" t="s">
        <v>25</v>
      </c>
      <c r="AN30" s="1597" t="s">
        <v>24</v>
      </c>
      <c r="AO30" s="4738" t="s">
        <v>25</v>
      </c>
      <c r="AP30" s="1597" t="s">
        <v>24</v>
      </c>
      <c r="AQ30" s="4776" t="s">
        <v>25</v>
      </c>
      <c r="AR30" s="6772"/>
      <c r="AS30" s="6766"/>
      <c r="AT30" s="6757"/>
      <c r="AU30" s="5159"/>
      <c r="AV30" s="5159"/>
      <c r="AW30" s="94"/>
      <c r="AX30" s="94"/>
      <c r="AY30" s="94"/>
      <c r="AZ30" s="94"/>
      <c r="BA30" s="94"/>
      <c r="BB30" s="94"/>
      <c r="BC30" s="94"/>
      <c r="BD30" s="94"/>
      <c r="BE30" s="94"/>
      <c r="BF30" s="94"/>
      <c r="BG30" s="94"/>
      <c r="BH30" s="94"/>
      <c r="BI30" s="94"/>
      <c r="BY30" s="79"/>
      <c r="CH30" s="1020"/>
      <c r="CI30" s="1020"/>
      <c r="CJ30" s="1020"/>
      <c r="CK30" s="1020"/>
      <c r="CL30" s="1020"/>
      <c r="CM30" s="1020"/>
      <c r="CN30" s="1020"/>
      <c r="CO30" s="1020"/>
      <c r="CP30" s="1020"/>
      <c r="CQ30" s="1020"/>
      <c r="CR30" s="1020"/>
      <c r="CS30" s="1020"/>
      <c r="CT30" s="1020"/>
      <c r="CU30" s="1020"/>
      <c r="CW30" s="80"/>
      <c r="CX30" s="80"/>
      <c r="CY30" s="80"/>
      <c r="CZ30" s="80"/>
      <c r="DA30" s="80"/>
    </row>
    <row r="31" spans="1:105" ht="18" customHeight="1" x14ac:dyDescent="0.2">
      <c r="A31" s="3024">
        <v>28014800</v>
      </c>
      <c r="B31" s="6767" t="s">
        <v>757</v>
      </c>
      <c r="C31" s="6768"/>
      <c r="D31" s="6769"/>
      <c r="E31" s="1852" t="s">
        <v>2777</v>
      </c>
      <c r="F31" s="1851" t="s">
        <v>2778</v>
      </c>
      <c r="G31" s="305" t="s">
        <v>2779</v>
      </c>
      <c r="H31" s="1851" t="s">
        <v>2780</v>
      </c>
      <c r="I31" s="1847" t="s">
        <v>2781</v>
      </c>
      <c r="J31" s="1851" t="s">
        <v>2782</v>
      </c>
      <c r="K31" s="1847" t="s">
        <v>2783</v>
      </c>
      <c r="L31" s="1851" t="s">
        <v>2784</v>
      </c>
      <c r="M31" s="305" t="s">
        <v>2785</v>
      </c>
      <c r="N31" s="1848" t="s">
        <v>2786</v>
      </c>
      <c r="O31" s="1847" t="s">
        <v>2787</v>
      </c>
      <c r="P31" s="1848" t="s">
        <v>2788</v>
      </c>
      <c r="Q31" s="1847" t="s">
        <v>2789</v>
      </c>
      <c r="R31" s="1848" t="s">
        <v>2790</v>
      </c>
      <c r="S31" s="1847" t="s">
        <v>2791</v>
      </c>
      <c r="T31" s="1848" t="s">
        <v>2792</v>
      </c>
      <c r="U31" s="1847" t="s">
        <v>2793</v>
      </c>
      <c r="V31" s="1848" t="s">
        <v>2794</v>
      </c>
      <c r="W31" s="1847" t="s">
        <v>2795</v>
      </c>
      <c r="X31" s="1848" t="s">
        <v>2796</v>
      </c>
      <c r="Y31" s="1847" t="s">
        <v>2797</v>
      </c>
      <c r="Z31" s="1848" t="s">
        <v>2798</v>
      </c>
      <c r="AA31" s="1847" t="s">
        <v>2799</v>
      </c>
      <c r="AB31" s="1848" t="s">
        <v>2800</v>
      </c>
      <c r="AC31" s="1847" t="s">
        <v>2801</v>
      </c>
      <c r="AD31" s="1848" t="s">
        <v>2817</v>
      </c>
      <c r="AE31" s="1847" t="s">
        <v>2818</v>
      </c>
      <c r="AF31" s="1848" t="s">
        <v>2819</v>
      </c>
      <c r="AG31" s="1847" t="s">
        <v>2821</v>
      </c>
      <c r="AH31" s="1848" t="s">
        <v>2822</v>
      </c>
      <c r="AI31" s="1847" t="s">
        <v>2823</v>
      </c>
      <c r="AJ31" s="1848" t="s">
        <v>2824</v>
      </c>
      <c r="AK31" s="1847" t="s">
        <v>2825</v>
      </c>
      <c r="AL31" s="1848" t="s">
        <v>2826</v>
      </c>
      <c r="AM31" s="1847" t="s">
        <v>2827</v>
      </c>
      <c r="AN31" s="1848" t="s">
        <v>2831</v>
      </c>
      <c r="AO31" s="1847" t="s">
        <v>2832</v>
      </c>
      <c r="AP31" s="1848" t="s">
        <v>2833</v>
      </c>
      <c r="AQ31" s="1850" t="s">
        <v>2834</v>
      </c>
      <c r="AR31" s="1849" t="s">
        <v>3011</v>
      </c>
      <c r="AS31" s="1848" t="s">
        <v>3012</v>
      </c>
      <c r="AT31" s="1847" t="s">
        <v>3013</v>
      </c>
      <c r="AU31" s="1847" t="s">
        <v>3014</v>
      </c>
      <c r="AV31" s="1847" t="s">
        <v>3015</v>
      </c>
      <c r="AW31" s="1079" t="str">
        <f>CB31&amp;CC31&amp;CD31&amp;CE31&amp;CF31&amp;CG31&amp;CV31</f>
        <v/>
      </c>
      <c r="AX31" s="1085"/>
      <c r="AY31" s="1085"/>
      <c r="AZ31" s="1085"/>
      <c r="BA31" s="1085"/>
      <c r="BB31" s="1085"/>
      <c r="BC31" s="1085"/>
      <c r="BD31" s="1085"/>
      <c r="BE31" s="1085"/>
      <c r="BF31" s="1085"/>
      <c r="BG31" s="1085"/>
      <c r="BH31" s="94"/>
      <c r="BI31" s="94"/>
      <c r="BY31" s="79"/>
      <c r="CB31" s="1031" t="str">
        <f>IF(CH31=1,"* Existen patologías que son mayores al Total de Ingresos-Persona. ","")</f>
        <v/>
      </c>
      <c r="CC31" s="1031" t="str">
        <f>IF(CI31=1,"* EN RBC Existen Patologías que son Mayores a los Ingresos-Personas. ","")</f>
        <v/>
      </c>
      <c r="CD31" s="1031" t="str">
        <f>IF(CJ31=1,"* En RI existen Patologías que son mayores a los Ingresos-Personas. ","")</f>
        <v/>
      </c>
      <c r="CE31" s="1031" t="str">
        <f>IF(CK31=1,"* En RR Existen Patologías que son mayores a los Ingresos-Personas. ","")</f>
        <v/>
      </c>
      <c r="CF31" s="1031" t="str">
        <f>IF(CL31=1,"* En Otros existen patologías que son mayores a los Ingresos-Persona. ","")</f>
        <v/>
      </c>
      <c r="CG31" s="1031" t="str">
        <f>IF(CM31=1,"* En UAPORRINO existen patologías que son mayores a los Ingresos-personas. ","")</f>
        <v/>
      </c>
      <c r="CH31" s="1163">
        <f>IF(E31&lt;MAX(E32:E54),1,0)</f>
        <v>0</v>
      </c>
      <c r="CI31" s="1163">
        <f>IF(AR31&lt;MAX(AR32:AR54),1,0)</f>
        <v>0</v>
      </c>
      <c r="CJ31" s="1163">
        <f>IF(AS31&lt;MAX(AS32:AS54),1,0)</f>
        <v>0</v>
      </c>
      <c r="CK31" s="1163">
        <f>IF(AT31&lt;MAX(AT32:AT54),1,0)</f>
        <v>0</v>
      </c>
      <c r="CL31" s="1163">
        <f>IF(AU31&lt;MAX(AU32:AU54),1,0)</f>
        <v>0</v>
      </c>
      <c r="CM31" s="1163">
        <f>IF(AV31&lt;MAX(AV32:AV54),1,0)</f>
        <v>0</v>
      </c>
      <c r="CN31" s="1163">
        <f>IF(E31&lt;&gt;C13,1,0)</f>
        <v>0</v>
      </c>
      <c r="CO31" s="1163"/>
      <c r="CP31" s="1163"/>
      <c r="CQ31" s="1163"/>
      <c r="CR31" s="1163"/>
      <c r="CS31" s="1163"/>
      <c r="CT31" s="1163"/>
      <c r="CU31" s="1163"/>
      <c r="CV31" s="1031" t="str">
        <f>IF(CN31=1,"* El número de Ingreso NO DEBE ser distinto al Total de Ingresos de la sección A.1. ","")</f>
        <v/>
      </c>
      <c r="CW31" s="80"/>
      <c r="CX31" s="80"/>
      <c r="CY31" s="80"/>
      <c r="CZ31" s="80"/>
      <c r="DA31" s="80"/>
    </row>
    <row r="32" spans="1:105" ht="17.100000000000001" customHeight="1" x14ac:dyDescent="0.2">
      <c r="A32" s="3024" t="s">
        <v>3700</v>
      </c>
      <c r="B32" s="6717" t="s">
        <v>1169</v>
      </c>
      <c r="C32" s="6334" t="s">
        <v>1165</v>
      </c>
      <c r="D32" s="6335"/>
      <c r="E32" s="1846" t="s">
        <v>2777</v>
      </c>
      <c r="F32" s="301" t="s">
        <v>2778</v>
      </c>
      <c r="G32" s="303" t="s">
        <v>2779</v>
      </c>
      <c r="H32" s="301" t="s">
        <v>2780</v>
      </c>
      <c r="I32" s="302" t="s">
        <v>2781</v>
      </c>
      <c r="J32" s="301" t="s">
        <v>2782</v>
      </c>
      <c r="K32" s="302" t="s">
        <v>2783</v>
      </c>
      <c r="L32" s="301" t="s">
        <v>2784</v>
      </c>
      <c r="M32" s="303" t="s">
        <v>2785</v>
      </c>
      <c r="N32" s="473" t="s">
        <v>2786</v>
      </c>
      <c r="O32" s="302" t="s">
        <v>2787</v>
      </c>
      <c r="P32" s="473" t="s">
        <v>2788</v>
      </c>
      <c r="Q32" s="302" t="s">
        <v>2789</v>
      </c>
      <c r="R32" s="473" t="s">
        <v>2790</v>
      </c>
      <c r="S32" s="302" t="s">
        <v>2791</v>
      </c>
      <c r="T32" s="473" t="s">
        <v>2792</v>
      </c>
      <c r="U32" s="302" t="s">
        <v>2793</v>
      </c>
      <c r="V32" s="473" t="s">
        <v>2794</v>
      </c>
      <c r="W32" s="302" t="s">
        <v>2795</v>
      </c>
      <c r="X32" s="473" t="s">
        <v>2796</v>
      </c>
      <c r="Y32" s="302" t="s">
        <v>2797</v>
      </c>
      <c r="Z32" s="473" t="s">
        <v>2798</v>
      </c>
      <c r="AA32" s="302" t="s">
        <v>2799</v>
      </c>
      <c r="AB32" s="473" t="s">
        <v>2800</v>
      </c>
      <c r="AC32" s="302" t="s">
        <v>2801</v>
      </c>
      <c r="AD32" s="473" t="s">
        <v>2817</v>
      </c>
      <c r="AE32" s="302" t="s">
        <v>2818</v>
      </c>
      <c r="AF32" s="473" t="s">
        <v>2819</v>
      </c>
      <c r="AG32" s="302" t="s">
        <v>2821</v>
      </c>
      <c r="AH32" s="473" t="s">
        <v>2822</v>
      </c>
      <c r="AI32" s="302" t="s">
        <v>2823</v>
      </c>
      <c r="AJ32" s="473" t="s">
        <v>2824</v>
      </c>
      <c r="AK32" s="302" t="s">
        <v>2825</v>
      </c>
      <c r="AL32" s="473" t="s">
        <v>2826</v>
      </c>
      <c r="AM32" s="302" t="s">
        <v>2827</v>
      </c>
      <c r="AN32" s="473" t="s">
        <v>2831</v>
      </c>
      <c r="AO32" s="302" t="s">
        <v>2832</v>
      </c>
      <c r="AP32" s="473" t="s">
        <v>2833</v>
      </c>
      <c r="AQ32" s="728" t="s">
        <v>2834</v>
      </c>
      <c r="AR32" s="590" t="s">
        <v>3011</v>
      </c>
      <c r="AS32" s="473" t="s">
        <v>3012</v>
      </c>
      <c r="AT32" s="302" t="s">
        <v>3013</v>
      </c>
      <c r="AU32" s="302" t="s">
        <v>3014</v>
      </c>
      <c r="AV32" s="302" t="s">
        <v>3015</v>
      </c>
      <c r="AW32" s="1085"/>
      <c r="AX32" s="1085"/>
      <c r="AY32" s="1085"/>
      <c r="AZ32" s="1085"/>
      <c r="BA32" s="1085"/>
      <c r="BB32" s="1085"/>
      <c r="BC32" s="1085"/>
      <c r="BD32" s="1085"/>
      <c r="BE32" s="1085"/>
      <c r="BF32" s="1085"/>
      <c r="BG32" s="1085"/>
      <c r="BH32" s="94"/>
      <c r="BI32" s="94"/>
      <c r="BY32" s="79"/>
      <c r="CH32" s="1020"/>
      <c r="CI32" s="1020"/>
      <c r="CJ32" s="1020"/>
      <c r="CK32" s="1020"/>
      <c r="CL32" s="1020"/>
      <c r="CM32" s="1020"/>
      <c r="CN32" s="1020"/>
      <c r="CO32" s="1020"/>
      <c r="CP32" s="1020"/>
      <c r="CQ32" s="1020"/>
      <c r="CR32" s="1020"/>
      <c r="CS32" s="1020"/>
      <c r="CT32" s="1020"/>
      <c r="CU32" s="1020"/>
      <c r="CW32" s="80"/>
      <c r="CX32" s="80"/>
      <c r="CY32" s="80"/>
      <c r="CZ32" s="80"/>
      <c r="DA32" s="80"/>
    </row>
    <row r="33" spans="1:105" ht="17.100000000000001" customHeight="1" x14ac:dyDescent="0.2">
      <c r="A33" s="3024" t="s">
        <v>3701</v>
      </c>
      <c r="B33" s="5146"/>
      <c r="C33" s="5313" t="s">
        <v>758</v>
      </c>
      <c r="D33" s="5303"/>
      <c r="E33" s="553" t="s">
        <v>2777</v>
      </c>
      <c r="F33" s="474" t="s">
        <v>2778</v>
      </c>
      <c r="G33" s="475" t="s">
        <v>2779</v>
      </c>
      <c r="H33" s="474" t="s">
        <v>2780</v>
      </c>
      <c r="I33" s="439" t="s">
        <v>2781</v>
      </c>
      <c r="J33" s="474" t="s">
        <v>2782</v>
      </c>
      <c r="K33" s="439" t="s">
        <v>2783</v>
      </c>
      <c r="L33" s="474" t="s">
        <v>2784</v>
      </c>
      <c r="M33" s="475" t="s">
        <v>2785</v>
      </c>
      <c r="N33" s="476" t="s">
        <v>2786</v>
      </c>
      <c r="O33" s="439" t="s">
        <v>2787</v>
      </c>
      <c r="P33" s="476" t="s">
        <v>2788</v>
      </c>
      <c r="Q33" s="439" t="s">
        <v>2789</v>
      </c>
      <c r="R33" s="476" t="s">
        <v>2790</v>
      </c>
      <c r="S33" s="439" t="s">
        <v>2791</v>
      </c>
      <c r="T33" s="476" t="s">
        <v>2792</v>
      </c>
      <c r="U33" s="439" t="s">
        <v>2793</v>
      </c>
      <c r="V33" s="476" t="s">
        <v>2794</v>
      </c>
      <c r="W33" s="439" t="s">
        <v>2795</v>
      </c>
      <c r="X33" s="476" t="s">
        <v>2796</v>
      </c>
      <c r="Y33" s="439" t="s">
        <v>2797</v>
      </c>
      <c r="Z33" s="476" t="s">
        <v>2798</v>
      </c>
      <c r="AA33" s="439" t="s">
        <v>2799</v>
      </c>
      <c r="AB33" s="476" t="s">
        <v>2800</v>
      </c>
      <c r="AC33" s="439" t="s">
        <v>2801</v>
      </c>
      <c r="AD33" s="476" t="s">
        <v>2817</v>
      </c>
      <c r="AE33" s="439" t="s">
        <v>2818</v>
      </c>
      <c r="AF33" s="476" t="s">
        <v>2819</v>
      </c>
      <c r="AG33" s="439" t="s">
        <v>2821</v>
      </c>
      <c r="AH33" s="476" t="s">
        <v>2822</v>
      </c>
      <c r="AI33" s="439" t="s">
        <v>2823</v>
      </c>
      <c r="AJ33" s="476" t="s">
        <v>2824</v>
      </c>
      <c r="AK33" s="439" t="s">
        <v>2825</v>
      </c>
      <c r="AL33" s="476" t="s">
        <v>2826</v>
      </c>
      <c r="AM33" s="439" t="s">
        <v>2827</v>
      </c>
      <c r="AN33" s="476" t="s">
        <v>2831</v>
      </c>
      <c r="AO33" s="439" t="s">
        <v>2832</v>
      </c>
      <c r="AP33" s="476" t="s">
        <v>2833</v>
      </c>
      <c r="AQ33" s="1141" t="s">
        <v>2834</v>
      </c>
      <c r="AR33" s="591" t="s">
        <v>3011</v>
      </c>
      <c r="AS33" s="476" t="s">
        <v>3012</v>
      </c>
      <c r="AT33" s="439" t="s">
        <v>3013</v>
      </c>
      <c r="AU33" s="439" t="s">
        <v>3014</v>
      </c>
      <c r="AV33" s="439" t="s">
        <v>3015</v>
      </c>
      <c r="AW33" s="1085"/>
      <c r="AX33" s="1085"/>
      <c r="AY33" s="1085"/>
      <c r="AZ33" s="1085"/>
      <c r="BA33" s="1085"/>
      <c r="BB33" s="1085"/>
      <c r="BC33" s="1085"/>
      <c r="BD33" s="1085"/>
      <c r="BE33" s="1085"/>
      <c r="BF33" s="1085"/>
      <c r="BG33" s="1085"/>
      <c r="BH33" s="94"/>
      <c r="BI33" s="94"/>
      <c r="BY33" s="79"/>
      <c r="CH33" s="1020"/>
      <c r="CI33" s="1020"/>
      <c r="CJ33" s="1020"/>
      <c r="CK33" s="1020"/>
      <c r="CL33" s="1020"/>
      <c r="CM33" s="1020"/>
      <c r="CN33" s="1020"/>
      <c r="CO33" s="1020"/>
      <c r="CP33" s="1020"/>
      <c r="CQ33" s="1020"/>
      <c r="CR33" s="1020"/>
      <c r="CS33" s="1020"/>
      <c r="CT33" s="1020"/>
      <c r="CU33" s="1020"/>
      <c r="CV33" s="80"/>
      <c r="CW33" s="80"/>
      <c r="CX33" s="80"/>
      <c r="CY33" s="80"/>
      <c r="CZ33" s="80"/>
      <c r="DA33" s="80"/>
    </row>
    <row r="34" spans="1:105" ht="17.100000000000001" customHeight="1" x14ac:dyDescent="0.2">
      <c r="A34" s="3024" t="s">
        <v>3702</v>
      </c>
      <c r="B34" s="5146"/>
      <c r="C34" s="5556" t="s">
        <v>1525</v>
      </c>
      <c r="D34" s="5557"/>
      <c r="E34" s="553" t="s">
        <v>2777</v>
      </c>
      <c r="F34" s="474" t="s">
        <v>2778</v>
      </c>
      <c r="G34" s="475" t="s">
        <v>2779</v>
      </c>
      <c r="H34" s="474" t="s">
        <v>2780</v>
      </c>
      <c r="I34" s="439" t="s">
        <v>2781</v>
      </c>
      <c r="J34" s="474" t="s">
        <v>2782</v>
      </c>
      <c r="K34" s="439" t="s">
        <v>2783</v>
      </c>
      <c r="L34" s="474" t="s">
        <v>2784</v>
      </c>
      <c r="M34" s="475" t="s">
        <v>2785</v>
      </c>
      <c r="N34" s="476" t="s">
        <v>2786</v>
      </c>
      <c r="O34" s="439" t="s">
        <v>2787</v>
      </c>
      <c r="P34" s="476" t="s">
        <v>2788</v>
      </c>
      <c r="Q34" s="439" t="s">
        <v>2789</v>
      </c>
      <c r="R34" s="476" t="s">
        <v>2790</v>
      </c>
      <c r="S34" s="439" t="s">
        <v>2791</v>
      </c>
      <c r="T34" s="476" t="s">
        <v>2792</v>
      </c>
      <c r="U34" s="439" t="s">
        <v>2793</v>
      </c>
      <c r="V34" s="476" t="s">
        <v>2794</v>
      </c>
      <c r="W34" s="439" t="s">
        <v>2795</v>
      </c>
      <c r="X34" s="476" t="s">
        <v>2796</v>
      </c>
      <c r="Y34" s="439" t="s">
        <v>2797</v>
      </c>
      <c r="Z34" s="476" t="s">
        <v>2798</v>
      </c>
      <c r="AA34" s="439" t="s">
        <v>2799</v>
      </c>
      <c r="AB34" s="476" t="s">
        <v>2800</v>
      </c>
      <c r="AC34" s="439" t="s">
        <v>2801</v>
      </c>
      <c r="AD34" s="476" t="s">
        <v>2817</v>
      </c>
      <c r="AE34" s="439" t="s">
        <v>2818</v>
      </c>
      <c r="AF34" s="476" t="s">
        <v>2819</v>
      </c>
      <c r="AG34" s="439" t="s">
        <v>2821</v>
      </c>
      <c r="AH34" s="476" t="s">
        <v>2822</v>
      </c>
      <c r="AI34" s="439" t="s">
        <v>2823</v>
      </c>
      <c r="AJ34" s="476" t="s">
        <v>2824</v>
      </c>
      <c r="AK34" s="439" t="s">
        <v>2825</v>
      </c>
      <c r="AL34" s="476" t="s">
        <v>2826</v>
      </c>
      <c r="AM34" s="439" t="s">
        <v>2827</v>
      </c>
      <c r="AN34" s="476" t="s">
        <v>2831</v>
      </c>
      <c r="AO34" s="439" t="s">
        <v>2832</v>
      </c>
      <c r="AP34" s="476" t="s">
        <v>2833</v>
      </c>
      <c r="AQ34" s="1141" t="s">
        <v>2834</v>
      </c>
      <c r="AR34" s="591" t="s">
        <v>3011</v>
      </c>
      <c r="AS34" s="476" t="s">
        <v>3012</v>
      </c>
      <c r="AT34" s="439" t="s">
        <v>3013</v>
      </c>
      <c r="AU34" s="439" t="s">
        <v>3014</v>
      </c>
      <c r="AV34" s="439" t="s">
        <v>3015</v>
      </c>
      <c r="AW34" s="1085"/>
      <c r="AX34" s="1085"/>
      <c r="AY34" s="1085"/>
      <c r="AZ34" s="1085"/>
      <c r="BA34" s="1085"/>
      <c r="BB34" s="1085"/>
      <c r="BC34" s="1085"/>
      <c r="BD34" s="1085"/>
      <c r="BE34" s="1085"/>
      <c r="BF34" s="1085"/>
      <c r="BG34" s="1085"/>
      <c r="BH34" s="94"/>
      <c r="BI34" s="94"/>
      <c r="BY34" s="79"/>
      <c r="CH34" s="1020"/>
      <c r="CI34" s="1020"/>
      <c r="CJ34" s="1020"/>
      <c r="CK34" s="1020"/>
      <c r="CL34" s="1020"/>
      <c r="CM34" s="1020"/>
      <c r="CN34" s="1020"/>
      <c r="CO34" s="1020"/>
      <c r="CP34" s="1020"/>
      <c r="CQ34" s="1020"/>
      <c r="CR34" s="1020"/>
      <c r="CS34" s="1020"/>
      <c r="CT34" s="1020"/>
      <c r="CU34" s="1020"/>
      <c r="CV34" s="80"/>
      <c r="CW34" s="80"/>
      <c r="CX34" s="80"/>
      <c r="CY34" s="80"/>
      <c r="CZ34" s="80"/>
      <c r="DA34" s="80"/>
    </row>
    <row r="35" spans="1:105" ht="24" customHeight="1" x14ac:dyDescent="0.2">
      <c r="A35" s="3024" t="s">
        <v>3703</v>
      </c>
      <c r="B35" s="5146"/>
      <c r="C35" s="5556" t="s">
        <v>2734</v>
      </c>
      <c r="D35" s="5557"/>
      <c r="E35" s="553" t="s">
        <v>2777</v>
      </c>
      <c r="F35" s="474" t="s">
        <v>2778</v>
      </c>
      <c r="G35" s="475" t="s">
        <v>2779</v>
      </c>
      <c r="H35" s="474" t="s">
        <v>2780</v>
      </c>
      <c r="I35" s="439" t="s">
        <v>2781</v>
      </c>
      <c r="J35" s="474" t="s">
        <v>2782</v>
      </c>
      <c r="K35" s="439" t="s">
        <v>2783</v>
      </c>
      <c r="L35" s="474" t="s">
        <v>2784</v>
      </c>
      <c r="M35" s="475" t="s">
        <v>2785</v>
      </c>
      <c r="N35" s="476" t="s">
        <v>2786</v>
      </c>
      <c r="O35" s="439" t="s">
        <v>2787</v>
      </c>
      <c r="P35" s="476" t="s">
        <v>2788</v>
      </c>
      <c r="Q35" s="439" t="s">
        <v>2789</v>
      </c>
      <c r="R35" s="476" t="s">
        <v>2790</v>
      </c>
      <c r="S35" s="439" t="s">
        <v>2791</v>
      </c>
      <c r="T35" s="476" t="s">
        <v>2792</v>
      </c>
      <c r="U35" s="439" t="s">
        <v>2793</v>
      </c>
      <c r="V35" s="476" t="s">
        <v>2794</v>
      </c>
      <c r="W35" s="439" t="s">
        <v>2795</v>
      </c>
      <c r="X35" s="476" t="s">
        <v>2796</v>
      </c>
      <c r="Y35" s="439" t="s">
        <v>2797</v>
      </c>
      <c r="Z35" s="476" t="s">
        <v>2798</v>
      </c>
      <c r="AA35" s="439" t="s">
        <v>2799</v>
      </c>
      <c r="AB35" s="476" t="s">
        <v>2800</v>
      </c>
      <c r="AC35" s="439" t="s">
        <v>2801</v>
      </c>
      <c r="AD35" s="476" t="s">
        <v>2817</v>
      </c>
      <c r="AE35" s="439" t="s">
        <v>2818</v>
      </c>
      <c r="AF35" s="476" t="s">
        <v>2819</v>
      </c>
      <c r="AG35" s="439" t="s">
        <v>2821</v>
      </c>
      <c r="AH35" s="476" t="s">
        <v>2822</v>
      </c>
      <c r="AI35" s="439" t="s">
        <v>2823</v>
      </c>
      <c r="AJ35" s="476" t="s">
        <v>2824</v>
      </c>
      <c r="AK35" s="439" t="s">
        <v>2825</v>
      </c>
      <c r="AL35" s="476" t="s">
        <v>2826</v>
      </c>
      <c r="AM35" s="439" t="s">
        <v>2827</v>
      </c>
      <c r="AN35" s="476" t="s">
        <v>2831</v>
      </c>
      <c r="AO35" s="439" t="s">
        <v>2832</v>
      </c>
      <c r="AP35" s="476" t="s">
        <v>2833</v>
      </c>
      <c r="AQ35" s="1141" t="s">
        <v>2834</v>
      </c>
      <c r="AR35" s="591" t="s">
        <v>3011</v>
      </c>
      <c r="AS35" s="476" t="s">
        <v>3012</v>
      </c>
      <c r="AT35" s="439" t="s">
        <v>3013</v>
      </c>
      <c r="AU35" s="439" t="s">
        <v>3014</v>
      </c>
      <c r="AV35" s="439" t="s">
        <v>3015</v>
      </c>
      <c r="AW35" s="94"/>
      <c r="AX35" s="94"/>
      <c r="AY35" s="94"/>
      <c r="AZ35" s="94"/>
      <c r="BA35" s="94"/>
      <c r="BB35" s="94"/>
      <c r="BC35" s="94"/>
      <c r="BD35" s="94"/>
      <c r="BE35" s="94"/>
      <c r="BF35" s="94"/>
      <c r="BG35" s="94"/>
      <c r="BH35" s="94"/>
      <c r="BI35" s="94"/>
      <c r="BY35" s="79"/>
      <c r="CH35" s="1020"/>
      <c r="CI35" s="1020"/>
      <c r="CJ35" s="1020"/>
      <c r="CK35" s="1020"/>
      <c r="CL35" s="1020"/>
      <c r="CM35" s="1020"/>
      <c r="CN35" s="1020"/>
      <c r="CO35" s="1020"/>
      <c r="CP35" s="1020"/>
      <c r="CQ35" s="1020"/>
      <c r="CR35" s="1020"/>
      <c r="CS35" s="1020"/>
      <c r="CT35" s="1020"/>
      <c r="CU35" s="1020"/>
      <c r="CV35" s="80"/>
      <c r="CW35" s="80"/>
      <c r="CX35" s="80"/>
      <c r="CY35" s="80"/>
      <c r="CZ35" s="80"/>
      <c r="DA35" s="80"/>
    </row>
    <row r="36" spans="1:105" ht="18.75" customHeight="1" x14ac:dyDescent="0.2">
      <c r="A36" s="3009">
        <v>28010600</v>
      </c>
      <c r="B36" s="5146"/>
      <c r="C36" s="5556" t="s">
        <v>2735</v>
      </c>
      <c r="D36" s="5557"/>
      <c r="E36" s="553" t="s">
        <v>2777</v>
      </c>
      <c r="F36" s="474" t="s">
        <v>2778</v>
      </c>
      <c r="G36" s="475" t="s">
        <v>2779</v>
      </c>
      <c r="H36" s="474" t="s">
        <v>2780</v>
      </c>
      <c r="I36" s="439" t="s">
        <v>2781</v>
      </c>
      <c r="J36" s="474" t="s">
        <v>2782</v>
      </c>
      <c r="K36" s="439" t="s">
        <v>2783</v>
      </c>
      <c r="L36" s="474" t="s">
        <v>2784</v>
      </c>
      <c r="M36" s="475" t="s">
        <v>2785</v>
      </c>
      <c r="N36" s="476" t="s">
        <v>2786</v>
      </c>
      <c r="O36" s="439" t="s">
        <v>2787</v>
      </c>
      <c r="P36" s="476" t="s">
        <v>2788</v>
      </c>
      <c r="Q36" s="439" t="s">
        <v>2789</v>
      </c>
      <c r="R36" s="476" t="s">
        <v>2790</v>
      </c>
      <c r="S36" s="439" t="s">
        <v>2791</v>
      </c>
      <c r="T36" s="476" t="s">
        <v>2792</v>
      </c>
      <c r="U36" s="439" t="s">
        <v>2793</v>
      </c>
      <c r="V36" s="476" t="s">
        <v>2794</v>
      </c>
      <c r="W36" s="439" t="s">
        <v>2795</v>
      </c>
      <c r="X36" s="476" t="s">
        <v>2796</v>
      </c>
      <c r="Y36" s="439" t="s">
        <v>2797</v>
      </c>
      <c r="Z36" s="476" t="s">
        <v>2798</v>
      </c>
      <c r="AA36" s="439" t="s">
        <v>2799</v>
      </c>
      <c r="AB36" s="476" t="s">
        <v>2800</v>
      </c>
      <c r="AC36" s="439" t="s">
        <v>2801</v>
      </c>
      <c r="AD36" s="476" t="s">
        <v>2817</v>
      </c>
      <c r="AE36" s="439" t="s">
        <v>2818</v>
      </c>
      <c r="AF36" s="476" t="s">
        <v>2819</v>
      </c>
      <c r="AG36" s="439" t="s">
        <v>2821</v>
      </c>
      <c r="AH36" s="476" t="s">
        <v>2822</v>
      </c>
      <c r="AI36" s="439" t="s">
        <v>2823</v>
      </c>
      <c r="AJ36" s="476" t="s">
        <v>2824</v>
      </c>
      <c r="AK36" s="439" t="s">
        <v>2825</v>
      </c>
      <c r="AL36" s="476" t="s">
        <v>2826</v>
      </c>
      <c r="AM36" s="439" t="s">
        <v>2827</v>
      </c>
      <c r="AN36" s="476" t="s">
        <v>2831</v>
      </c>
      <c r="AO36" s="439" t="s">
        <v>2832</v>
      </c>
      <c r="AP36" s="476" t="s">
        <v>2833</v>
      </c>
      <c r="AQ36" s="1141" t="s">
        <v>2834</v>
      </c>
      <c r="AR36" s="591" t="s">
        <v>3011</v>
      </c>
      <c r="AS36" s="476" t="s">
        <v>3012</v>
      </c>
      <c r="AT36" s="439" t="s">
        <v>3013</v>
      </c>
      <c r="AU36" s="439" t="s">
        <v>3014</v>
      </c>
      <c r="AV36" s="439" t="s">
        <v>3015</v>
      </c>
      <c r="AW36" s="94"/>
      <c r="AX36" s="94"/>
      <c r="AY36" s="94"/>
      <c r="AZ36" s="94"/>
      <c r="BA36" s="94"/>
      <c r="BB36" s="94"/>
      <c r="BC36" s="94"/>
      <c r="BD36" s="94"/>
      <c r="BE36" s="94"/>
      <c r="BF36" s="94"/>
      <c r="BG36" s="94"/>
      <c r="BH36" s="94"/>
      <c r="BI36" s="94"/>
      <c r="BJ36" s="94"/>
      <c r="CH36" s="1020"/>
      <c r="CI36" s="1020"/>
      <c r="CJ36" s="1020"/>
      <c r="CK36" s="1020"/>
      <c r="CL36" s="1020"/>
      <c r="CM36" s="1020"/>
      <c r="CN36" s="1020"/>
      <c r="CO36" s="1020"/>
      <c r="CP36" s="1020"/>
      <c r="CQ36" s="1020"/>
      <c r="CR36" s="1020"/>
      <c r="CS36" s="1020"/>
      <c r="CT36" s="1020"/>
      <c r="CU36" s="1020"/>
      <c r="CV36" s="80"/>
      <c r="CW36" s="80"/>
      <c r="CX36" s="80"/>
      <c r="CY36" s="80"/>
      <c r="CZ36" s="80"/>
      <c r="DA36" s="80"/>
    </row>
    <row r="37" spans="1:105" ht="18.75" customHeight="1" x14ac:dyDescent="0.2">
      <c r="A37" s="4651">
        <v>28010700</v>
      </c>
      <c r="B37" s="5146"/>
      <c r="C37" s="5556" t="s">
        <v>1716</v>
      </c>
      <c r="D37" s="5557"/>
      <c r="E37" s="553" t="s">
        <v>2777</v>
      </c>
      <c r="F37" s="474" t="s">
        <v>2778</v>
      </c>
      <c r="G37" s="475" t="s">
        <v>2779</v>
      </c>
      <c r="H37" s="474" t="s">
        <v>2780</v>
      </c>
      <c r="I37" s="439" t="s">
        <v>2781</v>
      </c>
      <c r="J37" s="474" t="s">
        <v>2782</v>
      </c>
      <c r="K37" s="439" t="s">
        <v>2783</v>
      </c>
      <c r="L37" s="474" t="s">
        <v>2784</v>
      </c>
      <c r="M37" s="475" t="s">
        <v>2785</v>
      </c>
      <c r="N37" s="476" t="s">
        <v>2786</v>
      </c>
      <c r="O37" s="439" t="s">
        <v>2787</v>
      </c>
      <c r="P37" s="476" t="s">
        <v>2788</v>
      </c>
      <c r="Q37" s="439" t="s">
        <v>2789</v>
      </c>
      <c r="R37" s="476" t="s">
        <v>2790</v>
      </c>
      <c r="S37" s="439" t="s">
        <v>2791</v>
      </c>
      <c r="T37" s="476" t="s">
        <v>2792</v>
      </c>
      <c r="U37" s="439" t="s">
        <v>2793</v>
      </c>
      <c r="V37" s="476" t="s">
        <v>2794</v>
      </c>
      <c r="W37" s="439" t="s">
        <v>2795</v>
      </c>
      <c r="X37" s="476" t="s">
        <v>2796</v>
      </c>
      <c r="Y37" s="439" t="s">
        <v>2797</v>
      </c>
      <c r="Z37" s="476" t="s">
        <v>2798</v>
      </c>
      <c r="AA37" s="439" t="s">
        <v>2799</v>
      </c>
      <c r="AB37" s="476" t="s">
        <v>2800</v>
      </c>
      <c r="AC37" s="439" t="s">
        <v>2801</v>
      </c>
      <c r="AD37" s="476" t="s">
        <v>2817</v>
      </c>
      <c r="AE37" s="439" t="s">
        <v>2818</v>
      </c>
      <c r="AF37" s="476" t="s">
        <v>2819</v>
      </c>
      <c r="AG37" s="439" t="s">
        <v>2821</v>
      </c>
      <c r="AH37" s="476" t="s">
        <v>2822</v>
      </c>
      <c r="AI37" s="439" t="s">
        <v>2823</v>
      </c>
      <c r="AJ37" s="476" t="s">
        <v>2824</v>
      </c>
      <c r="AK37" s="439" t="s">
        <v>2825</v>
      </c>
      <c r="AL37" s="476" t="s">
        <v>2826</v>
      </c>
      <c r="AM37" s="439" t="s">
        <v>2827</v>
      </c>
      <c r="AN37" s="476" t="s">
        <v>2831</v>
      </c>
      <c r="AO37" s="439" t="s">
        <v>2832</v>
      </c>
      <c r="AP37" s="476" t="s">
        <v>2833</v>
      </c>
      <c r="AQ37" s="1141" t="s">
        <v>2834</v>
      </c>
      <c r="AR37" s="591" t="s">
        <v>3011</v>
      </c>
      <c r="AS37" s="476" t="s">
        <v>3012</v>
      </c>
      <c r="AT37" s="439" t="s">
        <v>3013</v>
      </c>
      <c r="AU37" s="439" t="s">
        <v>3014</v>
      </c>
      <c r="AV37" s="439" t="s">
        <v>3015</v>
      </c>
      <c r="AW37" s="94"/>
      <c r="AX37" s="94"/>
      <c r="AY37" s="94"/>
      <c r="AZ37" s="94"/>
      <c r="BA37" s="94"/>
      <c r="BB37" s="94"/>
      <c r="BC37" s="94"/>
      <c r="BD37" s="94"/>
      <c r="BE37" s="94"/>
      <c r="BF37" s="94"/>
      <c r="BG37" s="94"/>
      <c r="BH37" s="94"/>
      <c r="BI37" s="94"/>
      <c r="BJ37" s="94"/>
      <c r="CH37" s="1020"/>
      <c r="CI37" s="1020"/>
      <c r="CJ37" s="1020"/>
      <c r="CK37" s="1020"/>
      <c r="CL37" s="1020"/>
      <c r="CM37" s="1020"/>
      <c r="CN37" s="1020"/>
      <c r="CO37" s="1020"/>
      <c r="CP37" s="1020"/>
      <c r="CQ37" s="1020"/>
      <c r="CR37" s="1020"/>
      <c r="CS37" s="1020"/>
      <c r="CT37" s="1020"/>
      <c r="CU37" s="1020"/>
      <c r="CV37" s="80"/>
      <c r="CW37" s="80"/>
      <c r="CX37" s="80"/>
      <c r="CY37" s="80"/>
      <c r="CZ37" s="80"/>
      <c r="DA37" s="80"/>
    </row>
    <row r="38" spans="1:105" ht="18.75" customHeight="1" x14ac:dyDescent="0.2">
      <c r="A38" s="4678">
        <v>28101010</v>
      </c>
      <c r="B38" s="5146"/>
      <c r="C38" s="5556" t="s">
        <v>1709</v>
      </c>
      <c r="D38" s="5557"/>
      <c r="E38" s="553" t="s">
        <v>2777</v>
      </c>
      <c r="F38" s="474" t="s">
        <v>2778</v>
      </c>
      <c r="G38" s="475" t="s">
        <v>2779</v>
      </c>
      <c r="H38" s="474" t="s">
        <v>2780</v>
      </c>
      <c r="I38" s="439" t="s">
        <v>2781</v>
      </c>
      <c r="J38" s="474" t="s">
        <v>2782</v>
      </c>
      <c r="K38" s="439" t="s">
        <v>2783</v>
      </c>
      <c r="L38" s="474" t="s">
        <v>2784</v>
      </c>
      <c r="M38" s="475" t="s">
        <v>2785</v>
      </c>
      <c r="N38" s="476" t="s">
        <v>2786</v>
      </c>
      <c r="O38" s="439" t="s">
        <v>2787</v>
      </c>
      <c r="P38" s="476" t="s">
        <v>2788</v>
      </c>
      <c r="Q38" s="439" t="s">
        <v>2789</v>
      </c>
      <c r="R38" s="476" t="s">
        <v>2790</v>
      </c>
      <c r="S38" s="439" t="s">
        <v>2791</v>
      </c>
      <c r="T38" s="476" t="s">
        <v>2792</v>
      </c>
      <c r="U38" s="439" t="s">
        <v>2793</v>
      </c>
      <c r="V38" s="476" t="s">
        <v>2794</v>
      </c>
      <c r="W38" s="439" t="s">
        <v>2795</v>
      </c>
      <c r="X38" s="476" t="s">
        <v>2796</v>
      </c>
      <c r="Y38" s="439" t="s">
        <v>2797</v>
      </c>
      <c r="Z38" s="476" t="s">
        <v>2798</v>
      </c>
      <c r="AA38" s="439" t="s">
        <v>2799</v>
      </c>
      <c r="AB38" s="476" t="s">
        <v>2800</v>
      </c>
      <c r="AC38" s="439" t="s">
        <v>2801</v>
      </c>
      <c r="AD38" s="476" t="s">
        <v>2817</v>
      </c>
      <c r="AE38" s="439" t="s">
        <v>2818</v>
      </c>
      <c r="AF38" s="476" t="s">
        <v>2819</v>
      </c>
      <c r="AG38" s="439" t="s">
        <v>2821</v>
      </c>
      <c r="AH38" s="476" t="s">
        <v>2822</v>
      </c>
      <c r="AI38" s="439" t="s">
        <v>2823</v>
      </c>
      <c r="AJ38" s="476" t="s">
        <v>2824</v>
      </c>
      <c r="AK38" s="439" t="s">
        <v>2825</v>
      </c>
      <c r="AL38" s="476" t="s">
        <v>2826</v>
      </c>
      <c r="AM38" s="439" t="s">
        <v>2827</v>
      </c>
      <c r="AN38" s="476" t="s">
        <v>2831</v>
      </c>
      <c r="AO38" s="439" t="s">
        <v>2832</v>
      </c>
      <c r="AP38" s="476" t="s">
        <v>2833</v>
      </c>
      <c r="AQ38" s="1141" t="s">
        <v>2834</v>
      </c>
      <c r="AR38" s="591" t="s">
        <v>3011</v>
      </c>
      <c r="AS38" s="476" t="s">
        <v>3012</v>
      </c>
      <c r="AT38" s="439" t="s">
        <v>3013</v>
      </c>
      <c r="AU38" s="439" t="s">
        <v>3014</v>
      </c>
      <c r="AV38" s="439" t="s">
        <v>3015</v>
      </c>
      <c r="AW38" s="94"/>
      <c r="AX38" s="94"/>
      <c r="AY38" s="94"/>
      <c r="AZ38" s="94"/>
      <c r="BA38" s="94"/>
      <c r="BB38" s="94"/>
      <c r="BC38" s="94"/>
      <c r="BD38" s="94"/>
      <c r="BE38" s="94"/>
      <c r="BF38" s="94"/>
      <c r="BG38" s="94"/>
      <c r="BH38" s="94"/>
      <c r="BI38" s="94"/>
      <c r="BJ38" s="94"/>
      <c r="CH38" s="1020"/>
      <c r="CI38" s="1020"/>
      <c r="CJ38" s="1020"/>
      <c r="CK38" s="1020"/>
      <c r="CL38" s="1020"/>
      <c r="CM38" s="1020"/>
      <c r="CN38" s="1020"/>
      <c r="CO38" s="1020"/>
      <c r="CP38" s="1020"/>
      <c r="CQ38" s="1020"/>
      <c r="CR38" s="1020"/>
      <c r="CS38" s="1020"/>
      <c r="CT38" s="1020"/>
      <c r="CU38" s="1020"/>
      <c r="CV38" s="80"/>
      <c r="CW38" s="80"/>
      <c r="CX38" s="80"/>
      <c r="CY38" s="80"/>
      <c r="CZ38" s="80"/>
      <c r="DA38" s="80"/>
    </row>
    <row r="39" spans="1:105" ht="18.75" customHeight="1" x14ac:dyDescent="0.2">
      <c r="A39" s="3024" t="s">
        <v>3705</v>
      </c>
      <c r="B39" s="5146"/>
      <c r="C39" s="5556" t="s">
        <v>759</v>
      </c>
      <c r="D39" s="5557"/>
      <c r="E39" s="553" t="s">
        <v>2777</v>
      </c>
      <c r="F39" s="474" t="s">
        <v>2778</v>
      </c>
      <c r="G39" s="475" t="s">
        <v>2779</v>
      </c>
      <c r="H39" s="474" t="s">
        <v>2780</v>
      </c>
      <c r="I39" s="439" t="s">
        <v>2781</v>
      </c>
      <c r="J39" s="474" t="s">
        <v>2782</v>
      </c>
      <c r="K39" s="439" t="s">
        <v>2783</v>
      </c>
      <c r="L39" s="474" t="s">
        <v>2784</v>
      </c>
      <c r="M39" s="475" t="s">
        <v>2785</v>
      </c>
      <c r="N39" s="476" t="s">
        <v>2786</v>
      </c>
      <c r="O39" s="439" t="s">
        <v>2787</v>
      </c>
      <c r="P39" s="476" t="s">
        <v>2788</v>
      </c>
      <c r="Q39" s="439" t="s">
        <v>2789</v>
      </c>
      <c r="R39" s="476" t="s">
        <v>2790</v>
      </c>
      <c r="S39" s="439" t="s">
        <v>2791</v>
      </c>
      <c r="T39" s="476" t="s">
        <v>2792</v>
      </c>
      <c r="U39" s="439" t="s">
        <v>2793</v>
      </c>
      <c r="V39" s="476" t="s">
        <v>2794</v>
      </c>
      <c r="W39" s="439" t="s">
        <v>2795</v>
      </c>
      <c r="X39" s="476" t="s">
        <v>2796</v>
      </c>
      <c r="Y39" s="439" t="s">
        <v>2797</v>
      </c>
      <c r="Z39" s="476" t="s">
        <v>2798</v>
      </c>
      <c r="AA39" s="439" t="s">
        <v>2799</v>
      </c>
      <c r="AB39" s="476" t="s">
        <v>2800</v>
      </c>
      <c r="AC39" s="439" t="s">
        <v>2801</v>
      </c>
      <c r="AD39" s="476" t="s">
        <v>2817</v>
      </c>
      <c r="AE39" s="439" t="s">
        <v>2818</v>
      </c>
      <c r="AF39" s="476" t="s">
        <v>2819</v>
      </c>
      <c r="AG39" s="439" t="s">
        <v>2821</v>
      </c>
      <c r="AH39" s="476" t="s">
        <v>2822</v>
      </c>
      <c r="AI39" s="439" t="s">
        <v>2823</v>
      </c>
      <c r="AJ39" s="476" t="s">
        <v>2824</v>
      </c>
      <c r="AK39" s="439" t="s">
        <v>2825</v>
      </c>
      <c r="AL39" s="476" t="s">
        <v>2826</v>
      </c>
      <c r="AM39" s="439" t="s">
        <v>2827</v>
      </c>
      <c r="AN39" s="476" t="s">
        <v>2831</v>
      </c>
      <c r="AO39" s="439" t="s">
        <v>2832</v>
      </c>
      <c r="AP39" s="476" t="s">
        <v>2833</v>
      </c>
      <c r="AQ39" s="1141" t="s">
        <v>2834</v>
      </c>
      <c r="AR39" s="591" t="s">
        <v>3011</v>
      </c>
      <c r="AS39" s="476" t="s">
        <v>3012</v>
      </c>
      <c r="AT39" s="439" t="s">
        <v>3013</v>
      </c>
      <c r="AU39" s="439" t="s">
        <v>3014</v>
      </c>
      <c r="AV39" s="439" t="s">
        <v>3015</v>
      </c>
      <c r="AW39" s="94"/>
      <c r="AX39" s="94"/>
      <c r="AY39" s="94"/>
      <c r="AZ39" s="94"/>
      <c r="BA39" s="94"/>
      <c r="BB39" s="94"/>
      <c r="BC39" s="94"/>
      <c r="BD39" s="94"/>
      <c r="BE39" s="94"/>
      <c r="BF39" s="94"/>
      <c r="BG39" s="94"/>
      <c r="BH39" s="94"/>
      <c r="BI39" s="94"/>
      <c r="BJ39" s="94"/>
      <c r="CH39" s="1020"/>
      <c r="CI39" s="1020"/>
      <c r="CJ39" s="1020"/>
      <c r="CK39" s="1020"/>
      <c r="CL39" s="1020"/>
      <c r="CM39" s="1020"/>
      <c r="CN39" s="1020"/>
      <c r="CO39" s="1020"/>
      <c r="CP39" s="1020"/>
      <c r="CQ39" s="1020"/>
      <c r="CR39" s="1020"/>
      <c r="CS39" s="1020"/>
      <c r="CT39" s="1020"/>
      <c r="CU39" s="1020"/>
      <c r="CV39" s="80"/>
      <c r="CW39" s="80"/>
      <c r="CX39" s="80"/>
      <c r="CY39" s="80"/>
      <c r="CZ39" s="80"/>
      <c r="DA39" s="80"/>
    </row>
    <row r="40" spans="1:105" ht="18.75" customHeight="1" x14ac:dyDescent="0.2">
      <c r="A40" s="3009">
        <v>28022110</v>
      </c>
      <c r="B40" s="5146"/>
      <c r="C40" s="5556" t="s">
        <v>1523</v>
      </c>
      <c r="D40" s="5557"/>
      <c r="E40" s="553" t="s">
        <v>2777</v>
      </c>
      <c r="F40" s="474" t="s">
        <v>2778</v>
      </c>
      <c r="G40" s="475" t="s">
        <v>2779</v>
      </c>
      <c r="H40" s="474" t="s">
        <v>2780</v>
      </c>
      <c r="I40" s="439" t="s">
        <v>2781</v>
      </c>
      <c r="J40" s="474" t="s">
        <v>2782</v>
      </c>
      <c r="K40" s="439" t="s">
        <v>2783</v>
      </c>
      <c r="L40" s="474" t="s">
        <v>2784</v>
      </c>
      <c r="M40" s="475" t="s">
        <v>2785</v>
      </c>
      <c r="N40" s="476" t="s">
        <v>2786</v>
      </c>
      <c r="O40" s="439" t="s">
        <v>2787</v>
      </c>
      <c r="P40" s="476" t="s">
        <v>2788</v>
      </c>
      <c r="Q40" s="439" t="s">
        <v>2789</v>
      </c>
      <c r="R40" s="476" t="s">
        <v>2790</v>
      </c>
      <c r="S40" s="439" t="s">
        <v>2791</v>
      </c>
      <c r="T40" s="476" t="s">
        <v>2792</v>
      </c>
      <c r="U40" s="439" t="s">
        <v>2793</v>
      </c>
      <c r="V40" s="476" t="s">
        <v>2794</v>
      </c>
      <c r="W40" s="439" t="s">
        <v>2795</v>
      </c>
      <c r="X40" s="476" t="s">
        <v>2796</v>
      </c>
      <c r="Y40" s="439" t="s">
        <v>2797</v>
      </c>
      <c r="Z40" s="476" t="s">
        <v>2798</v>
      </c>
      <c r="AA40" s="439" t="s">
        <v>2799</v>
      </c>
      <c r="AB40" s="476" t="s">
        <v>2800</v>
      </c>
      <c r="AC40" s="439" t="s">
        <v>2801</v>
      </c>
      <c r="AD40" s="476" t="s">
        <v>2817</v>
      </c>
      <c r="AE40" s="439" t="s">
        <v>2818</v>
      </c>
      <c r="AF40" s="476" t="s">
        <v>2819</v>
      </c>
      <c r="AG40" s="439" t="s">
        <v>2821</v>
      </c>
      <c r="AH40" s="476" t="s">
        <v>2822</v>
      </c>
      <c r="AI40" s="439" t="s">
        <v>2823</v>
      </c>
      <c r="AJ40" s="476" t="s">
        <v>2824</v>
      </c>
      <c r="AK40" s="439" t="s">
        <v>2825</v>
      </c>
      <c r="AL40" s="476" t="s">
        <v>2826</v>
      </c>
      <c r="AM40" s="439" t="s">
        <v>2827</v>
      </c>
      <c r="AN40" s="476" t="s">
        <v>2831</v>
      </c>
      <c r="AO40" s="439" t="s">
        <v>2832</v>
      </c>
      <c r="AP40" s="476" t="s">
        <v>2833</v>
      </c>
      <c r="AQ40" s="1141" t="s">
        <v>2834</v>
      </c>
      <c r="AR40" s="591" t="s">
        <v>3011</v>
      </c>
      <c r="AS40" s="476" t="s">
        <v>3012</v>
      </c>
      <c r="AT40" s="439" t="s">
        <v>3013</v>
      </c>
      <c r="AU40" s="439" t="s">
        <v>3014</v>
      </c>
      <c r="AV40" s="439" t="s">
        <v>3015</v>
      </c>
      <c r="AW40" s="94"/>
      <c r="AX40" s="94"/>
      <c r="AY40" s="94"/>
      <c r="AZ40" s="94"/>
      <c r="BA40" s="94"/>
      <c r="BB40" s="94"/>
      <c r="BC40" s="94"/>
      <c r="BD40" s="94"/>
      <c r="BE40" s="94"/>
      <c r="BF40" s="94"/>
      <c r="BG40" s="94"/>
      <c r="BH40" s="94"/>
      <c r="BI40" s="94"/>
      <c r="BJ40" s="94"/>
      <c r="CH40" s="1020"/>
      <c r="CI40" s="1020"/>
      <c r="CJ40" s="1020"/>
      <c r="CK40" s="1020"/>
      <c r="CL40" s="1020"/>
      <c r="CM40" s="1020"/>
      <c r="CN40" s="1020"/>
      <c r="CO40" s="1020"/>
      <c r="CP40" s="1020"/>
      <c r="CQ40" s="1020"/>
      <c r="CR40" s="1020"/>
      <c r="CS40" s="1020"/>
      <c r="CT40" s="1020"/>
      <c r="CU40" s="1020"/>
      <c r="CV40" s="80"/>
      <c r="CW40" s="80"/>
      <c r="CX40" s="80"/>
      <c r="CY40" s="80"/>
      <c r="CZ40" s="80"/>
      <c r="DA40" s="80"/>
    </row>
    <row r="41" spans="1:105" ht="33" customHeight="1" x14ac:dyDescent="0.2">
      <c r="A41" s="3009" t="s">
        <v>3704</v>
      </c>
      <c r="B41" s="5146"/>
      <c r="C41" s="5313" t="s">
        <v>1166</v>
      </c>
      <c r="D41" s="5303"/>
      <c r="E41" s="553" t="s">
        <v>2777</v>
      </c>
      <c r="F41" s="474" t="s">
        <v>2778</v>
      </c>
      <c r="G41" s="475" t="s">
        <v>2779</v>
      </c>
      <c r="H41" s="474" t="s">
        <v>2780</v>
      </c>
      <c r="I41" s="439" t="s">
        <v>2781</v>
      </c>
      <c r="J41" s="474" t="s">
        <v>2782</v>
      </c>
      <c r="K41" s="439" t="s">
        <v>2783</v>
      </c>
      <c r="L41" s="474" t="s">
        <v>2784</v>
      </c>
      <c r="M41" s="475" t="s">
        <v>2785</v>
      </c>
      <c r="N41" s="476" t="s">
        <v>2786</v>
      </c>
      <c r="O41" s="439" t="s">
        <v>2787</v>
      </c>
      <c r="P41" s="476" t="s">
        <v>2788</v>
      </c>
      <c r="Q41" s="439" t="s">
        <v>2789</v>
      </c>
      <c r="R41" s="476" t="s">
        <v>2790</v>
      </c>
      <c r="S41" s="439" t="s">
        <v>2791</v>
      </c>
      <c r="T41" s="476" t="s">
        <v>2792</v>
      </c>
      <c r="U41" s="439" t="s">
        <v>2793</v>
      </c>
      <c r="V41" s="476" t="s">
        <v>2794</v>
      </c>
      <c r="W41" s="439" t="s">
        <v>2795</v>
      </c>
      <c r="X41" s="476" t="s">
        <v>2796</v>
      </c>
      <c r="Y41" s="439" t="s">
        <v>2797</v>
      </c>
      <c r="Z41" s="476" t="s">
        <v>2798</v>
      </c>
      <c r="AA41" s="439" t="s">
        <v>2799</v>
      </c>
      <c r="AB41" s="476" t="s">
        <v>2800</v>
      </c>
      <c r="AC41" s="439" t="s">
        <v>2801</v>
      </c>
      <c r="AD41" s="476" t="s">
        <v>2817</v>
      </c>
      <c r="AE41" s="439" t="s">
        <v>2818</v>
      </c>
      <c r="AF41" s="476" t="s">
        <v>2819</v>
      </c>
      <c r="AG41" s="439" t="s">
        <v>2821</v>
      </c>
      <c r="AH41" s="476" t="s">
        <v>2822</v>
      </c>
      <c r="AI41" s="439" t="s">
        <v>2823</v>
      </c>
      <c r="AJ41" s="476" t="s">
        <v>2824</v>
      </c>
      <c r="AK41" s="439" t="s">
        <v>2825</v>
      </c>
      <c r="AL41" s="476" t="s">
        <v>2826</v>
      </c>
      <c r="AM41" s="439" t="s">
        <v>2827</v>
      </c>
      <c r="AN41" s="476" t="s">
        <v>2831</v>
      </c>
      <c r="AO41" s="439" t="s">
        <v>2832</v>
      </c>
      <c r="AP41" s="476" t="s">
        <v>2833</v>
      </c>
      <c r="AQ41" s="1141" t="s">
        <v>2834</v>
      </c>
      <c r="AR41" s="591" t="s">
        <v>3011</v>
      </c>
      <c r="AS41" s="476" t="s">
        <v>3012</v>
      </c>
      <c r="AT41" s="439" t="s">
        <v>3013</v>
      </c>
      <c r="AU41" s="439" t="s">
        <v>3014</v>
      </c>
      <c r="AV41" s="439" t="s">
        <v>3015</v>
      </c>
      <c r="AW41" s="94"/>
      <c r="AX41" s="94"/>
      <c r="AY41" s="94"/>
      <c r="AZ41" s="94"/>
      <c r="BA41" s="94"/>
      <c r="BB41" s="94"/>
      <c r="BC41" s="94"/>
      <c r="BD41" s="94"/>
      <c r="BE41" s="94"/>
      <c r="BF41" s="94"/>
      <c r="BG41" s="94"/>
      <c r="BH41" s="94"/>
      <c r="BI41" s="94"/>
      <c r="BJ41" s="94"/>
      <c r="CH41" s="1020"/>
      <c r="CI41" s="1020"/>
      <c r="CJ41" s="1020"/>
      <c r="CK41" s="1020"/>
      <c r="CL41" s="1020"/>
      <c r="CM41" s="1020"/>
      <c r="CN41" s="1020"/>
      <c r="CO41" s="1020"/>
      <c r="CP41" s="1020"/>
      <c r="CQ41" s="1020"/>
      <c r="CR41" s="1020"/>
      <c r="CS41" s="1020"/>
      <c r="CT41" s="1020"/>
      <c r="CU41" s="1020"/>
      <c r="CV41" s="80"/>
      <c r="CW41" s="80"/>
      <c r="CX41" s="80"/>
      <c r="CY41" s="80"/>
      <c r="CZ41" s="80"/>
      <c r="DA41" s="80"/>
    </row>
    <row r="42" spans="1:105" ht="24" customHeight="1" x14ac:dyDescent="0.2">
      <c r="A42" s="3009">
        <v>28010800</v>
      </c>
      <c r="B42" s="5146"/>
      <c r="C42" s="5313" t="s">
        <v>1167</v>
      </c>
      <c r="D42" s="5303"/>
      <c r="E42" s="553" t="s">
        <v>2777</v>
      </c>
      <c r="F42" s="474" t="s">
        <v>2778</v>
      </c>
      <c r="G42" s="475" t="s">
        <v>2779</v>
      </c>
      <c r="H42" s="474" t="s">
        <v>2780</v>
      </c>
      <c r="I42" s="439" t="s">
        <v>2781</v>
      </c>
      <c r="J42" s="474" t="s">
        <v>2782</v>
      </c>
      <c r="K42" s="439" t="s">
        <v>2783</v>
      </c>
      <c r="L42" s="474" t="s">
        <v>2784</v>
      </c>
      <c r="M42" s="475" t="s">
        <v>2785</v>
      </c>
      <c r="N42" s="476" t="s">
        <v>2786</v>
      </c>
      <c r="O42" s="439" t="s">
        <v>2787</v>
      </c>
      <c r="P42" s="476" t="s">
        <v>2788</v>
      </c>
      <c r="Q42" s="439" t="s">
        <v>2789</v>
      </c>
      <c r="R42" s="476" t="s">
        <v>2790</v>
      </c>
      <c r="S42" s="439" t="s">
        <v>2791</v>
      </c>
      <c r="T42" s="476" t="s">
        <v>2792</v>
      </c>
      <c r="U42" s="439" t="s">
        <v>2793</v>
      </c>
      <c r="V42" s="476" t="s">
        <v>2794</v>
      </c>
      <c r="W42" s="439" t="s">
        <v>2795</v>
      </c>
      <c r="X42" s="476" t="s">
        <v>2796</v>
      </c>
      <c r="Y42" s="439" t="s">
        <v>2797</v>
      </c>
      <c r="Z42" s="476" t="s">
        <v>2798</v>
      </c>
      <c r="AA42" s="439" t="s">
        <v>2799</v>
      </c>
      <c r="AB42" s="476" t="s">
        <v>2800</v>
      </c>
      <c r="AC42" s="439" t="s">
        <v>2801</v>
      </c>
      <c r="AD42" s="476" t="s">
        <v>2817</v>
      </c>
      <c r="AE42" s="439" t="s">
        <v>2818</v>
      </c>
      <c r="AF42" s="476" t="s">
        <v>2819</v>
      </c>
      <c r="AG42" s="439" t="s">
        <v>2821</v>
      </c>
      <c r="AH42" s="476" t="s">
        <v>2822</v>
      </c>
      <c r="AI42" s="439" t="s">
        <v>2823</v>
      </c>
      <c r="AJ42" s="476" t="s">
        <v>2824</v>
      </c>
      <c r="AK42" s="439" t="s">
        <v>2825</v>
      </c>
      <c r="AL42" s="476" t="s">
        <v>2826</v>
      </c>
      <c r="AM42" s="439" t="s">
        <v>2827</v>
      </c>
      <c r="AN42" s="476" t="s">
        <v>2831</v>
      </c>
      <c r="AO42" s="439" t="s">
        <v>2832</v>
      </c>
      <c r="AP42" s="476" t="s">
        <v>2833</v>
      </c>
      <c r="AQ42" s="1141" t="s">
        <v>2834</v>
      </c>
      <c r="AR42" s="591" t="s">
        <v>3011</v>
      </c>
      <c r="AS42" s="476" t="s">
        <v>3012</v>
      </c>
      <c r="AT42" s="439" t="s">
        <v>3013</v>
      </c>
      <c r="AU42" s="439" t="s">
        <v>3014</v>
      </c>
      <c r="AV42" s="439" t="s">
        <v>3015</v>
      </c>
      <c r="CH42" s="1020"/>
      <c r="CI42" s="1020"/>
      <c r="CJ42" s="1020"/>
      <c r="CK42" s="1020"/>
      <c r="CL42" s="1020"/>
      <c r="CM42" s="1020"/>
      <c r="CN42" s="1020"/>
      <c r="CO42" s="1020"/>
      <c r="CP42" s="1020"/>
      <c r="CQ42" s="1020"/>
      <c r="CR42" s="1020"/>
      <c r="CS42" s="1020"/>
      <c r="CT42" s="1020"/>
      <c r="CU42" s="1020"/>
      <c r="CV42" s="80"/>
      <c r="CW42" s="80"/>
      <c r="CX42" s="80"/>
      <c r="CY42" s="80"/>
      <c r="CZ42" s="80"/>
      <c r="DA42" s="80"/>
    </row>
    <row r="43" spans="1:105" ht="24" customHeight="1" x14ac:dyDescent="0.2">
      <c r="A43" s="3009">
        <v>28010900</v>
      </c>
      <c r="B43" s="5146"/>
      <c r="C43" s="5313" t="s">
        <v>1168</v>
      </c>
      <c r="D43" s="5303"/>
      <c r="E43" s="553" t="s">
        <v>2777</v>
      </c>
      <c r="F43" s="474" t="s">
        <v>2778</v>
      </c>
      <c r="G43" s="475" t="s">
        <v>2779</v>
      </c>
      <c r="H43" s="474" t="s">
        <v>2780</v>
      </c>
      <c r="I43" s="439" t="s">
        <v>2781</v>
      </c>
      <c r="J43" s="474" t="s">
        <v>2782</v>
      </c>
      <c r="K43" s="439" t="s">
        <v>2783</v>
      </c>
      <c r="L43" s="474" t="s">
        <v>2784</v>
      </c>
      <c r="M43" s="475" t="s">
        <v>2785</v>
      </c>
      <c r="N43" s="476" t="s">
        <v>2786</v>
      </c>
      <c r="O43" s="439" t="s">
        <v>2787</v>
      </c>
      <c r="P43" s="476" t="s">
        <v>2788</v>
      </c>
      <c r="Q43" s="439" t="s">
        <v>2789</v>
      </c>
      <c r="R43" s="476" t="s">
        <v>2790</v>
      </c>
      <c r="S43" s="439" t="s">
        <v>2791</v>
      </c>
      <c r="T43" s="476" t="s">
        <v>2792</v>
      </c>
      <c r="U43" s="439" t="s">
        <v>2793</v>
      </c>
      <c r="V43" s="476" t="s">
        <v>2794</v>
      </c>
      <c r="W43" s="439" t="s">
        <v>2795</v>
      </c>
      <c r="X43" s="476" t="s">
        <v>2796</v>
      </c>
      <c r="Y43" s="439" t="s">
        <v>2797</v>
      </c>
      <c r="Z43" s="476" t="s">
        <v>2798</v>
      </c>
      <c r="AA43" s="439" t="s">
        <v>2799</v>
      </c>
      <c r="AB43" s="476" t="s">
        <v>2800</v>
      </c>
      <c r="AC43" s="439" t="s">
        <v>2801</v>
      </c>
      <c r="AD43" s="476" t="s">
        <v>2817</v>
      </c>
      <c r="AE43" s="439" t="s">
        <v>2818</v>
      </c>
      <c r="AF43" s="476" t="s">
        <v>2819</v>
      </c>
      <c r="AG43" s="439" t="s">
        <v>2821</v>
      </c>
      <c r="AH43" s="476" t="s">
        <v>2822</v>
      </c>
      <c r="AI43" s="439" t="s">
        <v>2823</v>
      </c>
      <c r="AJ43" s="476" t="s">
        <v>2824</v>
      </c>
      <c r="AK43" s="439" t="s">
        <v>2825</v>
      </c>
      <c r="AL43" s="476" t="s">
        <v>2826</v>
      </c>
      <c r="AM43" s="439" t="s">
        <v>2827</v>
      </c>
      <c r="AN43" s="476" t="s">
        <v>2831</v>
      </c>
      <c r="AO43" s="439" t="s">
        <v>2832</v>
      </c>
      <c r="AP43" s="476" t="s">
        <v>2833</v>
      </c>
      <c r="AQ43" s="1141" t="s">
        <v>2834</v>
      </c>
      <c r="AR43" s="591" t="s">
        <v>3011</v>
      </c>
      <c r="AS43" s="476" t="s">
        <v>3012</v>
      </c>
      <c r="AT43" s="439" t="s">
        <v>3013</v>
      </c>
      <c r="AU43" s="439" t="s">
        <v>3014</v>
      </c>
      <c r="AV43" s="439" t="s">
        <v>3015</v>
      </c>
      <c r="CH43" s="1020"/>
      <c r="CI43" s="1020"/>
      <c r="CJ43" s="1020"/>
      <c r="CK43" s="1020"/>
      <c r="CL43" s="1020"/>
      <c r="CM43" s="1020"/>
      <c r="CN43" s="1020"/>
      <c r="CO43" s="1020"/>
      <c r="CP43" s="1020"/>
      <c r="CQ43" s="1020"/>
      <c r="CR43" s="1020"/>
      <c r="CS43" s="1020"/>
      <c r="CT43" s="1020"/>
      <c r="CU43" s="1020"/>
      <c r="CV43" s="80"/>
      <c r="CW43" s="80"/>
      <c r="CX43" s="80"/>
      <c r="CY43" s="80"/>
      <c r="CZ43" s="80"/>
      <c r="DA43" s="80"/>
    </row>
    <row r="44" spans="1:105" ht="18.75" customHeight="1" x14ac:dyDescent="0.2">
      <c r="A44" s="3009">
        <v>28021633</v>
      </c>
      <c r="B44" s="5146"/>
      <c r="C44" s="5556" t="s">
        <v>318</v>
      </c>
      <c r="D44" s="5557"/>
      <c r="E44" s="555" t="s">
        <v>2777</v>
      </c>
      <c r="F44" s="474" t="s">
        <v>2778</v>
      </c>
      <c r="G44" s="475" t="s">
        <v>2779</v>
      </c>
      <c r="H44" s="474" t="s">
        <v>2780</v>
      </c>
      <c r="I44" s="475" t="s">
        <v>2781</v>
      </c>
      <c r="J44" s="474" t="s">
        <v>2782</v>
      </c>
      <c r="K44" s="439" t="s">
        <v>2783</v>
      </c>
      <c r="L44" s="474" t="s">
        <v>2784</v>
      </c>
      <c r="M44" s="475" t="s">
        <v>2785</v>
      </c>
      <c r="N44" s="476" t="s">
        <v>2786</v>
      </c>
      <c r="O44" s="475" t="s">
        <v>2787</v>
      </c>
      <c r="P44" s="488" t="s">
        <v>2788</v>
      </c>
      <c r="Q44" s="475" t="s">
        <v>2789</v>
      </c>
      <c r="R44" s="488" t="s">
        <v>2790</v>
      </c>
      <c r="S44" s="475" t="s">
        <v>2791</v>
      </c>
      <c r="T44" s="488" t="s">
        <v>2792</v>
      </c>
      <c r="U44" s="475" t="s">
        <v>2793</v>
      </c>
      <c r="V44" s="488" t="s">
        <v>2794</v>
      </c>
      <c r="W44" s="475" t="s">
        <v>2795</v>
      </c>
      <c r="X44" s="488" t="s">
        <v>2796</v>
      </c>
      <c r="Y44" s="475" t="s">
        <v>2797</v>
      </c>
      <c r="Z44" s="488" t="s">
        <v>2798</v>
      </c>
      <c r="AA44" s="475" t="s">
        <v>2799</v>
      </c>
      <c r="AB44" s="488" t="s">
        <v>2800</v>
      </c>
      <c r="AC44" s="475" t="s">
        <v>2801</v>
      </c>
      <c r="AD44" s="488" t="s">
        <v>2817</v>
      </c>
      <c r="AE44" s="475" t="s">
        <v>2818</v>
      </c>
      <c r="AF44" s="488" t="s">
        <v>2819</v>
      </c>
      <c r="AG44" s="475" t="s">
        <v>2821</v>
      </c>
      <c r="AH44" s="488" t="s">
        <v>2822</v>
      </c>
      <c r="AI44" s="475" t="s">
        <v>2823</v>
      </c>
      <c r="AJ44" s="488" t="s">
        <v>2824</v>
      </c>
      <c r="AK44" s="475" t="s">
        <v>2825</v>
      </c>
      <c r="AL44" s="488" t="s">
        <v>2826</v>
      </c>
      <c r="AM44" s="475" t="s">
        <v>2827</v>
      </c>
      <c r="AN44" s="488" t="s">
        <v>2831</v>
      </c>
      <c r="AO44" s="475" t="s">
        <v>2832</v>
      </c>
      <c r="AP44" s="488" t="s">
        <v>2833</v>
      </c>
      <c r="AQ44" s="554" t="s">
        <v>2834</v>
      </c>
      <c r="AR44" s="591" t="s">
        <v>3011</v>
      </c>
      <c r="AS44" s="488" t="s">
        <v>3012</v>
      </c>
      <c r="AT44" s="475" t="s">
        <v>3013</v>
      </c>
      <c r="AU44" s="439" t="s">
        <v>3014</v>
      </c>
      <c r="AV44" s="439" t="s">
        <v>3015</v>
      </c>
      <c r="CH44" s="1020"/>
      <c r="CI44" s="1020"/>
      <c r="CJ44" s="1020"/>
      <c r="CK44" s="1020"/>
      <c r="CL44" s="1020"/>
      <c r="CM44" s="1020"/>
      <c r="CN44" s="1020"/>
      <c r="CO44" s="1020"/>
      <c r="CP44" s="1020"/>
      <c r="CQ44" s="1020"/>
      <c r="CR44" s="1020"/>
      <c r="CS44" s="1020"/>
      <c r="CT44" s="1020"/>
      <c r="CU44" s="1020"/>
      <c r="CV44" s="80"/>
      <c r="CW44" s="80"/>
      <c r="CX44" s="80"/>
      <c r="CY44" s="80"/>
      <c r="CZ44" s="80"/>
      <c r="DA44" s="80"/>
    </row>
    <row r="45" spans="1:105" ht="18.75" customHeight="1" x14ac:dyDescent="0.2">
      <c r="A45" s="4678">
        <v>28101020</v>
      </c>
      <c r="B45" s="5146"/>
      <c r="C45" s="5556" t="s">
        <v>324</v>
      </c>
      <c r="D45" s="5557"/>
      <c r="E45" s="727" t="s">
        <v>2777</v>
      </c>
      <c r="F45" s="474" t="s">
        <v>2778</v>
      </c>
      <c r="G45" s="475" t="s">
        <v>2779</v>
      </c>
      <c r="H45" s="474" t="s">
        <v>2780</v>
      </c>
      <c r="I45" s="475" t="s">
        <v>2781</v>
      </c>
      <c r="J45" s="474" t="s">
        <v>2782</v>
      </c>
      <c r="K45" s="439" t="s">
        <v>2783</v>
      </c>
      <c r="L45" s="474" t="s">
        <v>2784</v>
      </c>
      <c r="M45" s="475" t="s">
        <v>2785</v>
      </c>
      <c r="N45" s="476" t="s">
        <v>2786</v>
      </c>
      <c r="O45" s="475" t="s">
        <v>2787</v>
      </c>
      <c r="P45" s="488" t="s">
        <v>2788</v>
      </c>
      <c r="Q45" s="475" t="s">
        <v>2789</v>
      </c>
      <c r="R45" s="488" t="s">
        <v>2790</v>
      </c>
      <c r="S45" s="475" t="s">
        <v>2791</v>
      </c>
      <c r="T45" s="488" t="s">
        <v>2792</v>
      </c>
      <c r="U45" s="475" t="s">
        <v>2793</v>
      </c>
      <c r="V45" s="488" t="s">
        <v>2794</v>
      </c>
      <c r="W45" s="475" t="s">
        <v>2795</v>
      </c>
      <c r="X45" s="488" t="s">
        <v>2796</v>
      </c>
      <c r="Y45" s="475" t="s">
        <v>2797</v>
      </c>
      <c r="Z45" s="488" t="s">
        <v>2798</v>
      </c>
      <c r="AA45" s="475" t="s">
        <v>2799</v>
      </c>
      <c r="AB45" s="488" t="s">
        <v>2800</v>
      </c>
      <c r="AC45" s="475" t="s">
        <v>2801</v>
      </c>
      <c r="AD45" s="488" t="s">
        <v>2817</v>
      </c>
      <c r="AE45" s="475" t="s">
        <v>2818</v>
      </c>
      <c r="AF45" s="488" t="s">
        <v>2819</v>
      </c>
      <c r="AG45" s="475" t="s">
        <v>2821</v>
      </c>
      <c r="AH45" s="488" t="s">
        <v>2822</v>
      </c>
      <c r="AI45" s="475" t="s">
        <v>2823</v>
      </c>
      <c r="AJ45" s="488" t="s">
        <v>2824</v>
      </c>
      <c r="AK45" s="475" t="s">
        <v>2825</v>
      </c>
      <c r="AL45" s="488" t="s">
        <v>2826</v>
      </c>
      <c r="AM45" s="475" t="s">
        <v>2827</v>
      </c>
      <c r="AN45" s="488" t="s">
        <v>2831</v>
      </c>
      <c r="AO45" s="475" t="s">
        <v>2832</v>
      </c>
      <c r="AP45" s="488" t="s">
        <v>2833</v>
      </c>
      <c r="AQ45" s="554" t="s">
        <v>2834</v>
      </c>
      <c r="AR45" s="591" t="s">
        <v>3011</v>
      </c>
      <c r="AS45" s="488" t="s">
        <v>3012</v>
      </c>
      <c r="AT45" s="475" t="s">
        <v>3013</v>
      </c>
      <c r="AU45" s="439" t="s">
        <v>3014</v>
      </c>
      <c r="AV45" s="439" t="s">
        <v>3015</v>
      </c>
      <c r="CH45" s="1020"/>
      <c r="CI45" s="1020"/>
      <c r="CJ45" s="1020"/>
      <c r="CK45" s="1020"/>
      <c r="CL45" s="1020"/>
      <c r="CM45" s="1020"/>
      <c r="CN45" s="1020"/>
      <c r="CO45" s="1020"/>
      <c r="CP45" s="1020"/>
      <c r="CQ45" s="1020"/>
      <c r="CR45" s="1020"/>
      <c r="CS45" s="1020"/>
      <c r="CT45" s="1020"/>
      <c r="CU45" s="1020"/>
      <c r="CV45" s="80"/>
      <c r="CW45" s="80"/>
      <c r="CX45" s="80"/>
      <c r="CY45" s="80"/>
      <c r="CZ45" s="80"/>
      <c r="DA45" s="80"/>
    </row>
    <row r="46" spans="1:105" ht="18.75" customHeight="1" x14ac:dyDescent="0.2">
      <c r="A46" s="3009">
        <v>28022120</v>
      </c>
      <c r="B46" s="5146"/>
      <c r="C46" s="5556" t="s">
        <v>1497</v>
      </c>
      <c r="D46" s="5557"/>
      <c r="E46" s="727" t="s">
        <v>2777</v>
      </c>
      <c r="F46" s="474" t="s">
        <v>2778</v>
      </c>
      <c r="G46" s="475" t="s">
        <v>2779</v>
      </c>
      <c r="H46" s="474" t="s">
        <v>2780</v>
      </c>
      <c r="I46" s="475" t="s">
        <v>2781</v>
      </c>
      <c r="J46" s="474" t="s">
        <v>2782</v>
      </c>
      <c r="K46" s="439" t="s">
        <v>2783</v>
      </c>
      <c r="L46" s="474" t="s">
        <v>2784</v>
      </c>
      <c r="M46" s="475" t="s">
        <v>2785</v>
      </c>
      <c r="N46" s="476" t="s">
        <v>2786</v>
      </c>
      <c r="O46" s="475" t="s">
        <v>2787</v>
      </c>
      <c r="P46" s="488" t="s">
        <v>2788</v>
      </c>
      <c r="Q46" s="475" t="s">
        <v>2789</v>
      </c>
      <c r="R46" s="488" t="s">
        <v>2790</v>
      </c>
      <c r="S46" s="475" t="s">
        <v>2791</v>
      </c>
      <c r="T46" s="488" t="s">
        <v>2792</v>
      </c>
      <c r="U46" s="475" t="s">
        <v>2793</v>
      </c>
      <c r="V46" s="488" t="s">
        <v>2794</v>
      </c>
      <c r="W46" s="475" t="s">
        <v>2795</v>
      </c>
      <c r="X46" s="488" t="s">
        <v>2796</v>
      </c>
      <c r="Y46" s="475" t="s">
        <v>2797</v>
      </c>
      <c r="Z46" s="488" t="s">
        <v>2798</v>
      </c>
      <c r="AA46" s="475" t="s">
        <v>2799</v>
      </c>
      <c r="AB46" s="488" t="s">
        <v>2800</v>
      </c>
      <c r="AC46" s="475" t="s">
        <v>2801</v>
      </c>
      <c r="AD46" s="488" t="s">
        <v>2817</v>
      </c>
      <c r="AE46" s="475" t="s">
        <v>2818</v>
      </c>
      <c r="AF46" s="488" t="s">
        <v>2819</v>
      </c>
      <c r="AG46" s="475" t="s">
        <v>2821</v>
      </c>
      <c r="AH46" s="488" t="s">
        <v>2822</v>
      </c>
      <c r="AI46" s="475" t="s">
        <v>2823</v>
      </c>
      <c r="AJ46" s="488" t="s">
        <v>2824</v>
      </c>
      <c r="AK46" s="475" t="s">
        <v>2825</v>
      </c>
      <c r="AL46" s="488" t="s">
        <v>2826</v>
      </c>
      <c r="AM46" s="475" t="s">
        <v>2827</v>
      </c>
      <c r="AN46" s="488" t="s">
        <v>2831</v>
      </c>
      <c r="AO46" s="475" t="s">
        <v>2832</v>
      </c>
      <c r="AP46" s="488" t="s">
        <v>2833</v>
      </c>
      <c r="AQ46" s="554" t="s">
        <v>2834</v>
      </c>
      <c r="AR46" s="591" t="s">
        <v>3011</v>
      </c>
      <c r="AS46" s="488" t="s">
        <v>3012</v>
      </c>
      <c r="AT46" s="475" t="s">
        <v>3013</v>
      </c>
      <c r="AU46" s="439" t="s">
        <v>3014</v>
      </c>
      <c r="AV46" s="439" t="s">
        <v>3015</v>
      </c>
      <c r="CH46" s="1020"/>
      <c r="CI46" s="1020"/>
      <c r="CJ46" s="1020"/>
      <c r="CK46" s="1020"/>
      <c r="CL46" s="1020"/>
      <c r="CM46" s="1020"/>
      <c r="CN46" s="1020"/>
      <c r="CO46" s="1020"/>
      <c r="CP46" s="1020"/>
      <c r="CQ46" s="1020"/>
      <c r="CR46" s="1020"/>
      <c r="CS46" s="1020"/>
      <c r="CT46" s="1020"/>
      <c r="CU46" s="1020"/>
      <c r="CV46" s="80"/>
      <c r="CW46" s="80"/>
      <c r="CX46" s="80"/>
      <c r="CY46" s="80"/>
      <c r="CZ46" s="80"/>
      <c r="DA46" s="80"/>
    </row>
    <row r="47" spans="1:105" ht="18.75" customHeight="1" x14ac:dyDescent="0.2">
      <c r="A47" s="3009">
        <v>28022130</v>
      </c>
      <c r="B47" s="5146"/>
      <c r="C47" s="5556" t="s">
        <v>1498</v>
      </c>
      <c r="D47" s="5557"/>
      <c r="E47" s="727" t="s">
        <v>2777</v>
      </c>
      <c r="F47" s="474" t="s">
        <v>2778</v>
      </c>
      <c r="G47" s="475" t="s">
        <v>2779</v>
      </c>
      <c r="H47" s="474" t="s">
        <v>2780</v>
      </c>
      <c r="I47" s="475" t="s">
        <v>2781</v>
      </c>
      <c r="J47" s="474" t="s">
        <v>2782</v>
      </c>
      <c r="K47" s="439" t="s">
        <v>2783</v>
      </c>
      <c r="L47" s="474" t="s">
        <v>2784</v>
      </c>
      <c r="M47" s="475" t="s">
        <v>2785</v>
      </c>
      <c r="N47" s="476" t="s">
        <v>2786</v>
      </c>
      <c r="O47" s="475" t="s">
        <v>2787</v>
      </c>
      <c r="P47" s="488" t="s">
        <v>2788</v>
      </c>
      <c r="Q47" s="475" t="s">
        <v>2789</v>
      </c>
      <c r="R47" s="488" t="s">
        <v>2790</v>
      </c>
      <c r="S47" s="475" t="s">
        <v>2791</v>
      </c>
      <c r="T47" s="488" t="s">
        <v>2792</v>
      </c>
      <c r="U47" s="475" t="s">
        <v>2793</v>
      </c>
      <c r="V47" s="488" t="s">
        <v>2794</v>
      </c>
      <c r="W47" s="475" t="s">
        <v>2795</v>
      </c>
      <c r="X47" s="488" t="s">
        <v>2796</v>
      </c>
      <c r="Y47" s="475" t="s">
        <v>2797</v>
      </c>
      <c r="Z47" s="488" t="s">
        <v>2798</v>
      </c>
      <c r="AA47" s="475" t="s">
        <v>2799</v>
      </c>
      <c r="AB47" s="488" t="s">
        <v>2800</v>
      </c>
      <c r="AC47" s="475" t="s">
        <v>2801</v>
      </c>
      <c r="AD47" s="488" t="s">
        <v>2817</v>
      </c>
      <c r="AE47" s="475" t="s">
        <v>2818</v>
      </c>
      <c r="AF47" s="488" t="s">
        <v>2819</v>
      </c>
      <c r="AG47" s="475" t="s">
        <v>2821</v>
      </c>
      <c r="AH47" s="488" t="s">
        <v>2822</v>
      </c>
      <c r="AI47" s="475" t="s">
        <v>2823</v>
      </c>
      <c r="AJ47" s="488" t="s">
        <v>2824</v>
      </c>
      <c r="AK47" s="475" t="s">
        <v>2825</v>
      </c>
      <c r="AL47" s="488" t="s">
        <v>2826</v>
      </c>
      <c r="AM47" s="475" t="s">
        <v>2827</v>
      </c>
      <c r="AN47" s="488" t="s">
        <v>2831</v>
      </c>
      <c r="AO47" s="475" t="s">
        <v>2832</v>
      </c>
      <c r="AP47" s="488" t="s">
        <v>2833</v>
      </c>
      <c r="AQ47" s="554" t="s">
        <v>2834</v>
      </c>
      <c r="AR47" s="591" t="s">
        <v>3011</v>
      </c>
      <c r="AS47" s="488" t="s">
        <v>3012</v>
      </c>
      <c r="AT47" s="475" t="s">
        <v>3013</v>
      </c>
      <c r="AU47" s="439" t="s">
        <v>3014</v>
      </c>
      <c r="AV47" s="439" t="s">
        <v>3015</v>
      </c>
      <c r="CH47" s="1020"/>
      <c r="CI47" s="1020"/>
      <c r="CJ47" s="1020"/>
      <c r="CK47" s="1020"/>
      <c r="CL47" s="1020"/>
      <c r="CM47" s="1020"/>
      <c r="CN47" s="1020"/>
      <c r="CO47" s="1020"/>
      <c r="CP47" s="1020"/>
      <c r="CQ47" s="1020"/>
      <c r="CR47" s="1020"/>
      <c r="CS47" s="1020"/>
      <c r="CT47" s="1020"/>
      <c r="CU47" s="1020"/>
      <c r="CV47" s="80"/>
      <c r="CW47" s="80"/>
      <c r="CX47" s="80"/>
      <c r="CY47" s="80"/>
      <c r="CZ47" s="80"/>
      <c r="DA47" s="80"/>
    </row>
    <row r="48" spans="1:105" ht="18.75" customHeight="1" x14ac:dyDescent="0.2">
      <c r="A48" s="3009">
        <v>28022140</v>
      </c>
      <c r="B48" s="5146"/>
      <c r="C48" s="5556" t="s">
        <v>1499</v>
      </c>
      <c r="D48" s="5557"/>
      <c r="E48" s="727" t="s">
        <v>2777</v>
      </c>
      <c r="F48" s="474" t="s">
        <v>2778</v>
      </c>
      <c r="G48" s="475" t="s">
        <v>2779</v>
      </c>
      <c r="H48" s="474" t="s">
        <v>2780</v>
      </c>
      <c r="I48" s="475" t="s">
        <v>2781</v>
      </c>
      <c r="J48" s="474" t="s">
        <v>2782</v>
      </c>
      <c r="K48" s="439" t="s">
        <v>2783</v>
      </c>
      <c r="L48" s="474" t="s">
        <v>2784</v>
      </c>
      <c r="M48" s="475" t="s">
        <v>2785</v>
      </c>
      <c r="N48" s="476" t="s">
        <v>2786</v>
      </c>
      <c r="O48" s="475" t="s">
        <v>2787</v>
      </c>
      <c r="P48" s="488" t="s">
        <v>2788</v>
      </c>
      <c r="Q48" s="475" t="s">
        <v>2789</v>
      </c>
      <c r="R48" s="488" t="s">
        <v>2790</v>
      </c>
      <c r="S48" s="475" t="s">
        <v>2791</v>
      </c>
      <c r="T48" s="488" t="s">
        <v>2792</v>
      </c>
      <c r="U48" s="475" t="s">
        <v>2793</v>
      </c>
      <c r="V48" s="488" t="s">
        <v>2794</v>
      </c>
      <c r="W48" s="475" t="s">
        <v>2795</v>
      </c>
      <c r="X48" s="488" t="s">
        <v>2796</v>
      </c>
      <c r="Y48" s="475" t="s">
        <v>2797</v>
      </c>
      <c r="Z48" s="488" t="s">
        <v>2798</v>
      </c>
      <c r="AA48" s="475" t="s">
        <v>2799</v>
      </c>
      <c r="AB48" s="488" t="s">
        <v>2800</v>
      </c>
      <c r="AC48" s="475" t="s">
        <v>2801</v>
      </c>
      <c r="AD48" s="488" t="s">
        <v>2817</v>
      </c>
      <c r="AE48" s="475" t="s">
        <v>2818</v>
      </c>
      <c r="AF48" s="488" t="s">
        <v>2819</v>
      </c>
      <c r="AG48" s="475" t="s">
        <v>2821</v>
      </c>
      <c r="AH48" s="488" t="s">
        <v>2822</v>
      </c>
      <c r="AI48" s="475" t="s">
        <v>2823</v>
      </c>
      <c r="AJ48" s="488" t="s">
        <v>2824</v>
      </c>
      <c r="AK48" s="475" t="s">
        <v>2825</v>
      </c>
      <c r="AL48" s="488" t="s">
        <v>2826</v>
      </c>
      <c r="AM48" s="475" t="s">
        <v>2827</v>
      </c>
      <c r="AN48" s="488" t="s">
        <v>2831</v>
      </c>
      <c r="AO48" s="475" t="s">
        <v>2832</v>
      </c>
      <c r="AP48" s="488" t="s">
        <v>2833</v>
      </c>
      <c r="AQ48" s="554" t="s">
        <v>2834</v>
      </c>
      <c r="AR48" s="591" t="s">
        <v>3011</v>
      </c>
      <c r="AS48" s="488" t="s">
        <v>3012</v>
      </c>
      <c r="AT48" s="475" t="s">
        <v>3013</v>
      </c>
      <c r="AU48" s="439" t="s">
        <v>3014</v>
      </c>
      <c r="AV48" s="439" t="s">
        <v>3015</v>
      </c>
      <c r="CH48" s="1020"/>
      <c r="CI48" s="1020"/>
      <c r="CJ48" s="1020"/>
      <c r="CK48" s="1020"/>
      <c r="CL48" s="1020"/>
      <c r="CM48" s="1020"/>
      <c r="CN48" s="1020"/>
      <c r="CO48" s="1020"/>
      <c r="CP48" s="1020"/>
      <c r="CQ48" s="1020"/>
      <c r="CR48" s="1020"/>
      <c r="CS48" s="1020"/>
      <c r="CT48" s="1020"/>
      <c r="CU48" s="1020"/>
      <c r="CV48" s="80"/>
      <c r="CW48" s="80"/>
      <c r="CX48" s="80"/>
      <c r="CY48" s="80"/>
      <c r="CZ48" s="80"/>
      <c r="DA48" s="80"/>
    </row>
    <row r="49" spans="1:105" ht="18.75" customHeight="1" x14ac:dyDescent="0.2">
      <c r="A49" s="3009">
        <v>28022150</v>
      </c>
      <c r="B49" s="5146"/>
      <c r="C49" s="5556" t="s">
        <v>1500</v>
      </c>
      <c r="D49" s="5557"/>
      <c r="E49" s="727" t="s">
        <v>2777</v>
      </c>
      <c r="F49" s="474" t="s">
        <v>2778</v>
      </c>
      <c r="G49" s="475" t="s">
        <v>2779</v>
      </c>
      <c r="H49" s="474" t="s">
        <v>2780</v>
      </c>
      <c r="I49" s="475" t="s">
        <v>2781</v>
      </c>
      <c r="J49" s="474" t="s">
        <v>2782</v>
      </c>
      <c r="K49" s="439" t="s">
        <v>2783</v>
      </c>
      <c r="L49" s="474" t="s">
        <v>2784</v>
      </c>
      <c r="M49" s="475" t="s">
        <v>2785</v>
      </c>
      <c r="N49" s="476" t="s">
        <v>2786</v>
      </c>
      <c r="O49" s="475" t="s">
        <v>2787</v>
      </c>
      <c r="P49" s="488" t="s">
        <v>2788</v>
      </c>
      <c r="Q49" s="475" t="s">
        <v>2789</v>
      </c>
      <c r="R49" s="488" t="s">
        <v>2790</v>
      </c>
      <c r="S49" s="475" t="s">
        <v>2791</v>
      </c>
      <c r="T49" s="488" t="s">
        <v>2792</v>
      </c>
      <c r="U49" s="475" t="s">
        <v>2793</v>
      </c>
      <c r="V49" s="488" t="s">
        <v>2794</v>
      </c>
      <c r="W49" s="475" t="s">
        <v>2795</v>
      </c>
      <c r="X49" s="488" t="s">
        <v>2796</v>
      </c>
      <c r="Y49" s="475" t="s">
        <v>2797</v>
      </c>
      <c r="Z49" s="488" t="s">
        <v>2798</v>
      </c>
      <c r="AA49" s="475" t="s">
        <v>2799</v>
      </c>
      <c r="AB49" s="488" t="s">
        <v>2800</v>
      </c>
      <c r="AC49" s="475" t="s">
        <v>2801</v>
      </c>
      <c r="AD49" s="488" t="s">
        <v>2817</v>
      </c>
      <c r="AE49" s="475" t="s">
        <v>2818</v>
      </c>
      <c r="AF49" s="488" t="s">
        <v>2819</v>
      </c>
      <c r="AG49" s="475" t="s">
        <v>2821</v>
      </c>
      <c r="AH49" s="488" t="s">
        <v>2822</v>
      </c>
      <c r="AI49" s="475" t="s">
        <v>2823</v>
      </c>
      <c r="AJ49" s="488" t="s">
        <v>2824</v>
      </c>
      <c r="AK49" s="475" t="s">
        <v>2825</v>
      </c>
      <c r="AL49" s="488" t="s">
        <v>2826</v>
      </c>
      <c r="AM49" s="475" t="s">
        <v>2827</v>
      </c>
      <c r="AN49" s="488" t="s">
        <v>2831</v>
      </c>
      <c r="AO49" s="475" t="s">
        <v>2832</v>
      </c>
      <c r="AP49" s="488" t="s">
        <v>2833</v>
      </c>
      <c r="AQ49" s="554" t="s">
        <v>2834</v>
      </c>
      <c r="AR49" s="591" t="s">
        <v>3011</v>
      </c>
      <c r="AS49" s="488" t="s">
        <v>3012</v>
      </c>
      <c r="AT49" s="475" t="s">
        <v>3013</v>
      </c>
      <c r="AU49" s="439" t="s">
        <v>3014</v>
      </c>
      <c r="AV49" s="439" t="s">
        <v>3015</v>
      </c>
      <c r="CH49" s="1020"/>
      <c r="CI49" s="1020"/>
      <c r="CJ49" s="1020"/>
      <c r="CK49" s="1020"/>
      <c r="CL49" s="1020"/>
      <c r="CM49" s="1020"/>
      <c r="CN49" s="1020"/>
      <c r="CO49" s="1020"/>
      <c r="CP49" s="1020"/>
      <c r="CQ49" s="1020"/>
      <c r="CR49" s="1020"/>
      <c r="CS49" s="1020"/>
      <c r="CT49" s="1020"/>
      <c r="CU49" s="1020"/>
      <c r="CV49" s="80"/>
      <c r="CW49" s="80"/>
      <c r="CX49" s="80"/>
      <c r="CY49" s="80"/>
      <c r="CZ49" s="80"/>
      <c r="DA49" s="80"/>
    </row>
    <row r="50" spans="1:105" ht="18.75" customHeight="1" x14ac:dyDescent="0.2">
      <c r="A50" s="3009">
        <v>28022160</v>
      </c>
      <c r="B50" s="5146"/>
      <c r="C50" s="5556" t="s">
        <v>1197</v>
      </c>
      <c r="D50" s="5557"/>
      <c r="E50" s="727" t="s">
        <v>2777</v>
      </c>
      <c r="F50" s="474" t="s">
        <v>2778</v>
      </c>
      <c r="G50" s="475" t="s">
        <v>2779</v>
      </c>
      <c r="H50" s="474" t="s">
        <v>2780</v>
      </c>
      <c r="I50" s="475" t="s">
        <v>2781</v>
      </c>
      <c r="J50" s="474" t="s">
        <v>2782</v>
      </c>
      <c r="K50" s="439" t="s">
        <v>2783</v>
      </c>
      <c r="L50" s="474" t="s">
        <v>2784</v>
      </c>
      <c r="M50" s="475" t="s">
        <v>2785</v>
      </c>
      <c r="N50" s="476" t="s">
        <v>2786</v>
      </c>
      <c r="O50" s="475" t="s">
        <v>2787</v>
      </c>
      <c r="P50" s="488" t="s">
        <v>2788</v>
      </c>
      <c r="Q50" s="475" t="s">
        <v>2789</v>
      </c>
      <c r="R50" s="488" t="s">
        <v>2790</v>
      </c>
      <c r="S50" s="475" t="s">
        <v>2791</v>
      </c>
      <c r="T50" s="488" t="s">
        <v>2792</v>
      </c>
      <c r="U50" s="475" t="s">
        <v>2793</v>
      </c>
      <c r="V50" s="488" t="s">
        <v>2794</v>
      </c>
      <c r="W50" s="475" t="s">
        <v>2795</v>
      </c>
      <c r="X50" s="488" t="s">
        <v>2796</v>
      </c>
      <c r="Y50" s="475" t="s">
        <v>2797</v>
      </c>
      <c r="Z50" s="488" t="s">
        <v>2798</v>
      </c>
      <c r="AA50" s="475" t="s">
        <v>2799</v>
      </c>
      <c r="AB50" s="488" t="s">
        <v>2800</v>
      </c>
      <c r="AC50" s="475" t="s">
        <v>2801</v>
      </c>
      <c r="AD50" s="488" t="s">
        <v>2817</v>
      </c>
      <c r="AE50" s="475" t="s">
        <v>2818</v>
      </c>
      <c r="AF50" s="488" t="s">
        <v>2819</v>
      </c>
      <c r="AG50" s="475" t="s">
        <v>2821</v>
      </c>
      <c r="AH50" s="488" t="s">
        <v>2822</v>
      </c>
      <c r="AI50" s="475" t="s">
        <v>2823</v>
      </c>
      <c r="AJ50" s="488" t="s">
        <v>2824</v>
      </c>
      <c r="AK50" s="475" t="s">
        <v>2825</v>
      </c>
      <c r="AL50" s="488" t="s">
        <v>2826</v>
      </c>
      <c r="AM50" s="475" t="s">
        <v>2827</v>
      </c>
      <c r="AN50" s="488" t="s">
        <v>2831</v>
      </c>
      <c r="AO50" s="475" t="s">
        <v>2832</v>
      </c>
      <c r="AP50" s="488" t="s">
        <v>2833</v>
      </c>
      <c r="AQ50" s="554" t="s">
        <v>2834</v>
      </c>
      <c r="AR50" s="591" t="s">
        <v>3011</v>
      </c>
      <c r="AS50" s="488" t="s">
        <v>3012</v>
      </c>
      <c r="AT50" s="475" t="s">
        <v>3013</v>
      </c>
      <c r="AU50" s="439" t="s">
        <v>3014</v>
      </c>
      <c r="AV50" s="439" t="s">
        <v>3015</v>
      </c>
      <c r="CH50" s="1020"/>
      <c r="CI50" s="1020"/>
      <c r="CJ50" s="1020"/>
      <c r="CK50" s="1020"/>
      <c r="CL50" s="1020"/>
      <c r="CM50" s="1020"/>
      <c r="CN50" s="1020"/>
      <c r="CO50" s="1020"/>
      <c r="CP50" s="1020"/>
      <c r="CQ50" s="1020"/>
      <c r="CR50" s="1020"/>
      <c r="CS50" s="1020"/>
      <c r="CT50" s="1020"/>
      <c r="CU50" s="1020"/>
      <c r="CV50" s="80"/>
      <c r="CW50" s="80"/>
      <c r="CX50" s="80"/>
      <c r="CY50" s="80"/>
      <c r="CZ50" s="80"/>
      <c r="DA50" s="80"/>
    </row>
    <row r="51" spans="1:105" ht="18.75" customHeight="1" x14ac:dyDescent="0.2">
      <c r="A51" s="3009">
        <v>28022170</v>
      </c>
      <c r="B51" s="5146"/>
      <c r="C51" s="5556" t="s">
        <v>1501</v>
      </c>
      <c r="D51" s="5557"/>
      <c r="E51" s="727" t="s">
        <v>2777</v>
      </c>
      <c r="F51" s="474" t="s">
        <v>2778</v>
      </c>
      <c r="G51" s="475" t="s">
        <v>2779</v>
      </c>
      <c r="H51" s="474" t="s">
        <v>2780</v>
      </c>
      <c r="I51" s="475" t="s">
        <v>2781</v>
      </c>
      <c r="J51" s="474" t="s">
        <v>2782</v>
      </c>
      <c r="K51" s="439" t="s">
        <v>2783</v>
      </c>
      <c r="L51" s="474" t="s">
        <v>2784</v>
      </c>
      <c r="M51" s="475" t="s">
        <v>2785</v>
      </c>
      <c r="N51" s="476" t="s">
        <v>2786</v>
      </c>
      <c r="O51" s="475" t="s">
        <v>2787</v>
      </c>
      <c r="P51" s="488" t="s">
        <v>2788</v>
      </c>
      <c r="Q51" s="475" t="s">
        <v>2789</v>
      </c>
      <c r="R51" s="488" t="s">
        <v>2790</v>
      </c>
      <c r="S51" s="475" t="s">
        <v>2791</v>
      </c>
      <c r="T51" s="488" t="s">
        <v>2792</v>
      </c>
      <c r="U51" s="475" t="s">
        <v>2793</v>
      </c>
      <c r="V51" s="488" t="s">
        <v>2794</v>
      </c>
      <c r="W51" s="475" t="s">
        <v>2795</v>
      </c>
      <c r="X51" s="488" t="s">
        <v>2796</v>
      </c>
      <c r="Y51" s="475" t="s">
        <v>2797</v>
      </c>
      <c r="Z51" s="488" t="s">
        <v>2798</v>
      </c>
      <c r="AA51" s="475" t="s">
        <v>2799</v>
      </c>
      <c r="AB51" s="488" t="s">
        <v>2800</v>
      </c>
      <c r="AC51" s="475" t="s">
        <v>2801</v>
      </c>
      <c r="AD51" s="488" t="s">
        <v>2817</v>
      </c>
      <c r="AE51" s="475" t="s">
        <v>2818</v>
      </c>
      <c r="AF51" s="488" t="s">
        <v>2819</v>
      </c>
      <c r="AG51" s="475" t="s">
        <v>2821</v>
      </c>
      <c r="AH51" s="488" t="s">
        <v>2822</v>
      </c>
      <c r="AI51" s="475" t="s">
        <v>2823</v>
      </c>
      <c r="AJ51" s="488" t="s">
        <v>2824</v>
      </c>
      <c r="AK51" s="475" t="s">
        <v>2825</v>
      </c>
      <c r="AL51" s="488" t="s">
        <v>2826</v>
      </c>
      <c r="AM51" s="475" t="s">
        <v>2827</v>
      </c>
      <c r="AN51" s="488" t="s">
        <v>2831</v>
      </c>
      <c r="AO51" s="475" t="s">
        <v>2832</v>
      </c>
      <c r="AP51" s="488" t="s">
        <v>2833</v>
      </c>
      <c r="AQ51" s="554" t="s">
        <v>2834</v>
      </c>
      <c r="AR51" s="591" t="s">
        <v>3011</v>
      </c>
      <c r="AS51" s="488" t="s">
        <v>3012</v>
      </c>
      <c r="AT51" s="475" t="s">
        <v>3013</v>
      </c>
      <c r="AU51" s="439" t="s">
        <v>3014</v>
      </c>
      <c r="AV51" s="439" t="s">
        <v>3015</v>
      </c>
      <c r="CH51" s="1020"/>
      <c r="CI51" s="1020"/>
      <c r="CJ51" s="1020"/>
      <c r="CK51" s="1020"/>
      <c r="CL51" s="1020"/>
      <c r="CM51" s="1020"/>
      <c r="CN51" s="1020"/>
      <c r="CO51" s="1020"/>
      <c r="CP51" s="1020"/>
      <c r="CQ51" s="1020"/>
      <c r="CR51" s="1020"/>
      <c r="CS51" s="1020"/>
      <c r="CT51" s="1020"/>
      <c r="CU51" s="1020"/>
      <c r="CV51" s="80"/>
      <c r="CW51" s="80"/>
      <c r="CX51" s="80"/>
      <c r="CY51" s="80"/>
      <c r="CZ51" s="80"/>
      <c r="DA51" s="80"/>
    </row>
    <row r="52" spans="1:105" ht="18.75" customHeight="1" x14ac:dyDescent="0.2">
      <c r="A52" s="3009">
        <v>28022180</v>
      </c>
      <c r="B52" s="5146"/>
      <c r="C52" s="5556" t="s">
        <v>1502</v>
      </c>
      <c r="D52" s="5557"/>
      <c r="E52" s="556" t="s">
        <v>2777</v>
      </c>
      <c r="F52" s="474" t="s">
        <v>2778</v>
      </c>
      <c r="G52" s="475" t="s">
        <v>2779</v>
      </c>
      <c r="H52" s="474" t="s">
        <v>2780</v>
      </c>
      <c r="I52" s="475" t="s">
        <v>2781</v>
      </c>
      <c r="J52" s="474" t="s">
        <v>2782</v>
      </c>
      <c r="K52" s="439" t="s">
        <v>2783</v>
      </c>
      <c r="L52" s="474" t="s">
        <v>2784</v>
      </c>
      <c r="M52" s="475" t="s">
        <v>2785</v>
      </c>
      <c r="N52" s="476" t="s">
        <v>2786</v>
      </c>
      <c r="O52" s="475" t="s">
        <v>2787</v>
      </c>
      <c r="P52" s="488" t="s">
        <v>2788</v>
      </c>
      <c r="Q52" s="475" t="s">
        <v>2789</v>
      </c>
      <c r="R52" s="488" t="s">
        <v>2790</v>
      </c>
      <c r="S52" s="475" t="s">
        <v>2791</v>
      </c>
      <c r="T52" s="488" t="s">
        <v>2792</v>
      </c>
      <c r="U52" s="475" t="s">
        <v>2793</v>
      </c>
      <c r="V52" s="488" t="s">
        <v>2794</v>
      </c>
      <c r="W52" s="475" t="s">
        <v>2795</v>
      </c>
      <c r="X52" s="488" t="s">
        <v>2796</v>
      </c>
      <c r="Y52" s="475" t="s">
        <v>2797</v>
      </c>
      <c r="Z52" s="488" t="s">
        <v>2798</v>
      </c>
      <c r="AA52" s="475" t="s">
        <v>2799</v>
      </c>
      <c r="AB52" s="488" t="s">
        <v>2800</v>
      </c>
      <c r="AC52" s="475" t="s">
        <v>2801</v>
      </c>
      <c r="AD52" s="488" t="s">
        <v>2817</v>
      </c>
      <c r="AE52" s="475" t="s">
        <v>2818</v>
      </c>
      <c r="AF52" s="488" t="s">
        <v>2819</v>
      </c>
      <c r="AG52" s="475" t="s">
        <v>2821</v>
      </c>
      <c r="AH52" s="488" t="s">
        <v>2822</v>
      </c>
      <c r="AI52" s="475" t="s">
        <v>2823</v>
      </c>
      <c r="AJ52" s="488" t="s">
        <v>2824</v>
      </c>
      <c r="AK52" s="475" t="s">
        <v>2825</v>
      </c>
      <c r="AL52" s="488" t="s">
        <v>2826</v>
      </c>
      <c r="AM52" s="475" t="s">
        <v>2827</v>
      </c>
      <c r="AN52" s="488" t="s">
        <v>2831</v>
      </c>
      <c r="AO52" s="475" t="s">
        <v>2832</v>
      </c>
      <c r="AP52" s="488" t="s">
        <v>2833</v>
      </c>
      <c r="AQ52" s="554" t="s">
        <v>2834</v>
      </c>
      <c r="AR52" s="591" t="s">
        <v>3011</v>
      </c>
      <c r="AS52" s="488" t="s">
        <v>3012</v>
      </c>
      <c r="AT52" s="475" t="s">
        <v>3013</v>
      </c>
      <c r="AU52" s="439" t="s">
        <v>3014</v>
      </c>
      <c r="AV52" s="439" t="s">
        <v>3015</v>
      </c>
      <c r="CH52" s="1020"/>
      <c r="CI52" s="1020"/>
      <c r="CJ52" s="1020"/>
      <c r="CK52" s="1020"/>
      <c r="CL52" s="1020"/>
      <c r="CM52" s="1020"/>
      <c r="CN52" s="1020"/>
      <c r="CO52" s="1020"/>
      <c r="CP52" s="1020"/>
      <c r="CQ52" s="1020"/>
      <c r="CR52" s="1020"/>
      <c r="CS52" s="1020"/>
      <c r="CT52" s="1020"/>
      <c r="CU52" s="1020"/>
      <c r="CV52" s="80"/>
      <c r="CW52" s="80"/>
      <c r="CX52" s="80"/>
      <c r="CY52" s="80"/>
      <c r="CZ52" s="80"/>
      <c r="DA52" s="80"/>
    </row>
    <row r="53" spans="1:105" ht="18.75" customHeight="1" x14ac:dyDescent="0.2">
      <c r="A53" s="3009">
        <v>28022190</v>
      </c>
      <c r="B53" s="5146"/>
      <c r="C53" s="5556" t="s">
        <v>1030</v>
      </c>
      <c r="D53" s="5557"/>
      <c r="E53" s="553" t="s">
        <v>2777</v>
      </c>
      <c r="F53" s="474" t="s">
        <v>2778</v>
      </c>
      <c r="G53" s="475" t="s">
        <v>2779</v>
      </c>
      <c r="H53" s="474" t="s">
        <v>2780</v>
      </c>
      <c r="I53" s="439" t="s">
        <v>2781</v>
      </c>
      <c r="J53" s="474" t="s">
        <v>2782</v>
      </c>
      <c r="K53" s="439" t="s">
        <v>2783</v>
      </c>
      <c r="L53" s="474" t="s">
        <v>2784</v>
      </c>
      <c r="M53" s="475" t="s">
        <v>2785</v>
      </c>
      <c r="N53" s="476" t="s">
        <v>2786</v>
      </c>
      <c r="O53" s="439" t="s">
        <v>2787</v>
      </c>
      <c r="P53" s="476" t="s">
        <v>2788</v>
      </c>
      <c r="Q53" s="439" t="s">
        <v>2789</v>
      </c>
      <c r="R53" s="476" t="s">
        <v>2790</v>
      </c>
      <c r="S53" s="439" t="s">
        <v>2791</v>
      </c>
      <c r="T53" s="476" t="s">
        <v>2792</v>
      </c>
      <c r="U53" s="439" t="s">
        <v>2793</v>
      </c>
      <c r="V53" s="476" t="s">
        <v>2794</v>
      </c>
      <c r="W53" s="439" t="s">
        <v>2795</v>
      </c>
      <c r="X53" s="476" t="s">
        <v>2796</v>
      </c>
      <c r="Y53" s="439" t="s">
        <v>2797</v>
      </c>
      <c r="Z53" s="476" t="s">
        <v>2798</v>
      </c>
      <c r="AA53" s="439" t="s">
        <v>2799</v>
      </c>
      <c r="AB53" s="476" t="s">
        <v>2800</v>
      </c>
      <c r="AC53" s="439" t="s">
        <v>2801</v>
      </c>
      <c r="AD53" s="476" t="s">
        <v>2817</v>
      </c>
      <c r="AE53" s="439" t="s">
        <v>2818</v>
      </c>
      <c r="AF53" s="476" t="s">
        <v>2819</v>
      </c>
      <c r="AG53" s="439" t="s">
        <v>2821</v>
      </c>
      <c r="AH53" s="476" t="s">
        <v>2822</v>
      </c>
      <c r="AI53" s="439" t="s">
        <v>2823</v>
      </c>
      <c r="AJ53" s="476" t="s">
        <v>2824</v>
      </c>
      <c r="AK53" s="439" t="s">
        <v>2825</v>
      </c>
      <c r="AL53" s="476" t="s">
        <v>2826</v>
      </c>
      <c r="AM53" s="439" t="s">
        <v>2827</v>
      </c>
      <c r="AN53" s="476" t="s">
        <v>2831</v>
      </c>
      <c r="AO53" s="439" t="s">
        <v>2832</v>
      </c>
      <c r="AP53" s="476" t="s">
        <v>2833</v>
      </c>
      <c r="AQ53" s="1141" t="s">
        <v>2834</v>
      </c>
      <c r="AR53" s="591" t="s">
        <v>3011</v>
      </c>
      <c r="AS53" s="476" t="s">
        <v>3012</v>
      </c>
      <c r="AT53" s="439" t="s">
        <v>3013</v>
      </c>
      <c r="AU53" s="439" t="s">
        <v>3014</v>
      </c>
      <c r="AV53" s="439" t="s">
        <v>3015</v>
      </c>
      <c r="CH53" s="1020"/>
      <c r="CI53" s="1020"/>
      <c r="CJ53" s="1020"/>
      <c r="CK53" s="1020"/>
      <c r="CL53" s="1020"/>
      <c r="CM53" s="1020"/>
      <c r="CN53" s="1020"/>
      <c r="CO53" s="1020"/>
      <c r="CP53" s="1020"/>
      <c r="CQ53" s="1020"/>
      <c r="CR53" s="1020"/>
      <c r="CS53" s="1020"/>
      <c r="CT53" s="1020"/>
      <c r="CU53" s="1020"/>
      <c r="CV53" s="80"/>
      <c r="CW53" s="80"/>
      <c r="CX53" s="80"/>
      <c r="CY53" s="80"/>
      <c r="CZ53" s="80"/>
      <c r="DA53" s="80"/>
    </row>
    <row r="54" spans="1:105" ht="18.75" customHeight="1" x14ac:dyDescent="0.2">
      <c r="A54" s="3009">
        <v>28022200</v>
      </c>
      <c r="B54" s="5147"/>
      <c r="C54" s="6785" t="s">
        <v>1503</v>
      </c>
      <c r="D54" s="6786"/>
      <c r="E54" s="1845" t="s">
        <v>2777</v>
      </c>
      <c r="F54" s="1119" t="s">
        <v>2778</v>
      </c>
      <c r="G54" s="1120" t="s">
        <v>2779</v>
      </c>
      <c r="H54" s="1119" t="s">
        <v>2780</v>
      </c>
      <c r="I54" s="1544" t="s">
        <v>2781</v>
      </c>
      <c r="J54" s="1119" t="s">
        <v>2782</v>
      </c>
      <c r="K54" s="1544" t="s">
        <v>2783</v>
      </c>
      <c r="L54" s="1119" t="s">
        <v>2784</v>
      </c>
      <c r="M54" s="1120" t="s">
        <v>2785</v>
      </c>
      <c r="N54" s="1118" t="s">
        <v>2786</v>
      </c>
      <c r="O54" s="1544" t="s">
        <v>2787</v>
      </c>
      <c r="P54" s="1118" t="s">
        <v>2788</v>
      </c>
      <c r="Q54" s="1544" t="s">
        <v>2789</v>
      </c>
      <c r="R54" s="1118" t="s">
        <v>2790</v>
      </c>
      <c r="S54" s="1544" t="s">
        <v>2791</v>
      </c>
      <c r="T54" s="1118" t="s">
        <v>2792</v>
      </c>
      <c r="U54" s="1544" t="s">
        <v>2793</v>
      </c>
      <c r="V54" s="1118" t="s">
        <v>2794</v>
      </c>
      <c r="W54" s="1544" t="s">
        <v>2795</v>
      </c>
      <c r="X54" s="1118" t="s">
        <v>2796</v>
      </c>
      <c r="Y54" s="1544" t="s">
        <v>2797</v>
      </c>
      <c r="Z54" s="1118" t="s">
        <v>2798</v>
      </c>
      <c r="AA54" s="1544" t="s">
        <v>2799</v>
      </c>
      <c r="AB54" s="1118" t="s">
        <v>2800</v>
      </c>
      <c r="AC54" s="1544" t="s">
        <v>2801</v>
      </c>
      <c r="AD54" s="1118" t="s">
        <v>2817</v>
      </c>
      <c r="AE54" s="1544" t="s">
        <v>2818</v>
      </c>
      <c r="AF54" s="1118" t="s">
        <v>2819</v>
      </c>
      <c r="AG54" s="1544" t="s">
        <v>2821</v>
      </c>
      <c r="AH54" s="1118" t="s">
        <v>2822</v>
      </c>
      <c r="AI54" s="1544" t="s">
        <v>2823</v>
      </c>
      <c r="AJ54" s="1118" t="s">
        <v>2824</v>
      </c>
      <c r="AK54" s="1544" t="s">
        <v>2825</v>
      </c>
      <c r="AL54" s="1118" t="s">
        <v>2826</v>
      </c>
      <c r="AM54" s="1544" t="s">
        <v>2827</v>
      </c>
      <c r="AN54" s="1118" t="s">
        <v>2831</v>
      </c>
      <c r="AO54" s="1544" t="s">
        <v>2832</v>
      </c>
      <c r="AP54" s="1118" t="s">
        <v>2833</v>
      </c>
      <c r="AQ54" s="1142" t="s">
        <v>2834</v>
      </c>
      <c r="AR54" s="1143" t="s">
        <v>3011</v>
      </c>
      <c r="AS54" s="1118" t="s">
        <v>3012</v>
      </c>
      <c r="AT54" s="1544" t="s">
        <v>3013</v>
      </c>
      <c r="AU54" s="1544" t="s">
        <v>3014</v>
      </c>
      <c r="AV54" s="1544" t="s">
        <v>3015</v>
      </c>
      <c r="CH54" s="1020"/>
      <c r="CI54" s="1020"/>
      <c r="CJ54" s="1020"/>
      <c r="CK54" s="1020"/>
      <c r="CL54" s="1020"/>
      <c r="CM54" s="1020"/>
      <c r="CN54" s="1020"/>
      <c r="CO54" s="1020"/>
      <c r="CP54" s="1020"/>
      <c r="CQ54" s="1020"/>
      <c r="CR54" s="1020"/>
      <c r="CS54" s="1020"/>
      <c r="CT54" s="1020"/>
      <c r="CU54" s="1020"/>
      <c r="CV54" s="80"/>
      <c r="CW54" s="80"/>
      <c r="CX54" s="80"/>
      <c r="CY54" s="80"/>
      <c r="CZ54" s="80"/>
      <c r="DA54" s="80"/>
    </row>
    <row r="55" spans="1:105" ht="15.6" customHeight="1" x14ac:dyDescent="0.2">
      <c r="A55" s="3009">
        <v>28022210</v>
      </c>
      <c r="B55" s="6787" t="s">
        <v>760</v>
      </c>
      <c r="C55" s="6788"/>
      <c r="D55" s="6789"/>
      <c r="E55" s="3596" t="s">
        <v>2777</v>
      </c>
      <c r="F55" s="3524" t="s">
        <v>2778</v>
      </c>
      <c r="G55" s="3525" t="s">
        <v>2779</v>
      </c>
      <c r="H55" s="3524" t="s">
        <v>2780</v>
      </c>
      <c r="I55" s="3597" t="s">
        <v>2781</v>
      </c>
      <c r="J55" s="3524" t="s">
        <v>2782</v>
      </c>
      <c r="K55" s="3597" t="s">
        <v>2783</v>
      </c>
      <c r="L55" s="3524" t="s">
        <v>2784</v>
      </c>
      <c r="M55" s="3525" t="s">
        <v>2785</v>
      </c>
      <c r="N55" s="3598" t="s">
        <v>2786</v>
      </c>
      <c r="O55" s="3597" t="s">
        <v>2787</v>
      </c>
      <c r="P55" s="3598" t="s">
        <v>2788</v>
      </c>
      <c r="Q55" s="3597" t="s">
        <v>2789</v>
      </c>
      <c r="R55" s="3598" t="s">
        <v>2790</v>
      </c>
      <c r="S55" s="3597" t="s">
        <v>2791</v>
      </c>
      <c r="T55" s="3598" t="s">
        <v>2792</v>
      </c>
      <c r="U55" s="3597" t="s">
        <v>2793</v>
      </c>
      <c r="V55" s="3598" t="s">
        <v>2794</v>
      </c>
      <c r="W55" s="3597" t="s">
        <v>2795</v>
      </c>
      <c r="X55" s="3598" t="s">
        <v>2796</v>
      </c>
      <c r="Y55" s="3597" t="s">
        <v>2797</v>
      </c>
      <c r="Z55" s="3598" t="s">
        <v>2798</v>
      </c>
      <c r="AA55" s="3597" t="s">
        <v>2799</v>
      </c>
      <c r="AB55" s="3598" t="s">
        <v>2800</v>
      </c>
      <c r="AC55" s="3597" t="s">
        <v>2801</v>
      </c>
      <c r="AD55" s="3598" t="s">
        <v>2817</v>
      </c>
      <c r="AE55" s="3597" t="s">
        <v>2818</v>
      </c>
      <c r="AF55" s="3598" t="s">
        <v>2819</v>
      </c>
      <c r="AG55" s="3597" t="s">
        <v>2821</v>
      </c>
      <c r="AH55" s="3598" t="s">
        <v>2822</v>
      </c>
      <c r="AI55" s="3597" t="s">
        <v>2823</v>
      </c>
      <c r="AJ55" s="3598" t="s">
        <v>2824</v>
      </c>
      <c r="AK55" s="3597" t="s">
        <v>2825</v>
      </c>
      <c r="AL55" s="3598" t="s">
        <v>2826</v>
      </c>
      <c r="AM55" s="3597" t="s">
        <v>2827</v>
      </c>
      <c r="AN55" s="3598" t="s">
        <v>2831</v>
      </c>
      <c r="AO55" s="3597" t="s">
        <v>2832</v>
      </c>
      <c r="AP55" s="3598" t="s">
        <v>2833</v>
      </c>
      <c r="AQ55" s="3599" t="s">
        <v>2834</v>
      </c>
      <c r="AR55" s="3600" t="s">
        <v>3011</v>
      </c>
      <c r="AS55" s="3598" t="s">
        <v>3012</v>
      </c>
      <c r="AT55" s="3597" t="s">
        <v>3013</v>
      </c>
      <c r="AU55" s="3597" t="s">
        <v>3014</v>
      </c>
      <c r="AV55" s="3597" t="s">
        <v>3015</v>
      </c>
      <c r="CH55" s="1020"/>
      <c r="CI55" s="1020"/>
      <c r="CJ55" s="1020"/>
      <c r="CK55" s="1020"/>
      <c r="CL55" s="1020"/>
      <c r="CM55" s="1020"/>
      <c r="CN55" s="1020"/>
      <c r="CO55" s="1020"/>
      <c r="CP55" s="1020"/>
      <c r="CQ55" s="1020"/>
      <c r="CR55" s="1020"/>
      <c r="CS55" s="1020"/>
      <c r="CT55" s="1020"/>
      <c r="CU55" s="1020"/>
      <c r="CV55" s="80"/>
      <c r="CW55" s="80"/>
      <c r="CX55" s="80"/>
      <c r="CY55" s="80"/>
      <c r="CZ55" s="80"/>
      <c r="DA55" s="80"/>
    </row>
    <row r="56" spans="1:105" ht="15.6" customHeight="1" x14ac:dyDescent="0.2">
      <c r="A56" s="3009">
        <v>28022220</v>
      </c>
      <c r="B56" s="5279" t="s">
        <v>761</v>
      </c>
      <c r="C56" s="6729"/>
      <c r="D56" s="5280"/>
      <c r="E56" s="3602" t="s">
        <v>2777</v>
      </c>
      <c r="F56" s="3002" t="s">
        <v>2778</v>
      </c>
      <c r="G56" s="3003" t="s">
        <v>2779</v>
      </c>
      <c r="H56" s="3002" t="s">
        <v>2780</v>
      </c>
      <c r="I56" s="2657" t="s">
        <v>2781</v>
      </c>
      <c r="J56" s="3002" t="s">
        <v>2782</v>
      </c>
      <c r="K56" s="2657" t="s">
        <v>2783</v>
      </c>
      <c r="L56" s="3002" t="s">
        <v>2784</v>
      </c>
      <c r="M56" s="3003" t="s">
        <v>2785</v>
      </c>
      <c r="N56" s="3572" t="s">
        <v>2786</v>
      </c>
      <c r="O56" s="2657" t="s">
        <v>2787</v>
      </c>
      <c r="P56" s="3572" t="s">
        <v>2788</v>
      </c>
      <c r="Q56" s="2657" t="s">
        <v>2789</v>
      </c>
      <c r="R56" s="3572" t="s">
        <v>2790</v>
      </c>
      <c r="S56" s="2657" t="s">
        <v>2791</v>
      </c>
      <c r="T56" s="3572" t="s">
        <v>2792</v>
      </c>
      <c r="U56" s="2657" t="s">
        <v>2793</v>
      </c>
      <c r="V56" s="3572" t="s">
        <v>2794</v>
      </c>
      <c r="W56" s="2657" t="s">
        <v>2795</v>
      </c>
      <c r="X56" s="3572" t="s">
        <v>2796</v>
      </c>
      <c r="Y56" s="2657" t="s">
        <v>2797</v>
      </c>
      <c r="Z56" s="3572" t="s">
        <v>2798</v>
      </c>
      <c r="AA56" s="2657" t="s">
        <v>2799</v>
      </c>
      <c r="AB56" s="3572" t="s">
        <v>2800</v>
      </c>
      <c r="AC56" s="2657" t="s">
        <v>2801</v>
      </c>
      <c r="AD56" s="3572" t="s">
        <v>2817</v>
      </c>
      <c r="AE56" s="2657" t="s">
        <v>2818</v>
      </c>
      <c r="AF56" s="3572" t="s">
        <v>2819</v>
      </c>
      <c r="AG56" s="2657" t="s">
        <v>2821</v>
      </c>
      <c r="AH56" s="3572" t="s">
        <v>2822</v>
      </c>
      <c r="AI56" s="2657" t="s">
        <v>2823</v>
      </c>
      <c r="AJ56" s="3572" t="s">
        <v>2824</v>
      </c>
      <c r="AK56" s="2657" t="s">
        <v>2825</v>
      </c>
      <c r="AL56" s="3572" t="s">
        <v>2826</v>
      </c>
      <c r="AM56" s="2657" t="s">
        <v>2827</v>
      </c>
      <c r="AN56" s="3572" t="s">
        <v>2831</v>
      </c>
      <c r="AO56" s="2657" t="s">
        <v>2832</v>
      </c>
      <c r="AP56" s="3572" t="s">
        <v>2833</v>
      </c>
      <c r="AQ56" s="2127" t="s">
        <v>2834</v>
      </c>
      <c r="AR56" s="1144" t="s">
        <v>3011</v>
      </c>
      <c r="AS56" s="478" t="s">
        <v>3012</v>
      </c>
      <c r="AT56" s="443" t="s">
        <v>3013</v>
      </c>
      <c r="AU56" s="443" t="s">
        <v>3014</v>
      </c>
      <c r="AV56" s="443" t="s">
        <v>3015</v>
      </c>
      <c r="CH56" s="1020"/>
      <c r="CI56" s="1020"/>
      <c r="CJ56" s="1020"/>
      <c r="CK56" s="1020"/>
      <c r="CL56" s="1020"/>
      <c r="CM56" s="1020"/>
      <c r="CN56" s="1020"/>
      <c r="CO56" s="1020"/>
      <c r="CP56" s="1020"/>
      <c r="CQ56" s="1020"/>
      <c r="CR56" s="1020"/>
      <c r="CS56" s="1020"/>
      <c r="CT56" s="1020"/>
      <c r="CU56" s="1020"/>
      <c r="CV56" s="80"/>
      <c r="CW56" s="80"/>
      <c r="CX56" s="80"/>
      <c r="CY56" s="80"/>
      <c r="CZ56" s="80"/>
      <c r="DA56" s="80"/>
    </row>
    <row r="57" spans="1:105" ht="22.5" customHeight="1" x14ac:dyDescent="0.2">
      <c r="B57" s="177" t="s">
        <v>898</v>
      </c>
      <c r="C57" s="85"/>
      <c r="D57" s="1101"/>
      <c r="E57" s="85"/>
      <c r="F57" s="85"/>
      <c r="G57" s="85"/>
      <c r="H57" s="85"/>
      <c r="I57" s="85"/>
      <c r="J57" s="85"/>
      <c r="K57" s="85"/>
      <c r="L57" s="85"/>
      <c r="M57" s="85"/>
      <c r="N57" s="85"/>
      <c r="O57" s="85"/>
      <c r="P57" s="85"/>
      <c r="CK57" s="1020"/>
      <c r="CL57" s="1020"/>
      <c r="CM57" s="1020"/>
      <c r="CN57" s="1020"/>
      <c r="CO57" s="1020"/>
      <c r="CP57" s="1020"/>
      <c r="CQ57" s="1020"/>
      <c r="CR57" s="1020"/>
      <c r="CS57" s="1020"/>
      <c r="CT57" s="1020"/>
      <c r="CU57" s="1020"/>
      <c r="CV57" s="80"/>
      <c r="CW57" s="80"/>
      <c r="CX57" s="80"/>
      <c r="CY57" s="80"/>
      <c r="CZ57" s="80"/>
      <c r="DA57" s="80"/>
    </row>
    <row r="58" spans="1:105" ht="15.6" customHeight="1" x14ac:dyDescent="0.2">
      <c r="B58" s="5429" t="s">
        <v>3</v>
      </c>
      <c r="C58" s="5430" t="s">
        <v>4</v>
      </c>
      <c r="D58" s="5160" t="s">
        <v>736</v>
      </c>
      <c r="E58" s="6321"/>
      <c r="F58" s="6321"/>
      <c r="G58" s="6321"/>
      <c r="H58" s="5162"/>
      <c r="AK58" s="79"/>
      <c r="AL58" s="79"/>
      <c r="BZ58" s="80"/>
      <c r="CA58" s="80"/>
      <c r="CK58" s="1020"/>
      <c r="CL58" s="1020"/>
      <c r="CM58" s="1020"/>
      <c r="CN58" s="1020"/>
      <c r="CO58" s="1020"/>
      <c r="CP58" s="1020"/>
      <c r="CQ58" s="1020"/>
      <c r="CR58" s="1020"/>
      <c r="CS58" s="1020"/>
      <c r="CT58" s="1020"/>
      <c r="CU58" s="1020"/>
      <c r="CV58" s="80"/>
      <c r="CW58" s="80"/>
      <c r="CX58" s="80"/>
      <c r="CY58" s="80"/>
      <c r="CZ58" s="80"/>
      <c r="DA58" s="80"/>
    </row>
    <row r="59" spans="1:105" ht="15.6" customHeight="1" x14ac:dyDescent="0.2">
      <c r="B59" s="5135"/>
      <c r="C59" s="5113"/>
      <c r="D59" s="6753" t="s">
        <v>744</v>
      </c>
      <c r="E59" s="6765" t="s">
        <v>745</v>
      </c>
      <c r="F59" s="6756" t="s">
        <v>746</v>
      </c>
      <c r="G59" s="5430" t="s">
        <v>1650</v>
      </c>
      <c r="H59" s="5430" t="s">
        <v>318</v>
      </c>
      <c r="AK59" s="79"/>
      <c r="AL59" s="79"/>
      <c r="BZ59" s="80"/>
      <c r="CA59" s="80"/>
      <c r="CH59" s="1020"/>
      <c r="CI59" s="1020"/>
      <c r="CJ59" s="1020"/>
      <c r="CK59" s="1020"/>
      <c r="CL59" s="1020"/>
      <c r="CM59" s="1020"/>
      <c r="CN59" s="1020"/>
      <c r="CO59" s="1020"/>
      <c r="CP59" s="1020"/>
      <c r="CQ59" s="1020"/>
      <c r="CR59" s="1020"/>
      <c r="CS59" s="1020"/>
      <c r="CT59" s="1020"/>
      <c r="CU59" s="1020"/>
      <c r="CV59" s="80"/>
      <c r="CW59" s="80"/>
      <c r="CX59" s="80"/>
      <c r="CY59" s="80"/>
      <c r="CZ59" s="80"/>
      <c r="DA59" s="80"/>
    </row>
    <row r="60" spans="1:105" ht="15.6" customHeight="1" x14ac:dyDescent="0.2">
      <c r="B60" s="6307"/>
      <c r="C60" s="5159"/>
      <c r="D60" s="6754"/>
      <c r="E60" s="6766"/>
      <c r="F60" s="6757"/>
      <c r="G60" s="5159"/>
      <c r="H60" s="5159"/>
      <c r="AK60" s="79"/>
      <c r="AL60" s="79"/>
      <c r="BZ60" s="80"/>
      <c r="CA60" s="80"/>
      <c r="CH60" s="1020"/>
      <c r="CI60" s="1020"/>
      <c r="CJ60" s="1020"/>
      <c r="CK60" s="1020"/>
      <c r="CL60" s="1020"/>
      <c r="CM60" s="1020"/>
      <c r="CN60" s="1020"/>
      <c r="CO60" s="1020"/>
      <c r="CP60" s="1020"/>
      <c r="CQ60" s="1020"/>
      <c r="CR60" s="1020"/>
      <c r="CS60" s="1020"/>
      <c r="CT60" s="1020"/>
      <c r="CU60" s="1020"/>
      <c r="CV60" s="80"/>
      <c r="CW60" s="80"/>
      <c r="CX60" s="80"/>
      <c r="CY60" s="80"/>
      <c r="CZ60" s="80"/>
      <c r="DA60" s="80"/>
    </row>
    <row r="61" spans="1:105" ht="16.5" customHeight="1" x14ac:dyDescent="0.2">
      <c r="A61" s="3009">
        <v>28010100</v>
      </c>
      <c r="B61" s="1783" t="s">
        <v>29</v>
      </c>
      <c r="C61" s="3115" t="s">
        <v>2777</v>
      </c>
      <c r="D61" s="2999" t="s">
        <v>2778</v>
      </c>
      <c r="E61" s="3567" t="s">
        <v>2779</v>
      </c>
      <c r="F61" s="3603" t="s">
        <v>2780</v>
      </c>
      <c r="G61" s="3603" t="s">
        <v>2781</v>
      </c>
      <c r="H61" s="3603" t="s">
        <v>2782</v>
      </c>
      <c r="AK61" s="79"/>
      <c r="AL61" s="79"/>
      <c r="BZ61" s="80"/>
      <c r="CA61" s="80"/>
      <c r="CB61" s="1031"/>
      <c r="CC61" s="1031"/>
      <c r="CD61" s="1031"/>
      <c r="CE61" s="1031"/>
      <c r="CF61" s="1031"/>
      <c r="CG61" s="1031"/>
      <c r="CH61" s="1163"/>
      <c r="CI61" s="1163"/>
      <c r="CJ61" s="1163"/>
      <c r="CK61" s="1020"/>
      <c r="CL61" s="1020"/>
      <c r="CM61" s="1020"/>
      <c r="CN61" s="1020"/>
      <c r="CO61" s="1020"/>
      <c r="CP61" s="1020"/>
      <c r="CQ61" s="1020"/>
      <c r="CR61" s="1020"/>
      <c r="CS61" s="1020"/>
      <c r="CT61" s="1020"/>
      <c r="CU61" s="1020"/>
      <c r="CV61" s="80"/>
      <c r="CW61" s="80"/>
      <c r="CX61" s="80"/>
      <c r="CY61" s="80"/>
      <c r="CZ61" s="80"/>
      <c r="DA61" s="80"/>
    </row>
    <row r="62" spans="1:105" ht="16.5" customHeight="1" x14ac:dyDescent="0.2">
      <c r="A62" s="3009">
        <v>28010200</v>
      </c>
      <c r="B62" s="1784" t="s">
        <v>499</v>
      </c>
      <c r="C62" s="3114" t="s">
        <v>2777</v>
      </c>
      <c r="D62" s="2999" t="s">
        <v>2778</v>
      </c>
      <c r="E62" s="3567" t="s">
        <v>2779</v>
      </c>
      <c r="F62" s="2903" t="s">
        <v>2780</v>
      </c>
      <c r="G62" s="2903" t="s">
        <v>2781</v>
      </c>
      <c r="H62" s="2903" t="s">
        <v>2782</v>
      </c>
      <c r="AK62" s="79"/>
      <c r="AL62" s="79"/>
      <c r="BZ62" s="80"/>
      <c r="CA62" s="80"/>
      <c r="CB62" s="1031"/>
      <c r="CC62" s="1031"/>
      <c r="CD62" s="1031"/>
      <c r="CE62" s="1031"/>
      <c r="CF62" s="1031"/>
      <c r="CG62" s="1031"/>
      <c r="CH62" s="1163"/>
      <c r="CI62" s="1163"/>
      <c r="CJ62" s="1163"/>
      <c r="CK62" s="1020"/>
      <c r="CL62" s="1020"/>
      <c r="CM62" s="1020"/>
      <c r="CN62" s="1020"/>
      <c r="CO62" s="1020"/>
      <c r="CP62" s="1020"/>
      <c r="CQ62" s="1020"/>
      <c r="CR62" s="1020"/>
      <c r="CS62" s="1020"/>
      <c r="CT62" s="1020"/>
      <c r="CU62" s="1020"/>
      <c r="CV62" s="80"/>
      <c r="CW62" s="80"/>
      <c r="CX62" s="80"/>
      <c r="CY62" s="80"/>
      <c r="CZ62" s="80"/>
      <c r="DA62" s="80"/>
    </row>
    <row r="63" spans="1:105" ht="16.5" customHeight="1" x14ac:dyDescent="0.2">
      <c r="A63" s="3009">
        <v>28010300</v>
      </c>
      <c r="B63" s="1784" t="s">
        <v>282</v>
      </c>
      <c r="C63" s="3114" t="s">
        <v>2777</v>
      </c>
      <c r="D63" s="2999" t="s">
        <v>2778</v>
      </c>
      <c r="E63" s="3567" t="s">
        <v>2779</v>
      </c>
      <c r="F63" s="2903" t="s">
        <v>2780</v>
      </c>
      <c r="G63" s="2903" t="s">
        <v>2781</v>
      </c>
      <c r="H63" s="2903" t="s">
        <v>2782</v>
      </c>
      <c r="AK63" s="79"/>
      <c r="AL63" s="79"/>
      <c r="BZ63" s="80"/>
      <c r="CA63" s="80"/>
      <c r="CB63" s="1031"/>
      <c r="CC63" s="1031"/>
      <c r="CD63" s="1031"/>
      <c r="CE63" s="1031"/>
      <c r="CF63" s="1031"/>
      <c r="CG63" s="1031"/>
      <c r="CH63" s="1163"/>
      <c r="CI63" s="1163"/>
      <c r="CJ63" s="1163"/>
      <c r="CK63" s="1020"/>
      <c r="CL63" s="1020"/>
      <c r="CM63" s="1020"/>
      <c r="CN63" s="1020"/>
      <c r="CO63" s="1020"/>
      <c r="CP63" s="1020"/>
      <c r="CQ63" s="1020"/>
      <c r="CR63" s="1020"/>
      <c r="CS63" s="1020"/>
      <c r="CT63" s="1020"/>
      <c r="CU63" s="1020"/>
      <c r="CV63" s="80"/>
      <c r="CW63" s="80"/>
      <c r="CX63" s="80"/>
      <c r="CY63" s="80"/>
      <c r="CZ63" s="80"/>
      <c r="DA63" s="80"/>
    </row>
    <row r="64" spans="1:105" ht="16.5" customHeight="1" x14ac:dyDescent="0.2">
      <c r="A64" s="3009">
        <v>28010400</v>
      </c>
      <c r="B64" s="1784" t="s">
        <v>281</v>
      </c>
      <c r="C64" s="3114" t="s">
        <v>2777</v>
      </c>
      <c r="D64" s="2999" t="s">
        <v>2778</v>
      </c>
      <c r="E64" s="3567" t="s">
        <v>2779</v>
      </c>
      <c r="F64" s="2903" t="s">
        <v>2780</v>
      </c>
      <c r="G64" s="2903" t="s">
        <v>2781</v>
      </c>
      <c r="H64" s="2903" t="s">
        <v>2782</v>
      </c>
      <c r="AK64" s="79"/>
      <c r="AL64" s="79"/>
      <c r="BZ64" s="80"/>
      <c r="CA64" s="80"/>
      <c r="CB64" s="1031"/>
      <c r="CC64" s="1031"/>
      <c r="CD64" s="1031"/>
      <c r="CE64" s="1031"/>
      <c r="CF64" s="1031"/>
      <c r="CG64" s="1031"/>
      <c r="CH64" s="1163"/>
      <c r="CI64" s="1163"/>
      <c r="CJ64" s="1163"/>
      <c r="CK64" s="1020"/>
      <c r="CL64" s="1020"/>
      <c r="CM64" s="1020"/>
      <c r="CN64" s="1020"/>
      <c r="CO64" s="1020"/>
      <c r="CP64" s="1020"/>
      <c r="CQ64" s="1020"/>
      <c r="CR64" s="1020"/>
      <c r="CS64" s="1020"/>
      <c r="CT64" s="1020"/>
      <c r="CU64" s="1020"/>
      <c r="CV64" s="80"/>
      <c r="CW64" s="80"/>
      <c r="CX64" s="80"/>
      <c r="CY64" s="80"/>
      <c r="CZ64" s="80"/>
      <c r="DA64" s="80"/>
    </row>
    <row r="65" spans="1:105" ht="16.5" customHeight="1" x14ac:dyDescent="0.2">
      <c r="A65" s="3009">
        <v>28010500</v>
      </c>
      <c r="B65" s="1784" t="s">
        <v>280</v>
      </c>
      <c r="C65" s="3285" t="s">
        <v>2777</v>
      </c>
      <c r="D65" s="3564" t="s">
        <v>2778</v>
      </c>
      <c r="E65" s="3568" t="s">
        <v>2779</v>
      </c>
      <c r="F65" s="2904" t="s">
        <v>2780</v>
      </c>
      <c r="G65" s="2904" t="s">
        <v>2781</v>
      </c>
      <c r="H65" s="2904" t="s">
        <v>2782</v>
      </c>
      <c r="AK65" s="79"/>
      <c r="AL65" s="79"/>
      <c r="BZ65" s="80"/>
      <c r="CA65" s="80"/>
      <c r="CB65" s="1031"/>
      <c r="CC65" s="1031"/>
      <c r="CD65" s="1031"/>
      <c r="CE65" s="1031"/>
      <c r="CF65" s="1031"/>
      <c r="CG65" s="1031"/>
      <c r="CH65" s="1163"/>
      <c r="CI65" s="1163"/>
      <c r="CJ65" s="1163"/>
      <c r="CK65" s="1020"/>
      <c r="CL65" s="1020"/>
      <c r="CM65" s="1020"/>
      <c r="CN65" s="1020"/>
      <c r="CO65" s="1020"/>
      <c r="CP65" s="1020"/>
      <c r="CQ65" s="1020"/>
      <c r="CR65" s="1020"/>
      <c r="CS65" s="1020"/>
      <c r="CT65" s="1020"/>
      <c r="CU65" s="1020"/>
      <c r="CV65" s="80"/>
      <c r="CW65" s="80"/>
      <c r="CX65" s="80"/>
      <c r="CY65" s="80"/>
      <c r="CZ65" s="80"/>
      <c r="DA65" s="80"/>
    </row>
    <row r="66" spans="1:105" ht="15.6" customHeight="1" x14ac:dyDescent="0.2">
      <c r="A66" s="2527"/>
      <c r="B66" s="1838" t="s">
        <v>42</v>
      </c>
      <c r="C66" s="1812"/>
      <c r="D66" s="716">
        <f t="shared" ref="D66:H66" si="4">SUM(D61:D65)</f>
        <v>0</v>
      </c>
      <c r="E66" s="717">
        <f t="shared" si="4"/>
        <v>0</v>
      </c>
      <c r="F66" s="384">
        <f t="shared" si="4"/>
        <v>0</v>
      </c>
      <c r="G66" s="384">
        <f t="shared" si="4"/>
        <v>0</v>
      </c>
      <c r="H66" s="384">
        <f t="shared" si="4"/>
        <v>0</v>
      </c>
      <c r="AK66" s="79"/>
      <c r="AL66" s="79"/>
      <c r="BZ66" s="80"/>
      <c r="CA66" s="80"/>
      <c r="CH66" s="1020"/>
      <c r="CI66" s="1020"/>
      <c r="CJ66" s="1020"/>
      <c r="CK66" s="1020"/>
      <c r="CL66" s="1020"/>
      <c r="CM66" s="1020"/>
      <c r="CN66" s="1020"/>
      <c r="CO66" s="1020"/>
      <c r="CP66" s="1020"/>
      <c r="CQ66" s="1020"/>
      <c r="CR66" s="1020"/>
      <c r="CS66" s="1020"/>
      <c r="CT66" s="1020"/>
      <c r="CU66" s="1020"/>
      <c r="CV66" s="80"/>
      <c r="CW66" s="80"/>
      <c r="CX66" s="80"/>
      <c r="CY66" s="80"/>
      <c r="CZ66" s="80"/>
      <c r="DA66" s="80"/>
    </row>
    <row r="67" spans="1:105" ht="28.5" customHeight="1" x14ac:dyDescent="0.2">
      <c r="B67" s="1787" t="s">
        <v>1170</v>
      </c>
      <c r="D67" s="243"/>
      <c r="E67" s="85"/>
      <c r="F67" s="85"/>
      <c r="G67" s="85"/>
      <c r="H67" s="85"/>
      <c r="I67" s="85"/>
      <c r="J67" s="85"/>
      <c r="K67" s="85"/>
      <c r="L67" s="85"/>
      <c r="CH67" s="1020"/>
      <c r="CI67" s="1020"/>
      <c r="CJ67" s="1020"/>
      <c r="CK67" s="1020"/>
      <c r="CL67" s="1020"/>
      <c r="CM67" s="1020"/>
      <c r="CN67" s="1020"/>
      <c r="CO67" s="1020"/>
      <c r="CP67" s="1020"/>
      <c r="CQ67" s="1020"/>
      <c r="CR67" s="1020"/>
      <c r="CS67" s="1020"/>
      <c r="CT67" s="1020"/>
      <c r="CU67" s="1020"/>
      <c r="CV67" s="80"/>
      <c r="CW67" s="80"/>
      <c r="CX67" s="80"/>
      <c r="CY67" s="80"/>
      <c r="CZ67" s="80"/>
      <c r="DA67" s="80"/>
    </row>
    <row r="68" spans="1:105" ht="39" customHeight="1" x14ac:dyDescent="0.2">
      <c r="B68" s="1798" t="s">
        <v>3</v>
      </c>
      <c r="C68" s="1794" t="s">
        <v>4</v>
      </c>
      <c r="D68" s="4649" t="s">
        <v>744</v>
      </c>
      <c r="E68" s="4316" t="s">
        <v>756</v>
      </c>
      <c r="F68" s="4316" t="s">
        <v>746</v>
      </c>
      <c r="G68" s="4316" t="s">
        <v>1650</v>
      </c>
      <c r="H68" s="4646" t="s">
        <v>727</v>
      </c>
      <c r="J68" s="190"/>
      <c r="K68" s="190"/>
      <c r="L68" s="190"/>
      <c r="AV68" s="190"/>
      <c r="CH68" s="1020"/>
      <c r="CI68" s="1020"/>
      <c r="CJ68" s="1020"/>
      <c r="CK68" s="1020"/>
      <c r="CL68" s="1020"/>
      <c r="CM68" s="1020"/>
      <c r="CN68" s="1020"/>
      <c r="CO68" s="1020"/>
      <c r="CP68" s="1020"/>
      <c r="CQ68" s="1020"/>
      <c r="CR68" s="1020"/>
      <c r="CS68" s="1020"/>
      <c r="CT68" s="1020"/>
      <c r="CU68" s="1020"/>
      <c r="CV68" s="80"/>
      <c r="CW68" s="80"/>
      <c r="CX68" s="80"/>
      <c r="CY68" s="80"/>
      <c r="CZ68" s="80"/>
      <c r="DA68" s="80"/>
    </row>
    <row r="69" spans="1:105" ht="20.25" customHeight="1" x14ac:dyDescent="0.2">
      <c r="A69" s="3009">
        <v>28011000</v>
      </c>
      <c r="B69" s="1783" t="s">
        <v>499</v>
      </c>
      <c r="C69" s="3115" t="s">
        <v>2777</v>
      </c>
      <c r="D69" s="2999" t="s">
        <v>2778</v>
      </c>
      <c r="E69" s="3567" t="s">
        <v>2779</v>
      </c>
      <c r="F69" s="4683" t="s">
        <v>2780</v>
      </c>
      <c r="G69" s="4683" t="s">
        <v>2781</v>
      </c>
      <c r="H69" s="3603" t="s">
        <v>2782</v>
      </c>
      <c r="J69" s="190"/>
      <c r="K69" s="190"/>
      <c r="L69" s="190"/>
      <c r="AV69" s="190"/>
      <c r="CH69" s="1020"/>
      <c r="CI69" s="1020"/>
      <c r="CJ69" s="1020"/>
      <c r="CK69" s="1020"/>
      <c r="CL69" s="1020"/>
      <c r="CM69" s="1020"/>
      <c r="CN69" s="1020"/>
      <c r="CO69" s="1020"/>
      <c r="CP69" s="1020"/>
      <c r="CQ69" s="1020"/>
      <c r="CR69" s="1020"/>
      <c r="CS69" s="1020"/>
      <c r="CT69" s="1020"/>
      <c r="CU69" s="1020"/>
      <c r="CV69" s="80"/>
      <c r="CW69" s="80"/>
      <c r="CX69" s="80"/>
      <c r="CY69" s="80"/>
      <c r="CZ69" s="80"/>
      <c r="DA69" s="80"/>
    </row>
    <row r="70" spans="1:105" ht="20.25" customHeight="1" x14ac:dyDescent="0.2">
      <c r="A70" s="3009">
        <v>28011100</v>
      </c>
      <c r="B70" s="1784" t="s">
        <v>282</v>
      </c>
      <c r="C70" s="3114" t="s">
        <v>2777</v>
      </c>
      <c r="D70" s="2999" t="s">
        <v>2778</v>
      </c>
      <c r="E70" s="3567" t="s">
        <v>2779</v>
      </c>
      <c r="F70" s="3567" t="s">
        <v>2780</v>
      </c>
      <c r="G70" s="3567" t="s">
        <v>2781</v>
      </c>
      <c r="H70" s="2903" t="s">
        <v>2782</v>
      </c>
      <c r="J70" s="190"/>
      <c r="K70" s="190"/>
      <c r="L70" s="190"/>
      <c r="AV70" s="190"/>
      <c r="CH70" s="1020"/>
      <c r="CI70" s="1020"/>
      <c r="CJ70" s="1020"/>
      <c r="CK70" s="1020"/>
      <c r="CL70" s="1020"/>
      <c r="CM70" s="1020"/>
      <c r="CN70" s="1020"/>
      <c r="CO70" s="1020"/>
      <c r="CP70" s="1020"/>
      <c r="CQ70" s="1020"/>
      <c r="CR70" s="1020"/>
      <c r="CS70" s="1020"/>
      <c r="CT70" s="1020"/>
      <c r="CU70" s="1020"/>
      <c r="CV70" s="80"/>
      <c r="CW70" s="80"/>
      <c r="CX70" s="80"/>
      <c r="CY70" s="80"/>
      <c r="CZ70" s="80"/>
      <c r="DA70" s="80"/>
    </row>
    <row r="71" spans="1:105" ht="20.25" customHeight="1" x14ac:dyDescent="0.2">
      <c r="A71" s="3009">
        <v>28011200</v>
      </c>
      <c r="B71" s="1784" t="s">
        <v>281</v>
      </c>
      <c r="C71" s="3114" t="s">
        <v>2777</v>
      </c>
      <c r="D71" s="2999" t="s">
        <v>2778</v>
      </c>
      <c r="E71" s="3567" t="s">
        <v>2779</v>
      </c>
      <c r="F71" s="3567" t="s">
        <v>2780</v>
      </c>
      <c r="G71" s="3567" t="s">
        <v>2781</v>
      </c>
      <c r="H71" s="2903" t="s">
        <v>2782</v>
      </c>
      <c r="J71" s="190"/>
      <c r="K71" s="190"/>
      <c r="L71" s="190"/>
      <c r="AV71" s="190"/>
      <c r="CH71" s="1020"/>
      <c r="CI71" s="1020"/>
      <c r="CJ71" s="1020"/>
      <c r="CK71" s="1020"/>
      <c r="CL71" s="1020"/>
      <c r="CM71" s="1020"/>
      <c r="CN71" s="1020"/>
      <c r="CO71" s="1020"/>
      <c r="CP71" s="1020"/>
      <c r="CQ71" s="1020"/>
      <c r="CR71" s="1020"/>
      <c r="CS71" s="1020"/>
      <c r="CT71" s="1020"/>
      <c r="CU71" s="1020"/>
      <c r="CV71" s="80"/>
      <c r="CW71" s="80"/>
      <c r="CX71" s="80"/>
      <c r="CY71" s="80"/>
      <c r="CZ71" s="80"/>
      <c r="DA71" s="80"/>
    </row>
    <row r="72" spans="1:105" ht="20.25" customHeight="1" x14ac:dyDescent="0.2">
      <c r="A72" s="3009">
        <v>28011300</v>
      </c>
      <c r="B72" s="1784" t="s">
        <v>280</v>
      </c>
      <c r="C72" s="3114" t="s">
        <v>2777</v>
      </c>
      <c r="D72" s="2999" t="s">
        <v>2778</v>
      </c>
      <c r="E72" s="3567" t="s">
        <v>2779</v>
      </c>
      <c r="F72" s="3567" t="s">
        <v>2780</v>
      </c>
      <c r="G72" s="3567" t="s">
        <v>2781</v>
      </c>
      <c r="H72" s="2903" t="s">
        <v>2782</v>
      </c>
      <c r="J72" s="190"/>
      <c r="K72" s="190"/>
      <c r="L72" s="190"/>
      <c r="AV72" s="190"/>
      <c r="CH72" s="1020"/>
      <c r="CI72" s="1020"/>
      <c r="CJ72" s="1020"/>
      <c r="CK72" s="1020"/>
      <c r="CL72" s="1020"/>
      <c r="CM72" s="1020"/>
      <c r="CN72" s="1020"/>
      <c r="CO72" s="1020"/>
      <c r="CP72" s="1020"/>
      <c r="CQ72" s="1020"/>
      <c r="CR72" s="1020"/>
      <c r="CS72" s="1020"/>
      <c r="CT72" s="1020"/>
      <c r="CU72" s="1020"/>
      <c r="CV72" s="80"/>
      <c r="CW72" s="80"/>
      <c r="CX72" s="80"/>
      <c r="CY72" s="80"/>
      <c r="CZ72" s="80"/>
      <c r="DA72" s="80"/>
    </row>
    <row r="73" spans="1:105" ht="15" customHeight="1" x14ac:dyDescent="0.2">
      <c r="A73" s="2518"/>
      <c r="B73" s="1838" t="s">
        <v>42</v>
      </c>
      <c r="C73" s="3285" t="s">
        <v>2777</v>
      </c>
      <c r="D73" s="3564" t="s">
        <v>2778</v>
      </c>
      <c r="E73" s="3568" t="s">
        <v>2779</v>
      </c>
      <c r="F73" s="3568" t="s">
        <v>2780</v>
      </c>
      <c r="G73" s="3568" t="s">
        <v>2781</v>
      </c>
      <c r="H73" s="2904" t="s">
        <v>2782</v>
      </c>
      <c r="J73" s="190"/>
      <c r="K73" s="190"/>
      <c r="L73" s="190"/>
      <c r="AV73" s="190"/>
      <c r="CH73" s="1020"/>
      <c r="CI73" s="1020"/>
      <c r="CJ73" s="1020"/>
      <c r="CK73" s="1020"/>
      <c r="CL73" s="1020"/>
      <c r="CM73" s="1020"/>
      <c r="CN73" s="1020"/>
      <c r="CO73" s="1020"/>
      <c r="CP73" s="1020"/>
      <c r="CQ73" s="1020"/>
      <c r="CR73" s="1020"/>
      <c r="CS73" s="1020"/>
      <c r="CT73" s="1020"/>
      <c r="CU73" s="1020"/>
      <c r="CV73" s="80"/>
      <c r="CW73" s="80"/>
      <c r="CX73" s="80"/>
      <c r="CY73" s="80"/>
      <c r="CZ73" s="80"/>
      <c r="DA73" s="80"/>
    </row>
    <row r="74" spans="1:105" ht="29.25" customHeight="1" x14ac:dyDescent="0.2">
      <c r="B74" s="1787" t="s">
        <v>899</v>
      </c>
      <c r="D74" s="243"/>
      <c r="E74" s="190"/>
      <c r="F74" s="190"/>
      <c r="G74" s="190"/>
      <c r="H74" s="190"/>
      <c r="I74" s="190"/>
      <c r="J74" s="190"/>
      <c r="K74" s="190"/>
      <c r="L74" s="190"/>
      <c r="AV74" s="190"/>
      <c r="CH74" s="1020"/>
      <c r="CI74" s="1020"/>
      <c r="CJ74" s="1020"/>
      <c r="CK74" s="1020"/>
      <c r="CL74" s="1020"/>
      <c r="CM74" s="1020"/>
      <c r="CN74" s="1020"/>
      <c r="CO74" s="1020"/>
      <c r="CP74" s="1020"/>
      <c r="CQ74" s="1020"/>
      <c r="CR74" s="1020"/>
      <c r="CS74" s="1020"/>
      <c r="CT74" s="1020"/>
      <c r="CU74" s="1020"/>
      <c r="CV74" s="80"/>
      <c r="CW74" s="80"/>
      <c r="CX74" s="80"/>
      <c r="CY74" s="80"/>
      <c r="CZ74" s="80"/>
      <c r="DA74" s="80"/>
    </row>
    <row r="75" spans="1:105" ht="45" customHeight="1" x14ac:dyDescent="0.2">
      <c r="B75" s="1798" t="s">
        <v>3</v>
      </c>
      <c r="C75" s="1794" t="s">
        <v>4</v>
      </c>
      <c r="D75" s="4649" t="s">
        <v>744</v>
      </c>
      <c r="E75" s="4316" t="s">
        <v>756</v>
      </c>
      <c r="F75" s="4316" t="s">
        <v>746</v>
      </c>
      <c r="G75" s="4316" t="s">
        <v>1650</v>
      </c>
      <c r="H75" s="4646" t="s">
        <v>727</v>
      </c>
      <c r="J75" s="190"/>
      <c r="K75" s="190"/>
      <c r="L75" s="190"/>
      <c r="AV75" s="190"/>
      <c r="CH75" s="1020"/>
      <c r="CI75" s="1020"/>
      <c r="CJ75" s="1020"/>
      <c r="CK75" s="1020"/>
      <c r="CL75" s="1020"/>
      <c r="CM75" s="1020"/>
      <c r="CN75" s="1020"/>
      <c r="CO75" s="1020"/>
      <c r="CP75" s="1020"/>
      <c r="CQ75" s="1020"/>
      <c r="CR75" s="1020"/>
      <c r="CS75" s="1020"/>
      <c r="CT75" s="1020"/>
      <c r="CU75" s="1020"/>
      <c r="CV75" s="80"/>
      <c r="CW75" s="80"/>
      <c r="CX75" s="80"/>
      <c r="CY75" s="80"/>
      <c r="CZ75" s="80"/>
      <c r="DA75" s="80"/>
    </row>
    <row r="76" spans="1:105" ht="17.25" customHeight="1" x14ac:dyDescent="0.2">
      <c r="A76" s="3009">
        <v>28020660</v>
      </c>
      <c r="B76" s="1783" t="s">
        <v>499</v>
      </c>
      <c r="C76" s="3115" t="s">
        <v>2777</v>
      </c>
      <c r="D76" s="2999" t="s">
        <v>2778</v>
      </c>
      <c r="E76" s="3567" t="s">
        <v>2779</v>
      </c>
      <c r="F76" s="4685" t="s">
        <v>2780</v>
      </c>
      <c r="G76" s="4685" t="s">
        <v>2781</v>
      </c>
      <c r="H76" s="4684" t="s">
        <v>2782</v>
      </c>
      <c r="J76" s="190"/>
      <c r="K76" s="190"/>
      <c r="L76" s="190"/>
      <c r="AV76" s="190"/>
      <c r="CH76" s="1020"/>
      <c r="CI76" s="1020"/>
      <c r="CJ76" s="1020"/>
      <c r="CK76" s="1020"/>
      <c r="CL76" s="1020"/>
      <c r="CM76" s="1020"/>
      <c r="CN76" s="1020"/>
      <c r="CO76" s="1020"/>
      <c r="CP76" s="1020"/>
      <c r="CQ76" s="1020"/>
      <c r="CR76" s="1020"/>
      <c r="CS76" s="1020"/>
      <c r="CT76" s="1020"/>
      <c r="CU76" s="1020"/>
      <c r="CV76" s="80"/>
      <c r="CW76" s="80"/>
      <c r="CX76" s="80"/>
      <c r="CY76" s="80"/>
      <c r="CZ76" s="80"/>
      <c r="DA76" s="80"/>
    </row>
    <row r="77" spans="1:105" ht="17.25" customHeight="1" x14ac:dyDescent="0.2">
      <c r="A77" s="3009">
        <v>28020670</v>
      </c>
      <c r="B77" s="1784" t="s">
        <v>282</v>
      </c>
      <c r="C77" s="3114" t="s">
        <v>2777</v>
      </c>
      <c r="D77" s="2999" t="s">
        <v>2778</v>
      </c>
      <c r="E77" s="3567" t="s">
        <v>2779</v>
      </c>
      <c r="F77" s="3567" t="s">
        <v>2780</v>
      </c>
      <c r="G77" s="3567" t="s">
        <v>2781</v>
      </c>
      <c r="H77" s="2903" t="s">
        <v>2782</v>
      </c>
      <c r="J77" s="190"/>
      <c r="K77" s="190"/>
      <c r="L77" s="190"/>
      <c r="AV77" s="190"/>
      <c r="CH77" s="1020"/>
      <c r="CI77" s="1020"/>
      <c r="CJ77" s="1020"/>
      <c r="CK77" s="1020"/>
      <c r="CL77" s="1020"/>
      <c r="CM77" s="1020"/>
      <c r="CN77" s="1020"/>
      <c r="CO77" s="1020"/>
      <c r="CP77" s="1020"/>
      <c r="CQ77" s="1020"/>
      <c r="CR77" s="1020"/>
      <c r="CS77" s="1020"/>
      <c r="CT77" s="1020"/>
      <c r="CU77" s="1020"/>
      <c r="CV77" s="80"/>
      <c r="CW77" s="80"/>
      <c r="CX77" s="80"/>
      <c r="CY77" s="80"/>
      <c r="CZ77" s="80"/>
      <c r="DA77" s="80"/>
    </row>
    <row r="78" spans="1:105" ht="17.25" customHeight="1" x14ac:dyDescent="0.2">
      <c r="A78" s="3009">
        <v>28020680</v>
      </c>
      <c r="B78" s="1784" t="s">
        <v>281</v>
      </c>
      <c r="C78" s="3114" t="s">
        <v>2777</v>
      </c>
      <c r="D78" s="2999" t="s">
        <v>2778</v>
      </c>
      <c r="E78" s="3567" t="s">
        <v>2779</v>
      </c>
      <c r="F78" s="3567" t="s">
        <v>2780</v>
      </c>
      <c r="G78" s="3567" t="s">
        <v>2781</v>
      </c>
      <c r="H78" s="2903" t="s">
        <v>2782</v>
      </c>
      <c r="J78" s="190"/>
      <c r="K78" s="190"/>
      <c r="L78" s="190"/>
      <c r="AV78" s="190"/>
      <c r="CH78" s="1020"/>
      <c r="CI78" s="1020"/>
      <c r="CJ78" s="1020"/>
      <c r="CK78" s="1020"/>
      <c r="CL78" s="1020"/>
      <c r="CM78" s="1020"/>
      <c r="CN78" s="1020"/>
      <c r="CO78" s="1020"/>
      <c r="CP78" s="1020"/>
      <c r="CQ78" s="1020"/>
      <c r="CR78" s="1020"/>
      <c r="CS78" s="1020"/>
      <c r="CT78" s="1020"/>
      <c r="CU78" s="1020"/>
      <c r="CV78" s="80"/>
      <c r="CW78" s="80"/>
      <c r="CX78" s="80"/>
      <c r="CY78" s="80"/>
      <c r="CZ78" s="80"/>
      <c r="DA78" s="80"/>
    </row>
    <row r="79" spans="1:105" ht="17.25" customHeight="1" x14ac:dyDescent="0.2">
      <c r="A79" s="3009">
        <v>28020690</v>
      </c>
      <c r="B79" s="1784" t="s">
        <v>280</v>
      </c>
      <c r="C79" s="3114" t="s">
        <v>2777</v>
      </c>
      <c r="D79" s="2999" t="s">
        <v>2778</v>
      </c>
      <c r="E79" s="3567" t="s">
        <v>2779</v>
      </c>
      <c r="F79" s="3567" t="s">
        <v>2780</v>
      </c>
      <c r="G79" s="3567" t="s">
        <v>2781</v>
      </c>
      <c r="H79" s="2903" t="s">
        <v>2782</v>
      </c>
      <c r="J79" s="190"/>
      <c r="K79" s="190"/>
      <c r="L79" s="190"/>
      <c r="AV79" s="190"/>
      <c r="CH79" s="1020"/>
      <c r="CI79" s="1020"/>
      <c r="CJ79" s="1020"/>
      <c r="CK79" s="1020"/>
      <c r="CL79" s="1020"/>
      <c r="CM79" s="1020"/>
      <c r="CN79" s="1020"/>
      <c r="CO79" s="1020"/>
      <c r="CP79" s="1020"/>
      <c r="CQ79" s="1020"/>
      <c r="CR79" s="1020"/>
      <c r="CS79" s="1020"/>
      <c r="CT79" s="1020"/>
      <c r="CU79" s="1020"/>
      <c r="CV79" s="80"/>
      <c r="CW79" s="80"/>
      <c r="CX79" s="80"/>
      <c r="CY79" s="80"/>
      <c r="CZ79" s="80"/>
      <c r="DA79" s="80"/>
    </row>
    <row r="80" spans="1:105" x14ac:dyDescent="0.2">
      <c r="A80" s="2518"/>
      <c r="B80" s="1838" t="s">
        <v>42</v>
      </c>
      <c r="C80" s="3285" t="s">
        <v>2777</v>
      </c>
      <c r="D80" s="3564" t="s">
        <v>2778</v>
      </c>
      <c r="E80" s="3568" t="s">
        <v>2779</v>
      </c>
      <c r="F80" s="3568" t="s">
        <v>2780</v>
      </c>
      <c r="G80" s="3568" t="s">
        <v>2781</v>
      </c>
      <c r="H80" s="2904" t="s">
        <v>2782</v>
      </c>
      <c r="J80" s="190"/>
      <c r="K80" s="190"/>
      <c r="L80" s="190"/>
      <c r="AV80" s="190"/>
      <c r="CH80" s="1020"/>
      <c r="CI80" s="1020"/>
      <c r="CJ80" s="1020"/>
      <c r="CK80" s="1020"/>
      <c r="CL80" s="1020"/>
      <c r="CM80" s="1020"/>
      <c r="CN80" s="1020"/>
      <c r="CO80" s="1020"/>
      <c r="CP80" s="1020"/>
      <c r="CQ80" s="1020"/>
      <c r="CR80" s="1020"/>
      <c r="CS80" s="1020"/>
      <c r="CT80" s="1020"/>
      <c r="CU80" s="1020"/>
      <c r="CV80" s="80"/>
      <c r="CW80" s="80"/>
      <c r="CX80" s="80"/>
      <c r="CY80" s="80"/>
      <c r="CZ80" s="80"/>
      <c r="DA80" s="80"/>
    </row>
    <row r="81" spans="1:105" ht="22.5" customHeight="1" x14ac:dyDescent="0.2">
      <c r="B81" s="485" t="s">
        <v>1649</v>
      </c>
      <c r="C81" s="526"/>
      <c r="D81" s="378"/>
      <c r="E81" s="327"/>
      <c r="G81" s="190"/>
      <c r="H81" s="190"/>
      <c r="J81" s="190"/>
      <c r="K81" s="190"/>
      <c r="L81" s="190"/>
      <c r="AV81" s="190"/>
      <c r="CH81" s="1020"/>
      <c r="CI81" s="1020"/>
      <c r="CJ81" s="1020"/>
      <c r="CK81" s="1020"/>
      <c r="CL81" s="1020"/>
      <c r="CM81" s="1020"/>
      <c r="CN81" s="1020"/>
      <c r="CO81" s="1020"/>
      <c r="CP81" s="1020"/>
      <c r="CQ81" s="1020"/>
      <c r="CR81" s="1020"/>
      <c r="CS81" s="1020"/>
      <c r="CT81" s="1020"/>
      <c r="CU81" s="1020"/>
      <c r="CV81" s="80"/>
      <c r="CW81" s="80"/>
      <c r="CX81" s="80"/>
      <c r="CY81" s="80"/>
      <c r="CZ81" s="80"/>
      <c r="DA81" s="80"/>
    </row>
    <row r="82" spans="1:105" ht="43.5" customHeight="1" x14ac:dyDescent="0.2">
      <c r="B82" s="1790" t="s">
        <v>218</v>
      </c>
      <c r="C82" s="1815" t="s">
        <v>763</v>
      </c>
      <c r="D82" s="1814" t="s">
        <v>764</v>
      </c>
      <c r="E82" s="1814" t="s">
        <v>765</v>
      </c>
      <c r="F82" s="1814" t="s">
        <v>727</v>
      </c>
      <c r="G82" s="1840" t="s">
        <v>1650</v>
      </c>
      <c r="H82" s="190"/>
      <c r="J82" s="190"/>
      <c r="K82" s="190"/>
      <c r="L82" s="190"/>
      <c r="AV82" s="190"/>
      <c r="CH82" s="1020"/>
      <c r="CI82" s="1020"/>
      <c r="CJ82" s="1020"/>
      <c r="CK82" s="1020"/>
      <c r="CL82" s="1020"/>
      <c r="CM82" s="1020"/>
      <c r="CN82" s="1020"/>
      <c r="CO82" s="1020"/>
      <c r="CP82" s="1020"/>
      <c r="CQ82" s="1020"/>
      <c r="CR82" s="1020"/>
      <c r="CS82" s="1020"/>
      <c r="CT82" s="1020"/>
      <c r="CU82" s="1020"/>
      <c r="CV82" s="80"/>
      <c r="CW82" s="80"/>
      <c r="CX82" s="80"/>
      <c r="CY82" s="80"/>
      <c r="CZ82" s="80"/>
      <c r="DA82" s="80"/>
    </row>
    <row r="83" spans="1:105" x14ac:dyDescent="0.2">
      <c r="A83" s="3009">
        <v>28011400</v>
      </c>
      <c r="B83" s="1668" t="s">
        <v>1171</v>
      </c>
      <c r="C83" s="170" t="s">
        <v>2777</v>
      </c>
      <c r="D83" s="97" t="s">
        <v>2778</v>
      </c>
      <c r="E83" s="97" t="s">
        <v>2779</v>
      </c>
      <c r="F83" s="97" t="s">
        <v>2780</v>
      </c>
      <c r="G83" s="197" t="s">
        <v>2781</v>
      </c>
      <c r="H83" s="190"/>
      <c r="J83" s="190"/>
      <c r="K83" s="190"/>
      <c r="L83" s="190"/>
      <c r="AV83" s="190"/>
      <c r="CH83" s="1020"/>
      <c r="CI83" s="1020"/>
      <c r="CJ83" s="1020"/>
      <c r="CK83" s="1020"/>
      <c r="CL83" s="1020"/>
      <c r="CM83" s="1020"/>
      <c r="CN83" s="1020"/>
      <c r="CO83" s="1020"/>
      <c r="CP83" s="1020"/>
      <c r="CQ83" s="1020"/>
      <c r="CR83" s="1020"/>
      <c r="CS83" s="1020"/>
      <c r="CT83" s="1020"/>
      <c r="CU83" s="1020"/>
      <c r="CV83" s="80"/>
      <c r="CW83" s="80"/>
      <c r="CX83" s="80"/>
      <c r="CY83" s="80"/>
      <c r="CZ83" s="80"/>
      <c r="DA83" s="80"/>
    </row>
    <row r="84" spans="1:105" x14ac:dyDescent="0.2">
      <c r="A84" s="3009">
        <v>28020721</v>
      </c>
      <c r="B84" s="120" t="s">
        <v>2716</v>
      </c>
      <c r="C84" s="141" t="s">
        <v>2777</v>
      </c>
      <c r="D84" s="142" t="s">
        <v>2778</v>
      </c>
      <c r="E84" s="142" t="s">
        <v>2779</v>
      </c>
      <c r="F84" s="142" t="s">
        <v>2780</v>
      </c>
      <c r="G84" s="198" t="s">
        <v>2781</v>
      </c>
      <c r="H84" s="190"/>
      <c r="J84" s="190"/>
      <c r="K84" s="190"/>
      <c r="L84" s="190"/>
      <c r="AV84" s="190"/>
      <c r="CH84" s="1020"/>
      <c r="CI84" s="1020"/>
      <c r="CJ84" s="1020"/>
      <c r="CK84" s="1020"/>
      <c r="CL84" s="1020"/>
      <c r="CM84" s="1020"/>
      <c r="CN84" s="1020"/>
      <c r="CO84" s="1020"/>
      <c r="CP84" s="1020"/>
      <c r="CQ84" s="1020"/>
      <c r="CR84" s="1020"/>
      <c r="CS84" s="1020"/>
      <c r="CT84" s="1020"/>
      <c r="CU84" s="1020"/>
      <c r="CV84" s="80"/>
      <c r="CW84" s="80"/>
      <c r="CX84" s="80"/>
      <c r="CY84" s="80"/>
      <c r="CZ84" s="80"/>
      <c r="DA84" s="80"/>
    </row>
    <row r="85" spans="1:105" x14ac:dyDescent="0.2">
      <c r="A85" s="3009">
        <v>28011500</v>
      </c>
      <c r="B85" s="179" t="s">
        <v>1172</v>
      </c>
      <c r="C85" s="141" t="s">
        <v>2777</v>
      </c>
      <c r="D85" s="142" t="s">
        <v>2778</v>
      </c>
      <c r="E85" s="142" t="s">
        <v>2779</v>
      </c>
      <c r="F85" s="142" t="s">
        <v>2780</v>
      </c>
      <c r="G85" s="198" t="s">
        <v>2781</v>
      </c>
      <c r="H85" s="190"/>
      <c r="J85" s="190"/>
      <c r="K85" s="190"/>
      <c r="L85" s="190"/>
      <c r="AV85" s="190"/>
      <c r="CH85" s="1020"/>
      <c r="CI85" s="1020"/>
      <c r="CJ85" s="1020"/>
      <c r="CK85" s="1020"/>
      <c r="CL85" s="1020"/>
      <c r="CM85" s="1020"/>
      <c r="CN85" s="1020"/>
      <c r="CO85" s="1020"/>
      <c r="CP85" s="1020"/>
      <c r="CQ85" s="1020"/>
      <c r="CR85" s="1020"/>
      <c r="CS85" s="1020"/>
      <c r="CT85" s="1020"/>
      <c r="CU85" s="1020"/>
      <c r="CV85" s="80"/>
      <c r="CW85" s="80"/>
      <c r="CX85" s="80"/>
      <c r="CY85" s="80"/>
      <c r="CZ85" s="80"/>
      <c r="DA85" s="80"/>
    </row>
    <row r="86" spans="1:105" x14ac:dyDescent="0.2">
      <c r="A86" s="3009">
        <v>28022240</v>
      </c>
      <c r="B86" s="179" t="s">
        <v>1199</v>
      </c>
      <c r="C86" s="141" t="s">
        <v>2777</v>
      </c>
      <c r="D86" s="142" t="s">
        <v>2778</v>
      </c>
      <c r="E86" s="142" t="s">
        <v>2779</v>
      </c>
      <c r="F86" s="142" t="s">
        <v>2780</v>
      </c>
      <c r="G86" s="198" t="s">
        <v>2781</v>
      </c>
      <c r="H86" s="190"/>
      <c r="J86" s="190"/>
      <c r="K86" s="190"/>
      <c r="L86" s="190"/>
      <c r="AV86" s="190"/>
      <c r="CH86" s="1020"/>
      <c r="CI86" s="1020"/>
      <c r="CJ86" s="1020"/>
      <c r="CK86" s="1020"/>
      <c r="CL86" s="1020"/>
      <c r="CM86" s="1020"/>
      <c r="CN86" s="1020"/>
      <c r="CO86" s="1020"/>
      <c r="CP86" s="1020"/>
      <c r="CQ86" s="1020"/>
      <c r="CR86" s="1020"/>
      <c r="CS86" s="1020"/>
      <c r="CT86" s="1020"/>
      <c r="CU86" s="1020"/>
      <c r="CV86" s="80"/>
      <c r="CW86" s="80"/>
      <c r="CX86" s="80"/>
      <c r="CY86" s="80"/>
      <c r="CZ86" s="80"/>
      <c r="DA86" s="80"/>
    </row>
    <row r="87" spans="1:105" x14ac:dyDescent="0.2">
      <c r="A87" s="3009">
        <v>28022250</v>
      </c>
      <c r="B87" s="179" t="s">
        <v>1200</v>
      </c>
      <c r="C87" s="141" t="s">
        <v>2777</v>
      </c>
      <c r="D87" s="142" t="s">
        <v>2778</v>
      </c>
      <c r="E87" s="142" t="s">
        <v>2779</v>
      </c>
      <c r="F87" s="142" t="s">
        <v>2780</v>
      </c>
      <c r="G87" s="198" t="s">
        <v>2781</v>
      </c>
      <c r="H87" s="190"/>
      <c r="J87" s="190"/>
      <c r="K87" s="190"/>
      <c r="L87" s="190"/>
      <c r="AV87" s="190"/>
      <c r="CH87" s="1020"/>
      <c r="CI87" s="1020"/>
      <c r="CJ87" s="1020"/>
      <c r="CK87" s="1020"/>
      <c r="CL87" s="1020"/>
      <c r="CM87" s="1020"/>
      <c r="CN87" s="1020"/>
      <c r="CO87" s="1020"/>
      <c r="CP87" s="1020"/>
      <c r="CQ87" s="1020"/>
      <c r="CR87" s="1020"/>
      <c r="CS87" s="1020"/>
      <c r="CT87" s="1020"/>
      <c r="CU87" s="1020"/>
      <c r="CV87" s="80"/>
      <c r="CW87" s="80"/>
      <c r="CX87" s="80"/>
      <c r="CY87" s="80"/>
      <c r="CZ87" s="80"/>
      <c r="DA87" s="80"/>
    </row>
    <row r="88" spans="1:105" x14ac:dyDescent="0.2">
      <c r="A88" s="3009">
        <v>28011700</v>
      </c>
      <c r="B88" s="179" t="s">
        <v>1174</v>
      </c>
      <c r="C88" s="141" t="s">
        <v>2777</v>
      </c>
      <c r="D88" s="142" t="s">
        <v>2778</v>
      </c>
      <c r="E88" s="142" t="s">
        <v>2779</v>
      </c>
      <c r="F88" s="142" t="s">
        <v>2780</v>
      </c>
      <c r="G88" s="198" t="s">
        <v>2781</v>
      </c>
      <c r="H88" s="190"/>
      <c r="J88" s="190"/>
      <c r="K88" s="190"/>
      <c r="L88" s="190"/>
      <c r="AV88" s="190"/>
      <c r="CH88" s="1020"/>
      <c r="CI88" s="1020"/>
      <c r="CJ88" s="1020"/>
      <c r="CK88" s="1020"/>
      <c r="CL88" s="1020"/>
      <c r="CM88" s="1020"/>
      <c r="CN88" s="1020"/>
      <c r="CO88" s="1020"/>
      <c r="CP88" s="1020"/>
      <c r="CQ88" s="1020"/>
      <c r="CR88" s="1020"/>
      <c r="CS88" s="1020"/>
      <c r="CT88" s="1020"/>
      <c r="CU88" s="1020"/>
      <c r="CV88" s="80"/>
      <c r="CW88" s="80"/>
      <c r="CX88" s="80"/>
      <c r="CY88" s="80"/>
      <c r="CZ88" s="80"/>
      <c r="DA88" s="80"/>
    </row>
    <row r="89" spans="1:105" x14ac:dyDescent="0.2">
      <c r="A89" s="3009">
        <v>28022280</v>
      </c>
      <c r="B89" s="1184" t="s">
        <v>1202</v>
      </c>
      <c r="C89" s="141" t="s">
        <v>2777</v>
      </c>
      <c r="D89" s="146" t="s">
        <v>2778</v>
      </c>
      <c r="E89" s="146" t="s">
        <v>2779</v>
      </c>
      <c r="F89" s="146" t="s">
        <v>2780</v>
      </c>
      <c r="G89" s="240" t="s">
        <v>2781</v>
      </c>
      <c r="H89" s="190"/>
      <c r="J89" s="190"/>
      <c r="K89" s="190"/>
      <c r="L89" s="190"/>
      <c r="AV89" s="190"/>
      <c r="CH89" s="1020"/>
      <c r="CI89" s="1020"/>
      <c r="CJ89" s="1020"/>
      <c r="CK89" s="1020"/>
      <c r="CL89" s="1020"/>
      <c r="CM89" s="1020"/>
      <c r="CN89" s="1020"/>
      <c r="CO89" s="1020"/>
      <c r="CP89" s="1020"/>
      <c r="CQ89" s="1020"/>
      <c r="CR89" s="1020"/>
      <c r="CS89" s="1020"/>
      <c r="CT89" s="1020"/>
      <c r="CU89" s="1020"/>
      <c r="CV89" s="80"/>
      <c r="CW89" s="80"/>
      <c r="CX89" s="80"/>
      <c r="CY89" s="80"/>
      <c r="CZ89" s="80"/>
      <c r="DA89" s="80"/>
    </row>
    <row r="90" spans="1:105" x14ac:dyDescent="0.2">
      <c r="A90" s="3009">
        <v>28022290</v>
      </c>
      <c r="B90" s="879" t="s">
        <v>1203</v>
      </c>
      <c r="C90" s="141" t="s">
        <v>2777</v>
      </c>
      <c r="D90" s="146" t="s">
        <v>2778</v>
      </c>
      <c r="E90" s="146" t="s">
        <v>2779</v>
      </c>
      <c r="F90" s="146" t="s">
        <v>2780</v>
      </c>
      <c r="G90" s="183" t="s">
        <v>2781</v>
      </c>
      <c r="H90" s="190"/>
      <c r="J90" s="190"/>
      <c r="K90" s="190"/>
      <c r="L90" s="190"/>
      <c r="AV90" s="190"/>
      <c r="CH90" s="1020"/>
      <c r="CI90" s="1020"/>
      <c r="CJ90" s="1020"/>
      <c r="CK90" s="1020"/>
      <c r="CL90" s="1020"/>
      <c r="CM90" s="1020"/>
      <c r="CN90" s="1020"/>
      <c r="CO90" s="1020"/>
      <c r="CP90" s="1020"/>
      <c r="CQ90" s="1020"/>
      <c r="CR90" s="1020"/>
      <c r="CS90" s="1020"/>
      <c r="CT90" s="1020"/>
      <c r="CU90" s="1020"/>
      <c r="CV90" s="80"/>
      <c r="CW90" s="80"/>
      <c r="CX90" s="80"/>
      <c r="CY90" s="80"/>
      <c r="CZ90" s="80"/>
      <c r="DA90" s="80"/>
    </row>
    <row r="91" spans="1:105" x14ac:dyDescent="0.2">
      <c r="A91" s="3009">
        <v>28022300</v>
      </c>
      <c r="B91" s="879" t="s">
        <v>1204</v>
      </c>
      <c r="C91" s="273" t="s">
        <v>2777</v>
      </c>
      <c r="D91" s="146" t="s">
        <v>2778</v>
      </c>
      <c r="E91" s="146" t="s">
        <v>2779</v>
      </c>
      <c r="F91" s="146" t="s">
        <v>2780</v>
      </c>
      <c r="G91" s="183" t="s">
        <v>2781</v>
      </c>
      <c r="H91" s="190"/>
      <c r="J91" s="190"/>
      <c r="K91" s="190"/>
      <c r="L91" s="190"/>
      <c r="AV91" s="190"/>
      <c r="CH91" s="1020"/>
      <c r="CI91" s="1020"/>
      <c r="CJ91" s="1020"/>
      <c r="CK91" s="1020"/>
      <c r="CL91" s="1020"/>
      <c r="CM91" s="1020"/>
      <c r="CN91" s="1020"/>
      <c r="CO91" s="1020"/>
      <c r="CP91" s="1020"/>
      <c r="CQ91" s="1020"/>
      <c r="CR91" s="1020"/>
      <c r="CS91" s="1020"/>
      <c r="CT91" s="1020"/>
      <c r="CU91" s="1020"/>
      <c r="CV91" s="80"/>
      <c r="CW91" s="80"/>
      <c r="CX91" s="80"/>
      <c r="CY91" s="80"/>
      <c r="CZ91" s="80"/>
      <c r="DA91" s="80"/>
    </row>
    <row r="92" spans="1:105" ht="25.5" customHeight="1" x14ac:dyDescent="0.2">
      <c r="A92" s="3009">
        <v>28022310</v>
      </c>
      <c r="B92" s="1184" t="s">
        <v>1205</v>
      </c>
      <c r="C92" s="141" t="s">
        <v>2777</v>
      </c>
      <c r="D92" s="146" t="s">
        <v>2778</v>
      </c>
      <c r="E92" s="146" t="s">
        <v>2779</v>
      </c>
      <c r="F92" s="146" t="s">
        <v>2780</v>
      </c>
      <c r="G92" s="183" t="s">
        <v>2781</v>
      </c>
      <c r="H92" s="190"/>
      <c r="J92" s="190"/>
      <c r="K92" s="190"/>
      <c r="L92" s="190"/>
      <c r="AV92" s="190"/>
      <c r="CH92" s="1020"/>
      <c r="CI92" s="1020"/>
      <c r="CJ92" s="1020"/>
      <c r="CK92" s="1020"/>
      <c r="CL92" s="1020"/>
      <c r="CM92" s="1020"/>
      <c r="CN92" s="1020"/>
      <c r="CO92" s="1020"/>
      <c r="CP92" s="1020"/>
      <c r="CQ92" s="1020"/>
      <c r="CR92" s="1020"/>
      <c r="CS92" s="1020"/>
      <c r="CT92" s="1020"/>
      <c r="CU92" s="1020"/>
      <c r="CV92" s="80"/>
      <c r="CW92" s="80"/>
      <c r="CX92" s="80"/>
      <c r="CY92" s="80"/>
      <c r="CZ92" s="80"/>
      <c r="DA92" s="80"/>
    </row>
    <row r="93" spans="1:105" x14ac:dyDescent="0.2">
      <c r="A93" s="4679">
        <v>28101030</v>
      </c>
      <c r="B93" s="1303" t="s">
        <v>2241</v>
      </c>
      <c r="C93" s="170" t="s">
        <v>2777</v>
      </c>
      <c r="D93" s="146" t="s">
        <v>2778</v>
      </c>
      <c r="E93" s="146" t="s">
        <v>2779</v>
      </c>
      <c r="F93" s="146" t="s">
        <v>2780</v>
      </c>
      <c r="G93" s="183" t="s">
        <v>2781</v>
      </c>
      <c r="H93" s="190"/>
      <c r="J93" s="190"/>
      <c r="K93" s="190"/>
      <c r="L93" s="190"/>
      <c r="AV93" s="190"/>
      <c r="CH93" s="1020"/>
      <c r="CI93" s="1020"/>
      <c r="CJ93" s="1020"/>
      <c r="CK93" s="1020"/>
      <c r="CL93" s="1020"/>
      <c r="CM93" s="1020"/>
      <c r="CN93" s="1020"/>
      <c r="CO93" s="1020"/>
      <c r="CP93" s="1020"/>
      <c r="CQ93" s="1020"/>
      <c r="CR93" s="1020"/>
      <c r="CS93" s="1020"/>
      <c r="CT93" s="1020"/>
      <c r="CU93" s="1020"/>
      <c r="CV93" s="80"/>
      <c r="CW93" s="80"/>
      <c r="CX93" s="80"/>
      <c r="CY93" s="80"/>
      <c r="CZ93" s="80"/>
      <c r="DA93" s="80"/>
    </row>
    <row r="94" spans="1:105" x14ac:dyDescent="0.2">
      <c r="A94" s="3009">
        <v>28012000</v>
      </c>
      <c r="B94" s="879" t="s">
        <v>1175</v>
      </c>
      <c r="C94" s="141" t="s">
        <v>2777</v>
      </c>
      <c r="D94" s="146" t="s">
        <v>2778</v>
      </c>
      <c r="E94" s="146" t="s">
        <v>2779</v>
      </c>
      <c r="F94" s="146" t="s">
        <v>2780</v>
      </c>
      <c r="G94" s="183" t="s">
        <v>2781</v>
      </c>
      <c r="H94" s="190"/>
      <c r="J94" s="190"/>
      <c r="K94" s="190"/>
      <c r="L94" s="190"/>
      <c r="AV94" s="190"/>
      <c r="CH94" s="1020"/>
      <c r="CI94" s="1020"/>
      <c r="CJ94" s="1020"/>
      <c r="CK94" s="1020"/>
      <c r="CL94" s="1020"/>
      <c r="CM94" s="1020"/>
      <c r="CN94" s="1020"/>
      <c r="CO94" s="1020"/>
      <c r="CP94" s="1020"/>
      <c r="CQ94" s="1020"/>
      <c r="CR94" s="1020"/>
      <c r="CS94" s="1020"/>
      <c r="CT94" s="1020"/>
      <c r="CU94" s="1020"/>
      <c r="CV94" s="80"/>
      <c r="CW94" s="80"/>
      <c r="CX94" s="80"/>
      <c r="CY94" s="80"/>
      <c r="CZ94" s="80"/>
      <c r="DA94" s="80"/>
    </row>
    <row r="95" spans="1:105" ht="25.5" customHeight="1" x14ac:dyDescent="0.2">
      <c r="A95" s="3009">
        <v>28012200</v>
      </c>
      <c r="B95" s="1184" t="s">
        <v>1206</v>
      </c>
      <c r="C95" s="141" t="s">
        <v>2777</v>
      </c>
      <c r="D95" s="146" t="s">
        <v>2778</v>
      </c>
      <c r="E95" s="146" t="s">
        <v>2779</v>
      </c>
      <c r="F95" s="146" t="s">
        <v>2780</v>
      </c>
      <c r="G95" s="163" t="s">
        <v>2781</v>
      </c>
      <c r="H95" s="190"/>
      <c r="J95" s="190"/>
      <c r="K95" s="190"/>
      <c r="L95" s="190"/>
      <c r="AV95" s="190"/>
      <c r="CH95" s="1020"/>
      <c r="CI95" s="1020"/>
      <c r="CJ95" s="1020"/>
      <c r="CK95" s="1020"/>
      <c r="CL95" s="1020"/>
      <c r="CM95" s="1020"/>
      <c r="CN95" s="1020"/>
      <c r="CO95" s="1020"/>
      <c r="CP95" s="1020"/>
      <c r="CQ95" s="1020"/>
      <c r="CR95" s="1020"/>
      <c r="CS95" s="1020"/>
      <c r="CT95" s="1020"/>
      <c r="CU95" s="1020"/>
      <c r="CV95" s="80"/>
      <c r="CW95" s="80"/>
      <c r="CX95" s="80"/>
      <c r="CY95" s="80"/>
      <c r="CZ95" s="80"/>
      <c r="DA95" s="80"/>
    </row>
    <row r="96" spans="1:105" x14ac:dyDescent="0.2">
      <c r="A96" s="3009">
        <v>28020710</v>
      </c>
      <c r="B96" s="1184" t="s">
        <v>1207</v>
      </c>
      <c r="C96" s="141" t="s">
        <v>2777</v>
      </c>
      <c r="D96" s="146" t="s">
        <v>2778</v>
      </c>
      <c r="E96" s="146" t="s">
        <v>2779</v>
      </c>
      <c r="F96" s="146" t="s">
        <v>2780</v>
      </c>
      <c r="G96" s="240" t="s">
        <v>2781</v>
      </c>
      <c r="H96" s="190"/>
      <c r="J96" s="190"/>
      <c r="K96" s="190"/>
      <c r="L96" s="190"/>
      <c r="AV96" s="190"/>
      <c r="CH96" s="1020"/>
      <c r="CI96" s="1020"/>
      <c r="CJ96" s="1020"/>
      <c r="CK96" s="1020"/>
      <c r="CL96" s="1020"/>
      <c r="CM96" s="1020"/>
      <c r="CN96" s="1020"/>
      <c r="CO96" s="1020"/>
      <c r="CP96" s="1020"/>
      <c r="CQ96" s="1020"/>
      <c r="CR96" s="1020"/>
      <c r="CS96" s="1020"/>
      <c r="CT96" s="1020"/>
      <c r="CU96" s="1020"/>
      <c r="CV96" s="80"/>
      <c r="CW96" s="80"/>
      <c r="CX96" s="80"/>
      <c r="CY96" s="80"/>
      <c r="CZ96" s="80"/>
      <c r="DA96" s="80"/>
    </row>
    <row r="97" spans="1:105" x14ac:dyDescent="0.2">
      <c r="A97" s="3009">
        <v>28012400</v>
      </c>
      <c r="B97" s="879" t="s">
        <v>1177</v>
      </c>
      <c r="C97" s="141" t="s">
        <v>2777</v>
      </c>
      <c r="D97" s="146" t="s">
        <v>2778</v>
      </c>
      <c r="E97" s="146" t="s">
        <v>2779</v>
      </c>
      <c r="F97" s="146" t="s">
        <v>2780</v>
      </c>
      <c r="G97" s="240" t="s">
        <v>2781</v>
      </c>
      <c r="H97" s="190"/>
      <c r="J97" s="190"/>
      <c r="K97" s="190"/>
      <c r="L97" s="190"/>
      <c r="AV97" s="190"/>
      <c r="CH97" s="1020"/>
      <c r="CI97" s="1020"/>
      <c r="CJ97" s="1020"/>
      <c r="CK97" s="1020"/>
      <c r="CL97" s="1020"/>
      <c r="CM97" s="1020"/>
      <c r="CN97" s="1020"/>
      <c r="CO97" s="1020"/>
      <c r="CP97" s="1020"/>
      <c r="CQ97" s="1020"/>
      <c r="CR97" s="1020"/>
      <c r="CS97" s="1020"/>
      <c r="CT97" s="1020"/>
      <c r="CU97" s="1020"/>
      <c r="CV97" s="80"/>
      <c r="CW97" s="80"/>
      <c r="CX97" s="80"/>
      <c r="CY97" s="80"/>
      <c r="CZ97" s="80"/>
      <c r="DA97" s="80"/>
    </row>
    <row r="98" spans="1:105" x14ac:dyDescent="0.2">
      <c r="A98" s="3009">
        <v>28012500</v>
      </c>
      <c r="B98" s="879" t="s">
        <v>1178</v>
      </c>
      <c r="C98" s="141" t="s">
        <v>2777</v>
      </c>
      <c r="D98" s="146" t="s">
        <v>2778</v>
      </c>
      <c r="E98" s="146" t="s">
        <v>2779</v>
      </c>
      <c r="F98" s="146" t="s">
        <v>2780</v>
      </c>
      <c r="G98" s="240" t="s">
        <v>2781</v>
      </c>
      <c r="H98" s="190"/>
      <c r="J98" s="190"/>
      <c r="K98" s="190"/>
      <c r="L98" s="190"/>
      <c r="AV98" s="190"/>
      <c r="CH98" s="1020"/>
      <c r="CI98" s="1020"/>
      <c r="CJ98" s="1020"/>
      <c r="CK98" s="1020"/>
      <c r="CL98" s="1020"/>
      <c r="CM98" s="1020"/>
      <c r="CN98" s="1020"/>
      <c r="CO98" s="1020"/>
      <c r="CP98" s="1020"/>
      <c r="CQ98" s="1020"/>
      <c r="CR98" s="1020"/>
      <c r="CS98" s="1020"/>
      <c r="CT98" s="1020"/>
      <c r="CU98" s="1020"/>
      <c r="CV98" s="80"/>
      <c r="CW98" s="80"/>
      <c r="CX98" s="80"/>
      <c r="CY98" s="80"/>
      <c r="CZ98" s="80"/>
      <c r="DA98" s="80"/>
    </row>
    <row r="99" spans="1:105" x14ac:dyDescent="0.2">
      <c r="A99" s="3009">
        <v>28022340</v>
      </c>
      <c r="B99" s="879" t="s">
        <v>1208</v>
      </c>
      <c r="C99" s="141" t="s">
        <v>2777</v>
      </c>
      <c r="D99" s="146" t="s">
        <v>2778</v>
      </c>
      <c r="E99" s="146" t="s">
        <v>2779</v>
      </c>
      <c r="F99" s="146" t="s">
        <v>2780</v>
      </c>
      <c r="G99" s="240" t="s">
        <v>2781</v>
      </c>
      <c r="H99" s="190"/>
      <c r="J99" s="190"/>
      <c r="K99" s="190"/>
      <c r="L99" s="190"/>
      <c r="AV99" s="190"/>
      <c r="CH99" s="1020"/>
      <c r="CI99" s="1020"/>
      <c r="CJ99" s="1020"/>
      <c r="CK99" s="1020"/>
      <c r="CL99" s="1020"/>
      <c r="CM99" s="1020"/>
      <c r="CN99" s="1020"/>
      <c r="CO99" s="1020"/>
      <c r="CP99" s="1020"/>
      <c r="CQ99" s="1020"/>
      <c r="CR99" s="1020"/>
      <c r="CS99" s="1020"/>
      <c r="CT99" s="1020"/>
      <c r="CU99" s="1020"/>
      <c r="CV99" s="80"/>
      <c r="CW99" s="80"/>
      <c r="CX99" s="80"/>
      <c r="CY99" s="80"/>
      <c r="CZ99" s="80"/>
      <c r="DA99" s="80"/>
    </row>
    <row r="100" spans="1:105" x14ac:dyDescent="0.2">
      <c r="A100" s="3009">
        <v>28022350</v>
      </c>
      <c r="B100" s="879" t="s">
        <v>1568</v>
      </c>
      <c r="C100" s="141" t="s">
        <v>2777</v>
      </c>
      <c r="D100" s="146" t="s">
        <v>2778</v>
      </c>
      <c r="E100" s="146" t="s">
        <v>2779</v>
      </c>
      <c r="F100" s="146" t="s">
        <v>2780</v>
      </c>
      <c r="G100" s="240" t="s">
        <v>2781</v>
      </c>
      <c r="H100" s="190"/>
      <c r="J100" s="190"/>
      <c r="K100" s="190"/>
      <c r="L100" s="190"/>
      <c r="AV100" s="190"/>
      <c r="CH100" s="1020"/>
      <c r="CI100" s="1020"/>
      <c r="CJ100" s="1020"/>
      <c r="CK100" s="1020"/>
      <c r="CL100" s="1020"/>
      <c r="CM100" s="1020"/>
      <c r="CN100" s="1020"/>
      <c r="CO100" s="1020"/>
      <c r="CP100" s="1020"/>
      <c r="CQ100" s="1020"/>
      <c r="CR100" s="1020"/>
      <c r="CS100" s="1020"/>
      <c r="CT100" s="1020"/>
      <c r="CU100" s="1020"/>
      <c r="CV100" s="80"/>
      <c r="CW100" s="80"/>
      <c r="CX100" s="80"/>
      <c r="CY100" s="80"/>
      <c r="CZ100" s="80"/>
      <c r="DA100" s="80"/>
    </row>
    <row r="101" spans="1:105" x14ac:dyDescent="0.2">
      <c r="A101" s="3009">
        <v>28011600</v>
      </c>
      <c r="B101" s="1008" t="s">
        <v>1173</v>
      </c>
      <c r="C101" s="141" t="s">
        <v>2777</v>
      </c>
      <c r="D101" s="146" t="s">
        <v>2778</v>
      </c>
      <c r="E101" s="146" t="s">
        <v>2779</v>
      </c>
      <c r="F101" s="146" t="s">
        <v>2780</v>
      </c>
      <c r="G101" s="240" t="s">
        <v>2781</v>
      </c>
      <c r="H101" s="190"/>
      <c r="J101" s="190"/>
      <c r="K101" s="190"/>
      <c r="L101" s="190"/>
      <c r="AV101" s="190"/>
      <c r="CH101" s="1020"/>
      <c r="CI101" s="1020"/>
      <c r="CJ101" s="1020"/>
      <c r="CK101" s="1020"/>
      <c r="CL101" s="1020"/>
      <c r="CM101" s="1020"/>
      <c r="CN101" s="1020"/>
      <c r="CO101" s="1020"/>
      <c r="CP101" s="1020"/>
      <c r="CQ101" s="1020"/>
      <c r="CR101" s="1020"/>
      <c r="CS101" s="1020"/>
      <c r="CT101" s="1020"/>
      <c r="CU101" s="1020"/>
      <c r="CV101" s="80"/>
      <c r="CW101" s="80"/>
      <c r="CX101" s="80"/>
      <c r="CY101" s="80"/>
      <c r="CZ101" s="80"/>
      <c r="DA101" s="80"/>
    </row>
    <row r="102" spans="1:105" x14ac:dyDescent="0.2">
      <c r="A102" s="3009">
        <v>28012300</v>
      </c>
      <c r="B102" s="1004" t="s">
        <v>1176</v>
      </c>
      <c r="C102" s="141" t="s">
        <v>2777</v>
      </c>
      <c r="D102" s="146" t="s">
        <v>2778</v>
      </c>
      <c r="E102" s="146" t="s">
        <v>2779</v>
      </c>
      <c r="F102" s="146" t="s">
        <v>2780</v>
      </c>
      <c r="G102" s="240" t="s">
        <v>2781</v>
      </c>
      <c r="H102" s="190"/>
      <c r="J102" s="190"/>
      <c r="K102" s="190"/>
      <c r="L102" s="190"/>
      <c r="AV102" s="190"/>
      <c r="CH102" s="1020"/>
      <c r="CI102" s="1020"/>
      <c r="CJ102" s="1020"/>
      <c r="CK102" s="1020"/>
      <c r="CL102" s="1020"/>
      <c r="CM102" s="1020"/>
      <c r="CN102" s="1020"/>
      <c r="CO102" s="1020"/>
      <c r="CP102" s="1020"/>
      <c r="CQ102" s="1020"/>
      <c r="CR102" s="1020"/>
      <c r="CS102" s="1020"/>
      <c r="CT102" s="1020"/>
      <c r="CU102" s="1020"/>
      <c r="CV102" s="80"/>
      <c r="CW102" s="80"/>
      <c r="CX102" s="80"/>
      <c r="CY102" s="80"/>
      <c r="CZ102" s="80"/>
      <c r="DA102" s="80"/>
    </row>
    <row r="103" spans="1:105" x14ac:dyDescent="0.2">
      <c r="A103" s="3009">
        <v>28020720</v>
      </c>
      <c r="B103" s="1004" t="s">
        <v>1179</v>
      </c>
      <c r="C103" s="141" t="s">
        <v>2777</v>
      </c>
      <c r="D103" s="146" t="s">
        <v>2778</v>
      </c>
      <c r="E103" s="146" t="s">
        <v>2779</v>
      </c>
      <c r="F103" s="146" t="s">
        <v>2780</v>
      </c>
      <c r="G103" s="240" t="s">
        <v>2781</v>
      </c>
      <c r="H103" s="190"/>
      <c r="J103" s="190"/>
      <c r="K103" s="190"/>
      <c r="L103" s="190"/>
      <c r="AV103" s="190"/>
      <c r="CH103" s="1020"/>
      <c r="CI103" s="1020"/>
      <c r="CJ103" s="1020"/>
      <c r="CK103" s="1020"/>
      <c r="CL103" s="1020"/>
      <c r="CM103" s="1020"/>
      <c r="CN103" s="1020"/>
      <c r="CO103" s="1020"/>
      <c r="CP103" s="1020"/>
      <c r="CQ103" s="1020"/>
      <c r="CR103" s="1020"/>
      <c r="CS103" s="1020"/>
      <c r="CT103" s="1020"/>
      <c r="CU103" s="1020"/>
      <c r="CV103" s="80"/>
      <c r="CW103" s="80"/>
      <c r="CX103" s="80"/>
      <c r="CY103" s="80"/>
      <c r="CZ103" s="80"/>
      <c r="DA103" s="80"/>
    </row>
    <row r="104" spans="1:105" x14ac:dyDescent="0.2">
      <c r="A104" s="3009">
        <v>28020722</v>
      </c>
      <c r="B104" s="1004" t="s">
        <v>1180</v>
      </c>
      <c r="C104" s="141" t="s">
        <v>2777</v>
      </c>
      <c r="D104" s="146" t="s">
        <v>2778</v>
      </c>
      <c r="E104" s="146" t="s">
        <v>2779</v>
      </c>
      <c r="F104" s="146" t="s">
        <v>2780</v>
      </c>
      <c r="G104" s="240" t="s">
        <v>2781</v>
      </c>
      <c r="H104" s="190"/>
      <c r="J104" s="190"/>
      <c r="K104" s="190"/>
      <c r="L104" s="190"/>
      <c r="AV104" s="190"/>
      <c r="CH104" s="1020"/>
      <c r="CI104" s="1020"/>
      <c r="CJ104" s="1020"/>
      <c r="CK104" s="1020"/>
      <c r="CL104" s="1020"/>
      <c r="CM104" s="1020"/>
      <c r="CN104" s="1020"/>
      <c r="CO104" s="1020"/>
      <c r="CP104" s="1020"/>
      <c r="CQ104" s="1020"/>
      <c r="CR104" s="1020"/>
      <c r="CS104" s="1020"/>
      <c r="CT104" s="1020"/>
      <c r="CU104" s="1020"/>
      <c r="CV104" s="80"/>
      <c r="CW104" s="80"/>
      <c r="CX104" s="80"/>
      <c r="CY104" s="80"/>
      <c r="CZ104" s="80"/>
      <c r="DA104" s="80"/>
    </row>
    <row r="105" spans="1:105" ht="21.75" customHeight="1" x14ac:dyDescent="0.2">
      <c r="A105" s="3009">
        <v>28020723</v>
      </c>
      <c r="B105" s="3099" t="s">
        <v>1181</v>
      </c>
      <c r="C105" s="141" t="s">
        <v>2777</v>
      </c>
      <c r="D105" s="146" t="s">
        <v>2778</v>
      </c>
      <c r="E105" s="146" t="s">
        <v>2779</v>
      </c>
      <c r="F105" s="146" t="s">
        <v>2780</v>
      </c>
      <c r="G105" s="240" t="s">
        <v>2781</v>
      </c>
      <c r="H105" s="190"/>
      <c r="J105" s="190"/>
      <c r="K105" s="190"/>
      <c r="L105" s="190"/>
      <c r="AV105" s="190"/>
      <c r="CH105" s="1020"/>
      <c r="CI105" s="1020"/>
      <c r="CJ105" s="1020"/>
      <c r="CK105" s="1020"/>
      <c r="CL105" s="1020"/>
      <c r="CM105" s="1020"/>
      <c r="CN105" s="1020"/>
      <c r="CO105" s="1020"/>
      <c r="CP105" s="1020"/>
      <c r="CQ105" s="1020"/>
      <c r="CR105" s="1020"/>
      <c r="CS105" s="1020"/>
      <c r="CT105" s="1020"/>
      <c r="CU105" s="1020"/>
      <c r="CV105" s="80"/>
      <c r="CW105" s="80"/>
      <c r="CX105" s="80"/>
      <c r="CY105" s="80"/>
      <c r="CZ105" s="80"/>
      <c r="DA105" s="80"/>
    </row>
    <row r="106" spans="1:105" x14ac:dyDescent="0.2">
      <c r="A106" s="3009">
        <v>28020724</v>
      </c>
      <c r="B106" s="1004" t="s">
        <v>1182</v>
      </c>
      <c r="C106" s="141" t="s">
        <v>2777</v>
      </c>
      <c r="D106" s="146" t="s">
        <v>2778</v>
      </c>
      <c r="E106" s="146" t="s">
        <v>2779</v>
      </c>
      <c r="F106" s="146" t="s">
        <v>2780</v>
      </c>
      <c r="G106" s="240" t="s">
        <v>2781</v>
      </c>
      <c r="H106" s="190"/>
      <c r="J106" s="190"/>
      <c r="K106" s="190"/>
      <c r="L106" s="190"/>
      <c r="AV106" s="190"/>
      <c r="CH106" s="1020"/>
      <c r="CI106" s="1020"/>
      <c r="CJ106" s="1020"/>
      <c r="CK106" s="1020"/>
      <c r="CL106" s="1020"/>
      <c r="CM106" s="1020"/>
      <c r="CN106" s="1020"/>
      <c r="CO106" s="1020"/>
      <c r="CP106" s="1020"/>
      <c r="CQ106" s="1020"/>
      <c r="CR106" s="1020"/>
      <c r="CS106" s="1020"/>
      <c r="CT106" s="1020"/>
      <c r="CU106" s="1020"/>
      <c r="CV106" s="80"/>
      <c r="CW106" s="80"/>
      <c r="CX106" s="80"/>
      <c r="CY106" s="80"/>
      <c r="CZ106" s="80"/>
      <c r="DA106" s="80"/>
    </row>
    <row r="107" spans="1:105" x14ac:dyDescent="0.2">
      <c r="A107" s="3009">
        <v>28022360</v>
      </c>
      <c r="B107" s="1191" t="s">
        <v>1606</v>
      </c>
      <c r="C107" s="141" t="s">
        <v>2777</v>
      </c>
      <c r="D107" s="146" t="s">
        <v>2778</v>
      </c>
      <c r="E107" s="146" t="s">
        <v>2779</v>
      </c>
      <c r="F107" s="146" t="s">
        <v>2780</v>
      </c>
      <c r="G107" s="240" t="s">
        <v>2781</v>
      </c>
      <c r="H107" s="190"/>
      <c r="J107" s="190"/>
      <c r="K107" s="190"/>
      <c r="L107" s="190"/>
      <c r="AV107" s="190"/>
      <c r="CH107" s="1020"/>
      <c r="CI107" s="1020"/>
      <c r="CJ107" s="1020"/>
      <c r="CK107" s="1020"/>
      <c r="CL107" s="1020"/>
      <c r="CM107" s="1020"/>
      <c r="CN107" s="1020"/>
      <c r="CO107" s="1020"/>
      <c r="CP107" s="1020"/>
      <c r="CQ107" s="1020"/>
      <c r="CR107" s="1020"/>
      <c r="CS107" s="1020"/>
      <c r="CT107" s="1020"/>
      <c r="CU107" s="1020"/>
      <c r="CV107" s="80"/>
      <c r="CW107" s="80"/>
      <c r="CX107" s="80"/>
      <c r="CY107" s="80"/>
      <c r="CZ107" s="80"/>
      <c r="DA107" s="80"/>
    </row>
    <row r="108" spans="1:105" x14ac:dyDescent="0.2">
      <c r="A108" s="3009">
        <v>28022370</v>
      </c>
      <c r="B108" s="1193" t="s">
        <v>1607</v>
      </c>
      <c r="C108" s="141" t="s">
        <v>2777</v>
      </c>
      <c r="D108" s="146" t="s">
        <v>2778</v>
      </c>
      <c r="E108" s="146" t="s">
        <v>2779</v>
      </c>
      <c r="F108" s="146" t="s">
        <v>2780</v>
      </c>
      <c r="G108" s="240" t="s">
        <v>2781</v>
      </c>
      <c r="H108" s="190"/>
      <c r="J108" s="190"/>
      <c r="K108" s="190"/>
      <c r="L108" s="190"/>
      <c r="AV108" s="190"/>
      <c r="CH108" s="1020"/>
      <c r="CI108" s="1020"/>
      <c r="CJ108" s="1020"/>
      <c r="CK108" s="1020"/>
      <c r="CL108" s="1020"/>
      <c r="CM108" s="1020"/>
      <c r="CN108" s="1020"/>
      <c r="CO108" s="1020"/>
      <c r="CP108" s="1020"/>
      <c r="CQ108" s="1020"/>
      <c r="CR108" s="1020"/>
      <c r="CS108" s="1020"/>
      <c r="CT108" s="1020"/>
      <c r="CU108" s="1020"/>
      <c r="CV108" s="80"/>
      <c r="CW108" s="80"/>
      <c r="CX108" s="80"/>
      <c r="CY108" s="80"/>
      <c r="CZ108" s="80"/>
      <c r="DA108" s="80"/>
    </row>
    <row r="109" spans="1:105" ht="18" customHeight="1" x14ac:dyDescent="0.2">
      <c r="A109" s="2527"/>
      <c r="B109" s="1844" t="s">
        <v>42</v>
      </c>
      <c r="C109" s="1837">
        <f>SUM(C83:C108)</f>
        <v>0</v>
      </c>
      <c r="D109" s="1836">
        <f>SUM(D83:D108)</f>
        <v>0</v>
      </c>
      <c r="E109" s="1836">
        <f>SUM(E83:E108)</f>
        <v>0</v>
      </c>
      <c r="F109" s="1836">
        <f>SUM(F83:F108)</f>
        <v>0</v>
      </c>
      <c r="G109" s="1835">
        <f>SUM(G83:G108)</f>
        <v>0</v>
      </c>
      <c r="H109" s="190"/>
      <c r="J109" s="190"/>
      <c r="K109" s="190"/>
      <c r="L109" s="190"/>
      <c r="AV109" s="190"/>
      <c r="CH109" s="1020"/>
      <c r="CI109" s="1020"/>
      <c r="CJ109" s="1020"/>
      <c r="CK109" s="1020"/>
      <c r="CL109" s="1020"/>
      <c r="CM109" s="1020"/>
      <c r="CN109" s="1020"/>
      <c r="CO109" s="1020"/>
      <c r="CP109" s="1020"/>
      <c r="CQ109" s="1020"/>
      <c r="CR109" s="1020"/>
      <c r="CS109" s="1020"/>
      <c r="CT109" s="1020"/>
      <c r="CU109" s="1020"/>
      <c r="CV109" s="80"/>
      <c r="CW109" s="80"/>
      <c r="CX109" s="80"/>
      <c r="CY109" s="80"/>
      <c r="CZ109" s="80"/>
      <c r="DA109" s="80"/>
    </row>
    <row r="110" spans="1:105" ht="26.25" customHeight="1" x14ac:dyDescent="0.2">
      <c r="B110" s="767" t="s">
        <v>900</v>
      </c>
      <c r="E110" s="81"/>
      <c r="F110" s="81"/>
      <c r="G110" s="81"/>
      <c r="H110" s="81"/>
      <c r="I110" s="81"/>
      <c r="J110" s="81"/>
      <c r="K110" s="81"/>
      <c r="L110" s="81"/>
      <c r="M110" s="81"/>
      <c r="N110" s="81"/>
      <c r="O110" s="81"/>
      <c r="P110" s="190"/>
      <c r="Q110" s="190"/>
      <c r="R110" s="190"/>
      <c r="S110" s="190"/>
      <c r="T110" s="190"/>
      <c r="U110" s="190"/>
      <c r="V110" s="190"/>
      <c r="W110" s="190"/>
      <c r="X110" s="190"/>
      <c r="Y110" s="190"/>
      <c r="Z110" s="190"/>
      <c r="AA110" s="190"/>
      <c r="AB110" s="190"/>
      <c r="AC110" s="190"/>
      <c r="AD110" s="190"/>
      <c r="AE110" s="190"/>
      <c r="AF110" s="190"/>
      <c r="AG110" s="190"/>
      <c r="AH110" s="190"/>
      <c r="AI110" s="190"/>
      <c r="AJ110" s="190"/>
      <c r="AK110" s="190"/>
      <c r="AL110" s="190"/>
      <c r="AM110" s="190"/>
      <c r="AN110" s="190"/>
      <c r="AO110" s="190"/>
      <c r="AP110" s="190"/>
      <c r="AQ110" s="190"/>
      <c r="AR110" s="190"/>
      <c r="AS110" s="190"/>
      <c r="AT110" s="190"/>
      <c r="AU110" s="190"/>
      <c r="BY110" s="79"/>
      <c r="CH110" s="1020"/>
      <c r="CI110" s="1020"/>
      <c r="CJ110" s="1020"/>
      <c r="CK110" s="1020"/>
      <c r="CL110" s="1020"/>
      <c r="CM110" s="1020"/>
      <c r="CN110" s="1020"/>
      <c r="CO110" s="1020"/>
      <c r="CP110" s="1020"/>
      <c r="CQ110" s="1020"/>
      <c r="CR110" s="1020"/>
      <c r="CS110" s="1020"/>
      <c r="CT110" s="1020"/>
      <c r="CU110" s="1020"/>
      <c r="CV110" s="80"/>
      <c r="CW110" s="80"/>
      <c r="CX110" s="80"/>
      <c r="CY110" s="80"/>
      <c r="CZ110" s="80"/>
      <c r="DA110" s="80"/>
    </row>
    <row r="111" spans="1:105" ht="47.25" customHeight="1" x14ac:dyDescent="0.3">
      <c r="B111" s="1842" t="s">
        <v>3</v>
      </c>
      <c r="C111" s="1815" t="s">
        <v>763</v>
      </c>
      <c r="D111" s="1814" t="s">
        <v>764</v>
      </c>
      <c r="E111" s="1814" t="s">
        <v>765</v>
      </c>
      <c r="F111" s="1841" t="s">
        <v>727</v>
      </c>
      <c r="G111" s="1840" t="s">
        <v>1650</v>
      </c>
      <c r="H111" s="950"/>
      <c r="I111" s="81"/>
      <c r="J111" s="81"/>
      <c r="K111" s="81"/>
      <c r="L111" s="81"/>
      <c r="M111" s="81"/>
      <c r="N111" s="81"/>
      <c r="O111" s="81"/>
      <c r="P111" s="190"/>
      <c r="Q111" s="190"/>
      <c r="R111" s="190"/>
      <c r="S111" s="190"/>
      <c r="T111" s="190"/>
      <c r="U111" s="190"/>
      <c r="V111" s="190"/>
      <c r="W111" s="190"/>
      <c r="X111" s="190"/>
      <c r="Y111" s="190"/>
      <c r="Z111" s="190"/>
      <c r="AA111" s="190"/>
      <c r="AB111" s="190"/>
      <c r="AC111" s="190"/>
      <c r="AD111" s="190"/>
      <c r="AE111" s="190"/>
      <c r="AF111" s="190"/>
      <c r="AG111" s="190"/>
      <c r="AH111" s="190"/>
      <c r="AI111" s="190"/>
      <c r="AJ111" s="190"/>
      <c r="AK111" s="190"/>
      <c r="AL111" s="190"/>
      <c r="AM111" s="190"/>
      <c r="AN111" s="190"/>
      <c r="AO111" s="190"/>
      <c r="AP111" s="190"/>
      <c r="AQ111" s="190"/>
      <c r="AR111" s="190"/>
      <c r="AS111" s="190"/>
      <c r="AT111" s="190"/>
      <c r="AU111" s="190"/>
      <c r="CH111" s="1020"/>
      <c r="CI111" s="1020"/>
      <c r="CJ111" s="1020"/>
      <c r="CK111" s="1020"/>
      <c r="CL111" s="1020"/>
      <c r="CM111" s="1020"/>
      <c r="CN111" s="1020"/>
      <c r="CO111" s="1020"/>
      <c r="CP111" s="1020"/>
      <c r="CQ111" s="1020"/>
      <c r="CR111" s="1020"/>
      <c r="CS111" s="1020"/>
      <c r="CT111" s="1020"/>
      <c r="CU111" s="1020"/>
      <c r="CV111" s="80"/>
      <c r="CW111" s="80"/>
      <c r="CX111" s="80"/>
      <c r="CY111" s="80"/>
      <c r="CZ111" s="80"/>
      <c r="DA111" s="80"/>
    </row>
    <row r="112" spans="1:105" ht="17.25" customHeight="1" x14ac:dyDescent="0.2">
      <c r="A112" s="3009">
        <v>28012600</v>
      </c>
      <c r="B112" s="1839" t="s">
        <v>499</v>
      </c>
      <c r="C112" s="141" t="s">
        <v>2777</v>
      </c>
      <c r="D112" s="142" t="s">
        <v>2778</v>
      </c>
      <c r="E112" s="142" t="s">
        <v>2779</v>
      </c>
      <c r="F112" s="198" t="s">
        <v>2780</v>
      </c>
      <c r="G112" s="198" t="s">
        <v>2781</v>
      </c>
      <c r="H112" s="81"/>
      <c r="I112" s="81"/>
      <c r="J112" s="81"/>
      <c r="K112" s="81"/>
      <c r="L112" s="81"/>
      <c r="M112" s="81"/>
      <c r="N112" s="81"/>
      <c r="O112" s="81"/>
      <c r="P112" s="190"/>
      <c r="Q112" s="190"/>
      <c r="R112" s="190"/>
      <c r="S112" s="190"/>
      <c r="T112" s="190"/>
      <c r="U112" s="190"/>
      <c r="V112" s="190"/>
      <c r="W112" s="190"/>
      <c r="X112" s="190"/>
      <c r="Y112" s="190"/>
      <c r="Z112" s="190"/>
      <c r="AA112" s="190"/>
      <c r="AB112" s="190"/>
      <c r="AC112" s="190"/>
      <c r="AD112" s="190"/>
      <c r="AE112" s="190"/>
      <c r="AF112" s="190"/>
      <c r="AG112" s="190"/>
      <c r="AH112" s="190"/>
      <c r="AI112" s="190"/>
      <c r="AJ112" s="190"/>
      <c r="AK112" s="190"/>
      <c r="AL112" s="190"/>
      <c r="AM112" s="190"/>
      <c r="AN112" s="190"/>
      <c r="AO112" s="190"/>
      <c r="AP112" s="190"/>
      <c r="AQ112" s="190"/>
      <c r="AR112" s="190"/>
      <c r="AS112" s="190"/>
      <c r="AT112" s="190"/>
      <c r="AU112" s="190"/>
      <c r="AV112" s="190"/>
      <c r="CH112" s="1020"/>
      <c r="CI112" s="1020"/>
      <c r="CJ112" s="1020"/>
      <c r="CK112" s="1020"/>
      <c r="CL112" s="1020"/>
      <c r="CM112" s="1020"/>
      <c r="CN112" s="1020"/>
      <c r="CO112" s="1020"/>
      <c r="CP112" s="1020"/>
      <c r="CQ112" s="1020"/>
      <c r="CR112" s="1020"/>
      <c r="CS112" s="1020"/>
      <c r="CT112" s="1020"/>
      <c r="CU112" s="1020"/>
      <c r="CV112" s="80"/>
      <c r="CW112" s="80"/>
      <c r="CX112" s="80"/>
      <c r="CY112" s="80"/>
      <c r="CZ112" s="80"/>
      <c r="DA112" s="80"/>
    </row>
    <row r="113" spans="1:105" ht="17.25" customHeight="1" x14ac:dyDescent="0.2">
      <c r="A113" s="3009">
        <v>28012700</v>
      </c>
      <c r="B113" s="608" t="s">
        <v>282</v>
      </c>
      <c r="C113" s="141" t="s">
        <v>2777</v>
      </c>
      <c r="D113" s="142" t="s">
        <v>2778</v>
      </c>
      <c r="E113" s="142" t="s">
        <v>2779</v>
      </c>
      <c r="F113" s="198" t="s">
        <v>2780</v>
      </c>
      <c r="G113" s="198" t="s">
        <v>2781</v>
      </c>
      <c r="H113" s="81"/>
      <c r="I113" s="81"/>
      <c r="J113" s="81"/>
      <c r="K113" s="81"/>
      <c r="L113" s="81"/>
      <c r="M113" s="81"/>
      <c r="N113" s="81"/>
      <c r="O113" s="81"/>
      <c r="P113" s="190"/>
      <c r="Q113" s="190"/>
      <c r="R113" s="190"/>
      <c r="S113" s="190"/>
      <c r="T113" s="190"/>
      <c r="U113" s="190"/>
      <c r="V113" s="190"/>
      <c r="W113" s="190"/>
      <c r="X113" s="190"/>
      <c r="Y113" s="190"/>
      <c r="Z113" s="190"/>
      <c r="AA113" s="190"/>
      <c r="AB113" s="190"/>
      <c r="AC113" s="190"/>
      <c r="AD113" s="190"/>
      <c r="AE113" s="190"/>
      <c r="AF113" s="190"/>
      <c r="AG113" s="190"/>
      <c r="AH113" s="190"/>
      <c r="AI113" s="190"/>
      <c r="AJ113" s="190"/>
      <c r="AK113" s="190"/>
      <c r="AL113" s="190"/>
      <c r="AM113" s="190"/>
      <c r="AN113" s="190"/>
      <c r="AO113" s="190"/>
      <c r="AP113" s="190"/>
      <c r="AQ113" s="190"/>
      <c r="AR113" s="190"/>
      <c r="AS113" s="190"/>
      <c r="AT113" s="190"/>
      <c r="AU113" s="190"/>
      <c r="AV113" s="190"/>
      <c r="CH113" s="1020"/>
      <c r="CI113" s="1020"/>
      <c r="CJ113" s="1020"/>
      <c r="CK113" s="1020"/>
      <c r="CL113" s="1020"/>
      <c r="CM113" s="1020"/>
      <c r="CN113" s="1020"/>
      <c r="CO113" s="1020"/>
      <c r="CP113" s="1020"/>
      <c r="CQ113" s="1020"/>
      <c r="CR113" s="1020"/>
      <c r="CS113" s="1020"/>
      <c r="CT113" s="1020"/>
      <c r="CU113" s="1020"/>
      <c r="CV113" s="80"/>
      <c r="CW113" s="80"/>
      <c r="CX113" s="80"/>
      <c r="CY113" s="80"/>
      <c r="CZ113" s="80"/>
      <c r="DA113" s="80"/>
    </row>
    <row r="114" spans="1:105" ht="17.25" customHeight="1" x14ac:dyDescent="0.2">
      <c r="A114" s="3009">
        <v>28012800</v>
      </c>
      <c r="B114" s="608" t="s">
        <v>281</v>
      </c>
      <c r="C114" s="141" t="s">
        <v>2777</v>
      </c>
      <c r="D114" s="142" t="s">
        <v>2778</v>
      </c>
      <c r="E114" s="142" t="s">
        <v>2779</v>
      </c>
      <c r="F114" s="198" t="s">
        <v>2780</v>
      </c>
      <c r="G114" s="198" t="s">
        <v>2781</v>
      </c>
      <c r="H114" s="81"/>
      <c r="I114" s="81"/>
      <c r="J114" s="81"/>
      <c r="K114" s="81"/>
      <c r="L114" s="81"/>
      <c r="M114" s="81"/>
      <c r="N114" s="81"/>
      <c r="O114" s="81"/>
      <c r="P114" s="190"/>
      <c r="Q114" s="190"/>
      <c r="R114" s="190"/>
      <c r="S114" s="190"/>
      <c r="T114" s="190"/>
      <c r="U114" s="190"/>
      <c r="V114" s="190"/>
      <c r="W114" s="190"/>
      <c r="X114" s="190"/>
      <c r="Y114" s="190"/>
      <c r="Z114" s="190"/>
      <c r="AA114" s="190"/>
      <c r="AB114" s="190"/>
      <c r="AC114" s="190"/>
      <c r="AD114" s="190"/>
      <c r="AE114" s="190"/>
      <c r="AF114" s="190"/>
      <c r="AG114" s="190"/>
      <c r="AH114" s="190"/>
      <c r="AI114" s="190"/>
      <c r="AJ114" s="190"/>
      <c r="AK114" s="190"/>
      <c r="AL114" s="190"/>
      <c r="AM114" s="190"/>
      <c r="AN114" s="190"/>
      <c r="AO114" s="190"/>
      <c r="AP114" s="190"/>
      <c r="AQ114" s="190"/>
      <c r="AR114" s="190"/>
      <c r="AS114" s="190"/>
      <c r="AT114" s="190"/>
      <c r="AU114" s="190"/>
      <c r="AV114" s="190"/>
      <c r="CH114" s="1020"/>
      <c r="CI114" s="1020"/>
      <c r="CJ114" s="1020"/>
      <c r="CK114" s="1020"/>
      <c r="CL114" s="1020"/>
      <c r="CM114" s="1020"/>
      <c r="CN114" s="1020"/>
      <c r="CO114" s="1020"/>
      <c r="CP114" s="1020"/>
      <c r="CQ114" s="1020"/>
      <c r="CR114" s="1020"/>
      <c r="CS114" s="1020"/>
      <c r="CT114" s="1020"/>
      <c r="CU114" s="1020"/>
      <c r="CV114" s="80"/>
      <c r="CW114" s="80"/>
      <c r="CX114" s="80"/>
      <c r="CY114" s="80"/>
      <c r="CZ114" s="80"/>
      <c r="DA114" s="80"/>
    </row>
    <row r="115" spans="1:105" ht="17.25" customHeight="1" x14ac:dyDescent="0.2">
      <c r="A115" s="3009">
        <v>28012900</v>
      </c>
      <c r="B115" s="608" t="s">
        <v>280</v>
      </c>
      <c r="C115" s="141" t="s">
        <v>2777</v>
      </c>
      <c r="D115" s="142" t="s">
        <v>2778</v>
      </c>
      <c r="E115" s="142" t="s">
        <v>2779</v>
      </c>
      <c r="F115" s="198" t="s">
        <v>2780</v>
      </c>
      <c r="G115" s="198" t="s">
        <v>2781</v>
      </c>
      <c r="H115" s="81"/>
      <c r="I115" s="81"/>
      <c r="J115" s="81"/>
      <c r="K115" s="81"/>
      <c r="L115" s="81"/>
      <c r="M115" s="81"/>
      <c r="N115" s="81"/>
      <c r="O115" s="81"/>
      <c r="P115" s="190"/>
      <c r="Q115" s="190"/>
      <c r="R115" s="190"/>
      <c r="S115" s="190"/>
      <c r="T115" s="190"/>
      <c r="U115" s="190"/>
      <c r="V115" s="190"/>
      <c r="W115" s="190"/>
      <c r="X115" s="190"/>
      <c r="Y115" s="190"/>
      <c r="Z115" s="190"/>
      <c r="AA115" s="190"/>
      <c r="AB115" s="190"/>
      <c r="AC115" s="190"/>
      <c r="AD115" s="190"/>
      <c r="AE115" s="190"/>
      <c r="AF115" s="190"/>
      <c r="AG115" s="190"/>
      <c r="AH115" s="190"/>
      <c r="AI115" s="190"/>
      <c r="AJ115" s="190"/>
      <c r="AK115" s="190"/>
      <c r="AL115" s="190"/>
      <c r="AM115" s="190"/>
      <c r="AN115" s="190"/>
      <c r="AO115" s="190"/>
      <c r="AP115" s="190"/>
      <c r="AQ115" s="190"/>
      <c r="AR115" s="190"/>
      <c r="AS115" s="190"/>
      <c r="AT115" s="190"/>
      <c r="AU115" s="190"/>
      <c r="AV115" s="190"/>
      <c r="CH115" s="1020"/>
      <c r="CI115" s="1020"/>
      <c r="CJ115" s="1020"/>
      <c r="CK115" s="1020"/>
      <c r="CL115" s="1020"/>
      <c r="CM115" s="1020"/>
      <c r="CN115" s="1020"/>
      <c r="CO115" s="1020"/>
      <c r="CP115" s="1020"/>
      <c r="CQ115" s="1020"/>
      <c r="CR115" s="1020"/>
      <c r="CS115" s="1020"/>
      <c r="CT115" s="1020"/>
      <c r="CU115" s="1020"/>
      <c r="CV115" s="80"/>
      <c r="CW115" s="80"/>
      <c r="CX115" s="80"/>
      <c r="CY115" s="80"/>
      <c r="CZ115" s="80"/>
      <c r="DA115" s="80"/>
    </row>
    <row r="116" spans="1:105" ht="17.25" customHeight="1" x14ac:dyDescent="0.2">
      <c r="A116" s="3009">
        <v>28013000</v>
      </c>
      <c r="B116" s="609" t="s">
        <v>283</v>
      </c>
      <c r="C116" s="166" t="s">
        <v>2777</v>
      </c>
      <c r="D116" s="102" t="s">
        <v>2778</v>
      </c>
      <c r="E116" s="102" t="s">
        <v>2779</v>
      </c>
      <c r="F116" s="168" t="s">
        <v>2780</v>
      </c>
      <c r="G116" s="168" t="s">
        <v>2781</v>
      </c>
      <c r="H116" s="81"/>
      <c r="I116" s="81"/>
      <c r="J116" s="81"/>
      <c r="K116" s="81"/>
      <c r="L116" s="81"/>
      <c r="M116" s="81"/>
      <c r="N116" s="81"/>
      <c r="O116" s="81"/>
      <c r="P116" s="190"/>
      <c r="Q116" s="190"/>
      <c r="R116" s="190"/>
      <c r="S116" s="190"/>
      <c r="T116" s="190"/>
      <c r="U116" s="190"/>
      <c r="V116" s="190"/>
      <c r="W116" s="190"/>
      <c r="X116" s="190"/>
      <c r="Y116" s="190"/>
      <c r="Z116" s="190"/>
      <c r="AA116" s="190"/>
      <c r="AB116" s="190"/>
      <c r="AC116" s="190"/>
      <c r="AD116" s="190"/>
      <c r="AE116" s="190"/>
      <c r="AF116" s="190"/>
      <c r="AG116" s="190"/>
      <c r="AH116" s="190"/>
      <c r="AI116" s="190"/>
      <c r="AJ116" s="190"/>
      <c r="AK116" s="190"/>
      <c r="AL116" s="190"/>
      <c r="AM116" s="190"/>
      <c r="AN116" s="190"/>
      <c r="AO116" s="190"/>
      <c r="AP116" s="190"/>
      <c r="AQ116" s="190"/>
      <c r="AR116" s="190"/>
      <c r="AS116" s="190"/>
      <c r="AT116" s="190"/>
      <c r="AU116" s="190"/>
      <c r="AV116" s="190"/>
      <c r="CH116" s="1020"/>
      <c r="CI116" s="1020"/>
      <c r="CJ116" s="1020"/>
      <c r="CK116" s="1020"/>
      <c r="CL116" s="1020"/>
      <c r="CM116" s="1020"/>
      <c r="CN116" s="1020"/>
      <c r="CO116" s="1020"/>
      <c r="CP116" s="1020"/>
      <c r="CQ116" s="1020"/>
      <c r="CR116" s="1020"/>
      <c r="CS116" s="1020"/>
      <c r="CT116" s="1020"/>
      <c r="CU116" s="1020"/>
      <c r="CV116" s="80"/>
      <c r="CW116" s="80"/>
      <c r="CX116" s="80"/>
      <c r="CY116" s="80"/>
      <c r="CZ116" s="80"/>
      <c r="DA116" s="80"/>
    </row>
    <row r="117" spans="1:105" ht="18.75" customHeight="1" x14ac:dyDescent="0.2">
      <c r="A117" s="2527"/>
      <c r="B117" s="1838" t="s">
        <v>42</v>
      </c>
      <c r="C117" s="1837">
        <f>SUM(C112:C116)</f>
        <v>0</v>
      </c>
      <c r="D117" s="1836">
        <f>SUM(D112:D116)</f>
        <v>0</v>
      </c>
      <c r="E117" s="1843">
        <f>SUM(E112:E116)</f>
        <v>0</v>
      </c>
      <c r="F117" s="1835">
        <f>SUM(F112:F116)</f>
        <v>0</v>
      </c>
      <c r="G117" s="1835">
        <f>SUM(G112:G116)</f>
        <v>0</v>
      </c>
      <c r="H117" s="81"/>
      <c r="I117" s="81"/>
      <c r="J117" s="81"/>
      <c r="K117" s="81"/>
      <c r="L117" s="81"/>
      <c r="M117" s="81"/>
      <c r="N117" s="81"/>
      <c r="O117" s="81"/>
      <c r="P117" s="190"/>
      <c r="Q117" s="190"/>
      <c r="R117" s="190"/>
      <c r="S117" s="190"/>
      <c r="T117" s="190"/>
      <c r="U117" s="190"/>
      <c r="V117" s="190"/>
      <c r="W117" s="190"/>
      <c r="X117" s="190"/>
      <c r="Y117" s="190"/>
      <c r="Z117" s="190"/>
      <c r="AA117" s="190"/>
      <c r="AB117" s="190"/>
      <c r="AC117" s="190"/>
      <c r="AD117" s="190"/>
      <c r="AE117" s="190"/>
      <c r="AF117" s="190"/>
      <c r="AG117" s="190"/>
      <c r="AH117" s="190"/>
      <c r="AI117" s="190"/>
      <c r="AJ117" s="190"/>
      <c r="AK117" s="190"/>
      <c r="AL117" s="190"/>
      <c r="AM117" s="190"/>
      <c r="AN117" s="190"/>
      <c r="AO117" s="190"/>
      <c r="AP117" s="190"/>
      <c r="AQ117" s="190"/>
      <c r="AR117" s="190"/>
      <c r="AS117" s="190"/>
      <c r="AT117" s="190"/>
      <c r="AU117" s="190"/>
      <c r="AV117" s="190"/>
      <c r="CH117" s="1020"/>
      <c r="CI117" s="1020"/>
      <c r="CJ117" s="1020"/>
      <c r="CK117" s="1020"/>
      <c r="CL117" s="1020"/>
      <c r="CM117" s="1020"/>
      <c r="CN117" s="1020"/>
      <c r="CO117" s="1020"/>
      <c r="CP117" s="1020"/>
      <c r="CQ117" s="1020"/>
      <c r="CR117" s="1020"/>
      <c r="CS117" s="1020"/>
      <c r="CT117" s="1020"/>
      <c r="CU117" s="1020"/>
      <c r="CV117" s="80"/>
      <c r="CW117" s="80"/>
      <c r="CX117" s="80"/>
      <c r="CY117" s="80"/>
      <c r="CZ117" s="80"/>
      <c r="DA117" s="80"/>
    </row>
    <row r="118" spans="1:105" ht="23.25" customHeight="1" x14ac:dyDescent="0.2">
      <c r="B118" s="767" t="s">
        <v>901</v>
      </c>
      <c r="E118" s="81"/>
      <c r="F118" s="81"/>
      <c r="G118" s="81"/>
      <c r="H118" s="81"/>
      <c r="I118" s="81"/>
      <c r="J118" s="81"/>
      <c r="K118" s="81"/>
      <c r="L118" s="81"/>
      <c r="M118" s="81"/>
      <c r="N118" s="81"/>
      <c r="O118" s="81"/>
      <c r="P118" s="190"/>
      <c r="Q118" s="190"/>
      <c r="R118" s="190"/>
      <c r="S118" s="190"/>
      <c r="T118" s="190"/>
      <c r="U118" s="190"/>
      <c r="V118" s="190"/>
      <c r="W118" s="190"/>
      <c r="X118" s="190"/>
      <c r="Y118" s="190"/>
      <c r="Z118" s="190"/>
      <c r="AA118" s="190"/>
      <c r="AB118" s="190"/>
      <c r="AC118" s="190"/>
      <c r="AD118" s="190"/>
      <c r="AE118" s="190"/>
      <c r="AF118" s="190"/>
      <c r="AG118" s="190"/>
      <c r="AH118" s="190"/>
      <c r="AI118" s="190"/>
      <c r="AJ118" s="190"/>
      <c r="AK118" s="190"/>
      <c r="AL118" s="190"/>
      <c r="AM118" s="190"/>
      <c r="AN118" s="190"/>
      <c r="AO118" s="190"/>
      <c r="AP118" s="190"/>
      <c r="AQ118" s="190"/>
      <c r="AR118" s="190"/>
      <c r="AS118" s="190"/>
      <c r="AT118" s="190"/>
      <c r="AU118" s="190"/>
      <c r="AV118" s="190"/>
      <c r="CH118" s="1020"/>
      <c r="CI118" s="1020"/>
      <c r="CJ118" s="1020"/>
      <c r="CK118" s="1020"/>
      <c r="CL118" s="1020"/>
      <c r="CM118" s="1020"/>
      <c r="CN118" s="1020"/>
      <c r="CO118" s="1020"/>
      <c r="CP118" s="1020"/>
      <c r="CQ118" s="1020"/>
      <c r="CR118" s="1020"/>
      <c r="CS118" s="1020"/>
      <c r="CT118" s="1020"/>
      <c r="CU118" s="1020"/>
      <c r="CV118" s="80"/>
      <c r="CW118" s="80"/>
      <c r="CX118" s="80"/>
      <c r="CY118" s="80"/>
      <c r="CZ118" s="80"/>
      <c r="DA118" s="80"/>
    </row>
    <row r="119" spans="1:105" ht="47.25" customHeight="1" x14ac:dyDescent="0.2">
      <c r="B119" s="1842" t="s">
        <v>3</v>
      </c>
      <c r="C119" s="1815" t="s">
        <v>763</v>
      </c>
      <c r="D119" s="1814" t="s">
        <v>764</v>
      </c>
      <c r="E119" s="1814" t="s">
        <v>765</v>
      </c>
      <c r="F119" s="1841" t="s">
        <v>727</v>
      </c>
      <c r="G119" s="1840" t="s">
        <v>1650</v>
      </c>
      <c r="H119" s="81"/>
      <c r="I119" s="81"/>
      <c r="J119" s="81"/>
      <c r="K119" s="81"/>
      <c r="L119" s="81"/>
      <c r="M119" s="81"/>
      <c r="N119" s="81"/>
      <c r="O119" s="81"/>
      <c r="P119" s="190"/>
      <c r="Q119" s="190"/>
      <c r="R119" s="190"/>
      <c r="S119" s="190"/>
      <c r="T119" s="190"/>
      <c r="U119" s="190"/>
      <c r="V119" s="190"/>
      <c r="W119" s="190"/>
      <c r="X119" s="190"/>
      <c r="Y119" s="190"/>
      <c r="Z119" s="190"/>
      <c r="AA119" s="190"/>
      <c r="AB119" s="190"/>
      <c r="AC119" s="190"/>
      <c r="AD119" s="190"/>
      <c r="AE119" s="190"/>
      <c r="AF119" s="190"/>
      <c r="AG119" s="190"/>
      <c r="AH119" s="190"/>
      <c r="AI119" s="190"/>
      <c r="AJ119" s="190"/>
      <c r="AK119" s="190"/>
      <c r="AL119" s="190"/>
      <c r="AM119" s="190"/>
      <c r="AN119" s="190"/>
      <c r="AO119" s="190"/>
      <c r="AP119" s="190"/>
      <c r="AQ119" s="190"/>
      <c r="AR119" s="190"/>
      <c r="AS119" s="190"/>
      <c r="AT119" s="190"/>
      <c r="AU119" s="190"/>
      <c r="AV119" s="190"/>
      <c r="CH119" s="1020"/>
      <c r="CI119" s="1020"/>
      <c r="CJ119" s="1020"/>
      <c r="CK119" s="1020"/>
      <c r="CL119" s="1020"/>
      <c r="CM119" s="1020"/>
      <c r="CN119" s="1020"/>
      <c r="CO119" s="1020"/>
      <c r="CP119" s="1020"/>
      <c r="CQ119" s="1020"/>
      <c r="CR119" s="1020"/>
      <c r="CS119" s="1020"/>
      <c r="CT119" s="1020"/>
      <c r="CU119" s="1020"/>
      <c r="CV119" s="80"/>
      <c r="CW119" s="80"/>
      <c r="CX119" s="80"/>
      <c r="CY119" s="80"/>
      <c r="CZ119" s="80"/>
      <c r="DA119" s="80"/>
    </row>
    <row r="120" spans="1:105" ht="17.25" customHeight="1" x14ac:dyDescent="0.2">
      <c r="A120" s="3009">
        <v>28013100</v>
      </c>
      <c r="B120" s="1839" t="s">
        <v>499</v>
      </c>
      <c r="C120" s="141" t="s">
        <v>2777</v>
      </c>
      <c r="D120" s="142" t="s">
        <v>2778</v>
      </c>
      <c r="E120" s="142" t="s">
        <v>2779</v>
      </c>
      <c r="F120" s="198" t="s">
        <v>2780</v>
      </c>
      <c r="G120" s="198" t="s">
        <v>2781</v>
      </c>
      <c r="H120" s="81"/>
      <c r="I120" s="81"/>
      <c r="J120" s="81"/>
      <c r="K120" s="81"/>
      <c r="L120" s="81"/>
      <c r="M120" s="81"/>
      <c r="N120" s="81"/>
      <c r="O120" s="81"/>
      <c r="P120" s="190"/>
      <c r="Q120" s="190"/>
      <c r="R120" s="190"/>
      <c r="S120" s="190"/>
      <c r="T120" s="190"/>
      <c r="U120" s="190"/>
      <c r="V120" s="190"/>
      <c r="W120" s="190"/>
      <c r="X120" s="190"/>
      <c r="Y120" s="190"/>
      <c r="Z120" s="190"/>
      <c r="AA120" s="190"/>
      <c r="AB120" s="190"/>
      <c r="AC120" s="190"/>
      <c r="AD120" s="190"/>
      <c r="AE120" s="190"/>
      <c r="AF120" s="190"/>
      <c r="AG120" s="190"/>
      <c r="AH120" s="190"/>
      <c r="AI120" s="190"/>
      <c r="AJ120" s="190"/>
      <c r="AK120" s="190"/>
      <c r="AL120" s="190"/>
      <c r="AM120" s="190"/>
      <c r="AN120" s="190"/>
      <c r="AO120" s="190"/>
      <c r="AP120" s="190"/>
      <c r="AQ120" s="190"/>
      <c r="AR120" s="190"/>
      <c r="AS120" s="190"/>
      <c r="AT120" s="190"/>
      <c r="AU120" s="190"/>
      <c r="AV120" s="190"/>
      <c r="CH120" s="1020"/>
      <c r="CI120" s="1020"/>
      <c r="CJ120" s="1020"/>
      <c r="CK120" s="1020"/>
      <c r="CL120" s="1020"/>
      <c r="CM120" s="1020"/>
      <c r="CN120" s="1020"/>
      <c r="CO120" s="1020"/>
      <c r="CP120" s="1020"/>
      <c r="CQ120" s="1020"/>
      <c r="CR120" s="1020"/>
      <c r="CS120" s="1020"/>
      <c r="CT120" s="1020"/>
      <c r="CU120" s="1020"/>
      <c r="CV120" s="80"/>
      <c r="CW120" s="80"/>
      <c r="CX120" s="80"/>
      <c r="CY120" s="80"/>
      <c r="CZ120" s="80"/>
      <c r="DA120" s="80"/>
    </row>
    <row r="121" spans="1:105" ht="17.25" customHeight="1" x14ac:dyDescent="0.2">
      <c r="A121" s="3009">
        <v>28013200</v>
      </c>
      <c r="B121" s="608" t="s">
        <v>282</v>
      </c>
      <c r="C121" s="141" t="s">
        <v>2777</v>
      </c>
      <c r="D121" s="142" t="s">
        <v>2778</v>
      </c>
      <c r="E121" s="142" t="s">
        <v>2779</v>
      </c>
      <c r="F121" s="198" t="s">
        <v>2780</v>
      </c>
      <c r="G121" s="198" t="s">
        <v>2781</v>
      </c>
      <c r="H121" s="81"/>
      <c r="I121" s="81"/>
      <c r="J121" s="81"/>
      <c r="K121" s="81"/>
      <c r="L121" s="81"/>
      <c r="M121" s="81"/>
      <c r="N121" s="81"/>
      <c r="O121" s="81"/>
      <c r="P121" s="190"/>
      <c r="Q121" s="190"/>
      <c r="R121" s="190"/>
      <c r="S121" s="190"/>
      <c r="T121" s="190"/>
      <c r="U121" s="190"/>
      <c r="V121" s="190"/>
      <c r="W121" s="190"/>
      <c r="X121" s="190"/>
      <c r="Y121" s="190"/>
      <c r="Z121" s="190"/>
      <c r="AA121" s="190"/>
      <c r="AB121" s="190"/>
      <c r="AC121" s="190"/>
      <c r="AD121" s="190"/>
      <c r="AE121" s="190"/>
      <c r="AF121" s="190"/>
      <c r="AG121" s="190"/>
      <c r="AH121" s="190"/>
      <c r="AI121" s="190"/>
      <c r="AJ121" s="190"/>
      <c r="AK121" s="190"/>
      <c r="AL121" s="190"/>
      <c r="AM121" s="190"/>
      <c r="AN121" s="190"/>
      <c r="AO121" s="190"/>
      <c r="AP121" s="190"/>
      <c r="AQ121" s="190"/>
      <c r="AR121" s="190"/>
      <c r="AS121" s="190"/>
      <c r="AT121" s="190"/>
      <c r="AU121" s="190"/>
      <c r="AV121" s="190"/>
      <c r="CH121" s="1020"/>
      <c r="CI121" s="1020"/>
      <c r="CJ121" s="1020"/>
      <c r="CK121" s="1020"/>
      <c r="CL121" s="1020"/>
      <c r="CM121" s="1020"/>
      <c r="CN121" s="1020"/>
      <c r="CO121" s="1020"/>
      <c r="CP121" s="1020"/>
      <c r="CQ121" s="1020"/>
      <c r="CR121" s="1020"/>
      <c r="CS121" s="1020"/>
      <c r="CT121" s="1020"/>
      <c r="CU121" s="1020"/>
      <c r="CV121" s="80"/>
      <c r="CW121" s="80"/>
      <c r="CX121" s="80"/>
      <c r="CY121" s="80"/>
      <c r="CZ121" s="80"/>
      <c r="DA121" s="80"/>
    </row>
    <row r="122" spans="1:105" ht="17.25" customHeight="1" x14ac:dyDescent="0.2">
      <c r="A122" s="3009">
        <v>28013300</v>
      </c>
      <c r="B122" s="608" t="s">
        <v>281</v>
      </c>
      <c r="C122" s="141" t="s">
        <v>2777</v>
      </c>
      <c r="D122" s="142" t="s">
        <v>2778</v>
      </c>
      <c r="E122" s="142" t="s">
        <v>2779</v>
      </c>
      <c r="F122" s="198" t="s">
        <v>2780</v>
      </c>
      <c r="G122" s="198" t="s">
        <v>2781</v>
      </c>
      <c r="H122" s="81"/>
      <c r="I122" s="81"/>
      <c r="J122" s="81"/>
      <c r="K122" s="81"/>
      <c r="L122" s="81"/>
      <c r="M122" s="81"/>
      <c r="N122" s="81"/>
      <c r="O122" s="81"/>
      <c r="P122" s="190"/>
      <c r="Q122" s="190"/>
      <c r="R122" s="190"/>
      <c r="S122" s="190"/>
      <c r="T122" s="190"/>
      <c r="U122" s="190"/>
      <c r="V122" s="190"/>
      <c r="W122" s="190"/>
      <c r="X122" s="190"/>
      <c r="Y122" s="190"/>
      <c r="Z122" s="190"/>
      <c r="AA122" s="190"/>
      <c r="AB122" s="190"/>
      <c r="AC122" s="190"/>
      <c r="AD122" s="190"/>
      <c r="AE122" s="190"/>
      <c r="AF122" s="190"/>
      <c r="AG122" s="190"/>
      <c r="AH122" s="190"/>
      <c r="AI122" s="190"/>
      <c r="AJ122" s="190"/>
      <c r="AK122" s="190"/>
      <c r="AL122" s="190"/>
      <c r="AM122" s="190"/>
      <c r="AN122" s="190"/>
      <c r="AO122" s="190"/>
      <c r="AP122" s="190"/>
      <c r="AQ122" s="190"/>
      <c r="AR122" s="190"/>
      <c r="AS122" s="190"/>
      <c r="AT122" s="190"/>
      <c r="AU122" s="190"/>
      <c r="AV122" s="190"/>
      <c r="CH122" s="1020"/>
      <c r="CI122" s="1020"/>
      <c r="CJ122" s="1020"/>
      <c r="CK122" s="1020"/>
      <c r="CL122" s="1020"/>
      <c r="CM122" s="1020"/>
      <c r="CN122" s="1020"/>
      <c r="CO122" s="1020"/>
      <c r="CP122" s="1020"/>
      <c r="CQ122" s="1020"/>
      <c r="CR122" s="1020"/>
      <c r="CS122" s="1020"/>
      <c r="CT122" s="1020"/>
      <c r="CU122" s="1020"/>
      <c r="CV122" s="80"/>
      <c r="CW122" s="80"/>
      <c r="CX122" s="80"/>
      <c r="CY122" s="80"/>
      <c r="CZ122" s="80"/>
      <c r="DA122" s="80"/>
    </row>
    <row r="123" spans="1:105" ht="17.25" customHeight="1" x14ac:dyDescent="0.2">
      <c r="A123" s="3009">
        <v>28013400</v>
      </c>
      <c r="B123" s="608" t="s">
        <v>280</v>
      </c>
      <c r="C123" s="141" t="s">
        <v>2777</v>
      </c>
      <c r="D123" s="142" t="s">
        <v>2778</v>
      </c>
      <c r="E123" s="142" t="s">
        <v>2779</v>
      </c>
      <c r="F123" s="198" t="s">
        <v>2780</v>
      </c>
      <c r="G123" s="198" t="s">
        <v>2781</v>
      </c>
      <c r="H123" s="81"/>
      <c r="I123" s="81"/>
      <c r="J123" s="81"/>
      <c r="K123" s="81"/>
      <c r="L123" s="81"/>
      <c r="M123" s="81"/>
      <c r="N123" s="81"/>
      <c r="O123" s="81"/>
      <c r="P123" s="190"/>
      <c r="Q123" s="190"/>
      <c r="R123" s="190"/>
      <c r="S123" s="190"/>
      <c r="T123" s="190"/>
      <c r="U123" s="190"/>
      <c r="V123" s="190"/>
      <c r="W123" s="190"/>
      <c r="X123" s="190"/>
      <c r="Y123" s="190"/>
      <c r="Z123" s="190"/>
      <c r="AA123" s="190"/>
      <c r="AB123" s="190"/>
      <c r="AC123" s="190"/>
      <c r="AD123" s="190"/>
      <c r="AE123" s="190"/>
      <c r="AF123" s="190"/>
      <c r="AG123" s="190"/>
      <c r="AH123" s="190"/>
      <c r="AI123" s="190"/>
      <c r="AJ123" s="190"/>
      <c r="AK123" s="190"/>
      <c r="AL123" s="190"/>
      <c r="AM123" s="190"/>
      <c r="AN123" s="190"/>
      <c r="AO123" s="190"/>
      <c r="AP123" s="190"/>
      <c r="AQ123" s="190"/>
      <c r="AR123" s="190"/>
      <c r="AS123" s="190"/>
      <c r="AT123" s="190"/>
      <c r="AU123" s="190"/>
      <c r="AV123" s="190"/>
      <c r="CH123" s="1020"/>
      <c r="CI123" s="1020"/>
      <c r="CJ123" s="1020"/>
      <c r="CK123" s="1020"/>
      <c r="CL123" s="1020"/>
      <c r="CM123" s="1020"/>
      <c r="CN123" s="1020"/>
      <c r="CO123" s="1020"/>
      <c r="CP123" s="1020"/>
      <c r="CQ123" s="1020"/>
      <c r="CR123" s="1020"/>
      <c r="CS123" s="1020"/>
      <c r="CT123" s="1020"/>
      <c r="CU123" s="1020"/>
      <c r="CV123" s="80"/>
      <c r="CW123" s="80"/>
      <c r="CX123" s="80"/>
      <c r="CY123" s="80"/>
      <c r="CZ123" s="80"/>
      <c r="DA123" s="80"/>
    </row>
    <row r="124" spans="1:105" ht="17.25" customHeight="1" x14ac:dyDescent="0.2">
      <c r="A124" s="3009">
        <v>28013500</v>
      </c>
      <c r="B124" s="609" t="s">
        <v>283</v>
      </c>
      <c r="C124" s="166" t="s">
        <v>2777</v>
      </c>
      <c r="D124" s="102" t="s">
        <v>2778</v>
      </c>
      <c r="E124" s="102" t="s">
        <v>2779</v>
      </c>
      <c r="F124" s="168" t="s">
        <v>2780</v>
      </c>
      <c r="G124" s="168" t="s">
        <v>2781</v>
      </c>
      <c r="H124" s="81"/>
      <c r="I124" s="81"/>
      <c r="J124" s="81"/>
      <c r="K124" s="81"/>
      <c r="L124" s="81"/>
      <c r="M124" s="81"/>
      <c r="N124" s="81"/>
      <c r="O124" s="81"/>
      <c r="P124" s="190"/>
      <c r="Q124" s="190"/>
      <c r="R124" s="190"/>
      <c r="S124" s="190"/>
      <c r="T124" s="190"/>
      <c r="U124" s="190"/>
      <c r="V124" s="190"/>
      <c r="W124" s="190"/>
      <c r="X124" s="190"/>
      <c r="Y124" s="190"/>
      <c r="Z124" s="190"/>
      <c r="AA124" s="190"/>
      <c r="AB124" s="190"/>
      <c r="AC124" s="190"/>
      <c r="AD124" s="190"/>
      <c r="AE124" s="190"/>
      <c r="AF124" s="190"/>
      <c r="AG124" s="190"/>
      <c r="AH124" s="190"/>
      <c r="AI124" s="190"/>
      <c r="AJ124" s="190"/>
      <c r="AK124" s="190"/>
      <c r="AL124" s="190"/>
      <c r="AM124" s="190"/>
      <c r="AN124" s="190"/>
      <c r="AO124" s="190"/>
      <c r="AP124" s="190"/>
      <c r="AQ124" s="190"/>
      <c r="AR124" s="190"/>
      <c r="AS124" s="190"/>
      <c r="AT124" s="190"/>
      <c r="AU124" s="190"/>
      <c r="AV124" s="190"/>
      <c r="CH124" s="1020"/>
      <c r="CI124" s="1020"/>
      <c r="CJ124" s="1020"/>
      <c r="CK124" s="1020"/>
      <c r="CL124" s="1020"/>
      <c r="CM124" s="1020"/>
      <c r="CN124" s="1020"/>
      <c r="CO124" s="1020"/>
      <c r="CP124" s="1020"/>
      <c r="CQ124" s="1020"/>
      <c r="CR124" s="1020"/>
      <c r="CS124" s="1020"/>
      <c r="CT124" s="1020"/>
      <c r="CU124" s="1020"/>
      <c r="CV124" s="80"/>
      <c r="CW124" s="80"/>
      <c r="CX124" s="80"/>
      <c r="CY124" s="80"/>
      <c r="CZ124" s="80"/>
      <c r="DA124" s="80"/>
    </row>
    <row r="125" spans="1:105" ht="19.5" customHeight="1" x14ac:dyDescent="0.2">
      <c r="A125" s="2527"/>
      <c r="B125" s="1838" t="s">
        <v>42</v>
      </c>
      <c r="C125" s="1837">
        <f>SUM(C120:C124)</f>
        <v>0</v>
      </c>
      <c r="D125" s="1836">
        <f>SUM(D120:D124)</f>
        <v>0</v>
      </c>
      <c r="E125" s="1836">
        <f>SUM(E120:E124)</f>
        <v>0</v>
      </c>
      <c r="F125" s="1835">
        <f>SUM(F120:F124)</f>
        <v>0</v>
      </c>
      <c r="G125" s="1835">
        <f>SUM(G120:G124)</f>
        <v>0</v>
      </c>
      <c r="H125" s="81"/>
      <c r="I125" s="81"/>
      <c r="J125" s="81"/>
      <c r="K125" s="81"/>
      <c r="L125" s="81"/>
      <c r="M125" s="81"/>
      <c r="N125" s="81"/>
      <c r="O125" s="81"/>
      <c r="P125" s="190"/>
      <c r="Q125" s="190"/>
      <c r="R125" s="190"/>
      <c r="S125" s="190"/>
      <c r="T125" s="190"/>
      <c r="U125" s="190"/>
      <c r="V125" s="190"/>
      <c r="W125" s="190"/>
      <c r="X125" s="190"/>
      <c r="Y125" s="190"/>
      <c r="Z125" s="190"/>
      <c r="AA125" s="190"/>
      <c r="AB125" s="190"/>
      <c r="AC125" s="190"/>
      <c r="AD125" s="190"/>
      <c r="AE125" s="190"/>
      <c r="AF125" s="190"/>
      <c r="AG125" s="190"/>
      <c r="AH125" s="190"/>
      <c r="AI125" s="190"/>
      <c r="AJ125" s="190"/>
      <c r="AK125" s="190"/>
      <c r="AL125" s="190"/>
      <c r="AM125" s="190"/>
      <c r="AN125" s="190"/>
      <c r="AO125" s="190"/>
      <c r="AP125" s="190"/>
      <c r="AQ125" s="190"/>
      <c r="AR125" s="190"/>
      <c r="AS125" s="190"/>
      <c r="AT125" s="190"/>
      <c r="AU125" s="190"/>
      <c r="AV125" s="190"/>
      <c r="CH125" s="1020"/>
      <c r="CI125" s="1020"/>
      <c r="CJ125" s="1020"/>
      <c r="CK125" s="1020"/>
      <c r="CL125" s="1020"/>
      <c r="CM125" s="1020"/>
      <c r="CN125" s="1020"/>
      <c r="CO125" s="1020"/>
      <c r="CP125" s="1020"/>
      <c r="CQ125" s="1020"/>
      <c r="CR125" s="1020"/>
      <c r="CS125" s="1020"/>
      <c r="CT125" s="1020"/>
      <c r="CU125" s="1020"/>
      <c r="CV125" s="80"/>
      <c r="CW125" s="80"/>
      <c r="CX125" s="80"/>
      <c r="CY125" s="80"/>
      <c r="CZ125" s="80"/>
      <c r="DA125" s="80"/>
    </row>
    <row r="126" spans="1:105" ht="26.25" customHeight="1" x14ac:dyDescent="0.2">
      <c r="B126" s="324" t="s">
        <v>902</v>
      </c>
      <c r="C126" s="243"/>
      <c r="D126" s="243"/>
      <c r="E126" s="81"/>
      <c r="F126" s="81"/>
      <c r="G126" s="81"/>
      <c r="H126" s="190"/>
      <c r="I126" s="190"/>
      <c r="J126" s="190"/>
      <c r="K126" s="190"/>
      <c r="L126" s="81"/>
      <c r="M126" s="81"/>
      <c r="N126" s="81"/>
      <c r="O126" s="81"/>
      <c r="P126" s="190"/>
      <c r="Q126" s="190"/>
      <c r="R126" s="190"/>
      <c r="S126" s="190"/>
      <c r="T126" s="190"/>
      <c r="U126" s="190"/>
      <c r="V126" s="190"/>
      <c r="W126" s="190"/>
      <c r="X126" s="190"/>
      <c r="Y126" s="190"/>
      <c r="Z126" s="190"/>
      <c r="AA126" s="190"/>
      <c r="AB126" s="190"/>
      <c r="AC126" s="190"/>
      <c r="AD126" s="190"/>
      <c r="AE126" s="190"/>
      <c r="AF126" s="190"/>
      <c r="AG126" s="190"/>
      <c r="AH126" s="190"/>
      <c r="AI126" s="190"/>
      <c r="AJ126" s="190"/>
      <c r="AK126" s="190"/>
      <c r="AL126" s="190"/>
      <c r="AM126" s="190"/>
      <c r="AN126" s="190"/>
      <c r="AO126" s="190"/>
      <c r="AP126" s="190"/>
      <c r="AQ126" s="190"/>
      <c r="AR126" s="190"/>
      <c r="AS126" s="190"/>
      <c r="AT126" s="190"/>
      <c r="AU126" s="190"/>
      <c r="AV126" s="190"/>
      <c r="CH126" s="1020"/>
      <c r="CI126" s="1020"/>
      <c r="CJ126" s="1020"/>
      <c r="CK126" s="1020"/>
      <c r="CL126" s="1020"/>
      <c r="CM126" s="1020"/>
      <c r="CN126" s="1020"/>
      <c r="CO126" s="1020"/>
      <c r="CP126" s="1020"/>
      <c r="CQ126" s="1020"/>
      <c r="CR126" s="1020"/>
      <c r="CS126" s="1020"/>
      <c r="CT126" s="1020"/>
      <c r="CU126" s="1020"/>
    </row>
    <row r="127" spans="1:105" ht="15.6" customHeight="1" x14ac:dyDescent="0.2">
      <c r="B127" s="6778" t="s">
        <v>658</v>
      </c>
      <c r="C127" s="6404"/>
      <c r="D127" s="6755" t="s">
        <v>42</v>
      </c>
      <c r="E127" s="5160" t="s">
        <v>736</v>
      </c>
      <c r="F127" s="6321"/>
      <c r="G127" s="6321"/>
      <c r="H127" s="6321"/>
      <c r="I127" s="5162"/>
      <c r="J127" s="190"/>
      <c r="K127" s="190"/>
      <c r="L127" s="81"/>
      <c r="M127" s="81"/>
      <c r="N127" s="81"/>
      <c r="O127" s="81"/>
      <c r="P127" s="190"/>
      <c r="Q127" s="190"/>
      <c r="R127" s="190"/>
      <c r="S127" s="190"/>
      <c r="T127" s="190"/>
      <c r="U127" s="190"/>
      <c r="V127" s="190"/>
      <c r="W127" s="190"/>
      <c r="X127" s="190"/>
      <c r="Y127" s="190"/>
      <c r="Z127" s="190"/>
      <c r="AA127" s="190"/>
      <c r="AB127" s="190"/>
      <c r="AC127" s="190"/>
      <c r="AD127" s="190"/>
      <c r="AE127" s="190"/>
      <c r="AF127" s="190"/>
      <c r="AG127" s="190"/>
      <c r="AH127" s="190"/>
      <c r="AI127" s="190"/>
      <c r="AJ127" s="190"/>
      <c r="AK127" s="190"/>
      <c r="AL127" s="190"/>
      <c r="AM127" s="190"/>
      <c r="AN127" s="190"/>
      <c r="AO127" s="190"/>
      <c r="AP127" s="190"/>
      <c r="AQ127" s="190"/>
      <c r="AR127" s="190"/>
      <c r="AS127" s="190"/>
      <c r="AT127" s="190"/>
      <c r="AU127" s="190"/>
      <c r="AV127" s="190"/>
      <c r="CH127" s="1020"/>
      <c r="CI127" s="1020"/>
      <c r="CJ127" s="1020"/>
      <c r="CK127" s="1020"/>
      <c r="CL127" s="1020"/>
      <c r="CM127" s="1020"/>
      <c r="CN127" s="1020"/>
      <c r="CO127" s="1020"/>
      <c r="CP127" s="1020"/>
      <c r="CQ127" s="1020"/>
      <c r="CR127" s="1020"/>
      <c r="CS127" s="1020"/>
      <c r="CT127" s="1020"/>
      <c r="CU127" s="1020"/>
    </row>
    <row r="128" spans="1:105" ht="31.5" customHeight="1" x14ac:dyDescent="0.2">
      <c r="B128" s="6408"/>
      <c r="C128" s="6410"/>
      <c r="D128" s="5164"/>
      <c r="E128" s="1597" t="s">
        <v>744</v>
      </c>
      <c r="F128" s="4778" t="s">
        <v>745</v>
      </c>
      <c r="G128" s="4738" t="s">
        <v>746</v>
      </c>
      <c r="H128" s="4755" t="s">
        <v>727</v>
      </c>
      <c r="I128" s="4755" t="s">
        <v>1650</v>
      </c>
      <c r="J128" s="81"/>
      <c r="K128" s="81"/>
      <c r="L128" s="81"/>
      <c r="M128" s="81"/>
      <c r="N128" s="81"/>
      <c r="O128" s="81"/>
      <c r="P128" s="190"/>
      <c r="Q128" s="190"/>
      <c r="R128" s="190"/>
      <c r="S128" s="190"/>
      <c r="T128" s="190"/>
      <c r="U128" s="190"/>
      <c r="V128" s="190"/>
      <c r="W128" s="190"/>
      <c r="X128" s="190"/>
      <c r="Y128" s="190"/>
      <c r="Z128" s="190"/>
      <c r="AA128" s="190"/>
      <c r="AB128" s="190"/>
      <c r="AC128" s="190"/>
      <c r="AD128" s="190"/>
      <c r="AE128" s="190"/>
      <c r="AF128" s="190"/>
      <c r="AG128" s="190"/>
      <c r="AH128" s="190"/>
      <c r="AI128" s="190"/>
      <c r="AJ128" s="190"/>
      <c r="AK128" s="190"/>
      <c r="AL128" s="190"/>
      <c r="AM128" s="190"/>
      <c r="AN128" s="190"/>
      <c r="AO128" s="190"/>
      <c r="AP128" s="190"/>
      <c r="AQ128" s="190"/>
      <c r="AR128" s="190"/>
      <c r="AS128" s="190"/>
      <c r="AT128" s="190"/>
      <c r="AU128" s="190"/>
      <c r="AV128" s="190"/>
      <c r="CH128" s="1020"/>
      <c r="CI128" s="1020"/>
      <c r="CJ128" s="1020"/>
      <c r="CK128" s="1020"/>
      <c r="CL128" s="1020"/>
      <c r="CM128" s="1020"/>
      <c r="CN128" s="1020"/>
      <c r="CO128" s="1020"/>
      <c r="CP128" s="1020"/>
      <c r="CQ128" s="1020"/>
      <c r="CR128" s="1020"/>
      <c r="CS128" s="1020"/>
      <c r="CT128" s="1020"/>
      <c r="CU128" s="1020"/>
    </row>
    <row r="129" spans="1:105" ht="22.5" customHeight="1" x14ac:dyDescent="0.2">
      <c r="A129" s="3009">
        <v>26274800</v>
      </c>
      <c r="B129" s="1834" t="s">
        <v>766</v>
      </c>
      <c r="C129" s="1833"/>
      <c r="D129" s="1745" t="s">
        <v>2777</v>
      </c>
      <c r="E129" s="137" t="s">
        <v>2778</v>
      </c>
      <c r="F129" s="110" t="s">
        <v>2779</v>
      </c>
      <c r="G129" s="123" t="s">
        <v>2780</v>
      </c>
      <c r="H129" s="123" t="s">
        <v>2781</v>
      </c>
      <c r="I129" s="3534" t="s">
        <v>2782</v>
      </c>
      <c r="J129" s="81"/>
      <c r="K129" s="81"/>
      <c r="L129" s="81"/>
      <c r="M129" s="81"/>
      <c r="N129" s="81"/>
      <c r="O129" s="81"/>
      <c r="P129" s="190"/>
      <c r="Q129" s="190"/>
      <c r="R129" s="190"/>
      <c r="S129" s="190"/>
      <c r="T129" s="190"/>
      <c r="U129" s="190"/>
      <c r="V129" s="190"/>
      <c r="W129" s="190"/>
      <c r="X129" s="190"/>
      <c r="Y129" s="190"/>
      <c r="Z129" s="190"/>
      <c r="AA129" s="190"/>
      <c r="AB129" s="190"/>
      <c r="AC129" s="190"/>
      <c r="AD129" s="190"/>
      <c r="AE129" s="190"/>
      <c r="AF129" s="190"/>
      <c r="AG129" s="190"/>
      <c r="AH129" s="190"/>
      <c r="AI129" s="190"/>
      <c r="AJ129" s="190"/>
      <c r="AK129" s="190"/>
      <c r="AL129" s="190"/>
      <c r="AM129" s="190"/>
      <c r="AN129" s="190"/>
      <c r="AO129" s="190"/>
      <c r="AP129" s="190"/>
      <c r="AQ129" s="190"/>
      <c r="AR129" s="190"/>
      <c r="AS129" s="190"/>
      <c r="AT129" s="190"/>
      <c r="AU129" s="190"/>
      <c r="AV129" s="190"/>
      <c r="CH129" s="1020"/>
      <c r="CI129" s="1020"/>
      <c r="CJ129" s="1020"/>
      <c r="CK129" s="1020"/>
      <c r="CL129" s="1020"/>
      <c r="CM129" s="1020"/>
      <c r="CN129" s="1020"/>
      <c r="CO129" s="1020"/>
      <c r="CP129" s="1020"/>
      <c r="CQ129" s="1020"/>
      <c r="CR129" s="1020"/>
      <c r="CS129" s="1020"/>
      <c r="CT129" s="1020"/>
      <c r="CU129" s="1020"/>
    </row>
    <row r="130" spans="1:105" ht="22.5" customHeight="1" x14ac:dyDescent="0.2">
      <c r="A130" s="3009">
        <v>28021624</v>
      </c>
      <c r="B130" s="5314" t="s">
        <v>767</v>
      </c>
      <c r="C130" s="5315"/>
      <c r="D130" s="1803" t="s">
        <v>2777</v>
      </c>
      <c r="E130" s="1117" t="s">
        <v>2778</v>
      </c>
      <c r="F130" s="1825" t="s">
        <v>2779</v>
      </c>
      <c r="G130" s="1137" t="s">
        <v>2780</v>
      </c>
      <c r="H130" s="2747" t="s">
        <v>2781</v>
      </c>
      <c r="I130" s="105" t="s">
        <v>2782</v>
      </c>
      <c r="J130" s="81"/>
      <c r="K130" s="81"/>
      <c r="L130" s="81"/>
      <c r="M130" s="81"/>
      <c r="N130" s="81"/>
      <c r="O130" s="81"/>
      <c r="P130" s="190"/>
      <c r="Q130" s="190"/>
      <c r="R130" s="190"/>
      <c r="S130" s="190"/>
      <c r="T130" s="190"/>
      <c r="U130" s="190"/>
      <c r="V130" s="190"/>
      <c r="W130" s="190"/>
      <c r="X130" s="190"/>
      <c r="Y130" s="190"/>
      <c r="Z130" s="190"/>
      <c r="AA130" s="190"/>
      <c r="AB130" s="190"/>
      <c r="AC130" s="190"/>
      <c r="AD130" s="190"/>
      <c r="AE130" s="190"/>
      <c r="AF130" s="190"/>
      <c r="AG130" s="190"/>
      <c r="AH130" s="190"/>
      <c r="AI130" s="190"/>
      <c r="AJ130" s="190"/>
      <c r="AK130" s="190"/>
      <c r="AL130" s="190"/>
      <c r="AM130" s="190"/>
      <c r="AN130" s="190"/>
      <c r="AO130" s="190"/>
      <c r="AP130" s="190"/>
      <c r="AQ130" s="190"/>
      <c r="AR130" s="190"/>
      <c r="AS130" s="190"/>
      <c r="AT130" s="190"/>
      <c r="AU130" s="190"/>
      <c r="AV130" s="190"/>
      <c r="CH130" s="1020"/>
      <c r="CI130" s="1020"/>
      <c r="CJ130" s="1020"/>
      <c r="CK130" s="1020"/>
      <c r="CL130" s="1020"/>
      <c r="CM130" s="1020"/>
      <c r="CN130" s="1020"/>
      <c r="CO130" s="1020"/>
      <c r="CP130" s="1020"/>
      <c r="CQ130" s="1020"/>
      <c r="CR130" s="1020"/>
      <c r="CS130" s="1020"/>
      <c r="CT130" s="1020"/>
      <c r="CU130" s="1020"/>
    </row>
    <row r="131" spans="1:105" ht="32.1" customHeight="1" x14ac:dyDescent="0.2">
      <c r="A131" s="3595"/>
      <c r="B131" s="485" t="s">
        <v>2736</v>
      </c>
      <c r="C131" s="243"/>
      <c r="D131" s="243"/>
      <c r="E131" s="4733"/>
      <c r="F131" s="81"/>
      <c r="G131" s="81"/>
      <c r="H131" s="81"/>
      <c r="I131" s="81"/>
      <c r="J131" s="81"/>
      <c r="K131" s="81"/>
      <c r="L131" s="81"/>
      <c r="M131" s="81"/>
      <c r="N131" s="81"/>
      <c r="O131" s="81"/>
      <c r="P131" s="190"/>
      <c r="Q131" s="190"/>
      <c r="R131" s="190"/>
      <c r="S131" s="190"/>
      <c r="T131" s="190"/>
      <c r="U131" s="190"/>
      <c r="V131" s="190"/>
      <c r="W131" s="190"/>
      <c r="X131" s="190"/>
      <c r="Y131" s="190"/>
      <c r="Z131" s="190"/>
      <c r="AA131" s="190"/>
      <c r="AB131" s="190"/>
      <c r="AC131" s="190"/>
      <c r="AD131" s="190"/>
      <c r="AE131" s="190"/>
      <c r="AF131" s="190"/>
      <c r="AG131" s="190"/>
      <c r="AH131" s="190"/>
      <c r="AI131" s="190"/>
      <c r="AJ131" s="190"/>
      <c r="AK131" s="190"/>
      <c r="AL131" s="190"/>
      <c r="AM131" s="190"/>
      <c r="AN131" s="190"/>
      <c r="AO131" s="190"/>
      <c r="AP131" s="190"/>
      <c r="AQ131" s="190"/>
      <c r="AR131" s="190"/>
      <c r="AS131" s="190"/>
      <c r="AT131" s="190"/>
      <c r="AU131" s="190"/>
      <c r="BZ131" s="80"/>
      <c r="CA131" s="80"/>
      <c r="CH131" s="1020"/>
      <c r="CI131" s="1020"/>
      <c r="CJ131" s="1020"/>
      <c r="CK131" s="1020"/>
      <c r="CL131" s="1020"/>
      <c r="CM131" s="1020"/>
      <c r="CN131" s="1020"/>
      <c r="CO131" s="1020"/>
      <c r="CP131" s="1020"/>
      <c r="CQ131" s="1020"/>
      <c r="CR131" s="1020"/>
      <c r="CS131" s="1020"/>
      <c r="CT131" s="1020"/>
      <c r="CU131" s="1020"/>
    </row>
    <row r="132" spans="1:105" s="1830" customFormat="1" ht="32.1" customHeight="1" x14ac:dyDescent="0.2">
      <c r="A132" s="80"/>
      <c r="B132" s="5862" t="s">
        <v>768</v>
      </c>
      <c r="C132" s="5863"/>
      <c r="D132" s="5864"/>
      <c r="E132" s="6755" t="s">
        <v>42</v>
      </c>
      <c r="F132" s="4739" t="s">
        <v>736</v>
      </c>
      <c r="G132" s="4777"/>
      <c r="H132" s="4777"/>
      <c r="I132" s="4777"/>
      <c r="J132" s="4741"/>
      <c r="K132" s="81"/>
      <c r="L132" s="81"/>
      <c r="M132" s="81"/>
      <c r="N132" s="81"/>
      <c r="O132" s="190"/>
      <c r="P132" s="190"/>
      <c r="Q132" s="190"/>
      <c r="R132" s="190"/>
      <c r="S132" s="190"/>
      <c r="T132" s="190"/>
      <c r="U132" s="190"/>
      <c r="V132" s="190"/>
      <c r="W132" s="190"/>
      <c r="X132" s="190"/>
      <c r="Y132" s="190"/>
      <c r="Z132" s="190"/>
      <c r="AA132" s="190"/>
      <c r="AB132" s="190"/>
      <c r="AC132" s="190"/>
      <c r="AD132" s="190"/>
      <c r="AE132" s="190"/>
      <c r="AF132" s="190"/>
      <c r="AG132" s="190"/>
      <c r="AH132" s="190"/>
      <c r="AI132" s="190"/>
      <c r="AJ132" s="190"/>
      <c r="AK132" s="190"/>
      <c r="AL132" s="190"/>
      <c r="AM132" s="190"/>
      <c r="AN132" s="190"/>
      <c r="AO132" s="190"/>
      <c r="AP132" s="190"/>
      <c r="AQ132" s="190"/>
      <c r="AR132" s="190"/>
      <c r="AS132" s="190"/>
      <c r="AT132" s="190"/>
      <c r="AU132" s="94"/>
      <c r="AV132" s="94"/>
      <c r="AW132" s="94"/>
      <c r="AX132" s="94"/>
      <c r="AY132" s="94"/>
      <c r="AZ132" s="94"/>
      <c r="BA132" s="94"/>
      <c r="BB132" s="94"/>
      <c r="BC132" s="94"/>
      <c r="BD132" s="94"/>
      <c r="BE132" s="94"/>
      <c r="BF132" s="94"/>
      <c r="BG132" s="94"/>
      <c r="BH132" s="80"/>
      <c r="BI132" s="80"/>
      <c r="BJ132" s="80"/>
      <c r="BK132" s="80"/>
      <c r="BL132" s="80"/>
      <c r="BM132" s="80"/>
      <c r="BN132" s="80"/>
      <c r="BO132" s="80"/>
      <c r="BP132" s="80"/>
      <c r="BQ132" s="80"/>
      <c r="BR132" s="80"/>
      <c r="BS132" s="80"/>
      <c r="BT132" s="80"/>
      <c r="BU132" s="80"/>
      <c r="BV132" s="80"/>
      <c r="BW132" s="80"/>
      <c r="BX132" s="80"/>
      <c r="BY132" s="80"/>
      <c r="BZ132" s="80"/>
      <c r="CA132" s="889"/>
      <c r="CB132" s="889"/>
      <c r="CC132" s="889"/>
      <c r="CD132" s="889"/>
      <c r="CE132" s="889"/>
      <c r="CF132" s="889"/>
      <c r="CG132" s="1020"/>
      <c r="CH132" s="1832"/>
      <c r="CI132" s="1832"/>
      <c r="CJ132" s="1832"/>
      <c r="CK132" s="1832"/>
      <c r="CL132" s="1832"/>
      <c r="CM132" s="1832"/>
      <c r="CN132" s="1832"/>
      <c r="CO132" s="1832"/>
      <c r="CP132" s="1832"/>
      <c r="CQ132" s="1832"/>
      <c r="CR132" s="1832"/>
      <c r="CS132" s="1832"/>
      <c r="CT132" s="1832"/>
      <c r="CU132" s="1831"/>
      <c r="CV132" s="1831"/>
      <c r="CW132" s="1831"/>
      <c r="CX132" s="1831"/>
      <c r="CY132" s="1831"/>
      <c r="CZ132" s="1831"/>
    </row>
    <row r="133" spans="1:105" ht="37.5" customHeight="1" x14ac:dyDescent="0.2">
      <c r="B133" s="5865"/>
      <c r="C133" s="6759"/>
      <c r="D133" s="6760"/>
      <c r="E133" s="5164"/>
      <c r="F133" s="1597" t="s">
        <v>744</v>
      </c>
      <c r="G133" s="1695" t="s">
        <v>745</v>
      </c>
      <c r="H133" s="4738" t="s">
        <v>746</v>
      </c>
      <c r="I133" s="4755" t="s">
        <v>727</v>
      </c>
      <c r="J133" s="4755" t="s">
        <v>1650</v>
      </c>
      <c r="K133" s="81"/>
      <c r="L133" s="81"/>
      <c r="M133" s="81"/>
      <c r="N133" s="81"/>
      <c r="O133" s="190"/>
      <c r="P133" s="190"/>
      <c r="Q133" s="190"/>
      <c r="R133" s="190"/>
      <c r="S133" s="190"/>
      <c r="T133" s="190"/>
      <c r="U133" s="190"/>
      <c r="V133" s="190"/>
      <c r="W133" s="190"/>
      <c r="X133" s="190"/>
      <c r="Y133" s="190"/>
      <c r="Z133" s="190"/>
      <c r="AA133" s="190"/>
      <c r="AB133" s="190"/>
      <c r="AC133" s="190"/>
      <c r="AD133" s="190"/>
      <c r="AE133" s="190"/>
      <c r="AF133" s="190"/>
      <c r="AG133" s="190"/>
      <c r="AH133" s="190"/>
      <c r="AI133" s="190"/>
      <c r="AJ133" s="190"/>
      <c r="AK133" s="190"/>
      <c r="AL133" s="190"/>
      <c r="AM133" s="190"/>
      <c r="AN133" s="190"/>
      <c r="AO133" s="190"/>
      <c r="AP133" s="190"/>
      <c r="AQ133" s="190"/>
      <c r="AR133" s="190"/>
      <c r="AS133" s="190"/>
      <c r="AT133" s="190"/>
      <c r="AU133" s="94"/>
      <c r="AV133" s="94"/>
      <c r="AW133" s="94"/>
      <c r="AX133" s="94"/>
      <c r="AY133" s="94"/>
      <c r="AZ133" s="94"/>
      <c r="BA133" s="94"/>
      <c r="BB133" s="94"/>
      <c r="BC133" s="94"/>
      <c r="BD133" s="94"/>
      <c r="BE133" s="94"/>
      <c r="BF133" s="94"/>
      <c r="BG133" s="94"/>
      <c r="BZ133" s="80"/>
      <c r="CA133" s="889"/>
      <c r="CG133" s="1020"/>
      <c r="CH133" s="1020"/>
      <c r="CI133" s="1020"/>
      <c r="CJ133" s="1020"/>
      <c r="CK133" s="1020"/>
      <c r="CL133" s="1020"/>
      <c r="CM133" s="1020"/>
      <c r="CN133" s="1020"/>
      <c r="CO133" s="1020"/>
      <c r="CP133" s="1020"/>
      <c r="CQ133" s="1020"/>
      <c r="CR133" s="1020"/>
      <c r="CS133" s="1020"/>
      <c r="CT133" s="1020"/>
      <c r="DA133" s="80"/>
    </row>
    <row r="134" spans="1:105" ht="19.5" customHeight="1" x14ac:dyDescent="0.2">
      <c r="A134" s="3009">
        <v>27300800</v>
      </c>
      <c r="B134" s="4890" t="s">
        <v>2737</v>
      </c>
      <c r="C134" s="4891"/>
      <c r="D134" s="1829"/>
      <c r="E134" s="1745" t="s">
        <v>2777</v>
      </c>
      <c r="F134" s="137" t="s">
        <v>2778</v>
      </c>
      <c r="G134" s="110" t="s">
        <v>2779</v>
      </c>
      <c r="H134" s="123" t="s">
        <v>2780</v>
      </c>
      <c r="I134" s="123" t="s">
        <v>2781</v>
      </c>
      <c r="J134" s="123" t="s">
        <v>2782</v>
      </c>
      <c r="K134" s="81"/>
      <c r="L134" s="81"/>
      <c r="M134" s="81"/>
      <c r="N134" s="81"/>
      <c r="O134" s="81"/>
      <c r="P134" s="190"/>
      <c r="Q134" s="190"/>
      <c r="R134" s="190"/>
      <c r="S134" s="190"/>
      <c r="T134" s="190"/>
      <c r="U134" s="190"/>
      <c r="V134" s="190"/>
      <c r="W134" s="190"/>
      <c r="X134" s="190"/>
      <c r="Y134" s="190"/>
      <c r="Z134" s="190"/>
      <c r="AA134" s="190"/>
      <c r="AB134" s="190"/>
      <c r="AC134" s="190"/>
      <c r="AD134" s="190"/>
      <c r="AE134" s="190"/>
      <c r="AF134" s="190"/>
      <c r="AG134" s="190"/>
      <c r="AH134" s="190"/>
      <c r="AI134" s="190"/>
      <c r="AJ134" s="190"/>
      <c r="AK134" s="190"/>
      <c r="AL134" s="190"/>
      <c r="AM134" s="190"/>
      <c r="AN134" s="190"/>
      <c r="AO134" s="190"/>
      <c r="AP134" s="190"/>
      <c r="AQ134" s="190"/>
      <c r="AR134" s="190"/>
      <c r="AS134" s="190"/>
      <c r="AT134" s="190"/>
      <c r="AU134" s="190"/>
      <c r="AV134" s="1828"/>
      <c r="AW134" s="94"/>
      <c r="AX134" s="94"/>
      <c r="AY134" s="94"/>
      <c r="AZ134" s="94"/>
      <c r="BA134" s="94"/>
      <c r="BB134" s="94"/>
      <c r="BC134" s="94"/>
      <c r="BD134" s="94"/>
      <c r="BE134" s="94"/>
      <c r="BF134" s="94"/>
      <c r="BG134" s="94"/>
      <c r="BH134" s="94"/>
      <c r="CH134" s="1020"/>
      <c r="CI134" s="1020"/>
      <c r="CJ134" s="1020"/>
      <c r="CK134" s="1020"/>
      <c r="CL134" s="1020"/>
      <c r="CM134" s="1020"/>
      <c r="CN134" s="1020"/>
      <c r="CO134" s="1020"/>
      <c r="CP134" s="1020"/>
      <c r="CQ134" s="1020"/>
      <c r="CR134" s="1020"/>
      <c r="CS134" s="1020"/>
      <c r="CT134" s="1020"/>
      <c r="CU134" s="1020"/>
    </row>
    <row r="135" spans="1:105" ht="19.5" customHeight="1" x14ac:dyDescent="0.2">
      <c r="A135" s="3009">
        <v>28013600</v>
      </c>
      <c r="B135" s="1827" t="s">
        <v>769</v>
      </c>
      <c r="C135" s="4732"/>
      <c r="D135" s="1826"/>
      <c r="E135" s="1746" t="s">
        <v>2777</v>
      </c>
      <c r="F135" s="1117" t="s">
        <v>2778</v>
      </c>
      <c r="G135" s="1825" t="s">
        <v>2779</v>
      </c>
      <c r="H135" s="1137" t="s">
        <v>2780</v>
      </c>
      <c r="I135" s="1137" t="s">
        <v>2781</v>
      </c>
      <c r="J135" s="1137" t="s">
        <v>2782</v>
      </c>
      <c r="K135" s="81"/>
      <c r="L135" s="81"/>
      <c r="M135" s="81"/>
      <c r="N135" s="128"/>
      <c r="O135" s="128"/>
      <c r="P135" s="881"/>
      <c r="Q135" s="881"/>
      <c r="R135" s="881"/>
      <c r="S135" s="881"/>
      <c r="T135" s="881"/>
      <c r="U135" s="881"/>
      <c r="V135" s="881"/>
      <c r="W135" s="881"/>
      <c r="X135" s="881"/>
      <c r="Y135" s="881"/>
      <c r="Z135" s="881"/>
      <c r="AA135" s="881"/>
      <c r="AB135" s="881"/>
      <c r="AC135" s="881"/>
      <c r="AD135" s="190"/>
      <c r="AE135" s="190"/>
      <c r="AF135" s="190"/>
      <c r="AG135" s="190"/>
      <c r="AH135" s="190"/>
      <c r="AI135" s="190"/>
      <c r="AJ135" s="190"/>
      <c r="AK135" s="190"/>
      <c r="AL135" s="190"/>
      <c r="AM135" s="190"/>
      <c r="AN135" s="190"/>
      <c r="AO135" s="190"/>
      <c r="AP135" s="190"/>
      <c r="AQ135" s="190"/>
      <c r="AR135" s="190"/>
      <c r="AS135" s="190"/>
      <c r="AT135" s="190"/>
      <c r="AU135" s="190"/>
      <c r="AV135" s="903"/>
      <c r="AW135" s="94"/>
      <c r="AX135" s="94"/>
      <c r="AY135" s="94"/>
      <c r="AZ135" s="94"/>
      <c r="BA135" s="94"/>
      <c r="BB135" s="94"/>
      <c r="BC135" s="94"/>
      <c r="BD135" s="94"/>
      <c r="BE135" s="94"/>
      <c r="BF135" s="94"/>
      <c r="BG135" s="94"/>
      <c r="BH135" s="94"/>
      <c r="CH135" s="1020"/>
      <c r="CI135" s="1020"/>
      <c r="CJ135" s="1020"/>
      <c r="CK135" s="1020"/>
      <c r="CL135" s="1020"/>
      <c r="CM135" s="1020"/>
      <c r="CN135" s="1020"/>
      <c r="CO135" s="1020"/>
      <c r="CP135" s="1020"/>
      <c r="CQ135" s="1020"/>
      <c r="CR135" s="1020"/>
      <c r="CS135" s="1020"/>
      <c r="CT135" s="1020"/>
      <c r="CU135" s="1020"/>
    </row>
    <row r="136" spans="1:105" ht="28.5" customHeight="1" x14ac:dyDescent="0.2">
      <c r="B136" s="295" t="s">
        <v>2738</v>
      </c>
      <c r="E136" s="610"/>
      <c r="F136" s="1824"/>
      <c r="G136" s="1823"/>
      <c r="H136" s="1822"/>
      <c r="I136" s="1821"/>
      <c r="J136" s="328"/>
      <c r="K136" s="328"/>
      <c r="L136" s="328"/>
      <c r="M136" s="1103"/>
      <c r="N136" s="94"/>
      <c r="O136" s="94"/>
      <c r="P136" s="94"/>
      <c r="Q136" s="94"/>
      <c r="R136" s="94"/>
      <c r="S136" s="94"/>
      <c r="T136" s="94"/>
      <c r="U136" s="94"/>
      <c r="V136" s="94"/>
      <c r="W136" s="94"/>
      <c r="X136" s="94"/>
      <c r="Y136" s="94"/>
      <c r="Z136" s="94"/>
      <c r="AA136" s="94"/>
      <c r="AB136" s="94"/>
      <c r="AC136" s="94"/>
      <c r="AV136" s="1085"/>
      <c r="AW136" s="1085"/>
      <c r="AX136" s="1085"/>
      <c r="AY136" s="1085"/>
      <c r="AZ136" s="1085"/>
      <c r="BA136" s="1085"/>
      <c r="BB136" s="1085"/>
      <c r="BC136" s="1085"/>
      <c r="BD136" s="1085"/>
      <c r="BE136" s="1085"/>
      <c r="BF136" s="1085"/>
      <c r="BG136" s="94"/>
      <c r="BH136" s="94"/>
      <c r="CH136" s="1020"/>
      <c r="CI136" s="1020"/>
      <c r="CJ136" s="1020"/>
      <c r="CK136" s="1020"/>
      <c r="CL136" s="1020"/>
      <c r="CM136" s="1020"/>
      <c r="CN136" s="1020"/>
      <c r="CO136" s="1020"/>
      <c r="CP136" s="1020"/>
      <c r="CQ136" s="1020"/>
      <c r="CR136" s="1020"/>
      <c r="CS136" s="1020"/>
      <c r="CT136" s="1020"/>
      <c r="CU136" s="1020"/>
    </row>
    <row r="137" spans="1:105" ht="15" customHeight="1" x14ac:dyDescent="0.2">
      <c r="B137" s="6306" t="s">
        <v>770</v>
      </c>
      <c r="C137" s="5787" t="s">
        <v>42</v>
      </c>
      <c r="D137" s="5165" t="s">
        <v>771</v>
      </c>
      <c r="E137" s="6332"/>
      <c r="F137" s="5167"/>
      <c r="G137" s="5818" t="s">
        <v>1379</v>
      </c>
      <c r="H137" s="5534" t="s">
        <v>1380</v>
      </c>
      <c r="I137" s="6758" t="s">
        <v>736</v>
      </c>
      <c r="J137" s="6321"/>
      <c r="K137" s="6321"/>
      <c r="L137" s="6321"/>
      <c r="M137" s="5162"/>
      <c r="N137" s="94"/>
      <c r="O137" s="94"/>
      <c r="P137" s="94"/>
      <c r="Q137" s="94"/>
      <c r="R137" s="94"/>
      <c r="S137" s="94"/>
      <c r="T137" s="94"/>
      <c r="U137" s="94"/>
      <c r="V137" s="94"/>
      <c r="W137" s="94"/>
      <c r="X137" s="94"/>
      <c r="Y137" s="94"/>
      <c r="Z137" s="94"/>
      <c r="AA137" s="94"/>
      <c r="AB137" s="94"/>
      <c r="AV137" s="1085"/>
      <c r="AW137" s="1085"/>
      <c r="AX137" s="1085"/>
      <c r="AY137" s="1085"/>
      <c r="AZ137" s="1085"/>
      <c r="BA137" s="1085"/>
      <c r="BB137" s="1085"/>
      <c r="BC137" s="1085"/>
      <c r="BD137" s="1085"/>
      <c r="BE137" s="1085"/>
      <c r="BF137" s="1085"/>
      <c r="BG137" s="94"/>
      <c r="BH137" s="94"/>
      <c r="CH137" s="1020"/>
      <c r="CI137" s="1020"/>
      <c r="CJ137" s="1020"/>
      <c r="CK137" s="1020"/>
      <c r="CL137" s="1020"/>
      <c r="CM137" s="1020"/>
      <c r="CN137" s="1020"/>
      <c r="CO137" s="1020"/>
      <c r="CP137" s="1020"/>
      <c r="CQ137" s="1020"/>
      <c r="CR137" s="1020"/>
      <c r="CS137" s="1020"/>
      <c r="CT137" s="1020"/>
      <c r="CU137" s="1020"/>
    </row>
    <row r="138" spans="1:105" ht="49.5" customHeight="1" x14ac:dyDescent="0.2">
      <c r="B138" s="6307"/>
      <c r="C138" s="5159"/>
      <c r="D138" s="1815" t="s">
        <v>1183</v>
      </c>
      <c r="E138" s="1799" t="s">
        <v>1184</v>
      </c>
      <c r="F138" s="1792" t="s">
        <v>1185</v>
      </c>
      <c r="G138" s="5818"/>
      <c r="H138" s="5534"/>
      <c r="I138" s="1792" t="s">
        <v>744</v>
      </c>
      <c r="J138" s="1794" t="s">
        <v>745</v>
      </c>
      <c r="K138" s="1794" t="s">
        <v>746</v>
      </c>
      <c r="L138" s="1791" t="s">
        <v>727</v>
      </c>
      <c r="M138" s="1873" t="s">
        <v>1650</v>
      </c>
      <c r="N138" s="94"/>
      <c r="O138" s="94"/>
      <c r="P138" s="94"/>
      <c r="Q138" s="94"/>
      <c r="R138" s="94"/>
      <c r="S138" s="94"/>
      <c r="T138" s="94"/>
      <c r="U138" s="94"/>
      <c r="V138" s="94"/>
      <c r="W138" s="94"/>
      <c r="X138" s="94"/>
      <c r="Y138" s="94"/>
      <c r="Z138" s="94"/>
      <c r="AA138" s="94"/>
      <c r="AB138" s="94"/>
      <c r="AV138" s="1085"/>
      <c r="AW138" s="1085"/>
      <c r="AX138" s="1085"/>
      <c r="AY138" s="1085"/>
      <c r="AZ138" s="1085"/>
      <c r="BA138" s="1085"/>
      <c r="BB138" s="1085"/>
      <c r="BC138" s="1085"/>
      <c r="BD138" s="1085"/>
      <c r="BE138" s="1085"/>
      <c r="BF138" s="1085"/>
      <c r="BG138" s="94"/>
      <c r="BH138" s="94"/>
      <c r="CH138" s="1020"/>
      <c r="CI138" s="1020"/>
      <c r="CJ138" s="1020"/>
      <c r="CK138" s="1020"/>
      <c r="CL138" s="1020"/>
      <c r="CM138" s="1020"/>
      <c r="CN138" s="1020"/>
      <c r="CO138" s="1020"/>
      <c r="CP138" s="1020"/>
      <c r="CQ138" s="1020"/>
      <c r="CR138" s="1020"/>
      <c r="CS138" s="1020"/>
      <c r="CT138" s="1020"/>
      <c r="CU138" s="1020"/>
    </row>
    <row r="139" spans="1:105" ht="15" customHeight="1" x14ac:dyDescent="0.2">
      <c r="A139" s="3009">
        <v>28020730</v>
      </c>
      <c r="B139" s="1793" t="s">
        <v>1169</v>
      </c>
      <c r="C139" s="1615" t="s">
        <v>2777</v>
      </c>
      <c r="D139" s="137" t="s">
        <v>2778</v>
      </c>
      <c r="E139" s="1604" t="s">
        <v>2779</v>
      </c>
      <c r="F139" s="1603" t="s">
        <v>2780</v>
      </c>
      <c r="G139" s="1604" t="s">
        <v>2781</v>
      </c>
      <c r="H139" s="376" t="s">
        <v>2782</v>
      </c>
      <c r="I139" s="1603" t="s">
        <v>2783</v>
      </c>
      <c r="J139" s="1604" t="s">
        <v>2784</v>
      </c>
      <c r="K139" s="1604" t="s">
        <v>2785</v>
      </c>
      <c r="L139" s="1604" t="s">
        <v>2786</v>
      </c>
      <c r="M139" s="1604" t="s">
        <v>2787</v>
      </c>
      <c r="N139" s="1079" t="str">
        <f>CB139</f>
        <v xml:space="preserve">* Total Personas debe ser igual que según Tipo estrategia + Otros + UAPORRINO. </v>
      </c>
      <c r="O139" s="1085"/>
      <c r="P139" s="1085"/>
      <c r="Q139" s="1085"/>
      <c r="R139" s="1085"/>
      <c r="S139" s="1085"/>
      <c r="T139" s="1085"/>
      <c r="U139" s="1085"/>
      <c r="V139" s="1085"/>
      <c r="W139" s="1085"/>
      <c r="X139" s="1085"/>
      <c r="Y139" s="94"/>
      <c r="Z139" s="94"/>
      <c r="AA139" s="94"/>
      <c r="AB139" s="94"/>
      <c r="AV139" s="1085"/>
      <c r="AW139" s="1085"/>
      <c r="AX139" s="1085"/>
      <c r="AY139" s="1085"/>
      <c r="AZ139" s="1085"/>
      <c r="BA139" s="1085"/>
      <c r="BB139" s="1085"/>
      <c r="BC139" s="1085"/>
      <c r="BD139" s="1085"/>
      <c r="BE139" s="1085"/>
      <c r="BF139" s="1085"/>
      <c r="BG139" s="94"/>
      <c r="BH139" s="94"/>
      <c r="CB139" s="1031" t="str">
        <f>IF(CH139=1,"* Total Personas debe ser igual que según Tipo estrategia + Otros + UAPORRINO. ","")</f>
        <v xml:space="preserve">* Total Personas debe ser igual que según Tipo estrategia + Otros + UAPORRINO. </v>
      </c>
      <c r="CC139" s="1031"/>
      <c r="CD139" s="1031"/>
      <c r="CE139" s="1031"/>
      <c r="CF139" s="1031"/>
      <c r="CG139" s="1031"/>
      <c r="CH139" s="1163">
        <f>IF(C139&lt;&gt;SUM(I139:M139),1,0)</f>
        <v>1</v>
      </c>
      <c r="CI139" s="1020"/>
      <c r="CJ139" s="1020"/>
      <c r="CK139" s="1020"/>
      <c r="CL139" s="1020"/>
      <c r="CM139" s="1020"/>
      <c r="CN139" s="1020"/>
      <c r="CO139" s="1020"/>
      <c r="CP139" s="1020"/>
      <c r="CQ139" s="1020"/>
      <c r="CR139" s="1020"/>
      <c r="CS139" s="1020"/>
      <c r="CT139" s="1020"/>
      <c r="CU139" s="1020"/>
    </row>
    <row r="140" spans="1:105" ht="15" customHeight="1" x14ac:dyDescent="0.2">
      <c r="A140" s="3009">
        <v>28020740</v>
      </c>
      <c r="B140" s="1781" t="s">
        <v>760</v>
      </c>
      <c r="C140" s="140" t="s">
        <v>2777</v>
      </c>
      <c r="D140" s="141" t="s">
        <v>2778</v>
      </c>
      <c r="E140" s="164" t="s">
        <v>2779</v>
      </c>
      <c r="F140" s="198" t="s">
        <v>2780</v>
      </c>
      <c r="G140" s="164" t="s">
        <v>2781</v>
      </c>
      <c r="H140" s="513" t="s">
        <v>2782</v>
      </c>
      <c r="I140" s="198" t="s">
        <v>2783</v>
      </c>
      <c r="J140" s="164" t="s">
        <v>2784</v>
      </c>
      <c r="K140" s="164" t="s">
        <v>2785</v>
      </c>
      <c r="L140" s="164" t="s">
        <v>2786</v>
      </c>
      <c r="M140" s="164" t="s">
        <v>2787</v>
      </c>
      <c r="N140" s="1079" t="str">
        <f>CB140</f>
        <v xml:space="preserve">* Total Personas debe ser igual que según Tipo estrategia + Otros + UAPORRINO. </v>
      </c>
      <c r="O140" s="1085"/>
      <c r="P140" s="1085"/>
      <c r="Q140" s="1085"/>
      <c r="R140" s="1085"/>
      <c r="S140" s="1085"/>
      <c r="T140" s="1085"/>
      <c r="U140" s="1085"/>
      <c r="V140" s="1085"/>
      <c r="W140" s="1085"/>
      <c r="X140" s="1085"/>
      <c r="Y140" s="94"/>
      <c r="Z140" s="94"/>
      <c r="AA140" s="94"/>
      <c r="AB140" s="94"/>
      <c r="AV140" s="1085"/>
      <c r="AW140" s="1085"/>
      <c r="AX140" s="1085"/>
      <c r="AY140" s="1085"/>
      <c r="AZ140" s="1085"/>
      <c r="BA140" s="1085"/>
      <c r="BB140" s="1085"/>
      <c r="BC140" s="1085"/>
      <c r="BD140" s="1085"/>
      <c r="BE140" s="1085"/>
      <c r="BF140" s="1085"/>
      <c r="BG140" s="94"/>
      <c r="BH140" s="94"/>
      <c r="CB140" s="1031" t="str">
        <f>IF(CH140=1,"* Total Personas debe ser igual que según Tipo estrategia + Otros + UAPORRINO. ","")</f>
        <v xml:space="preserve">* Total Personas debe ser igual que según Tipo estrategia + Otros + UAPORRINO. </v>
      </c>
      <c r="CC140" s="1031"/>
      <c r="CD140" s="1031"/>
      <c r="CE140" s="1031"/>
      <c r="CF140" s="1031"/>
      <c r="CG140" s="1031"/>
      <c r="CH140" s="1163">
        <f>IF(C140&lt;&gt;SUM(I140:M140),1,0)</f>
        <v>1</v>
      </c>
      <c r="CI140" s="1020"/>
      <c r="CJ140" s="1020"/>
      <c r="CK140" s="1020"/>
      <c r="CL140" s="1020"/>
      <c r="CM140" s="1020"/>
      <c r="CN140" s="1020"/>
      <c r="CO140" s="1020"/>
      <c r="CP140" s="1020"/>
      <c r="CQ140" s="1020"/>
      <c r="CR140" s="1020"/>
      <c r="CS140" s="1020"/>
      <c r="CT140" s="1020"/>
      <c r="CU140" s="1020"/>
    </row>
    <row r="141" spans="1:105" ht="15" customHeight="1" x14ac:dyDescent="0.2">
      <c r="A141" s="3009">
        <v>28020750</v>
      </c>
      <c r="B141" s="1786" t="s">
        <v>761</v>
      </c>
      <c r="C141" s="100" t="s">
        <v>2777</v>
      </c>
      <c r="D141" s="166" t="s">
        <v>2778</v>
      </c>
      <c r="E141" s="105" t="s">
        <v>2779</v>
      </c>
      <c r="F141" s="168" t="s">
        <v>2780</v>
      </c>
      <c r="G141" s="105" t="s">
        <v>2781</v>
      </c>
      <c r="H141" s="375" t="s">
        <v>2782</v>
      </c>
      <c r="I141" s="168" t="s">
        <v>2783</v>
      </c>
      <c r="J141" s="105" t="s">
        <v>2784</v>
      </c>
      <c r="K141" s="105" t="s">
        <v>2785</v>
      </c>
      <c r="L141" s="105" t="s">
        <v>2786</v>
      </c>
      <c r="M141" s="105" t="s">
        <v>2787</v>
      </c>
      <c r="N141" s="1079" t="str">
        <f>CB141</f>
        <v xml:space="preserve">* Total Personas debe ser igual que según Tipo estrategia + Otros + UAPORRINO. </v>
      </c>
      <c r="O141" s="1085"/>
      <c r="P141" s="1085"/>
      <c r="Q141" s="1085"/>
      <c r="R141" s="1085"/>
      <c r="S141" s="1085"/>
      <c r="T141" s="1085"/>
      <c r="U141" s="1085"/>
      <c r="V141" s="1085"/>
      <c r="W141" s="1085"/>
      <c r="X141" s="1085"/>
      <c r="Y141" s="94"/>
      <c r="Z141" s="94"/>
      <c r="AA141" s="94"/>
      <c r="AB141" s="94"/>
      <c r="AV141" s="1085"/>
      <c r="AW141" s="1085"/>
      <c r="AX141" s="1085"/>
      <c r="AY141" s="1085"/>
      <c r="AZ141" s="1085"/>
      <c r="BA141" s="1085"/>
      <c r="BB141" s="1085"/>
      <c r="BC141" s="1085"/>
      <c r="BD141" s="1085"/>
      <c r="BE141" s="1085"/>
      <c r="BF141" s="1085"/>
      <c r="BG141" s="94"/>
      <c r="BH141" s="94"/>
      <c r="CB141" s="1031" t="str">
        <f>IF(CH141=1,"* Total Personas debe ser igual que según Tipo estrategia + Otros + UAPORRINO. ","")</f>
        <v xml:space="preserve">* Total Personas debe ser igual que según Tipo estrategia + Otros + UAPORRINO. </v>
      </c>
      <c r="CC141" s="1031"/>
      <c r="CD141" s="1031"/>
      <c r="CE141" s="1031"/>
      <c r="CF141" s="1031"/>
      <c r="CG141" s="1031"/>
      <c r="CH141" s="1163">
        <f>IF(C141&lt;&gt;SUM(I141:M141),1,0)</f>
        <v>1</v>
      </c>
      <c r="CI141" s="1020"/>
      <c r="CJ141" s="1020"/>
      <c r="CK141" s="1020"/>
      <c r="CL141" s="1020"/>
      <c r="CM141" s="1020"/>
      <c r="CN141" s="1020"/>
      <c r="CO141" s="1020"/>
      <c r="CP141" s="1020"/>
      <c r="CQ141" s="1020"/>
      <c r="CR141" s="1020"/>
      <c r="CS141" s="1020"/>
      <c r="CT141" s="1020"/>
      <c r="CU141" s="1020"/>
    </row>
    <row r="142" spans="1:105" ht="25.5" customHeight="1" x14ac:dyDescent="0.2">
      <c r="B142" s="324" t="s">
        <v>2739</v>
      </c>
      <c r="C142" s="243"/>
      <c r="D142" s="243"/>
      <c r="E142" s="4733"/>
      <c r="F142" s="4733"/>
      <c r="G142" s="4733"/>
      <c r="H142" s="4733"/>
      <c r="I142" s="4733"/>
      <c r="J142" s="4733"/>
      <c r="K142" s="4733"/>
      <c r="L142" s="4733"/>
      <c r="M142" s="1780"/>
      <c r="N142" s="94"/>
      <c r="O142" s="94"/>
      <c r="P142" s="94"/>
      <c r="Q142" s="94"/>
      <c r="R142" s="94"/>
      <c r="S142" s="94"/>
      <c r="T142" s="94"/>
      <c r="U142" s="94"/>
      <c r="V142" s="94"/>
      <c r="W142" s="94"/>
      <c r="X142" s="94"/>
      <c r="Y142" s="94"/>
      <c r="Z142" s="94"/>
      <c r="AA142" s="94"/>
      <c r="AB142" s="94"/>
      <c r="AC142" s="94"/>
      <c r="AV142" s="1085"/>
      <c r="AW142" s="1085"/>
      <c r="AX142" s="1085"/>
      <c r="AY142" s="1085"/>
      <c r="AZ142" s="1085"/>
      <c r="BA142" s="1085"/>
      <c r="BB142" s="1085"/>
      <c r="BC142" s="1085"/>
      <c r="BD142" s="1085"/>
      <c r="BE142" s="1085"/>
      <c r="BF142" s="1085"/>
      <c r="BG142" s="94"/>
      <c r="BH142" s="94"/>
      <c r="CH142" s="1020"/>
      <c r="CI142" s="1020"/>
      <c r="CJ142" s="1020"/>
      <c r="CK142" s="1020"/>
      <c r="CL142" s="1020"/>
      <c r="CM142" s="1020"/>
      <c r="CN142" s="1020"/>
      <c r="CO142" s="1020"/>
      <c r="CP142" s="1020"/>
      <c r="CQ142" s="1020"/>
      <c r="CR142" s="1020"/>
      <c r="CS142" s="1020"/>
      <c r="CT142" s="1020"/>
      <c r="CU142" s="1020"/>
      <c r="CV142" s="80"/>
      <c r="CW142" s="80"/>
      <c r="CX142" s="80"/>
      <c r="CY142" s="80"/>
      <c r="CZ142" s="80"/>
      <c r="DA142" s="80"/>
    </row>
    <row r="143" spans="1:105" ht="21.75" customHeight="1" x14ac:dyDescent="0.2">
      <c r="B143" s="6306" t="s">
        <v>772</v>
      </c>
      <c r="C143" s="5787" t="s">
        <v>773</v>
      </c>
      <c r="D143" s="5165" t="s">
        <v>774</v>
      </c>
      <c r="E143" s="5167"/>
      <c r="F143" s="6332" t="s">
        <v>775</v>
      </c>
      <c r="G143" s="5167"/>
      <c r="H143" s="6332" t="s">
        <v>776</v>
      </c>
      <c r="I143" s="5167"/>
      <c r="J143" s="5165" t="s">
        <v>777</v>
      </c>
      <c r="K143" s="5167"/>
      <c r="L143" s="5787" t="s">
        <v>1650</v>
      </c>
      <c r="M143" s="1780"/>
      <c r="N143" s="1086"/>
      <c r="O143" s="128"/>
      <c r="P143" s="881"/>
      <c r="Q143" s="881"/>
      <c r="R143" s="881"/>
      <c r="S143" s="881"/>
      <c r="T143" s="881"/>
      <c r="U143" s="881"/>
      <c r="V143" s="881"/>
      <c r="W143" s="881"/>
      <c r="X143" s="881"/>
      <c r="Y143" s="881"/>
      <c r="Z143" s="881"/>
      <c r="AA143" s="881"/>
      <c r="AB143" s="881"/>
      <c r="AC143" s="881"/>
      <c r="AD143" s="190"/>
      <c r="AE143" s="190"/>
      <c r="AF143" s="190"/>
      <c r="AG143" s="190"/>
      <c r="AH143" s="190"/>
      <c r="AI143" s="190"/>
      <c r="AJ143" s="190"/>
      <c r="AK143" s="190"/>
      <c r="AL143" s="190"/>
      <c r="AM143" s="190"/>
      <c r="AN143" s="190"/>
      <c r="AO143" s="190"/>
      <c r="AP143" s="190"/>
      <c r="AQ143" s="190"/>
      <c r="AR143" s="190"/>
      <c r="AS143" s="190"/>
      <c r="AT143" s="190"/>
      <c r="AU143" s="190"/>
      <c r="AV143" s="1085"/>
      <c r="AW143" s="1085"/>
      <c r="AX143" s="1085"/>
      <c r="AY143" s="1085"/>
      <c r="AZ143" s="1085"/>
      <c r="BA143" s="1085"/>
      <c r="BB143" s="1085"/>
      <c r="BC143" s="1085"/>
      <c r="BD143" s="1085"/>
      <c r="BE143" s="1085"/>
      <c r="BF143" s="1085"/>
      <c r="BG143" s="94"/>
      <c r="BH143" s="94"/>
      <c r="CH143" s="1020"/>
      <c r="CI143" s="1020"/>
      <c r="CJ143" s="1020"/>
      <c r="CK143" s="1020"/>
      <c r="CL143" s="1020"/>
      <c r="CM143" s="1020"/>
      <c r="CN143" s="1020"/>
      <c r="CO143" s="1020"/>
      <c r="CP143" s="1020"/>
      <c r="CQ143" s="1020"/>
      <c r="CR143" s="1020"/>
      <c r="CS143" s="1020"/>
      <c r="CT143" s="1020"/>
      <c r="CU143" s="1020"/>
      <c r="CV143" s="80"/>
      <c r="CW143" s="80"/>
      <c r="CX143" s="80"/>
      <c r="CY143" s="80"/>
      <c r="CZ143" s="80"/>
      <c r="DA143" s="80"/>
    </row>
    <row r="144" spans="1:105" ht="24" customHeight="1" x14ac:dyDescent="0.2">
      <c r="B144" s="6307"/>
      <c r="C144" s="5159"/>
      <c r="D144" s="1597" t="s">
        <v>778</v>
      </c>
      <c r="E144" s="4738" t="s">
        <v>779</v>
      </c>
      <c r="F144" s="1597" t="s">
        <v>778</v>
      </c>
      <c r="G144" s="4763" t="s">
        <v>779</v>
      </c>
      <c r="H144" s="1597" t="s">
        <v>778</v>
      </c>
      <c r="I144" s="4738" t="s">
        <v>779</v>
      </c>
      <c r="J144" s="1597" t="s">
        <v>778</v>
      </c>
      <c r="K144" s="4738" t="s">
        <v>779</v>
      </c>
      <c r="L144" s="5159"/>
      <c r="M144" s="1780"/>
      <c r="N144" s="1780"/>
      <c r="O144" s="81"/>
      <c r="P144" s="190"/>
      <c r="Q144" s="190"/>
      <c r="R144" s="190"/>
      <c r="S144" s="190"/>
      <c r="T144" s="190"/>
      <c r="U144" s="190"/>
      <c r="V144" s="190"/>
      <c r="W144" s="190"/>
      <c r="X144" s="190"/>
      <c r="Y144" s="190"/>
      <c r="Z144" s="190"/>
      <c r="AA144" s="190"/>
      <c r="AB144" s="190"/>
      <c r="AC144" s="190"/>
      <c r="AD144" s="190"/>
      <c r="AE144" s="190"/>
      <c r="AF144" s="190"/>
      <c r="AG144" s="190"/>
      <c r="AH144" s="190"/>
      <c r="AI144" s="190"/>
      <c r="AJ144" s="190"/>
      <c r="AK144" s="190"/>
      <c r="AL144" s="190"/>
      <c r="AM144" s="190"/>
      <c r="AN144" s="190"/>
      <c r="AO144" s="190"/>
      <c r="AP144" s="190"/>
      <c r="AQ144" s="190"/>
      <c r="AR144" s="190"/>
      <c r="AS144" s="190"/>
      <c r="AT144" s="190"/>
      <c r="AU144" s="190"/>
      <c r="AV144" s="1085"/>
      <c r="AW144" s="1085"/>
      <c r="AX144" s="1085"/>
      <c r="AY144" s="1085"/>
      <c r="AZ144" s="1085"/>
      <c r="BA144" s="1085"/>
      <c r="BB144" s="1085"/>
      <c r="BC144" s="1085"/>
      <c r="BD144" s="1085"/>
      <c r="BE144" s="1085"/>
      <c r="BF144" s="1085"/>
      <c r="BG144" s="94"/>
      <c r="BH144" s="94"/>
      <c r="CH144" s="1020"/>
      <c r="CI144" s="1020"/>
      <c r="CJ144" s="1020"/>
      <c r="CK144" s="1020"/>
      <c r="CL144" s="1020"/>
      <c r="CM144" s="1020"/>
      <c r="CN144" s="1020"/>
      <c r="CO144" s="1020"/>
      <c r="CP144" s="1020"/>
      <c r="CQ144" s="1020"/>
      <c r="CR144" s="1020"/>
      <c r="CS144" s="1020"/>
      <c r="CT144" s="1020"/>
      <c r="CU144" s="1020"/>
      <c r="CV144" s="80"/>
      <c r="CW144" s="80"/>
      <c r="CX144" s="80"/>
      <c r="CY144" s="80"/>
      <c r="CZ144" s="80"/>
      <c r="DA144" s="80"/>
    </row>
    <row r="145" spans="1:105" ht="15.95" customHeight="1" x14ac:dyDescent="0.2">
      <c r="A145" s="3009">
        <v>28020760</v>
      </c>
      <c r="B145" s="5787" t="s">
        <v>1186</v>
      </c>
      <c r="C145" s="4780" t="s">
        <v>660</v>
      </c>
      <c r="D145" s="137" t="s">
        <v>2777</v>
      </c>
      <c r="E145" s="1603" t="s">
        <v>2778</v>
      </c>
      <c r="F145" s="137" t="s">
        <v>2779</v>
      </c>
      <c r="G145" s="1603" t="s">
        <v>2780</v>
      </c>
      <c r="H145" s="137" t="s">
        <v>2781</v>
      </c>
      <c r="I145" s="1603" t="s">
        <v>2782</v>
      </c>
      <c r="J145" s="137" t="s">
        <v>2783</v>
      </c>
      <c r="K145" s="1603" t="s">
        <v>2784</v>
      </c>
      <c r="L145" s="3534" t="s">
        <v>2785</v>
      </c>
      <c r="M145" s="1780"/>
      <c r="N145" s="1780"/>
      <c r="O145" s="81"/>
      <c r="P145" s="190"/>
      <c r="Q145" s="190"/>
      <c r="R145" s="190"/>
      <c r="S145" s="190"/>
      <c r="T145" s="190"/>
      <c r="U145" s="190"/>
      <c r="V145" s="190"/>
      <c r="W145" s="190"/>
      <c r="X145" s="190"/>
      <c r="Y145" s="190"/>
      <c r="Z145" s="190"/>
      <c r="AA145" s="190"/>
      <c r="AB145" s="190"/>
      <c r="AC145" s="190"/>
      <c r="AD145" s="190"/>
      <c r="AE145" s="190"/>
      <c r="AF145" s="190"/>
      <c r="AG145" s="190"/>
      <c r="AH145" s="190"/>
      <c r="AI145" s="190"/>
      <c r="AJ145" s="190"/>
      <c r="AK145" s="190"/>
      <c r="AL145" s="190"/>
      <c r="AM145" s="190"/>
      <c r="AN145" s="190"/>
      <c r="AO145" s="190"/>
      <c r="AP145" s="190"/>
      <c r="AQ145" s="190"/>
      <c r="AR145" s="190"/>
      <c r="AS145" s="190"/>
      <c r="AT145" s="190"/>
      <c r="AU145" s="190"/>
      <c r="AV145" s="1085"/>
      <c r="AW145" s="1085"/>
      <c r="AX145" s="1085"/>
      <c r="AY145" s="1085"/>
      <c r="AZ145" s="1085"/>
      <c r="BA145" s="1085"/>
      <c r="BB145" s="1085"/>
      <c r="BC145" s="1085"/>
      <c r="BD145" s="1085"/>
      <c r="BE145" s="1085"/>
      <c r="BF145" s="1085"/>
      <c r="BG145" s="94"/>
      <c r="BH145" s="94"/>
      <c r="CH145" s="1020"/>
      <c r="CI145" s="1020"/>
      <c r="CJ145" s="1020"/>
      <c r="CK145" s="1020"/>
      <c r="CL145" s="1020"/>
      <c r="CM145" s="1020"/>
      <c r="CN145" s="1020"/>
      <c r="CO145" s="1020"/>
      <c r="CP145" s="1020"/>
      <c r="CQ145" s="1020"/>
      <c r="CR145" s="1020"/>
      <c r="CS145" s="1020"/>
      <c r="CT145" s="1020"/>
      <c r="CU145" s="1020"/>
      <c r="CV145" s="80"/>
      <c r="CW145" s="80"/>
      <c r="CX145" s="80"/>
      <c r="CY145" s="80"/>
      <c r="CZ145" s="80"/>
      <c r="DA145" s="80"/>
    </row>
    <row r="146" spans="1:105" ht="24" customHeight="1" x14ac:dyDescent="0.2">
      <c r="A146" s="3009">
        <v>28020770</v>
      </c>
      <c r="B146" s="5113"/>
      <c r="C146" s="4735" t="s">
        <v>780</v>
      </c>
      <c r="D146" s="141" t="s">
        <v>2777</v>
      </c>
      <c r="E146" s="198" t="s">
        <v>2778</v>
      </c>
      <c r="F146" s="141" t="s">
        <v>2779</v>
      </c>
      <c r="G146" s="198" t="s">
        <v>2780</v>
      </c>
      <c r="H146" s="141" t="s">
        <v>2781</v>
      </c>
      <c r="I146" s="198" t="s">
        <v>2782</v>
      </c>
      <c r="J146" s="141" t="s">
        <v>2783</v>
      </c>
      <c r="K146" s="198" t="s">
        <v>2784</v>
      </c>
      <c r="L146" s="164" t="s">
        <v>2785</v>
      </c>
      <c r="M146" s="1780"/>
      <c r="N146" s="1780"/>
      <c r="O146" s="81"/>
      <c r="P146" s="190"/>
      <c r="Q146" s="190"/>
      <c r="R146" s="190"/>
      <c r="S146" s="190"/>
      <c r="T146" s="190"/>
      <c r="U146" s="190"/>
      <c r="V146" s="190"/>
      <c r="W146" s="190"/>
      <c r="X146" s="190"/>
      <c r="Y146" s="190"/>
      <c r="Z146" s="190"/>
      <c r="AA146" s="190"/>
      <c r="AB146" s="190"/>
      <c r="AC146" s="190"/>
      <c r="AD146" s="190"/>
      <c r="AE146" s="190"/>
      <c r="AF146" s="190"/>
      <c r="AG146" s="190"/>
      <c r="AH146" s="190"/>
      <c r="AI146" s="190"/>
      <c r="AJ146" s="190"/>
      <c r="AK146" s="190"/>
      <c r="AL146" s="190"/>
      <c r="AM146" s="190"/>
      <c r="AN146" s="190"/>
      <c r="AO146" s="190"/>
      <c r="AP146" s="190"/>
      <c r="AQ146" s="190"/>
      <c r="AR146" s="190"/>
      <c r="AS146" s="190"/>
      <c r="AT146" s="190"/>
      <c r="AU146" s="190"/>
      <c r="AV146" s="1085"/>
      <c r="AW146" s="1085"/>
      <c r="AX146" s="1085"/>
      <c r="AY146" s="1085"/>
      <c r="AZ146" s="1085"/>
      <c r="BA146" s="1085"/>
      <c r="BB146" s="1085"/>
      <c r="BC146" s="1085"/>
      <c r="BD146" s="1085"/>
      <c r="BE146" s="1085"/>
      <c r="BF146" s="1085"/>
      <c r="BG146" s="94"/>
      <c r="BH146" s="94"/>
      <c r="CH146" s="1020"/>
      <c r="CI146" s="1020"/>
      <c r="CJ146" s="1020"/>
      <c r="CK146" s="1020"/>
      <c r="CL146" s="1020"/>
      <c r="CM146" s="1020"/>
      <c r="CN146" s="1020"/>
      <c r="CO146" s="1020"/>
      <c r="CP146" s="1020"/>
      <c r="CQ146" s="1020"/>
      <c r="CR146" s="1020"/>
      <c r="CS146" s="1020"/>
      <c r="CT146" s="1020"/>
      <c r="CU146" s="1020"/>
      <c r="CV146" s="80"/>
      <c r="CW146" s="80"/>
      <c r="CX146" s="80"/>
      <c r="CY146" s="80"/>
      <c r="CZ146" s="80"/>
      <c r="DA146" s="80"/>
    </row>
    <row r="147" spans="1:105" ht="17.100000000000001" customHeight="1" x14ac:dyDescent="0.2">
      <c r="A147" s="3009">
        <v>28020780</v>
      </c>
      <c r="B147" s="5113"/>
      <c r="C147" s="4735" t="s">
        <v>781</v>
      </c>
      <c r="D147" s="141" t="s">
        <v>2777</v>
      </c>
      <c r="E147" s="198" t="s">
        <v>2778</v>
      </c>
      <c r="F147" s="141" t="s">
        <v>2779</v>
      </c>
      <c r="G147" s="198" t="s">
        <v>2780</v>
      </c>
      <c r="H147" s="141" t="s">
        <v>2781</v>
      </c>
      <c r="I147" s="198" t="s">
        <v>2782</v>
      </c>
      <c r="J147" s="141" t="s">
        <v>2783</v>
      </c>
      <c r="K147" s="198" t="s">
        <v>2784</v>
      </c>
      <c r="L147" s="164" t="s">
        <v>2785</v>
      </c>
      <c r="M147" s="1780"/>
      <c r="N147" s="1780"/>
      <c r="O147" s="81"/>
      <c r="P147" s="190"/>
      <c r="Q147" s="190"/>
      <c r="R147" s="190"/>
      <c r="S147" s="190"/>
      <c r="T147" s="190"/>
      <c r="U147" s="190"/>
      <c r="V147" s="190"/>
      <c r="W147" s="190"/>
      <c r="X147" s="190"/>
      <c r="Y147" s="190"/>
      <c r="Z147" s="190"/>
      <c r="AA147" s="190"/>
      <c r="AB147" s="190"/>
      <c r="AC147" s="190"/>
      <c r="AD147" s="190"/>
      <c r="AE147" s="190"/>
      <c r="AF147" s="190"/>
      <c r="AG147" s="190"/>
      <c r="AH147" s="190"/>
      <c r="AI147" s="190"/>
      <c r="AJ147" s="190"/>
      <c r="AK147" s="190"/>
      <c r="AL147" s="190"/>
      <c r="AM147" s="190"/>
      <c r="AN147" s="190"/>
      <c r="AO147" s="190"/>
      <c r="AP147" s="190"/>
      <c r="AQ147" s="190"/>
      <c r="AR147" s="190"/>
      <c r="AS147" s="190"/>
      <c r="AT147" s="190"/>
      <c r="AU147" s="190"/>
      <c r="AV147" s="1085"/>
      <c r="AW147" s="1085"/>
      <c r="AX147" s="1085"/>
      <c r="AY147" s="1085"/>
      <c r="AZ147" s="1085"/>
      <c r="BA147" s="1085"/>
      <c r="BB147" s="1085"/>
      <c r="BC147" s="1085"/>
      <c r="BD147" s="1085"/>
      <c r="BE147" s="1085"/>
      <c r="BF147" s="1085"/>
      <c r="BG147" s="94"/>
      <c r="BH147" s="94"/>
      <c r="CH147" s="1020"/>
      <c r="CI147" s="1020"/>
      <c r="CJ147" s="1020"/>
      <c r="CK147" s="1020"/>
      <c r="CL147" s="1020"/>
      <c r="CM147" s="1020"/>
      <c r="CN147" s="1020"/>
      <c r="CO147" s="1020"/>
      <c r="CP147" s="1020"/>
      <c r="CQ147" s="1020"/>
      <c r="CR147" s="1020"/>
      <c r="CS147" s="1020"/>
      <c r="CT147" s="1020"/>
      <c r="CU147" s="1020"/>
      <c r="CV147" s="80"/>
      <c r="CW147" s="80"/>
      <c r="CX147" s="80"/>
      <c r="CY147" s="80"/>
      <c r="CZ147" s="80"/>
      <c r="DA147" s="80"/>
    </row>
    <row r="148" spans="1:105" ht="15" customHeight="1" x14ac:dyDescent="0.2">
      <c r="A148" s="3009">
        <v>28020790</v>
      </c>
      <c r="B148" s="5159"/>
      <c r="C148" s="4735" t="s">
        <v>782</v>
      </c>
      <c r="D148" s="166" t="s">
        <v>2777</v>
      </c>
      <c r="E148" s="168" t="s">
        <v>2778</v>
      </c>
      <c r="F148" s="166" t="s">
        <v>2779</v>
      </c>
      <c r="G148" s="168" t="s">
        <v>2780</v>
      </c>
      <c r="H148" s="166" t="s">
        <v>2781</v>
      </c>
      <c r="I148" s="168" t="s">
        <v>2782</v>
      </c>
      <c r="J148" s="166" t="s">
        <v>2783</v>
      </c>
      <c r="K148" s="168" t="s">
        <v>2784</v>
      </c>
      <c r="L148" s="105" t="s">
        <v>2785</v>
      </c>
      <c r="M148" s="1780"/>
      <c r="N148" s="1780"/>
      <c r="O148" s="81"/>
      <c r="P148" s="190"/>
      <c r="Q148" s="190"/>
      <c r="R148" s="190"/>
      <c r="S148" s="190"/>
      <c r="T148" s="190"/>
      <c r="U148" s="190"/>
      <c r="V148" s="190"/>
      <c r="W148" s="190"/>
      <c r="X148" s="190"/>
      <c r="Y148" s="190"/>
      <c r="Z148" s="190"/>
      <c r="AA148" s="190"/>
      <c r="AB148" s="190"/>
      <c r="AC148" s="190"/>
      <c r="AD148" s="190"/>
      <c r="AE148" s="190"/>
      <c r="AF148" s="190"/>
      <c r="AG148" s="190"/>
      <c r="AH148" s="190"/>
      <c r="AI148" s="190"/>
      <c r="AJ148" s="190"/>
      <c r="AK148" s="190"/>
      <c r="AL148" s="190"/>
      <c r="AM148" s="190"/>
      <c r="AN148" s="190"/>
      <c r="AO148" s="190"/>
      <c r="AP148" s="190"/>
      <c r="AQ148" s="190"/>
      <c r="AR148" s="190"/>
      <c r="AS148" s="190"/>
      <c r="AT148" s="190"/>
      <c r="AU148" s="190"/>
      <c r="AV148" s="1085"/>
      <c r="AW148" s="1085"/>
      <c r="AX148" s="1085"/>
      <c r="AY148" s="1085"/>
      <c r="AZ148" s="1085"/>
      <c r="BA148" s="1085"/>
      <c r="BB148" s="1085"/>
      <c r="BC148" s="1085"/>
      <c r="BD148" s="1085"/>
      <c r="BE148" s="1085"/>
      <c r="BF148" s="1085"/>
      <c r="BG148" s="94"/>
      <c r="BH148" s="94"/>
      <c r="CH148" s="1020"/>
      <c r="CI148" s="1020"/>
      <c r="CJ148" s="1020"/>
      <c r="CK148" s="1020"/>
      <c r="CL148" s="1020"/>
      <c r="CM148" s="1020"/>
      <c r="CN148" s="1020"/>
      <c r="CO148" s="1020"/>
      <c r="CP148" s="1020"/>
      <c r="CQ148" s="1020"/>
      <c r="CR148" s="1020"/>
      <c r="CS148" s="1020"/>
      <c r="CT148" s="1020"/>
      <c r="CU148" s="1020"/>
      <c r="CV148" s="80"/>
      <c r="CW148" s="80"/>
      <c r="CX148" s="80"/>
      <c r="CY148" s="80"/>
      <c r="CZ148" s="80"/>
      <c r="DA148" s="80"/>
    </row>
    <row r="149" spans="1:105" ht="15" customHeight="1" x14ac:dyDescent="0.2">
      <c r="A149" s="3009">
        <v>28020800</v>
      </c>
      <c r="B149" s="5818" t="s">
        <v>783</v>
      </c>
      <c r="C149" s="4780" t="s">
        <v>659</v>
      </c>
      <c r="D149" s="3507" t="s">
        <v>2777</v>
      </c>
      <c r="E149" s="3508" t="s">
        <v>2778</v>
      </c>
      <c r="F149" s="3507" t="s">
        <v>2779</v>
      </c>
      <c r="G149" s="3508" t="s">
        <v>2780</v>
      </c>
      <c r="H149" s="3507" t="s">
        <v>2781</v>
      </c>
      <c r="I149" s="3508" t="s">
        <v>2782</v>
      </c>
      <c r="J149" s="3507" t="s">
        <v>2783</v>
      </c>
      <c r="K149" s="3508" t="s">
        <v>2784</v>
      </c>
      <c r="L149" s="3508" t="s">
        <v>2785</v>
      </c>
      <c r="M149" s="1780"/>
      <c r="N149" s="1780"/>
      <c r="O149" s="81"/>
      <c r="P149" s="190"/>
      <c r="Q149" s="190"/>
      <c r="R149" s="190"/>
      <c r="S149" s="190"/>
      <c r="T149" s="190"/>
      <c r="U149" s="190"/>
      <c r="V149" s="190"/>
      <c r="W149" s="190"/>
      <c r="X149" s="190"/>
      <c r="Y149" s="190"/>
      <c r="Z149" s="190"/>
      <c r="AA149" s="190"/>
      <c r="AB149" s="190"/>
      <c r="AC149" s="190"/>
      <c r="AD149" s="190"/>
      <c r="AE149" s="190"/>
      <c r="AF149" s="190"/>
      <c r="AG149" s="190"/>
      <c r="AH149" s="190"/>
      <c r="AI149" s="190"/>
      <c r="AJ149" s="190"/>
      <c r="AK149" s="190"/>
      <c r="AL149" s="190"/>
      <c r="AM149" s="190"/>
      <c r="AN149" s="190"/>
      <c r="AO149" s="190"/>
      <c r="AP149" s="190"/>
      <c r="AQ149" s="190"/>
      <c r="AR149" s="190"/>
      <c r="AS149" s="190"/>
      <c r="AT149" s="190"/>
      <c r="AU149" s="190"/>
      <c r="AV149" s="1085"/>
      <c r="AW149" s="1085"/>
      <c r="AX149" s="1085"/>
      <c r="AY149" s="1085"/>
      <c r="AZ149" s="1085"/>
      <c r="BA149" s="1085"/>
      <c r="BB149" s="1085"/>
      <c r="BC149" s="1085"/>
      <c r="BD149" s="1085"/>
      <c r="BE149" s="1085"/>
      <c r="BF149" s="1085"/>
      <c r="BG149" s="94"/>
      <c r="BH149" s="94"/>
      <c r="CH149" s="1020"/>
      <c r="CI149" s="1020"/>
      <c r="CJ149" s="1020"/>
      <c r="CK149" s="1020"/>
      <c r="CL149" s="1020"/>
      <c r="CM149" s="1020"/>
      <c r="CN149" s="1020"/>
      <c r="CO149" s="1020"/>
      <c r="CP149" s="1020"/>
      <c r="CQ149" s="1020"/>
      <c r="CR149" s="1020"/>
      <c r="CS149" s="1020"/>
      <c r="CT149" s="1020"/>
      <c r="CU149" s="1020"/>
      <c r="CV149" s="80"/>
      <c r="CW149" s="80"/>
      <c r="CX149" s="80"/>
      <c r="CY149" s="80"/>
      <c r="CZ149" s="80"/>
      <c r="DA149" s="80"/>
    </row>
    <row r="150" spans="1:105" ht="22.5" customHeight="1" x14ac:dyDescent="0.2">
      <c r="A150" s="3009">
        <v>28020810</v>
      </c>
      <c r="B150" s="6226"/>
      <c r="C150" s="4735" t="s">
        <v>784</v>
      </c>
      <c r="D150" s="141" t="s">
        <v>2777</v>
      </c>
      <c r="E150" s="198" t="s">
        <v>2778</v>
      </c>
      <c r="F150" s="141" t="s">
        <v>2779</v>
      </c>
      <c r="G150" s="198" t="s">
        <v>2780</v>
      </c>
      <c r="H150" s="141" t="s">
        <v>2781</v>
      </c>
      <c r="I150" s="198" t="s">
        <v>2782</v>
      </c>
      <c r="J150" s="141" t="s">
        <v>2783</v>
      </c>
      <c r="K150" s="198" t="s">
        <v>2784</v>
      </c>
      <c r="L150" s="198" t="s">
        <v>2785</v>
      </c>
      <c r="M150" s="1780"/>
      <c r="N150" s="1780"/>
      <c r="O150" s="81"/>
      <c r="P150" s="190"/>
      <c r="Q150" s="190"/>
      <c r="R150" s="190"/>
      <c r="S150" s="190"/>
      <c r="T150" s="190"/>
      <c r="U150" s="190"/>
      <c r="V150" s="190"/>
      <c r="W150" s="190"/>
      <c r="X150" s="190"/>
      <c r="Y150" s="190"/>
      <c r="Z150" s="190"/>
      <c r="AA150" s="190"/>
      <c r="AB150" s="190"/>
      <c r="AC150" s="190"/>
      <c r="AD150" s="190"/>
      <c r="AE150" s="190"/>
      <c r="AF150" s="190"/>
      <c r="AG150" s="190"/>
      <c r="AH150" s="190"/>
      <c r="AI150" s="190"/>
      <c r="AJ150" s="190"/>
      <c r="AK150" s="190"/>
      <c r="AL150" s="190"/>
      <c r="AM150" s="190"/>
      <c r="AN150" s="190"/>
      <c r="AO150" s="190"/>
      <c r="AP150" s="190"/>
      <c r="AQ150" s="190"/>
      <c r="AR150" s="190"/>
      <c r="AS150" s="190"/>
      <c r="AT150" s="190"/>
      <c r="AU150" s="190"/>
      <c r="AV150" s="1085"/>
      <c r="AW150" s="1085"/>
      <c r="AX150" s="1085"/>
      <c r="AY150" s="1085"/>
      <c r="AZ150" s="1085"/>
      <c r="BA150" s="1085"/>
      <c r="BB150" s="1085"/>
      <c r="BC150" s="1085"/>
      <c r="BD150" s="1085"/>
      <c r="BE150" s="1085"/>
      <c r="BF150" s="1085"/>
      <c r="BG150" s="94"/>
      <c r="BH150" s="94"/>
      <c r="CH150" s="1020"/>
      <c r="CI150" s="1020"/>
      <c r="CJ150" s="1020"/>
      <c r="CK150" s="1020"/>
      <c r="CL150" s="1020"/>
      <c r="CM150" s="1020"/>
      <c r="CN150" s="1020"/>
      <c r="CO150" s="1020"/>
      <c r="CP150" s="1020"/>
      <c r="CQ150" s="1020"/>
      <c r="CR150" s="1020"/>
      <c r="CS150" s="1020"/>
      <c r="CT150" s="1020"/>
      <c r="CU150" s="1020"/>
      <c r="CV150" s="80"/>
      <c r="CW150" s="80"/>
      <c r="CX150" s="80"/>
      <c r="CY150" s="80"/>
      <c r="CZ150" s="80"/>
      <c r="DA150" s="80"/>
    </row>
    <row r="151" spans="1:105" ht="15" customHeight="1" x14ac:dyDescent="0.2">
      <c r="A151" s="3009">
        <v>28020820</v>
      </c>
      <c r="B151" s="6226"/>
      <c r="C151" s="4735" t="s">
        <v>782</v>
      </c>
      <c r="D151" s="141" t="s">
        <v>2777</v>
      </c>
      <c r="E151" s="198" t="s">
        <v>2778</v>
      </c>
      <c r="F151" s="141" t="s">
        <v>2779</v>
      </c>
      <c r="G151" s="198" t="s">
        <v>2780</v>
      </c>
      <c r="H151" s="141" t="s">
        <v>2781</v>
      </c>
      <c r="I151" s="198" t="s">
        <v>2782</v>
      </c>
      <c r="J151" s="141" t="s">
        <v>2783</v>
      </c>
      <c r="K151" s="198" t="s">
        <v>2784</v>
      </c>
      <c r="L151" s="198" t="s">
        <v>2785</v>
      </c>
      <c r="M151" s="1780"/>
      <c r="N151" s="1780"/>
      <c r="O151" s="81"/>
      <c r="P151" s="190"/>
      <c r="Q151" s="190"/>
      <c r="R151" s="190"/>
      <c r="S151" s="190"/>
      <c r="T151" s="190"/>
      <c r="U151" s="190"/>
      <c r="V151" s="190"/>
      <c r="W151" s="190"/>
      <c r="X151" s="190"/>
      <c r="Y151" s="190"/>
      <c r="Z151" s="190"/>
      <c r="AA151" s="190"/>
      <c r="AB151" s="190"/>
      <c r="AC151" s="190"/>
      <c r="AD151" s="190"/>
      <c r="AE151" s="190"/>
      <c r="AF151" s="190"/>
      <c r="AG151" s="190"/>
      <c r="AH151" s="190"/>
      <c r="AI151" s="190"/>
      <c r="AJ151" s="190"/>
      <c r="AK151" s="190"/>
      <c r="AL151" s="190"/>
      <c r="AM151" s="190"/>
      <c r="AN151" s="190"/>
      <c r="AO151" s="190"/>
      <c r="AP151" s="190"/>
      <c r="AQ151" s="190"/>
      <c r="AR151" s="190"/>
      <c r="AS151" s="190"/>
      <c r="AT151" s="190"/>
      <c r="AU151" s="190"/>
      <c r="AV151" s="1085"/>
      <c r="AW151" s="1085"/>
      <c r="AX151" s="1085"/>
      <c r="AY151" s="1085"/>
      <c r="AZ151" s="1085"/>
      <c r="BA151" s="1085"/>
      <c r="BB151" s="1085"/>
      <c r="BC151" s="1085"/>
      <c r="BD151" s="1085"/>
      <c r="BE151" s="1085"/>
      <c r="BF151" s="1085"/>
      <c r="BG151" s="94"/>
      <c r="BH151" s="94"/>
      <c r="CH151" s="1020"/>
      <c r="CI151" s="1020"/>
      <c r="CJ151" s="1020"/>
      <c r="CK151" s="1020"/>
      <c r="CL151" s="1020"/>
      <c r="CM151" s="1020"/>
      <c r="CN151" s="1020"/>
      <c r="CO151" s="1020"/>
      <c r="CP151" s="1020"/>
      <c r="CQ151" s="1020"/>
      <c r="CR151" s="1020"/>
      <c r="CS151" s="1020"/>
      <c r="CT151" s="1020"/>
      <c r="CU151" s="1020"/>
      <c r="CV151" s="80"/>
      <c r="CW151" s="80"/>
      <c r="CX151" s="80"/>
      <c r="CY151" s="80"/>
      <c r="CZ151" s="80"/>
      <c r="DA151" s="80"/>
    </row>
    <row r="152" spans="1:105" ht="15" customHeight="1" x14ac:dyDescent="0.2">
      <c r="A152" s="3009">
        <v>28020830</v>
      </c>
      <c r="B152" s="6226"/>
      <c r="C152" s="4783" t="s">
        <v>785</v>
      </c>
      <c r="D152" s="2245" t="s">
        <v>2777</v>
      </c>
      <c r="E152" s="240" t="s">
        <v>2778</v>
      </c>
      <c r="F152" s="2245" t="s">
        <v>2779</v>
      </c>
      <c r="G152" s="240" t="s">
        <v>2780</v>
      </c>
      <c r="H152" s="2245" t="s">
        <v>2781</v>
      </c>
      <c r="I152" s="240" t="s">
        <v>2782</v>
      </c>
      <c r="J152" s="2245" t="s">
        <v>2783</v>
      </c>
      <c r="K152" s="240" t="s">
        <v>2784</v>
      </c>
      <c r="L152" s="240" t="s">
        <v>2785</v>
      </c>
      <c r="M152" s="1780"/>
      <c r="N152" s="1780"/>
      <c r="O152" s="81"/>
      <c r="P152" s="190"/>
      <c r="Q152" s="190"/>
      <c r="R152" s="190"/>
      <c r="S152" s="190"/>
      <c r="T152" s="190"/>
      <c r="U152" s="190"/>
      <c r="V152" s="190"/>
      <c r="W152" s="190"/>
      <c r="X152" s="190"/>
      <c r="Y152" s="190"/>
      <c r="Z152" s="190"/>
      <c r="AA152" s="190"/>
      <c r="AB152" s="190"/>
      <c r="AC152" s="190"/>
      <c r="AD152" s="190"/>
      <c r="AE152" s="190"/>
      <c r="AF152" s="190"/>
      <c r="AG152" s="190"/>
      <c r="AH152" s="190"/>
      <c r="AI152" s="190"/>
      <c r="AJ152" s="190"/>
      <c r="AK152" s="190"/>
      <c r="AL152" s="190"/>
      <c r="AM152" s="190"/>
      <c r="AN152" s="190"/>
      <c r="AO152" s="190"/>
      <c r="AP152" s="190"/>
      <c r="AQ152" s="190"/>
      <c r="AR152" s="190"/>
      <c r="AS152" s="190"/>
      <c r="AT152" s="190"/>
      <c r="AU152" s="190"/>
      <c r="AV152" s="1085"/>
      <c r="AW152" s="1085"/>
      <c r="AX152" s="1085"/>
      <c r="AY152" s="1085"/>
      <c r="AZ152" s="1085"/>
      <c r="BA152" s="1085"/>
      <c r="BB152" s="1085"/>
      <c r="BC152" s="1085"/>
      <c r="BD152" s="1085"/>
      <c r="BE152" s="1085"/>
      <c r="BF152" s="1085"/>
      <c r="BG152" s="94"/>
      <c r="BH152" s="94"/>
      <c r="CH152" s="1020"/>
      <c r="CI152" s="1020"/>
      <c r="CJ152" s="1020"/>
      <c r="CK152" s="1020"/>
      <c r="CL152" s="1020"/>
      <c r="CM152" s="1020"/>
      <c r="CN152" s="1020"/>
      <c r="CO152" s="1020"/>
      <c r="CP152" s="1020"/>
      <c r="CQ152" s="1020"/>
      <c r="CR152" s="1020"/>
      <c r="CS152" s="1020"/>
      <c r="CT152" s="1020"/>
      <c r="CU152" s="1020"/>
      <c r="CV152" s="80"/>
      <c r="CW152" s="80"/>
      <c r="CX152" s="80"/>
      <c r="CY152" s="80"/>
      <c r="CZ152" s="80"/>
      <c r="DA152" s="80"/>
    </row>
    <row r="153" spans="1:105" ht="15" customHeight="1" x14ac:dyDescent="0.2">
      <c r="A153" s="3009">
        <v>28020840</v>
      </c>
      <c r="B153" s="6226"/>
      <c r="C153" s="4758" t="s">
        <v>762</v>
      </c>
      <c r="D153" s="166" t="s">
        <v>2777</v>
      </c>
      <c r="E153" s="168" t="s">
        <v>2778</v>
      </c>
      <c r="F153" s="166" t="s">
        <v>2779</v>
      </c>
      <c r="G153" s="168" t="s">
        <v>2780</v>
      </c>
      <c r="H153" s="166" t="s">
        <v>2781</v>
      </c>
      <c r="I153" s="168" t="s">
        <v>2782</v>
      </c>
      <c r="J153" s="166" t="s">
        <v>2783</v>
      </c>
      <c r="K153" s="168" t="s">
        <v>2784</v>
      </c>
      <c r="L153" s="168" t="s">
        <v>2785</v>
      </c>
      <c r="M153" s="1780"/>
      <c r="N153" s="1780"/>
      <c r="O153" s="81"/>
      <c r="P153" s="190"/>
      <c r="Q153" s="190"/>
      <c r="R153" s="190"/>
      <c r="S153" s="190"/>
      <c r="T153" s="190"/>
      <c r="U153" s="190"/>
      <c r="V153" s="190"/>
      <c r="W153" s="190"/>
      <c r="X153" s="190"/>
      <c r="Y153" s="190"/>
      <c r="Z153" s="190"/>
      <c r="AA153" s="190"/>
      <c r="AB153" s="190"/>
      <c r="AC153" s="190"/>
      <c r="AD153" s="190"/>
      <c r="AE153" s="190"/>
      <c r="AF153" s="190"/>
      <c r="AG153" s="190"/>
      <c r="AH153" s="190"/>
      <c r="AI153" s="190"/>
      <c r="AJ153" s="190"/>
      <c r="AK153" s="190"/>
      <c r="AL153" s="190"/>
      <c r="AM153" s="190"/>
      <c r="AN153" s="190"/>
      <c r="AO153" s="190"/>
      <c r="AP153" s="190"/>
      <c r="AQ153" s="190"/>
      <c r="AR153" s="190"/>
      <c r="AS153" s="190"/>
      <c r="AT153" s="190"/>
      <c r="AU153" s="190"/>
      <c r="AV153" s="1085"/>
      <c r="AW153" s="1085"/>
      <c r="AX153" s="1085"/>
      <c r="AY153" s="1085"/>
      <c r="AZ153" s="1085"/>
      <c r="BA153" s="1085"/>
      <c r="BB153" s="1085"/>
      <c r="BC153" s="1085"/>
      <c r="BD153" s="1085"/>
      <c r="BE153" s="1085"/>
      <c r="BF153" s="1085"/>
      <c r="BG153" s="94"/>
      <c r="BH153" s="94"/>
      <c r="CH153" s="1020"/>
      <c r="CI153" s="1020"/>
      <c r="CJ153" s="1020"/>
      <c r="CK153" s="1020"/>
      <c r="CL153" s="1020"/>
      <c r="CM153" s="1020"/>
      <c r="CN153" s="1020"/>
      <c r="CO153" s="1020"/>
      <c r="CP153" s="1020"/>
      <c r="CQ153" s="1020"/>
      <c r="CR153" s="1020"/>
      <c r="CS153" s="1020"/>
      <c r="CT153" s="1020"/>
      <c r="CU153" s="1020"/>
      <c r="CV153" s="80"/>
      <c r="CW153" s="80"/>
      <c r="CX153" s="80"/>
      <c r="CY153" s="80"/>
      <c r="CZ153" s="80"/>
      <c r="DA153" s="80"/>
    </row>
    <row r="154" spans="1:105" ht="15" customHeight="1" x14ac:dyDescent="0.2">
      <c r="A154" s="4651">
        <v>28020850</v>
      </c>
      <c r="B154" s="5787" t="s">
        <v>786</v>
      </c>
      <c r="C154" s="4780" t="s">
        <v>787</v>
      </c>
      <c r="D154" s="3507" t="s">
        <v>2777</v>
      </c>
      <c r="E154" s="3508" t="s">
        <v>2778</v>
      </c>
      <c r="F154" s="3507" t="s">
        <v>2779</v>
      </c>
      <c r="G154" s="3508" t="s">
        <v>2780</v>
      </c>
      <c r="H154" s="3507" t="s">
        <v>2781</v>
      </c>
      <c r="I154" s="3508" t="s">
        <v>2782</v>
      </c>
      <c r="J154" s="3507" t="s">
        <v>2783</v>
      </c>
      <c r="K154" s="3508" t="s">
        <v>2784</v>
      </c>
      <c r="L154" s="3508" t="s">
        <v>2785</v>
      </c>
      <c r="M154" s="1780"/>
      <c r="N154" s="1780"/>
      <c r="O154" s="81"/>
      <c r="P154" s="190"/>
      <c r="Q154" s="190"/>
      <c r="R154" s="190"/>
      <c r="S154" s="190"/>
      <c r="T154" s="190"/>
      <c r="U154" s="190"/>
      <c r="V154" s="190"/>
      <c r="W154" s="190"/>
      <c r="X154" s="190"/>
      <c r="Y154" s="190"/>
      <c r="Z154" s="190"/>
      <c r="AA154" s="190"/>
      <c r="AB154" s="190"/>
      <c r="AC154" s="190"/>
      <c r="AD154" s="190"/>
      <c r="AE154" s="190"/>
      <c r="AF154" s="190"/>
      <c r="AG154" s="190"/>
      <c r="AH154" s="190"/>
      <c r="AI154" s="190"/>
      <c r="AJ154" s="190"/>
      <c r="AK154" s="190"/>
      <c r="AL154" s="190"/>
      <c r="AM154" s="190"/>
      <c r="AN154" s="190"/>
      <c r="AO154" s="190"/>
      <c r="AP154" s="190"/>
      <c r="AQ154" s="190"/>
      <c r="AR154" s="190"/>
      <c r="AS154" s="190"/>
      <c r="AT154" s="190"/>
      <c r="AU154" s="190"/>
      <c r="AV154" s="1085"/>
      <c r="AW154" s="1085"/>
      <c r="AX154" s="1085"/>
      <c r="AY154" s="1085"/>
      <c r="AZ154" s="1085"/>
      <c r="BA154" s="1085"/>
      <c r="BB154" s="1085"/>
      <c r="BC154" s="1085"/>
      <c r="BD154" s="1085"/>
      <c r="BE154" s="1085"/>
      <c r="BF154" s="1085"/>
      <c r="BG154" s="94"/>
      <c r="BH154" s="94"/>
      <c r="CH154" s="1020"/>
      <c r="CI154" s="1020"/>
      <c r="CJ154" s="1020"/>
      <c r="CK154" s="1020"/>
      <c r="CL154" s="1020"/>
      <c r="CM154" s="1020"/>
      <c r="CN154" s="1020"/>
      <c r="CO154" s="1020"/>
      <c r="CP154" s="1020"/>
      <c r="CQ154" s="1020"/>
      <c r="CR154" s="1020"/>
      <c r="CS154" s="1020"/>
      <c r="CT154" s="1020"/>
      <c r="CU154" s="1020"/>
      <c r="CV154" s="80"/>
      <c r="CW154" s="80"/>
      <c r="CX154" s="80"/>
      <c r="CY154" s="80"/>
      <c r="CZ154" s="80"/>
      <c r="DA154" s="80"/>
    </row>
    <row r="155" spans="1:105" ht="26.25" customHeight="1" x14ac:dyDescent="0.2">
      <c r="A155" s="3009">
        <v>28020860</v>
      </c>
      <c r="B155" s="5113"/>
      <c r="C155" s="4735" t="s">
        <v>784</v>
      </c>
      <c r="D155" s="141" t="s">
        <v>2777</v>
      </c>
      <c r="E155" s="198" t="s">
        <v>2778</v>
      </c>
      <c r="F155" s="141" t="s">
        <v>2779</v>
      </c>
      <c r="G155" s="198" t="s">
        <v>2780</v>
      </c>
      <c r="H155" s="141" t="s">
        <v>2781</v>
      </c>
      <c r="I155" s="198" t="s">
        <v>2782</v>
      </c>
      <c r="J155" s="141" t="s">
        <v>2783</v>
      </c>
      <c r="K155" s="198" t="s">
        <v>2784</v>
      </c>
      <c r="L155" s="198" t="s">
        <v>2785</v>
      </c>
      <c r="M155" s="1780"/>
      <c r="N155" s="1780"/>
      <c r="O155" s="81"/>
      <c r="P155" s="190"/>
      <c r="Q155" s="190"/>
      <c r="R155" s="190"/>
      <c r="S155" s="190"/>
      <c r="T155" s="190"/>
      <c r="U155" s="190"/>
      <c r="V155" s="190"/>
      <c r="W155" s="190"/>
      <c r="X155" s="190"/>
      <c r="Y155" s="190"/>
      <c r="Z155" s="190"/>
      <c r="AA155" s="190"/>
      <c r="AB155" s="190"/>
      <c r="AC155" s="190"/>
      <c r="AD155" s="190"/>
      <c r="AE155" s="190"/>
      <c r="AF155" s="190"/>
      <c r="AG155" s="190"/>
      <c r="AH155" s="190"/>
      <c r="AI155" s="190"/>
      <c r="AJ155" s="190"/>
      <c r="AK155" s="190"/>
      <c r="AL155" s="190"/>
      <c r="AM155" s="190"/>
      <c r="AN155" s="190"/>
      <c r="AO155" s="190"/>
      <c r="AP155" s="190"/>
      <c r="AQ155" s="190"/>
      <c r="AR155" s="190"/>
      <c r="AS155" s="190"/>
      <c r="AT155" s="190"/>
      <c r="AU155" s="190"/>
      <c r="AV155" s="1085"/>
      <c r="AW155" s="1085"/>
      <c r="AX155" s="1085"/>
      <c r="AY155" s="1085"/>
      <c r="AZ155" s="1085"/>
      <c r="BA155" s="1085"/>
      <c r="BB155" s="1085"/>
      <c r="BC155" s="1085"/>
      <c r="BD155" s="1085"/>
      <c r="BE155" s="1085"/>
      <c r="BF155" s="1085"/>
      <c r="BG155" s="94"/>
      <c r="BH155" s="94"/>
      <c r="CH155" s="1020"/>
      <c r="CI155" s="1020"/>
      <c r="CJ155" s="1020"/>
      <c r="CK155" s="1020"/>
      <c r="CL155" s="1020"/>
      <c r="CM155" s="1020"/>
      <c r="CN155" s="1020"/>
      <c r="CO155" s="1020"/>
      <c r="CP155" s="1020"/>
      <c r="CQ155" s="1020"/>
      <c r="CR155" s="1020"/>
      <c r="CS155" s="1020"/>
      <c r="CT155" s="1020"/>
      <c r="CU155" s="1020"/>
      <c r="CV155" s="80"/>
      <c r="CW155" s="80"/>
      <c r="CX155" s="80"/>
      <c r="CY155" s="80"/>
      <c r="CZ155" s="80"/>
      <c r="DA155" s="80"/>
    </row>
    <row r="156" spans="1:105" ht="15" customHeight="1" x14ac:dyDescent="0.2">
      <c r="A156" s="3009">
        <v>28020870</v>
      </c>
      <c r="B156" s="5113"/>
      <c r="C156" s="4735" t="s">
        <v>782</v>
      </c>
      <c r="D156" s="141" t="s">
        <v>2777</v>
      </c>
      <c r="E156" s="198" t="s">
        <v>2778</v>
      </c>
      <c r="F156" s="141" t="s">
        <v>2779</v>
      </c>
      <c r="G156" s="198" t="s">
        <v>2780</v>
      </c>
      <c r="H156" s="141" t="s">
        <v>2781</v>
      </c>
      <c r="I156" s="198" t="s">
        <v>2782</v>
      </c>
      <c r="J156" s="141" t="s">
        <v>2783</v>
      </c>
      <c r="K156" s="198" t="s">
        <v>2784</v>
      </c>
      <c r="L156" s="198" t="s">
        <v>2785</v>
      </c>
      <c r="M156" s="81"/>
      <c r="N156" s="81"/>
      <c r="O156" s="81"/>
      <c r="P156" s="190"/>
      <c r="Q156" s="190"/>
      <c r="R156" s="190"/>
      <c r="S156" s="190"/>
      <c r="T156" s="190"/>
      <c r="U156" s="190"/>
      <c r="V156" s="190"/>
      <c r="W156" s="190"/>
      <c r="X156" s="190"/>
      <c r="Y156" s="190"/>
      <c r="Z156" s="190"/>
      <c r="AA156" s="190"/>
      <c r="AB156" s="190"/>
      <c r="AC156" s="190"/>
      <c r="AD156" s="190"/>
      <c r="AE156" s="190"/>
      <c r="AF156" s="190"/>
      <c r="AG156" s="190"/>
      <c r="AH156" s="190"/>
      <c r="AI156" s="190"/>
      <c r="AJ156" s="190"/>
      <c r="AK156" s="190"/>
      <c r="AL156" s="190"/>
      <c r="AM156" s="190"/>
      <c r="AN156" s="190"/>
      <c r="AO156" s="190"/>
      <c r="AP156" s="190"/>
      <c r="AQ156" s="190"/>
      <c r="AR156" s="190"/>
      <c r="AS156" s="190"/>
      <c r="AT156" s="190"/>
      <c r="AU156" s="190"/>
      <c r="AV156" s="1085"/>
      <c r="AW156" s="1085"/>
      <c r="AX156" s="1085"/>
      <c r="AY156" s="1085"/>
      <c r="AZ156" s="1085"/>
      <c r="BA156" s="1085"/>
      <c r="BB156" s="1085"/>
      <c r="BC156" s="1085"/>
      <c r="BD156" s="1085"/>
      <c r="BE156" s="1085"/>
      <c r="BF156" s="1085"/>
      <c r="BG156" s="94"/>
      <c r="BH156" s="94"/>
      <c r="CH156" s="1020"/>
      <c r="CI156" s="1020"/>
      <c r="CJ156" s="1020"/>
      <c r="CK156" s="1020"/>
      <c r="CL156" s="1020"/>
      <c r="CM156" s="1020"/>
      <c r="CN156" s="1020"/>
      <c r="CO156" s="1020"/>
      <c r="CP156" s="1020"/>
      <c r="CQ156" s="1020"/>
      <c r="CR156" s="1020"/>
      <c r="CS156" s="1020"/>
      <c r="CT156" s="1020"/>
      <c r="CU156" s="1020"/>
      <c r="CV156" s="80"/>
      <c r="CW156" s="80"/>
      <c r="CX156" s="80"/>
      <c r="CY156" s="80"/>
      <c r="CZ156" s="80"/>
      <c r="DA156" s="80"/>
    </row>
    <row r="157" spans="1:105" ht="15" customHeight="1" x14ac:dyDescent="0.2">
      <c r="A157" s="3009">
        <v>28020880</v>
      </c>
      <c r="B157" s="5113"/>
      <c r="C157" s="4783" t="s">
        <v>788</v>
      </c>
      <c r="D157" s="141" t="s">
        <v>2777</v>
      </c>
      <c r="E157" s="198" t="s">
        <v>2778</v>
      </c>
      <c r="F157" s="141" t="s">
        <v>2779</v>
      </c>
      <c r="G157" s="198" t="s">
        <v>2780</v>
      </c>
      <c r="H157" s="141" t="s">
        <v>2781</v>
      </c>
      <c r="I157" s="198" t="s">
        <v>2782</v>
      </c>
      <c r="J157" s="141" t="s">
        <v>2783</v>
      </c>
      <c r="K157" s="198" t="s">
        <v>2784</v>
      </c>
      <c r="L157" s="198" t="s">
        <v>2785</v>
      </c>
      <c r="M157" s="81"/>
      <c r="N157" s="81"/>
      <c r="O157" s="81"/>
      <c r="P157" s="190"/>
      <c r="Q157" s="190"/>
      <c r="R157" s="190"/>
      <c r="S157" s="190"/>
      <c r="T157" s="190"/>
      <c r="U157" s="190"/>
      <c r="V157" s="190"/>
      <c r="W157" s="190"/>
      <c r="X157" s="190"/>
      <c r="Y157" s="190"/>
      <c r="Z157" s="190"/>
      <c r="AA157" s="190"/>
      <c r="AB157" s="190"/>
      <c r="AC157" s="190"/>
      <c r="AD157" s="190"/>
      <c r="AE157" s="190"/>
      <c r="AF157" s="190"/>
      <c r="AG157" s="190"/>
      <c r="AH157" s="190"/>
      <c r="AI157" s="190"/>
      <c r="AJ157" s="190"/>
      <c r="AK157" s="190"/>
      <c r="AL157" s="190"/>
      <c r="AM157" s="190"/>
      <c r="AN157" s="190"/>
      <c r="AO157" s="190"/>
      <c r="AP157" s="190"/>
      <c r="AQ157" s="190"/>
      <c r="AR157" s="190"/>
      <c r="AS157" s="190"/>
      <c r="AT157" s="190"/>
      <c r="AU157" s="190"/>
      <c r="AV157" s="1085"/>
      <c r="AW157" s="1085"/>
      <c r="AX157" s="1085"/>
      <c r="AY157" s="1085"/>
      <c r="AZ157" s="1085"/>
      <c r="BA157" s="1085"/>
      <c r="BB157" s="1085"/>
      <c r="BC157" s="1085"/>
      <c r="BD157" s="1085"/>
      <c r="BE157" s="1085"/>
      <c r="BF157" s="1085"/>
      <c r="BG157" s="94"/>
      <c r="BH157" s="94"/>
      <c r="CH157" s="1020"/>
      <c r="CI157" s="1020"/>
      <c r="CJ157" s="1020"/>
      <c r="CK157" s="1020"/>
      <c r="CL157" s="1020"/>
      <c r="CM157" s="1020"/>
      <c r="CN157" s="1020"/>
      <c r="CO157" s="1020"/>
      <c r="CP157" s="1020"/>
      <c r="CQ157" s="1020"/>
      <c r="CR157" s="1020"/>
      <c r="CS157" s="1020"/>
      <c r="CT157" s="1020"/>
      <c r="CU157" s="1020"/>
      <c r="CV157" s="80"/>
      <c r="CW157" s="80"/>
      <c r="CX157" s="80"/>
      <c r="CY157" s="80"/>
      <c r="CZ157" s="80"/>
      <c r="DA157" s="80"/>
    </row>
    <row r="158" spans="1:105" ht="15" customHeight="1" x14ac:dyDescent="0.2">
      <c r="A158" s="3009">
        <v>28020890</v>
      </c>
      <c r="B158" s="5113"/>
      <c r="C158" s="4783" t="s">
        <v>785</v>
      </c>
      <c r="D158" s="141" t="s">
        <v>2777</v>
      </c>
      <c r="E158" s="198" t="s">
        <v>2778</v>
      </c>
      <c r="F158" s="141" t="s">
        <v>2779</v>
      </c>
      <c r="G158" s="198" t="s">
        <v>2780</v>
      </c>
      <c r="H158" s="141" t="s">
        <v>2781</v>
      </c>
      <c r="I158" s="198" t="s">
        <v>2782</v>
      </c>
      <c r="J158" s="141" t="s">
        <v>2783</v>
      </c>
      <c r="K158" s="198" t="s">
        <v>2784</v>
      </c>
      <c r="L158" s="198" t="s">
        <v>2785</v>
      </c>
      <c r="M158" s="81"/>
      <c r="N158" s="81"/>
      <c r="O158" s="81"/>
      <c r="P158" s="190"/>
      <c r="Q158" s="190"/>
      <c r="R158" s="190"/>
      <c r="S158" s="190"/>
      <c r="T158" s="190"/>
      <c r="U158" s="190"/>
      <c r="V158" s="190"/>
      <c r="W158" s="190"/>
      <c r="X158" s="190"/>
      <c r="Y158" s="190"/>
      <c r="Z158" s="190"/>
      <c r="AA158" s="190"/>
      <c r="AB158" s="190"/>
      <c r="AC158" s="190"/>
      <c r="AD158" s="190"/>
      <c r="AE158" s="190"/>
      <c r="AF158" s="190"/>
      <c r="AG158" s="190"/>
      <c r="AH158" s="190"/>
      <c r="AI158" s="190"/>
      <c r="AJ158" s="190"/>
      <c r="AK158" s="190"/>
      <c r="AL158" s="190"/>
      <c r="AM158" s="190"/>
      <c r="AN158" s="190"/>
      <c r="AO158" s="190"/>
      <c r="AP158" s="190"/>
      <c r="AQ158" s="190"/>
      <c r="AR158" s="190"/>
      <c r="AS158" s="190"/>
      <c r="AT158" s="190"/>
      <c r="AU158" s="190"/>
      <c r="AV158" s="1085"/>
      <c r="AW158" s="1085"/>
      <c r="AX158" s="1085"/>
      <c r="AY158" s="1085"/>
      <c r="AZ158" s="1085"/>
      <c r="BA158" s="1085"/>
      <c r="BB158" s="1085"/>
      <c r="BC158" s="1085"/>
      <c r="BD158" s="1085"/>
      <c r="BE158" s="1085"/>
      <c r="BF158" s="1085"/>
      <c r="BG158" s="94"/>
      <c r="BH158" s="94"/>
      <c r="CH158" s="1020"/>
      <c r="CI158" s="1020"/>
      <c r="CJ158" s="1020"/>
      <c r="CK158" s="1020"/>
      <c r="CL158" s="1020"/>
      <c r="CM158" s="1020"/>
      <c r="CN158" s="1020"/>
      <c r="CO158" s="1020"/>
      <c r="CP158" s="1020"/>
      <c r="CQ158" s="1020"/>
      <c r="CR158" s="1020"/>
      <c r="CS158" s="1020"/>
      <c r="CT158" s="1020"/>
      <c r="CU158" s="1020"/>
      <c r="CV158" s="80"/>
      <c r="CW158" s="80"/>
      <c r="CX158" s="80"/>
      <c r="CY158" s="80"/>
      <c r="CZ158" s="80"/>
      <c r="DA158" s="80"/>
    </row>
    <row r="159" spans="1:105" ht="15" customHeight="1" x14ac:dyDescent="0.2">
      <c r="A159" s="3009">
        <v>28020900</v>
      </c>
      <c r="B159" s="5159"/>
      <c r="C159" s="4758" t="s">
        <v>762</v>
      </c>
      <c r="D159" s="2249" t="s">
        <v>2777</v>
      </c>
      <c r="E159" s="2347" t="s">
        <v>2778</v>
      </c>
      <c r="F159" s="2249" t="s">
        <v>2779</v>
      </c>
      <c r="G159" s="2347" t="s">
        <v>2780</v>
      </c>
      <c r="H159" s="2249" t="s">
        <v>2781</v>
      </c>
      <c r="I159" s="2347" t="s">
        <v>2782</v>
      </c>
      <c r="J159" s="2249" t="s">
        <v>2783</v>
      </c>
      <c r="K159" s="2347" t="s">
        <v>2784</v>
      </c>
      <c r="L159" s="2347" t="s">
        <v>2785</v>
      </c>
      <c r="M159" s="81"/>
      <c r="N159" s="81"/>
      <c r="O159" s="81"/>
      <c r="P159" s="190"/>
      <c r="Q159" s="190"/>
      <c r="R159" s="190"/>
      <c r="S159" s="190"/>
      <c r="T159" s="190"/>
      <c r="U159" s="190"/>
      <c r="V159" s="190"/>
      <c r="W159" s="190"/>
      <c r="X159" s="190"/>
      <c r="Y159" s="190"/>
      <c r="Z159" s="190"/>
      <c r="AA159" s="190"/>
      <c r="AB159" s="190"/>
      <c r="AC159" s="190"/>
      <c r="AD159" s="190"/>
      <c r="AE159" s="190"/>
      <c r="AF159" s="190"/>
      <c r="AG159" s="190"/>
      <c r="AH159" s="190"/>
      <c r="AI159" s="190"/>
      <c r="AJ159" s="190"/>
      <c r="AK159" s="190"/>
      <c r="AL159" s="190"/>
      <c r="AM159" s="190"/>
      <c r="AN159" s="190"/>
      <c r="AO159" s="190"/>
      <c r="AP159" s="190"/>
      <c r="AQ159" s="190"/>
      <c r="AR159" s="190"/>
      <c r="AS159" s="190"/>
      <c r="AT159" s="190"/>
      <c r="AU159" s="190"/>
      <c r="AV159" s="1085"/>
      <c r="AW159" s="1085"/>
      <c r="AX159" s="1085"/>
      <c r="AY159" s="1085"/>
      <c r="AZ159" s="1085"/>
      <c r="BA159" s="1085"/>
      <c r="BB159" s="1085"/>
      <c r="BC159" s="1085"/>
      <c r="BD159" s="1085"/>
      <c r="BE159" s="1085"/>
      <c r="BF159" s="1085"/>
      <c r="BG159" s="94"/>
      <c r="BH159" s="94"/>
      <c r="CH159" s="1020"/>
      <c r="CI159" s="1020"/>
      <c r="CJ159" s="1020"/>
      <c r="CK159" s="1020"/>
      <c r="CL159" s="1020"/>
      <c r="CM159" s="1020"/>
      <c r="CN159" s="1020"/>
      <c r="CO159" s="1020"/>
      <c r="CP159" s="1020"/>
      <c r="CQ159" s="1020"/>
      <c r="CR159" s="1020"/>
      <c r="CS159" s="1020"/>
      <c r="CT159" s="1020"/>
      <c r="CU159" s="1020"/>
      <c r="CV159" s="80"/>
      <c r="CW159" s="80"/>
      <c r="CX159" s="80"/>
      <c r="CY159" s="80"/>
      <c r="CZ159" s="80"/>
      <c r="DA159" s="80"/>
    </row>
    <row r="160" spans="1:105" ht="21" x14ac:dyDescent="0.2">
      <c r="A160" s="4679">
        <v>28101040</v>
      </c>
      <c r="B160" s="2012" t="s">
        <v>789</v>
      </c>
      <c r="C160" s="4892" t="s">
        <v>781</v>
      </c>
      <c r="D160" s="1751" t="s">
        <v>2777</v>
      </c>
      <c r="E160" s="1753" t="s">
        <v>2778</v>
      </c>
      <c r="F160" s="1751" t="s">
        <v>2779</v>
      </c>
      <c r="G160" s="1753" t="s">
        <v>2780</v>
      </c>
      <c r="H160" s="1751" t="s">
        <v>2781</v>
      </c>
      <c r="I160" s="1753" t="s">
        <v>2782</v>
      </c>
      <c r="J160" s="1751" t="s">
        <v>2783</v>
      </c>
      <c r="K160" s="1753" t="s">
        <v>2784</v>
      </c>
      <c r="L160" s="1753" t="s">
        <v>2785</v>
      </c>
      <c r="M160" s="81"/>
      <c r="N160" s="81"/>
      <c r="O160" s="81"/>
      <c r="P160" s="190"/>
      <c r="Q160" s="190"/>
      <c r="R160" s="190"/>
      <c r="S160" s="190"/>
      <c r="T160" s="190"/>
      <c r="U160" s="190"/>
      <c r="V160" s="190"/>
      <c r="W160" s="190"/>
      <c r="X160" s="190"/>
      <c r="Y160" s="190"/>
      <c r="Z160" s="190"/>
      <c r="AA160" s="190"/>
      <c r="AB160" s="190"/>
      <c r="AC160" s="190"/>
      <c r="AD160" s="190"/>
      <c r="AE160" s="190"/>
      <c r="AF160" s="190"/>
      <c r="AG160" s="190"/>
      <c r="AH160" s="190"/>
      <c r="AI160" s="190"/>
      <c r="AJ160" s="190"/>
      <c r="AK160" s="190"/>
      <c r="AL160" s="190"/>
      <c r="AM160" s="190"/>
      <c r="AN160" s="190"/>
      <c r="AO160" s="190"/>
      <c r="AP160" s="190"/>
      <c r="AQ160" s="190"/>
      <c r="AR160" s="190"/>
      <c r="AS160" s="190"/>
      <c r="AT160" s="190"/>
      <c r="AU160" s="190"/>
      <c r="AV160" s="1085"/>
      <c r="AW160" s="1085"/>
      <c r="AX160" s="1085"/>
      <c r="AY160" s="1085"/>
      <c r="AZ160" s="1085"/>
      <c r="BA160" s="1085"/>
      <c r="BB160" s="1085"/>
      <c r="BC160" s="1085"/>
      <c r="BD160" s="1085"/>
      <c r="BE160" s="1085"/>
      <c r="BF160" s="1085"/>
      <c r="BG160" s="94"/>
      <c r="BH160" s="94"/>
      <c r="CH160" s="1020"/>
      <c r="CI160" s="1020"/>
      <c r="CJ160" s="1020"/>
      <c r="CK160" s="1020"/>
      <c r="CL160" s="1020"/>
      <c r="CM160" s="1020"/>
      <c r="CN160" s="1020"/>
      <c r="CO160" s="1020"/>
      <c r="CP160" s="1020"/>
      <c r="CQ160" s="1020"/>
      <c r="CR160" s="1020"/>
      <c r="CS160" s="1020"/>
      <c r="CT160" s="1020"/>
      <c r="CU160" s="1020"/>
      <c r="CV160" s="80"/>
      <c r="CW160" s="80"/>
      <c r="CX160" s="80"/>
      <c r="CY160" s="80"/>
      <c r="CZ160" s="80"/>
      <c r="DA160" s="80"/>
    </row>
    <row r="161" spans="1:105" ht="20.25" customHeight="1" x14ac:dyDescent="0.2">
      <c r="B161" s="85" t="s">
        <v>1260</v>
      </c>
      <c r="C161" s="243"/>
      <c r="D161" s="243"/>
      <c r="E161" s="81"/>
      <c r="F161" s="81"/>
      <c r="G161" s="81"/>
      <c r="H161" s="81"/>
      <c r="I161" s="81"/>
      <c r="J161" s="81"/>
      <c r="K161" s="81"/>
      <c r="L161" s="81"/>
      <c r="M161" s="81"/>
      <c r="N161" s="81"/>
      <c r="O161" s="81"/>
      <c r="P161" s="190"/>
      <c r="Q161" s="190"/>
      <c r="R161" s="190"/>
      <c r="S161" s="190"/>
      <c r="T161" s="190"/>
      <c r="U161" s="190"/>
      <c r="V161" s="190"/>
      <c r="W161" s="190"/>
      <c r="X161" s="190"/>
      <c r="Y161" s="190"/>
      <c r="Z161" s="190"/>
      <c r="AA161" s="190"/>
      <c r="AB161" s="190"/>
      <c r="AC161" s="190"/>
      <c r="AD161" s="190"/>
      <c r="AE161" s="190"/>
      <c r="AF161" s="190"/>
      <c r="AG161" s="190"/>
      <c r="AH161" s="190"/>
      <c r="AI161" s="190"/>
      <c r="AJ161" s="190"/>
      <c r="AK161" s="190"/>
      <c r="AL161" s="190"/>
      <c r="AM161" s="190"/>
      <c r="AN161" s="190"/>
      <c r="AO161" s="190"/>
      <c r="AP161" s="190"/>
      <c r="AQ161" s="190"/>
      <c r="AR161" s="190"/>
      <c r="AS161" s="190"/>
      <c r="AT161" s="190"/>
      <c r="AV161" s="94"/>
      <c r="AW161" s="94"/>
      <c r="AX161" s="94"/>
      <c r="AY161" s="94"/>
      <c r="AZ161" s="94"/>
      <c r="BA161" s="94"/>
      <c r="BB161" s="94"/>
      <c r="BC161" s="94"/>
      <c r="BD161" s="94"/>
      <c r="BE161" s="94"/>
      <c r="BF161" s="94"/>
      <c r="BG161" s="94"/>
      <c r="BH161" s="94"/>
      <c r="CH161" s="1020"/>
      <c r="CI161" s="1020"/>
      <c r="CJ161" s="1020"/>
      <c r="CK161" s="1020"/>
      <c r="CL161" s="1020"/>
      <c r="CM161" s="1020"/>
      <c r="CN161" s="1020"/>
      <c r="CO161" s="1020"/>
      <c r="CP161" s="1020"/>
      <c r="CQ161" s="1020"/>
      <c r="CR161" s="1020"/>
      <c r="CS161" s="1020"/>
      <c r="CT161" s="1020"/>
      <c r="CU161" s="1020"/>
      <c r="CV161" s="80"/>
      <c r="CW161" s="80"/>
      <c r="CX161" s="80"/>
      <c r="CY161" s="80"/>
      <c r="CZ161" s="80"/>
      <c r="DA161" s="80"/>
    </row>
    <row r="162" spans="1:105" ht="20.25" customHeight="1" x14ac:dyDescent="0.2">
      <c r="B162" s="295" t="s">
        <v>790</v>
      </c>
      <c r="C162" s="480"/>
      <c r="D162" s="81"/>
      <c r="E162" s="352"/>
      <c r="F162" s="1820"/>
      <c r="G162" s="352"/>
      <c r="H162" s="1820"/>
      <c r="I162" s="1820"/>
      <c r="J162" s="352"/>
      <c r="K162" s="1819"/>
      <c r="L162" s="1819"/>
      <c r="M162" s="1819"/>
      <c r="N162" s="1819"/>
      <c r="O162" s="1819"/>
      <c r="P162" s="1818"/>
      <c r="Q162" s="1818"/>
      <c r="R162" s="1818"/>
      <c r="S162" s="1816"/>
      <c r="T162" s="219"/>
      <c r="U162" s="1818"/>
      <c r="V162" s="1818"/>
      <c r="W162" s="1816"/>
      <c r="X162" s="1816"/>
      <c r="Y162" s="219"/>
      <c r="Z162" s="1818"/>
      <c r="AA162" s="1816"/>
      <c r="AB162" s="1816"/>
      <c r="AC162" s="219"/>
      <c r="AD162" s="1818"/>
      <c r="AE162" s="1818"/>
      <c r="AF162" s="1818"/>
      <c r="AG162" s="1818"/>
      <c r="AH162" s="1816"/>
      <c r="AI162" s="1817"/>
      <c r="AJ162" s="219"/>
      <c r="AK162" s="1816"/>
      <c r="AL162" s="1816"/>
      <c r="AM162" s="1816"/>
      <c r="AN162" s="1816"/>
      <c r="AO162" s="1816"/>
      <c r="AP162" s="1817"/>
      <c r="AQ162" s="219"/>
      <c r="AR162" s="1816"/>
      <c r="AS162" s="1816"/>
      <c r="AT162" s="1816"/>
      <c r="AU162" s="94"/>
      <c r="AV162" s="94"/>
      <c r="AW162" s="94"/>
      <c r="AX162" s="94"/>
      <c r="AY162" s="94"/>
      <c r="AZ162" s="94"/>
      <c r="BA162" s="94"/>
      <c r="BB162" s="94"/>
      <c r="BC162" s="94"/>
      <c r="BD162" s="94"/>
      <c r="BE162" s="94"/>
      <c r="BF162" s="94"/>
      <c r="BG162" s="94"/>
      <c r="BH162" s="94"/>
      <c r="CH162" s="1020"/>
      <c r="CI162" s="1020"/>
      <c r="CJ162" s="1020"/>
      <c r="CK162" s="1020"/>
      <c r="CL162" s="1020"/>
      <c r="CM162" s="1020"/>
      <c r="CN162" s="1020"/>
      <c r="CO162" s="1020"/>
      <c r="CP162" s="1020"/>
      <c r="CQ162" s="1020"/>
      <c r="CR162" s="1020"/>
      <c r="CS162" s="1020"/>
      <c r="CT162" s="1020"/>
      <c r="CU162" s="1020"/>
      <c r="CV162" s="80"/>
      <c r="CW162" s="80"/>
      <c r="CX162" s="80"/>
      <c r="CY162" s="80"/>
      <c r="CZ162" s="80"/>
      <c r="DA162" s="80"/>
    </row>
    <row r="163" spans="1:105" ht="20.25" customHeight="1" x14ac:dyDescent="0.2">
      <c r="B163" s="6777" t="s">
        <v>111</v>
      </c>
      <c r="C163" s="5797" t="s">
        <v>42</v>
      </c>
      <c r="D163" s="6309"/>
      <c r="E163" s="5798"/>
      <c r="F163" s="5160" t="s">
        <v>274</v>
      </c>
      <c r="G163" s="6321"/>
      <c r="H163" s="6321"/>
      <c r="I163" s="6321"/>
      <c r="J163" s="6321"/>
      <c r="K163" s="6321"/>
      <c r="L163" s="6321"/>
      <c r="M163" s="6321"/>
      <c r="N163" s="6321"/>
      <c r="O163" s="6321"/>
      <c r="P163" s="6321"/>
      <c r="Q163" s="6321"/>
      <c r="R163" s="6321"/>
      <c r="S163" s="6321"/>
      <c r="T163" s="6321"/>
      <c r="U163" s="6321"/>
      <c r="V163" s="6321"/>
      <c r="W163" s="6321"/>
      <c r="X163" s="6321"/>
      <c r="Y163" s="6321"/>
      <c r="Z163" s="6321"/>
      <c r="AA163" s="6321"/>
      <c r="AB163" s="6321"/>
      <c r="AC163" s="6321"/>
      <c r="AD163" s="6321"/>
      <c r="AE163" s="6321"/>
      <c r="AF163" s="6321"/>
      <c r="AG163" s="6321"/>
      <c r="AH163" s="6321"/>
      <c r="AI163" s="6321"/>
      <c r="AJ163" s="6321"/>
      <c r="AK163" s="6321"/>
      <c r="AL163" s="6321"/>
      <c r="AM163" s="6321"/>
      <c r="AN163" s="6321"/>
      <c r="AO163" s="6321"/>
      <c r="AP163" s="6321"/>
      <c r="AQ163" s="6212"/>
      <c r="AR163" s="6761" t="s">
        <v>2740</v>
      </c>
      <c r="AS163" s="6761"/>
      <c r="AT163" s="6503"/>
      <c r="AU163" s="94"/>
      <c r="AV163" s="94"/>
      <c r="AW163" s="94"/>
      <c r="AX163" s="94"/>
      <c r="AY163" s="94"/>
      <c r="AZ163" s="94"/>
      <c r="BA163" s="94"/>
      <c r="BB163" s="94"/>
      <c r="BC163" s="94"/>
      <c r="BD163" s="94"/>
      <c r="BE163" s="94"/>
      <c r="BF163" s="94"/>
      <c r="BG163" s="94"/>
      <c r="BH163" s="94"/>
      <c r="CH163" s="1020"/>
      <c r="CI163" s="1020"/>
      <c r="CJ163" s="1020"/>
      <c r="CK163" s="1020"/>
      <c r="CL163" s="1020"/>
      <c r="CM163" s="1020"/>
      <c r="CN163" s="1020"/>
      <c r="CO163" s="1020"/>
      <c r="CP163" s="1020"/>
      <c r="CQ163" s="1020"/>
      <c r="CR163" s="1020"/>
      <c r="CS163" s="1020"/>
      <c r="CT163" s="1020"/>
      <c r="CU163" s="1020"/>
      <c r="CV163" s="80"/>
      <c r="CW163" s="80"/>
      <c r="CX163" s="80"/>
      <c r="CY163" s="80"/>
      <c r="CZ163" s="80"/>
      <c r="DA163" s="80"/>
    </row>
    <row r="164" spans="1:105" ht="20.25" customHeight="1" x14ac:dyDescent="0.2">
      <c r="B164" s="6607"/>
      <c r="C164" s="5799"/>
      <c r="D164" s="5402"/>
      <c r="E164" s="5403"/>
      <c r="F164" s="5165" t="s">
        <v>737</v>
      </c>
      <c r="G164" s="5167"/>
      <c r="H164" s="5165" t="s">
        <v>738</v>
      </c>
      <c r="I164" s="5167"/>
      <c r="J164" s="5165" t="s">
        <v>739</v>
      </c>
      <c r="K164" s="5167"/>
      <c r="L164" s="5165" t="s">
        <v>351</v>
      </c>
      <c r="M164" s="5167"/>
      <c r="N164" s="5165" t="s">
        <v>352</v>
      </c>
      <c r="O164" s="5167"/>
      <c r="P164" s="5165" t="s">
        <v>295</v>
      </c>
      <c r="Q164" s="5167"/>
      <c r="R164" s="5165" t="s">
        <v>740</v>
      </c>
      <c r="S164" s="5167"/>
      <c r="T164" s="5165" t="s">
        <v>741</v>
      </c>
      <c r="U164" s="5167"/>
      <c r="V164" s="5165" t="s">
        <v>742</v>
      </c>
      <c r="W164" s="5167"/>
      <c r="X164" s="5165" t="s">
        <v>13</v>
      </c>
      <c r="Y164" s="5167"/>
      <c r="Z164" s="5165" t="s">
        <v>14</v>
      </c>
      <c r="AA164" s="5167"/>
      <c r="AB164" s="5165" t="s">
        <v>743</v>
      </c>
      <c r="AC164" s="5167"/>
      <c r="AD164" s="5165" t="s">
        <v>16</v>
      </c>
      <c r="AE164" s="5167"/>
      <c r="AF164" s="5165" t="s">
        <v>17</v>
      </c>
      <c r="AG164" s="5167"/>
      <c r="AH164" s="5165" t="s">
        <v>18</v>
      </c>
      <c r="AI164" s="5167"/>
      <c r="AJ164" s="5165" t="s">
        <v>19</v>
      </c>
      <c r="AK164" s="5167"/>
      <c r="AL164" s="5165" t="s">
        <v>20</v>
      </c>
      <c r="AM164" s="5167"/>
      <c r="AN164" s="5165" t="s">
        <v>21</v>
      </c>
      <c r="AO164" s="5167"/>
      <c r="AP164" s="5160" t="s">
        <v>22</v>
      </c>
      <c r="AQ164" s="6212"/>
      <c r="AR164" s="6762" t="s">
        <v>1378</v>
      </c>
      <c r="AS164" s="5160" t="s">
        <v>1198</v>
      </c>
      <c r="AT164" s="6321"/>
      <c r="AU164" s="1087"/>
      <c r="AV164" s="94"/>
      <c r="AW164" s="94"/>
      <c r="AX164" s="94"/>
      <c r="AY164" s="94"/>
      <c r="AZ164" s="94"/>
      <c r="BA164" s="94"/>
      <c r="BB164" s="94"/>
      <c r="BC164" s="94"/>
      <c r="BD164" s="94"/>
      <c r="BE164" s="94"/>
      <c r="BF164" s="94"/>
      <c r="BG164" s="94"/>
      <c r="BH164" s="94"/>
      <c r="CH164" s="1020"/>
      <c r="CI164" s="1020"/>
      <c r="CJ164" s="1020"/>
      <c r="CK164" s="1020"/>
      <c r="CL164" s="1020"/>
      <c r="CM164" s="1020"/>
      <c r="CN164" s="1020"/>
      <c r="CO164" s="1020"/>
      <c r="CP164" s="1020"/>
      <c r="CQ164" s="1020"/>
      <c r="CR164" s="1020"/>
      <c r="CS164" s="1020"/>
      <c r="CT164" s="1020"/>
      <c r="CU164" s="1020"/>
      <c r="CV164" s="80"/>
      <c r="CW164" s="80"/>
      <c r="CX164" s="80"/>
      <c r="CY164" s="80"/>
      <c r="CZ164" s="80"/>
      <c r="DA164" s="80"/>
    </row>
    <row r="165" spans="1:105" ht="20.25" customHeight="1" x14ac:dyDescent="0.2">
      <c r="B165" s="5164"/>
      <c r="C165" s="1815" t="s">
        <v>184</v>
      </c>
      <c r="D165" s="1814" t="s">
        <v>24</v>
      </c>
      <c r="E165" s="1782" t="s">
        <v>25</v>
      </c>
      <c r="F165" s="1595" t="s">
        <v>24</v>
      </c>
      <c r="G165" s="1795" t="s">
        <v>25</v>
      </c>
      <c r="H165" s="1595" t="s">
        <v>24</v>
      </c>
      <c r="I165" s="1795" t="s">
        <v>25</v>
      </c>
      <c r="J165" s="1595" t="s">
        <v>24</v>
      </c>
      <c r="K165" s="1795" t="s">
        <v>25</v>
      </c>
      <c r="L165" s="1595" t="s">
        <v>24</v>
      </c>
      <c r="M165" s="1795" t="s">
        <v>25</v>
      </c>
      <c r="N165" s="1595" t="s">
        <v>24</v>
      </c>
      <c r="O165" s="1795" t="s">
        <v>25</v>
      </c>
      <c r="P165" s="1595" t="s">
        <v>24</v>
      </c>
      <c r="Q165" s="1795" t="s">
        <v>25</v>
      </c>
      <c r="R165" s="1595" t="s">
        <v>24</v>
      </c>
      <c r="S165" s="1795" t="s">
        <v>25</v>
      </c>
      <c r="T165" s="1595" t="s">
        <v>24</v>
      </c>
      <c r="U165" s="1795" t="s">
        <v>25</v>
      </c>
      <c r="V165" s="1595" t="s">
        <v>24</v>
      </c>
      <c r="W165" s="1795" t="s">
        <v>25</v>
      </c>
      <c r="X165" s="1595" t="s">
        <v>24</v>
      </c>
      <c r="Y165" s="1795" t="s">
        <v>25</v>
      </c>
      <c r="Z165" s="1595" t="s">
        <v>24</v>
      </c>
      <c r="AA165" s="1795" t="s">
        <v>25</v>
      </c>
      <c r="AB165" s="1595" t="s">
        <v>24</v>
      </c>
      <c r="AC165" s="1795" t="s">
        <v>25</v>
      </c>
      <c r="AD165" s="1595" t="s">
        <v>24</v>
      </c>
      <c r="AE165" s="1795" t="s">
        <v>25</v>
      </c>
      <c r="AF165" s="1595" t="s">
        <v>24</v>
      </c>
      <c r="AG165" s="1795" t="s">
        <v>25</v>
      </c>
      <c r="AH165" s="1595" t="s">
        <v>24</v>
      </c>
      <c r="AI165" s="1795" t="s">
        <v>25</v>
      </c>
      <c r="AJ165" s="1595" t="s">
        <v>24</v>
      </c>
      <c r="AK165" s="1795" t="s">
        <v>25</v>
      </c>
      <c r="AL165" s="1595" t="s">
        <v>24</v>
      </c>
      <c r="AM165" s="1795" t="s">
        <v>25</v>
      </c>
      <c r="AN165" s="1595" t="s">
        <v>24</v>
      </c>
      <c r="AO165" s="1795" t="s">
        <v>25</v>
      </c>
      <c r="AP165" s="1595" t="s">
        <v>24</v>
      </c>
      <c r="AQ165" s="1800" t="s">
        <v>25</v>
      </c>
      <c r="AR165" s="6668"/>
      <c r="AS165" s="1794" t="s">
        <v>791</v>
      </c>
      <c r="AT165" s="1792" t="s">
        <v>792</v>
      </c>
      <c r="AU165" s="903"/>
      <c r="AV165" s="94"/>
      <c r="AW165" s="94"/>
      <c r="AX165" s="94"/>
      <c r="AY165" s="94"/>
      <c r="AZ165" s="94"/>
      <c r="BA165" s="94"/>
      <c r="BB165" s="94"/>
      <c r="BC165" s="94"/>
      <c r="BD165" s="94"/>
      <c r="BE165" s="94"/>
      <c r="BF165" s="94"/>
      <c r="BG165" s="94"/>
      <c r="BH165" s="94"/>
      <c r="CH165" s="1020"/>
      <c r="CI165" s="1020"/>
      <c r="CJ165" s="1020"/>
      <c r="CK165" s="1020"/>
      <c r="CL165" s="1020"/>
      <c r="CM165" s="1020"/>
      <c r="CN165" s="1020"/>
      <c r="CO165" s="1020"/>
      <c r="CP165" s="1020"/>
      <c r="CQ165" s="1020"/>
      <c r="CR165" s="1020"/>
      <c r="CS165" s="1020"/>
      <c r="CT165" s="1020"/>
      <c r="CU165" s="1020"/>
      <c r="CV165" s="80"/>
      <c r="CW165" s="80"/>
      <c r="CX165" s="80"/>
      <c r="CY165" s="80"/>
      <c r="CZ165" s="80"/>
      <c r="DA165" s="80"/>
    </row>
    <row r="166" spans="1:105" ht="20.25" customHeight="1" x14ac:dyDescent="0.2">
      <c r="A166" s="3009">
        <v>28021620</v>
      </c>
      <c r="B166" s="4698" t="s">
        <v>757</v>
      </c>
      <c r="C166" s="4699" t="s">
        <v>2777</v>
      </c>
      <c r="D166" s="4700" t="s">
        <v>2778</v>
      </c>
      <c r="E166" s="4701" t="s">
        <v>2779</v>
      </c>
      <c r="F166" s="4702" t="s">
        <v>2780</v>
      </c>
      <c r="G166" s="4703" t="s">
        <v>2781</v>
      </c>
      <c r="H166" s="4702" t="s">
        <v>2782</v>
      </c>
      <c r="I166" s="4704" t="s">
        <v>2783</v>
      </c>
      <c r="J166" s="4702" t="s">
        <v>2784</v>
      </c>
      <c r="K166" s="4704" t="s">
        <v>2785</v>
      </c>
      <c r="L166" s="4702" t="s">
        <v>2786</v>
      </c>
      <c r="M166" s="4704" t="s">
        <v>2787</v>
      </c>
      <c r="N166" s="4702" t="s">
        <v>2788</v>
      </c>
      <c r="O166" s="4704" t="s">
        <v>2789</v>
      </c>
      <c r="P166" s="4702" t="s">
        <v>2790</v>
      </c>
      <c r="Q166" s="4704" t="s">
        <v>2791</v>
      </c>
      <c r="R166" s="4702" t="s">
        <v>2792</v>
      </c>
      <c r="S166" s="4704" t="s">
        <v>2793</v>
      </c>
      <c r="T166" s="4702" t="s">
        <v>2794</v>
      </c>
      <c r="U166" s="4704" t="s">
        <v>2795</v>
      </c>
      <c r="V166" s="4702" t="s">
        <v>2796</v>
      </c>
      <c r="W166" s="4704" t="s">
        <v>2797</v>
      </c>
      <c r="X166" s="4702" t="s">
        <v>2798</v>
      </c>
      <c r="Y166" s="4704" t="s">
        <v>2799</v>
      </c>
      <c r="Z166" s="4702" t="s">
        <v>2800</v>
      </c>
      <c r="AA166" s="4704" t="s">
        <v>2801</v>
      </c>
      <c r="AB166" s="4702" t="s">
        <v>2817</v>
      </c>
      <c r="AC166" s="4704" t="s">
        <v>2818</v>
      </c>
      <c r="AD166" s="4702" t="s">
        <v>2819</v>
      </c>
      <c r="AE166" s="4704" t="s">
        <v>2821</v>
      </c>
      <c r="AF166" s="4702" t="s">
        <v>2822</v>
      </c>
      <c r="AG166" s="4704" t="s">
        <v>2823</v>
      </c>
      <c r="AH166" s="4702" t="s">
        <v>2824</v>
      </c>
      <c r="AI166" s="4704" t="s">
        <v>2825</v>
      </c>
      <c r="AJ166" s="4702" t="s">
        <v>2826</v>
      </c>
      <c r="AK166" s="4704" t="s">
        <v>2827</v>
      </c>
      <c r="AL166" s="4702" t="s">
        <v>2831</v>
      </c>
      <c r="AM166" s="4704" t="s">
        <v>2832</v>
      </c>
      <c r="AN166" s="4702" t="s">
        <v>2833</v>
      </c>
      <c r="AO166" s="4704" t="s">
        <v>2834</v>
      </c>
      <c r="AP166" s="4705" t="s">
        <v>3011</v>
      </c>
      <c r="AQ166" s="4706" t="s">
        <v>3012</v>
      </c>
      <c r="AR166" s="4707" t="s">
        <v>3013</v>
      </c>
      <c r="AS166" s="4708" t="s">
        <v>3014</v>
      </c>
      <c r="AT166" s="4709" t="s">
        <v>3015</v>
      </c>
      <c r="AU166" s="1165" t="str">
        <f t="shared" ref="AU166:AU174" si="5">CB166</f>
        <v xml:space="preserve">* El número de Consultas Según tipo de atención NO DEBE ser diferente al Total. </v>
      </c>
      <c r="AV166" s="881"/>
      <c r="AW166" s="94"/>
      <c r="AX166" s="94"/>
      <c r="AY166" s="94"/>
      <c r="AZ166" s="94"/>
      <c r="BA166" s="94"/>
      <c r="BB166" s="94"/>
      <c r="BC166" s="94"/>
      <c r="BD166" s="94"/>
      <c r="BE166" s="94"/>
      <c r="BF166" s="94"/>
      <c r="BG166" s="94"/>
      <c r="BH166" s="94"/>
      <c r="CB166" s="1031" t="str">
        <f t="shared" ref="CB166:CB174" si="6">IF(CH166=1,"* El número de Consultas Según tipo de atención NO DEBE ser diferente al Total. ","")</f>
        <v xml:space="preserve">* El número de Consultas Según tipo de atención NO DEBE ser diferente al Total. </v>
      </c>
      <c r="CC166" s="1031"/>
      <c r="CD166" s="1031"/>
      <c r="CE166" s="1031"/>
      <c r="CF166" s="1031"/>
      <c r="CG166" s="1031"/>
      <c r="CH166" s="1163">
        <f t="shared" ref="CH166:CH174" si="7">IF(C166&lt;&gt;SUM(AR166:AT166),1,0)</f>
        <v>1</v>
      </c>
      <c r="CI166" s="1020"/>
      <c r="CJ166" s="1020"/>
      <c r="CK166" s="1020"/>
      <c r="CL166" s="1020"/>
      <c r="CM166" s="1020"/>
      <c r="CN166" s="1020"/>
      <c r="CO166" s="1020"/>
      <c r="CP166" s="1020"/>
      <c r="CQ166" s="1020"/>
      <c r="CR166" s="1020"/>
      <c r="CS166" s="1020"/>
      <c r="CT166" s="1020"/>
      <c r="CU166" s="1020"/>
      <c r="CV166" s="80"/>
      <c r="CW166" s="80"/>
      <c r="CX166" s="80"/>
      <c r="CY166" s="80"/>
      <c r="CZ166" s="80"/>
      <c r="DA166" s="80"/>
    </row>
    <row r="167" spans="1:105" ht="20.25" customHeight="1" x14ac:dyDescent="0.2">
      <c r="A167" s="3009">
        <v>28021625</v>
      </c>
      <c r="B167" s="4710" t="s">
        <v>747</v>
      </c>
      <c r="C167" s="3070" t="s">
        <v>2777</v>
      </c>
      <c r="D167" s="3086" t="s">
        <v>2778</v>
      </c>
      <c r="E167" s="4645" t="s">
        <v>2779</v>
      </c>
      <c r="F167" s="2901" t="s">
        <v>2780</v>
      </c>
      <c r="G167" s="2902" t="s">
        <v>2781</v>
      </c>
      <c r="H167" s="2901" t="s">
        <v>2782</v>
      </c>
      <c r="I167" s="3323" t="s">
        <v>2783</v>
      </c>
      <c r="J167" s="2901" t="s">
        <v>2784</v>
      </c>
      <c r="K167" s="3323" t="s">
        <v>2785</v>
      </c>
      <c r="L167" s="2901" t="s">
        <v>2786</v>
      </c>
      <c r="M167" s="3323" t="s">
        <v>2787</v>
      </c>
      <c r="N167" s="2901" t="s">
        <v>2788</v>
      </c>
      <c r="O167" s="3323" t="s">
        <v>2789</v>
      </c>
      <c r="P167" s="2901" t="s">
        <v>2790</v>
      </c>
      <c r="Q167" s="3323" t="s">
        <v>2791</v>
      </c>
      <c r="R167" s="2901" t="s">
        <v>2792</v>
      </c>
      <c r="S167" s="3323" t="s">
        <v>2793</v>
      </c>
      <c r="T167" s="2901" t="s">
        <v>2794</v>
      </c>
      <c r="U167" s="3323" t="s">
        <v>2795</v>
      </c>
      <c r="V167" s="2901" t="s">
        <v>2796</v>
      </c>
      <c r="W167" s="3323" t="s">
        <v>2797</v>
      </c>
      <c r="X167" s="2901" t="s">
        <v>2798</v>
      </c>
      <c r="Y167" s="3323" t="s">
        <v>2799</v>
      </c>
      <c r="Z167" s="2901" t="s">
        <v>2800</v>
      </c>
      <c r="AA167" s="3323" t="s">
        <v>2801</v>
      </c>
      <c r="AB167" s="2901" t="s">
        <v>2817</v>
      </c>
      <c r="AC167" s="3323" t="s">
        <v>2818</v>
      </c>
      <c r="AD167" s="2901" t="s">
        <v>2819</v>
      </c>
      <c r="AE167" s="3323" t="s">
        <v>2821</v>
      </c>
      <c r="AF167" s="2901" t="s">
        <v>2822</v>
      </c>
      <c r="AG167" s="3323" t="s">
        <v>2823</v>
      </c>
      <c r="AH167" s="2901" t="s">
        <v>2824</v>
      </c>
      <c r="AI167" s="3323" t="s">
        <v>2825</v>
      </c>
      <c r="AJ167" s="2901" t="s">
        <v>2826</v>
      </c>
      <c r="AK167" s="3323" t="s">
        <v>2827</v>
      </c>
      <c r="AL167" s="2901" t="s">
        <v>2831</v>
      </c>
      <c r="AM167" s="3323" t="s">
        <v>2832</v>
      </c>
      <c r="AN167" s="2901" t="s">
        <v>2833</v>
      </c>
      <c r="AO167" s="3323" t="s">
        <v>2834</v>
      </c>
      <c r="AP167" s="3324" t="s">
        <v>3011</v>
      </c>
      <c r="AQ167" s="3325" t="s">
        <v>3012</v>
      </c>
      <c r="AR167" s="3331" t="s">
        <v>3013</v>
      </c>
      <c r="AS167" s="3395" t="s">
        <v>3014</v>
      </c>
      <c r="AT167" s="2902" t="s">
        <v>3015</v>
      </c>
      <c r="AU167" s="1165" t="str">
        <f t="shared" si="5"/>
        <v xml:space="preserve">* El número de Consultas Según tipo de atención NO DEBE ser diferente al Total. </v>
      </c>
      <c r="AV167" s="881"/>
      <c r="AW167" s="94"/>
      <c r="AX167" s="94"/>
      <c r="AY167" s="94"/>
      <c r="AZ167" s="94"/>
      <c r="BA167" s="94"/>
      <c r="BB167" s="94"/>
      <c r="BC167" s="94"/>
      <c r="BD167" s="94"/>
      <c r="BE167" s="94"/>
      <c r="BF167" s="94"/>
      <c r="BG167" s="94"/>
      <c r="BH167" s="94"/>
      <c r="CB167" s="1031" t="str">
        <f t="shared" si="6"/>
        <v xml:space="preserve">* El número de Consultas Según tipo de atención NO DEBE ser diferente al Total. </v>
      </c>
      <c r="CC167" s="1031"/>
      <c r="CD167" s="1031"/>
      <c r="CE167" s="1031"/>
      <c r="CF167" s="1031"/>
      <c r="CG167" s="1031"/>
      <c r="CH167" s="1163">
        <f t="shared" si="7"/>
        <v>1</v>
      </c>
      <c r="CI167" s="1020"/>
      <c r="CJ167" s="1020"/>
      <c r="CK167" s="1020"/>
      <c r="CL167" s="1020"/>
      <c r="CM167" s="1020"/>
      <c r="CN167" s="1020"/>
      <c r="CO167" s="1020"/>
      <c r="CP167" s="1020"/>
      <c r="CQ167" s="1020"/>
      <c r="CR167" s="1020"/>
      <c r="CS167" s="1020"/>
      <c r="CT167" s="1020"/>
      <c r="CU167" s="1020"/>
      <c r="CV167" s="80"/>
      <c r="CW167" s="80"/>
      <c r="CX167" s="80"/>
      <c r="CY167" s="80"/>
      <c r="CZ167" s="80"/>
      <c r="DA167" s="80"/>
    </row>
    <row r="168" spans="1:105" ht="24.75" customHeight="1" x14ac:dyDescent="0.2">
      <c r="A168" s="3009">
        <v>28020940</v>
      </c>
      <c r="B168" s="4710" t="s">
        <v>1187</v>
      </c>
      <c r="C168" s="3070" t="s">
        <v>2777</v>
      </c>
      <c r="D168" s="3086" t="s">
        <v>2778</v>
      </c>
      <c r="E168" s="4645" t="s">
        <v>2779</v>
      </c>
      <c r="F168" s="2901" t="s">
        <v>2780</v>
      </c>
      <c r="G168" s="2902" t="s">
        <v>2781</v>
      </c>
      <c r="H168" s="2901" t="s">
        <v>2782</v>
      </c>
      <c r="I168" s="3323" t="s">
        <v>2783</v>
      </c>
      <c r="J168" s="2901" t="s">
        <v>2784</v>
      </c>
      <c r="K168" s="3323" t="s">
        <v>2785</v>
      </c>
      <c r="L168" s="2901" t="s">
        <v>2786</v>
      </c>
      <c r="M168" s="3323" t="s">
        <v>2787</v>
      </c>
      <c r="N168" s="2901" t="s">
        <v>2788</v>
      </c>
      <c r="O168" s="3323" t="s">
        <v>2789</v>
      </c>
      <c r="P168" s="2901" t="s">
        <v>2790</v>
      </c>
      <c r="Q168" s="3323" t="s">
        <v>2791</v>
      </c>
      <c r="R168" s="2901" t="s">
        <v>2792</v>
      </c>
      <c r="S168" s="3323" t="s">
        <v>2793</v>
      </c>
      <c r="T168" s="2901" t="s">
        <v>2794</v>
      </c>
      <c r="U168" s="3323" t="s">
        <v>2795</v>
      </c>
      <c r="V168" s="2901" t="s">
        <v>2796</v>
      </c>
      <c r="W168" s="3323" t="s">
        <v>2797</v>
      </c>
      <c r="X168" s="2901" t="s">
        <v>2798</v>
      </c>
      <c r="Y168" s="3323" t="s">
        <v>2799</v>
      </c>
      <c r="Z168" s="2901" t="s">
        <v>2800</v>
      </c>
      <c r="AA168" s="3323" t="s">
        <v>2801</v>
      </c>
      <c r="AB168" s="2901" t="s">
        <v>2817</v>
      </c>
      <c r="AC168" s="3323" t="s">
        <v>2818</v>
      </c>
      <c r="AD168" s="2901" t="s">
        <v>2819</v>
      </c>
      <c r="AE168" s="3323" t="s">
        <v>2821</v>
      </c>
      <c r="AF168" s="2901" t="s">
        <v>2822</v>
      </c>
      <c r="AG168" s="3323" t="s">
        <v>2823</v>
      </c>
      <c r="AH168" s="2901" t="s">
        <v>2824</v>
      </c>
      <c r="AI168" s="3323" t="s">
        <v>2825</v>
      </c>
      <c r="AJ168" s="2901" t="s">
        <v>2826</v>
      </c>
      <c r="AK168" s="3323" t="s">
        <v>2827</v>
      </c>
      <c r="AL168" s="2901" t="s">
        <v>2831</v>
      </c>
      <c r="AM168" s="3323" t="s">
        <v>2832</v>
      </c>
      <c r="AN168" s="2901" t="s">
        <v>2833</v>
      </c>
      <c r="AO168" s="3323" t="s">
        <v>2834</v>
      </c>
      <c r="AP168" s="3324" t="s">
        <v>3011</v>
      </c>
      <c r="AQ168" s="3325" t="s">
        <v>3012</v>
      </c>
      <c r="AR168" s="3331" t="s">
        <v>3013</v>
      </c>
      <c r="AS168" s="3395" t="s">
        <v>3014</v>
      </c>
      <c r="AT168" s="2902" t="s">
        <v>3015</v>
      </c>
      <c r="AU168" s="1165" t="str">
        <f t="shared" si="5"/>
        <v xml:space="preserve">* El número de Consultas Según tipo de atención NO DEBE ser diferente al Total. </v>
      </c>
      <c r="AV168" s="881"/>
      <c r="AW168" s="94"/>
      <c r="AX168" s="94"/>
      <c r="AY168" s="94"/>
      <c r="AZ168" s="94"/>
      <c r="BA168" s="94"/>
      <c r="BB168" s="94"/>
      <c r="BC168" s="94"/>
      <c r="BD168" s="94"/>
      <c r="BE168" s="94"/>
      <c r="BF168" s="94"/>
      <c r="CB168" s="1031" t="str">
        <f t="shared" si="6"/>
        <v xml:space="preserve">* El número de Consultas Según tipo de atención NO DEBE ser diferente al Total. </v>
      </c>
      <c r="CC168" s="1031"/>
      <c r="CD168" s="1031"/>
      <c r="CE168" s="1031"/>
      <c r="CF168" s="1031"/>
      <c r="CG168" s="1031"/>
      <c r="CH168" s="1163">
        <f t="shared" si="7"/>
        <v>1</v>
      </c>
      <c r="CI168" s="1020"/>
      <c r="CJ168" s="1020"/>
      <c r="CK168" s="1020"/>
      <c r="CL168" s="1020"/>
      <c r="CM168" s="1020"/>
      <c r="CN168" s="1020"/>
      <c r="CO168" s="1020"/>
      <c r="CP168" s="1020"/>
      <c r="CQ168" s="1020"/>
      <c r="CR168" s="1020"/>
      <c r="CS168" s="1020"/>
      <c r="CT168" s="1020"/>
      <c r="CU168" s="1020"/>
      <c r="CV168" s="80"/>
      <c r="CW168" s="80"/>
      <c r="CX168" s="80"/>
      <c r="CY168" s="80"/>
      <c r="CZ168" s="80"/>
      <c r="DA168" s="80"/>
    </row>
    <row r="169" spans="1:105" ht="20.25" customHeight="1" x14ac:dyDescent="0.2">
      <c r="A169" s="3009">
        <v>28020950</v>
      </c>
      <c r="B169" s="1194" t="s">
        <v>1524</v>
      </c>
      <c r="C169" s="3070" t="s">
        <v>2777</v>
      </c>
      <c r="D169" s="3086" t="s">
        <v>2778</v>
      </c>
      <c r="E169" s="4645" t="s">
        <v>2779</v>
      </c>
      <c r="F169" s="2901" t="s">
        <v>2780</v>
      </c>
      <c r="G169" s="2902" t="s">
        <v>2781</v>
      </c>
      <c r="H169" s="2901" t="s">
        <v>2782</v>
      </c>
      <c r="I169" s="3323" t="s">
        <v>2783</v>
      </c>
      <c r="J169" s="2901" t="s">
        <v>2784</v>
      </c>
      <c r="K169" s="3323" t="s">
        <v>2785</v>
      </c>
      <c r="L169" s="2901" t="s">
        <v>2786</v>
      </c>
      <c r="M169" s="3323" t="s">
        <v>2787</v>
      </c>
      <c r="N169" s="2901" t="s">
        <v>2788</v>
      </c>
      <c r="O169" s="3323" t="s">
        <v>2789</v>
      </c>
      <c r="P169" s="2901" t="s">
        <v>2790</v>
      </c>
      <c r="Q169" s="3323" t="s">
        <v>2791</v>
      </c>
      <c r="R169" s="2901" t="s">
        <v>2792</v>
      </c>
      <c r="S169" s="3323" t="s">
        <v>2793</v>
      </c>
      <c r="T169" s="2901" t="s">
        <v>2794</v>
      </c>
      <c r="U169" s="3323" t="s">
        <v>2795</v>
      </c>
      <c r="V169" s="2901" t="s">
        <v>2796</v>
      </c>
      <c r="W169" s="3323" t="s">
        <v>2797</v>
      </c>
      <c r="X169" s="2901" t="s">
        <v>2798</v>
      </c>
      <c r="Y169" s="3323" t="s">
        <v>2799</v>
      </c>
      <c r="Z169" s="2901" t="s">
        <v>2800</v>
      </c>
      <c r="AA169" s="3323" t="s">
        <v>2801</v>
      </c>
      <c r="AB169" s="2901" t="s">
        <v>2817</v>
      </c>
      <c r="AC169" s="3323" t="s">
        <v>2818</v>
      </c>
      <c r="AD169" s="2901" t="s">
        <v>2819</v>
      </c>
      <c r="AE169" s="3323" t="s">
        <v>2821</v>
      </c>
      <c r="AF169" s="2901" t="s">
        <v>2822</v>
      </c>
      <c r="AG169" s="3323" t="s">
        <v>2823</v>
      </c>
      <c r="AH169" s="2901" t="s">
        <v>2824</v>
      </c>
      <c r="AI169" s="3323" t="s">
        <v>2825</v>
      </c>
      <c r="AJ169" s="2901" t="s">
        <v>2826</v>
      </c>
      <c r="AK169" s="3323" t="s">
        <v>2827</v>
      </c>
      <c r="AL169" s="2901" t="s">
        <v>2831</v>
      </c>
      <c r="AM169" s="3323" t="s">
        <v>2832</v>
      </c>
      <c r="AN169" s="2901" t="s">
        <v>2833</v>
      </c>
      <c r="AO169" s="3323" t="s">
        <v>2834</v>
      </c>
      <c r="AP169" s="3324" t="s">
        <v>3011</v>
      </c>
      <c r="AQ169" s="3325" t="s">
        <v>3012</v>
      </c>
      <c r="AR169" s="3331" t="s">
        <v>3013</v>
      </c>
      <c r="AS169" s="3395" t="s">
        <v>3014</v>
      </c>
      <c r="AT169" s="2902" t="s">
        <v>3015</v>
      </c>
      <c r="AU169" s="1165" t="str">
        <f t="shared" si="5"/>
        <v xml:space="preserve">* El número de Consultas Según tipo de atención NO DEBE ser diferente al Total. </v>
      </c>
      <c r="AV169" s="94"/>
      <c r="AW169" s="94"/>
      <c r="AX169" s="94"/>
      <c r="AY169" s="94"/>
      <c r="AZ169" s="94"/>
      <c r="BA169" s="94"/>
      <c r="BB169" s="94"/>
      <c r="BC169" s="94"/>
      <c r="BD169" s="94"/>
      <c r="BE169" s="94"/>
      <c r="BF169" s="94"/>
      <c r="CB169" s="1031" t="str">
        <f t="shared" si="6"/>
        <v xml:space="preserve">* El número de Consultas Según tipo de atención NO DEBE ser diferente al Total. </v>
      </c>
      <c r="CC169" s="1031"/>
      <c r="CD169" s="1031"/>
      <c r="CE169" s="1031"/>
      <c r="CF169" s="1031"/>
      <c r="CG169" s="1031"/>
      <c r="CH169" s="1163">
        <f t="shared" si="7"/>
        <v>1</v>
      </c>
      <c r="CI169" s="1020"/>
      <c r="CJ169" s="1020"/>
      <c r="CK169" s="1020"/>
      <c r="CL169" s="1020"/>
      <c r="CM169" s="1020"/>
      <c r="CN169" s="1020"/>
      <c r="CO169" s="1020"/>
      <c r="CP169" s="1020"/>
      <c r="CQ169" s="1020"/>
      <c r="CR169" s="1020"/>
      <c r="CS169" s="1020"/>
      <c r="CT169" s="1020"/>
      <c r="CU169" s="1020"/>
      <c r="CV169" s="80"/>
      <c r="CW169" s="80"/>
      <c r="CX169" s="80"/>
      <c r="CY169" s="80"/>
      <c r="CZ169" s="80"/>
      <c r="DA169" s="80"/>
    </row>
    <row r="170" spans="1:105" ht="20.25" customHeight="1" x14ac:dyDescent="0.2">
      <c r="A170" s="3009">
        <v>28020960</v>
      </c>
      <c r="B170" s="1194" t="s">
        <v>1525</v>
      </c>
      <c r="C170" s="3070" t="s">
        <v>2777</v>
      </c>
      <c r="D170" s="3086" t="s">
        <v>2778</v>
      </c>
      <c r="E170" s="4645" t="s">
        <v>2779</v>
      </c>
      <c r="F170" s="2901" t="s">
        <v>2780</v>
      </c>
      <c r="G170" s="2902" t="s">
        <v>2781</v>
      </c>
      <c r="H170" s="2901" t="s">
        <v>2782</v>
      </c>
      <c r="I170" s="3323" t="s">
        <v>2783</v>
      </c>
      <c r="J170" s="2901" t="s">
        <v>2784</v>
      </c>
      <c r="K170" s="3323" t="s">
        <v>2785</v>
      </c>
      <c r="L170" s="2901" t="s">
        <v>2786</v>
      </c>
      <c r="M170" s="3323" t="s">
        <v>2787</v>
      </c>
      <c r="N170" s="2901" t="s">
        <v>2788</v>
      </c>
      <c r="O170" s="3323" t="s">
        <v>2789</v>
      </c>
      <c r="P170" s="2901" t="s">
        <v>2790</v>
      </c>
      <c r="Q170" s="3323" t="s">
        <v>2791</v>
      </c>
      <c r="R170" s="2901" t="s">
        <v>2792</v>
      </c>
      <c r="S170" s="3323" t="s">
        <v>2793</v>
      </c>
      <c r="T170" s="2901" t="s">
        <v>2794</v>
      </c>
      <c r="U170" s="3323" t="s">
        <v>2795</v>
      </c>
      <c r="V170" s="2901" t="s">
        <v>2796</v>
      </c>
      <c r="W170" s="3323" t="s">
        <v>2797</v>
      </c>
      <c r="X170" s="2901" t="s">
        <v>2798</v>
      </c>
      <c r="Y170" s="3323" t="s">
        <v>2799</v>
      </c>
      <c r="Z170" s="2901" t="s">
        <v>2800</v>
      </c>
      <c r="AA170" s="3323" t="s">
        <v>2801</v>
      </c>
      <c r="AB170" s="2901" t="s">
        <v>2817</v>
      </c>
      <c r="AC170" s="3323" t="s">
        <v>2818</v>
      </c>
      <c r="AD170" s="2901" t="s">
        <v>2819</v>
      </c>
      <c r="AE170" s="3323" t="s">
        <v>2821</v>
      </c>
      <c r="AF170" s="2901" t="s">
        <v>2822</v>
      </c>
      <c r="AG170" s="3323" t="s">
        <v>2823</v>
      </c>
      <c r="AH170" s="2901" t="s">
        <v>2824</v>
      </c>
      <c r="AI170" s="3323" t="s">
        <v>2825</v>
      </c>
      <c r="AJ170" s="2901" t="s">
        <v>2826</v>
      </c>
      <c r="AK170" s="3323" t="s">
        <v>2827</v>
      </c>
      <c r="AL170" s="2901" t="s">
        <v>2831</v>
      </c>
      <c r="AM170" s="3323" t="s">
        <v>2832</v>
      </c>
      <c r="AN170" s="2901" t="s">
        <v>2833</v>
      </c>
      <c r="AO170" s="3323" t="s">
        <v>2834</v>
      </c>
      <c r="AP170" s="3324" t="s">
        <v>3011</v>
      </c>
      <c r="AQ170" s="3325" t="s">
        <v>3012</v>
      </c>
      <c r="AR170" s="3331" t="s">
        <v>3013</v>
      </c>
      <c r="AS170" s="3395" t="s">
        <v>3014</v>
      </c>
      <c r="AT170" s="2902" t="s">
        <v>3015</v>
      </c>
      <c r="AU170" s="1165" t="str">
        <f t="shared" si="5"/>
        <v xml:space="preserve">* El número de Consultas Según tipo de atención NO DEBE ser diferente al Total. </v>
      </c>
      <c r="AV170" s="1085"/>
      <c r="AW170" s="1085"/>
      <c r="AX170" s="1085"/>
      <c r="AY170" s="1085"/>
      <c r="AZ170" s="1085"/>
      <c r="BA170" s="1085"/>
      <c r="BB170" s="1085"/>
      <c r="BC170" s="1085"/>
      <c r="BD170" s="1085"/>
      <c r="BE170" s="1085"/>
      <c r="BF170" s="94"/>
      <c r="CB170" s="1031" t="str">
        <f t="shared" si="6"/>
        <v xml:space="preserve">* El número de Consultas Según tipo de atención NO DEBE ser diferente al Total. </v>
      </c>
      <c r="CC170" s="1031"/>
      <c r="CD170" s="1031"/>
      <c r="CE170" s="1031"/>
      <c r="CF170" s="1031"/>
      <c r="CG170" s="1031"/>
      <c r="CH170" s="1163">
        <f t="shared" si="7"/>
        <v>1</v>
      </c>
      <c r="CI170" s="1020"/>
      <c r="CJ170" s="1020"/>
      <c r="CK170" s="1020"/>
      <c r="CL170" s="1020"/>
      <c r="CM170" s="1020"/>
      <c r="CN170" s="1020"/>
      <c r="CO170" s="1020"/>
      <c r="CP170" s="1020"/>
      <c r="CQ170" s="1020"/>
      <c r="CR170" s="1020"/>
      <c r="CS170" s="1020"/>
      <c r="CT170" s="1020"/>
      <c r="CU170" s="1020"/>
      <c r="CV170" s="80"/>
      <c r="CW170" s="80"/>
      <c r="CX170" s="80"/>
      <c r="CY170" s="80"/>
      <c r="CZ170" s="80"/>
      <c r="DA170" s="80"/>
    </row>
    <row r="171" spans="1:105" ht="20.25" customHeight="1" x14ac:dyDescent="0.2">
      <c r="A171" s="3009">
        <v>28022380</v>
      </c>
      <c r="B171" s="1194" t="s">
        <v>1523</v>
      </c>
      <c r="C171" s="3070" t="s">
        <v>2777</v>
      </c>
      <c r="D171" s="3086" t="s">
        <v>2778</v>
      </c>
      <c r="E171" s="4645" t="s">
        <v>2779</v>
      </c>
      <c r="F171" s="2901" t="s">
        <v>2780</v>
      </c>
      <c r="G171" s="2902" t="s">
        <v>2781</v>
      </c>
      <c r="H171" s="2901" t="s">
        <v>2782</v>
      </c>
      <c r="I171" s="3323" t="s">
        <v>2783</v>
      </c>
      <c r="J171" s="2901" t="s">
        <v>2784</v>
      </c>
      <c r="K171" s="3323" t="s">
        <v>2785</v>
      </c>
      <c r="L171" s="2901" t="s">
        <v>2786</v>
      </c>
      <c r="M171" s="3323" t="s">
        <v>2787</v>
      </c>
      <c r="N171" s="2901" t="s">
        <v>2788</v>
      </c>
      <c r="O171" s="3323" t="s">
        <v>2789</v>
      </c>
      <c r="P171" s="2901" t="s">
        <v>2790</v>
      </c>
      <c r="Q171" s="3323" t="s">
        <v>2791</v>
      </c>
      <c r="R171" s="2901" t="s">
        <v>2792</v>
      </c>
      <c r="S171" s="3323" t="s">
        <v>2793</v>
      </c>
      <c r="T171" s="2901" t="s">
        <v>2794</v>
      </c>
      <c r="U171" s="3323" t="s">
        <v>2795</v>
      </c>
      <c r="V171" s="2901" t="s">
        <v>2796</v>
      </c>
      <c r="W171" s="3323" t="s">
        <v>2797</v>
      </c>
      <c r="X171" s="2901" t="s">
        <v>2798</v>
      </c>
      <c r="Y171" s="3323" t="s">
        <v>2799</v>
      </c>
      <c r="Z171" s="2901" t="s">
        <v>2800</v>
      </c>
      <c r="AA171" s="3323" t="s">
        <v>2801</v>
      </c>
      <c r="AB171" s="2901" t="s">
        <v>2817</v>
      </c>
      <c r="AC171" s="3323" t="s">
        <v>2818</v>
      </c>
      <c r="AD171" s="2901" t="s">
        <v>2819</v>
      </c>
      <c r="AE171" s="3323" t="s">
        <v>2821</v>
      </c>
      <c r="AF171" s="2901" t="s">
        <v>2822</v>
      </c>
      <c r="AG171" s="3323" t="s">
        <v>2823</v>
      </c>
      <c r="AH171" s="2901" t="s">
        <v>2824</v>
      </c>
      <c r="AI171" s="3323" t="s">
        <v>2825</v>
      </c>
      <c r="AJ171" s="2901" t="s">
        <v>2826</v>
      </c>
      <c r="AK171" s="3323" t="s">
        <v>2827</v>
      </c>
      <c r="AL171" s="2901" t="s">
        <v>2831</v>
      </c>
      <c r="AM171" s="3323" t="s">
        <v>2832</v>
      </c>
      <c r="AN171" s="2901" t="s">
        <v>2833</v>
      </c>
      <c r="AO171" s="3323" t="s">
        <v>2834</v>
      </c>
      <c r="AP171" s="3324" t="s">
        <v>3011</v>
      </c>
      <c r="AQ171" s="3325" t="s">
        <v>3012</v>
      </c>
      <c r="AR171" s="3331" t="s">
        <v>3013</v>
      </c>
      <c r="AS171" s="3395" t="s">
        <v>3014</v>
      </c>
      <c r="AT171" s="2902" t="s">
        <v>3015</v>
      </c>
      <c r="AU171" s="1165" t="str">
        <f t="shared" si="5"/>
        <v xml:space="preserve">* El número de Consultas Según tipo de atención NO DEBE ser diferente al Total. </v>
      </c>
      <c r="AV171" s="1085"/>
      <c r="AW171" s="1085"/>
      <c r="AX171" s="1085"/>
      <c r="AY171" s="1085"/>
      <c r="AZ171" s="1085"/>
      <c r="BA171" s="1085"/>
      <c r="BB171" s="1085"/>
      <c r="BC171" s="1085"/>
      <c r="BD171" s="1085"/>
      <c r="BE171" s="1085"/>
      <c r="BF171" s="94"/>
      <c r="CB171" s="1031" t="str">
        <f t="shared" si="6"/>
        <v xml:space="preserve">* El número de Consultas Según tipo de atención NO DEBE ser diferente al Total. </v>
      </c>
      <c r="CC171" s="1031"/>
      <c r="CD171" s="1031"/>
      <c r="CE171" s="1031"/>
      <c r="CF171" s="1031"/>
      <c r="CG171" s="1031"/>
      <c r="CH171" s="1163">
        <f t="shared" si="7"/>
        <v>1</v>
      </c>
      <c r="CI171" s="1020"/>
      <c r="CJ171" s="1020"/>
      <c r="CK171" s="1020"/>
      <c r="CL171" s="1020"/>
      <c r="CM171" s="1020"/>
      <c r="CN171" s="1020"/>
      <c r="CO171" s="1020"/>
      <c r="CP171" s="1020"/>
      <c r="CQ171" s="1020"/>
      <c r="CR171" s="1020"/>
      <c r="CS171" s="1020"/>
      <c r="CT171" s="1020"/>
      <c r="CU171" s="1020"/>
      <c r="CV171" s="80"/>
      <c r="CW171" s="80"/>
      <c r="CX171" s="80"/>
      <c r="CY171" s="80"/>
      <c r="CZ171" s="80"/>
      <c r="DA171" s="80"/>
    </row>
    <row r="172" spans="1:105" ht="20.25" customHeight="1" x14ac:dyDescent="0.2">
      <c r="A172" s="3009">
        <v>28020970</v>
      </c>
      <c r="B172" s="1194" t="s">
        <v>1188</v>
      </c>
      <c r="C172" s="3070" t="s">
        <v>2777</v>
      </c>
      <c r="D172" s="3086" t="s">
        <v>2778</v>
      </c>
      <c r="E172" s="4645" t="s">
        <v>2779</v>
      </c>
      <c r="F172" s="2901" t="s">
        <v>2780</v>
      </c>
      <c r="G172" s="2902" t="s">
        <v>2781</v>
      </c>
      <c r="H172" s="2901" t="s">
        <v>2782</v>
      </c>
      <c r="I172" s="3323" t="s">
        <v>2783</v>
      </c>
      <c r="J172" s="2901" t="s">
        <v>2784</v>
      </c>
      <c r="K172" s="3323" t="s">
        <v>2785</v>
      </c>
      <c r="L172" s="2901" t="s">
        <v>2786</v>
      </c>
      <c r="M172" s="3323" t="s">
        <v>2787</v>
      </c>
      <c r="N172" s="2901" t="s">
        <v>2788</v>
      </c>
      <c r="O172" s="3323" t="s">
        <v>2789</v>
      </c>
      <c r="P172" s="2901" t="s">
        <v>2790</v>
      </c>
      <c r="Q172" s="3323" t="s">
        <v>2791</v>
      </c>
      <c r="R172" s="2901" t="s">
        <v>2792</v>
      </c>
      <c r="S172" s="3323" t="s">
        <v>2793</v>
      </c>
      <c r="T172" s="2901" t="s">
        <v>2794</v>
      </c>
      <c r="U172" s="3323" t="s">
        <v>2795</v>
      </c>
      <c r="V172" s="2901" t="s">
        <v>2796</v>
      </c>
      <c r="W172" s="3323" t="s">
        <v>2797</v>
      </c>
      <c r="X172" s="2901" t="s">
        <v>2798</v>
      </c>
      <c r="Y172" s="3323" t="s">
        <v>2799</v>
      </c>
      <c r="Z172" s="2901" t="s">
        <v>2800</v>
      </c>
      <c r="AA172" s="3323" t="s">
        <v>2801</v>
      </c>
      <c r="AB172" s="2901" t="s">
        <v>2817</v>
      </c>
      <c r="AC172" s="3323" t="s">
        <v>2818</v>
      </c>
      <c r="AD172" s="2901" t="s">
        <v>2819</v>
      </c>
      <c r="AE172" s="3323" t="s">
        <v>2821</v>
      </c>
      <c r="AF172" s="2901" t="s">
        <v>2822</v>
      </c>
      <c r="AG172" s="3323" t="s">
        <v>2823</v>
      </c>
      <c r="AH172" s="2901" t="s">
        <v>2824</v>
      </c>
      <c r="AI172" s="3323" t="s">
        <v>2825</v>
      </c>
      <c r="AJ172" s="2901" t="s">
        <v>2826</v>
      </c>
      <c r="AK172" s="3323" t="s">
        <v>2827</v>
      </c>
      <c r="AL172" s="2901" t="s">
        <v>2831</v>
      </c>
      <c r="AM172" s="3323" t="s">
        <v>2832</v>
      </c>
      <c r="AN172" s="2901" t="s">
        <v>2833</v>
      </c>
      <c r="AO172" s="3323" t="s">
        <v>2834</v>
      </c>
      <c r="AP172" s="3324" t="s">
        <v>3011</v>
      </c>
      <c r="AQ172" s="3325" t="s">
        <v>3012</v>
      </c>
      <c r="AR172" s="3331" t="s">
        <v>3013</v>
      </c>
      <c r="AS172" s="3395" t="s">
        <v>3014</v>
      </c>
      <c r="AT172" s="2902" t="s">
        <v>3015</v>
      </c>
      <c r="AU172" s="1165" t="str">
        <f t="shared" si="5"/>
        <v xml:space="preserve">* El número de Consultas Según tipo de atención NO DEBE ser diferente al Total. </v>
      </c>
      <c r="AV172" s="1085"/>
      <c r="AW172" s="1085"/>
      <c r="AX172" s="1085"/>
      <c r="AY172" s="1085"/>
      <c r="AZ172" s="1085"/>
      <c r="BA172" s="1085"/>
      <c r="BB172" s="1085"/>
      <c r="BC172" s="1085"/>
      <c r="BD172" s="1085"/>
      <c r="BE172" s="1085"/>
      <c r="BF172" s="94"/>
      <c r="CB172" s="1031" t="str">
        <f t="shared" si="6"/>
        <v xml:space="preserve">* El número de Consultas Según tipo de atención NO DEBE ser diferente al Total. </v>
      </c>
      <c r="CC172" s="1031"/>
      <c r="CD172" s="1031"/>
      <c r="CE172" s="1031"/>
      <c r="CF172" s="1031"/>
      <c r="CG172" s="1031"/>
      <c r="CH172" s="1163">
        <f t="shared" si="7"/>
        <v>1</v>
      </c>
      <c r="CI172" s="1020"/>
      <c r="CJ172" s="1020"/>
      <c r="CK172" s="1020"/>
      <c r="CL172" s="1020"/>
      <c r="CM172" s="1020"/>
      <c r="CN172" s="1020"/>
      <c r="CO172" s="1020"/>
      <c r="CP172" s="1020"/>
      <c r="CQ172" s="1020"/>
      <c r="CR172" s="1020"/>
      <c r="CS172" s="1020"/>
      <c r="CT172" s="1020"/>
      <c r="CU172" s="1020"/>
      <c r="CV172" s="80"/>
      <c r="CW172" s="80"/>
      <c r="CX172" s="80"/>
      <c r="CY172" s="80"/>
      <c r="CZ172" s="80"/>
      <c r="DA172" s="80"/>
    </row>
    <row r="173" spans="1:105" ht="20.25" customHeight="1" x14ac:dyDescent="0.2">
      <c r="A173" s="3009">
        <v>28020980</v>
      </c>
      <c r="B173" s="1194" t="s">
        <v>1189</v>
      </c>
      <c r="C173" s="3070" t="s">
        <v>2777</v>
      </c>
      <c r="D173" s="3086" t="s">
        <v>2778</v>
      </c>
      <c r="E173" s="4645" t="s">
        <v>2779</v>
      </c>
      <c r="F173" s="2901" t="s">
        <v>2780</v>
      </c>
      <c r="G173" s="2902" t="s">
        <v>2781</v>
      </c>
      <c r="H173" s="2901" t="s">
        <v>2782</v>
      </c>
      <c r="I173" s="3323" t="s">
        <v>2783</v>
      </c>
      <c r="J173" s="2901" t="s">
        <v>2784</v>
      </c>
      <c r="K173" s="3323" t="s">
        <v>2785</v>
      </c>
      <c r="L173" s="2901" t="s">
        <v>2786</v>
      </c>
      <c r="M173" s="3323" t="s">
        <v>2787</v>
      </c>
      <c r="N173" s="2901" t="s">
        <v>2788</v>
      </c>
      <c r="O173" s="3323" t="s">
        <v>2789</v>
      </c>
      <c r="P173" s="2901" t="s">
        <v>2790</v>
      </c>
      <c r="Q173" s="3323" t="s">
        <v>2791</v>
      </c>
      <c r="R173" s="2901" t="s">
        <v>2792</v>
      </c>
      <c r="S173" s="3323" t="s">
        <v>2793</v>
      </c>
      <c r="T173" s="2901" t="s">
        <v>2794</v>
      </c>
      <c r="U173" s="3323" t="s">
        <v>2795</v>
      </c>
      <c r="V173" s="2901" t="s">
        <v>2796</v>
      </c>
      <c r="W173" s="3323" t="s">
        <v>2797</v>
      </c>
      <c r="X173" s="2901" t="s">
        <v>2798</v>
      </c>
      <c r="Y173" s="3323" t="s">
        <v>2799</v>
      </c>
      <c r="Z173" s="2901" t="s">
        <v>2800</v>
      </c>
      <c r="AA173" s="3323" t="s">
        <v>2801</v>
      </c>
      <c r="AB173" s="2901" t="s">
        <v>2817</v>
      </c>
      <c r="AC173" s="3323" t="s">
        <v>2818</v>
      </c>
      <c r="AD173" s="2901" t="s">
        <v>2819</v>
      </c>
      <c r="AE173" s="3323" t="s">
        <v>2821</v>
      </c>
      <c r="AF173" s="2901" t="s">
        <v>2822</v>
      </c>
      <c r="AG173" s="3323" t="s">
        <v>2823</v>
      </c>
      <c r="AH173" s="2901" t="s">
        <v>2824</v>
      </c>
      <c r="AI173" s="3323" t="s">
        <v>2825</v>
      </c>
      <c r="AJ173" s="2901" t="s">
        <v>2826</v>
      </c>
      <c r="AK173" s="3323" t="s">
        <v>2827</v>
      </c>
      <c r="AL173" s="2901" t="s">
        <v>2831</v>
      </c>
      <c r="AM173" s="3323" t="s">
        <v>2832</v>
      </c>
      <c r="AN173" s="2901" t="s">
        <v>2833</v>
      </c>
      <c r="AO173" s="3323" t="s">
        <v>2834</v>
      </c>
      <c r="AP173" s="3324" t="s">
        <v>3011</v>
      </c>
      <c r="AQ173" s="3325" t="s">
        <v>3012</v>
      </c>
      <c r="AR173" s="3331" t="s">
        <v>3013</v>
      </c>
      <c r="AS173" s="3395" t="s">
        <v>3014</v>
      </c>
      <c r="AT173" s="2902" t="s">
        <v>3015</v>
      </c>
      <c r="AU173" s="1165" t="str">
        <f t="shared" si="5"/>
        <v xml:space="preserve">* El número de Consultas Según tipo de atención NO DEBE ser diferente al Total. </v>
      </c>
      <c r="AV173" s="1085"/>
      <c r="AW173" s="1085"/>
      <c r="AX173" s="1085"/>
      <c r="AY173" s="1085"/>
      <c r="AZ173" s="1085"/>
      <c r="BA173" s="1085"/>
      <c r="BB173" s="1085"/>
      <c r="BC173" s="1085"/>
      <c r="BD173" s="1085"/>
      <c r="BE173" s="1085"/>
      <c r="BF173" s="94"/>
      <c r="CB173" s="1031" t="str">
        <f t="shared" si="6"/>
        <v xml:space="preserve">* El número de Consultas Según tipo de atención NO DEBE ser diferente al Total. </v>
      </c>
      <c r="CC173" s="1031"/>
      <c r="CD173" s="1031"/>
      <c r="CE173" s="1031"/>
      <c r="CF173" s="1031"/>
      <c r="CG173" s="1031"/>
      <c r="CH173" s="1163">
        <f t="shared" si="7"/>
        <v>1</v>
      </c>
      <c r="CI173" s="1020"/>
      <c r="CJ173" s="1020"/>
      <c r="CK173" s="1020"/>
      <c r="CL173" s="1020"/>
      <c r="CM173" s="1020"/>
      <c r="CN173" s="1020"/>
      <c r="CO173" s="1020"/>
      <c r="CP173" s="1020"/>
      <c r="CQ173" s="1020"/>
      <c r="CR173" s="1020"/>
      <c r="CS173" s="1020"/>
      <c r="CT173" s="1020"/>
      <c r="CU173" s="1020"/>
      <c r="CV173" s="80"/>
      <c r="CW173" s="80"/>
      <c r="CX173" s="80"/>
      <c r="CY173" s="80"/>
      <c r="CZ173" s="80"/>
      <c r="DA173" s="80"/>
    </row>
    <row r="174" spans="1:105" ht="20.25" customHeight="1" x14ac:dyDescent="0.2">
      <c r="A174" s="3009">
        <v>28020990</v>
      </c>
      <c r="B174" s="1304" t="s">
        <v>1716</v>
      </c>
      <c r="C174" s="3070" t="s">
        <v>2777</v>
      </c>
      <c r="D174" s="3086" t="s">
        <v>2778</v>
      </c>
      <c r="E174" s="4749" t="s">
        <v>2779</v>
      </c>
      <c r="F174" s="2901" t="s">
        <v>2780</v>
      </c>
      <c r="G174" s="2902" t="s">
        <v>2781</v>
      </c>
      <c r="H174" s="2901" t="s">
        <v>2782</v>
      </c>
      <c r="I174" s="3323" t="s">
        <v>2783</v>
      </c>
      <c r="J174" s="2901" t="s">
        <v>2784</v>
      </c>
      <c r="K174" s="3323" t="s">
        <v>2785</v>
      </c>
      <c r="L174" s="2901" t="s">
        <v>2786</v>
      </c>
      <c r="M174" s="3323" t="s">
        <v>2787</v>
      </c>
      <c r="N174" s="2901" t="s">
        <v>2788</v>
      </c>
      <c r="O174" s="3323" t="s">
        <v>2789</v>
      </c>
      <c r="P174" s="2901" t="s">
        <v>2790</v>
      </c>
      <c r="Q174" s="3323" t="s">
        <v>2791</v>
      </c>
      <c r="R174" s="2901" t="s">
        <v>2792</v>
      </c>
      <c r="S174" s="3323" t="s">
        <v>2793</v>
      </c>
      <c r="T174" s="2901" t="s">
        <v>2794</v>
      </c>
      <c r="U174" s="3323" t="s">
        <v>2795</v>
      </c>
      <c r="V174" s="2901" t="s">
        <v>2796</v>
      </c>
      <c r="W174" s="3323" t="s">
        <v>2797</v>
      </c>
      <c r="X174" s="2901" t="s">
        <v>2798</v>
      </c>
      <c r="Y174" s="3323" t="s">
        <v>2799</v>
      </c>
      <c r="Z174" s="2901" t="s">
        <v>2800</v>
      </c>
      <c r="AA174" s="3323" t="s">
        <v>2801</v>
      </c>
      <c r="AB174" s="2901" t="s">
        <v>2817</v>
      </c>
      <c r="AC174" s="3323" t="s">
        <v>2818</v>
      </c>
      <c r="AD174" s="2901" t="s">
        <v>2819</v>
      </c>
      <c r="AE174" s="3323" t="s">
        <v>2821</v>
      </c>
      <c r="AF174" s="2901" t="s">
        <v>2822</v>
      </c>
      <c r="AG174" s="3323" t="s">
        <v>2823</v>
      </c>
      <c r="AH174" s="2901" t="s">
        <v>2824</v>
      </c>
      <c r="AI174" s="3323" t="s">
        <v>2825</v>
      </c>
      <c r="AJ174" s="2901" t="s">
        <v>2826</v>
      </c>
      <c r="AK174" s="3323" t="s">
        <v>2827</v>
      </c>
      <c r="AL174" s="2901" t="s">
        <v>2831</v>
      </c>
      <c r="AM174" s="3323" t="s">
        <v>2832</v>
      </c>
      <c r="AN174" s="2901" t="s">
        <v>2833</v>
      </c>
      <c r="AO174" s="3323" t="s">
        <v>2834</v>
      </c>
      <c r="AP174" s="3324" t="s">
        <v>3011</v>
      </c>
      <c r="AQ174" s="3325" t="s">
        <v>3012</v>
      </c>
      <c r="AR174" s="3331" t="s">
        <v>3013</v>
      </c>
      <c r="AS174" s="3395" t="s">
        <v>3014</v>
      </c>
      <c r="AT174" s="2902" t="s">
        <v>3015</v>
      </c>
      <c r="AU174" s="1165" t="str">
        <f t="shared" si="5"/>
        <v xml:space="preserve">* El número de Consultas Según tipo de atención NO DEBE ser diferente al Total. </v>
      </c>
      <c r="AV174" s="1085"/>
      <c r="AW174" s="1085"/>
      <c r="AX174" s="1085"/>
      <c r="AY174" s="1085"/>
      <c r="AZ174" s="1085"/>
      <c r="BA174" s="1085"/>
      <c r="BB174" s="1085"/>
      <c r="BC174" s="1085"/>
      <c r="BD174" s="1085"/>
      <c r="BE174" s="1085"/>
      <c r="BF174" s="94"/>
      <c r="CB174" s="1031" t="str">
        <f t="shared" si="6"/>
        <v xml:space="preserve">* El número de Consultas Según tipo de atención NO DEBE ser diferente al Total. </v>
      </c>
      <c r="CC174" s="1031"/>
      <c r="CD174" s="1031"/>
      <c r="CE174" s="1031"/>
      <c r="CF174" s="1031"/>
      <c r="CG174" s="1031"/>
      <c r="CH174" s="1163">
        <f t="shared" si="7"/>
        <v>1</v>
      </c>
      <c r="CI174" s="1020"/>
      <c r="CJ174" s="1020"/>
      <c r="CK174" s="1020"/>
      <c r="CL174" s="1020"/>
      <c r="CM174" s="1020"/>
      <c r="CN174" s="1020"/>
      <c r="CO174" s="1020"/>
      <c r="CP174" s="1020"/>
      <c r="CQ174" s="1020"/>
      <c r="CR174" s="1020"/>
      <c r="CS174" s="1020"/>
      <c r="CT174" s="1020"/>
      <c r="CU174" s="1020"/>
      <c r="CV174" s="80"/>
      <c r="CW174" s="80"/>
      <c r="CX174" s="80"/>
      <c r="CY174" s="80"/>
      <c r="CZ174" s="80"/>
      <c r="DA174" s="80"/>
    </row>
    <row r="175" spans="1:105" ht="20.25" customHeight="1" x14ac:dyDescent="0.2">
      <c r="A175" s="4678">
        <v>28101050</v>
      </c>
      <c r="B175" s="1304" t="s">
        <v>1709</v>
      </c>
      <c r="C175" s="3070" t="s">
        <v>2777</v>
      </c>
      <c r="D175" s="3086" t="s">
        <v>2778</v>
      </c>
      <c r="E175" s="4749" t="s">
        <v>2779</v>
      </c>
      <c r="F175" s="2901" t="s">
        <v>2780</v>
      </c>
      <c r="G175" s="2902" t="s">
        <v>2781</v>
      </c>
      <c r="H175" s="2901" t="s">
        <v>2782</v>
      </c>
      <c r="I175" s="3323" t="s">
        <v>2783</v>
      </c>
      <c r="J175" s="2901" t="s">
        <v>2784</v>
      </c>
      <c r="K175" s="3323" t="s">
        <v>2785</v>
      </c>
      <c r="L175" s="2901" t="s">
        <v>2786</v>
      </c>
      <c r="M175" s="3323" t="s">
        <v>2787</v>
      </c>
      <c r="N175" s="2901" t="s">
        <v>2788</v>
      </c>
      <c r="O175" s="3323" t="s">
        <v>2789</v>
      </c>
      <c r="P175" s="2901" t="s">
        <v>2790</v>
      </c>
      <c r="Q175" s="3323" t="s">
        <v>2791</v>
      </c>
      <c r="R175" s="2901" t="s">
        <v>2792</v>
      </c>
      <c r="S175" s="3323" t="s">
        <v>2793</v>
      </c>
      <c r="T175" s="2901" t="s">
        <v>2794</v>
      </c>
      <c r="U175" s="3323" t="s">
        <v>2795</v>
      </c>
      <c r="V175" s="2901" t="s">
        <v>2796</v>
      </c>
      <c r="W175" s="3323" t="s">
        <v>2797</v>
      </c>
      <c r="X175" s="2901" t="s">
        <v>2798</v>
      </c>
      <c r="Y175" s="3323" t="s">
        <v>2799</v>
      </c>
      <c r="Z175" s="2901" t="s">
        <v>2800</v>
      </c>
      <c r="AA175" s="3323" t="s">
        <v>2801</v>
      </c>
      <c r="AB175" s="2901" t="s">
        <v>2817</v>
      </c>
      <c r="AC175" s="3323" t="s">
        <v>2818</v>
      </c>
      <c r="AD175" s="2901" t="s">
        <v>2819</v>
      </c>
      <c r="AE175" s="3323" t="s">
        <v>2821</v>
      </c>
      <c r="AF175" s="2901" t="s">
        <v>2822</v>
      </c>
      <c r="AG175" s="3323" t="s">
        <v>2823</v>
      </c>
      <c r="AH175" s="2901" t="s">
        <v>2824</v>
      </c>
      <c r="AI175" s="3323" t="s">
        <v>2825</v>
      </c>
      <c r="AJ175" s="2901" t="s">
        <v>2826</v>
      </c>
      <c r="AK175" s="3323" t="s">
        <v>2827</v>
      </c>
      <c r="AL175" s="2901" t="s">
        <v>2831</v>
      </c>
      <c r="AM175" s="3323" t="s">
        <v>2832</v>
      </c>
      <c r="AN175" s="2901" t="s">
        <v>2833</v>
      </c>
      <c r="AO175" s="3323" t="s">
        <v>2834</v>
      </c>
      <c r="AP175" s="3324" t="s">
        <v>3011</v>
      </c>
      <c r="AQ175" s="3325" t="s">
        <v>3012</v>
      </c>
      <c r="AR175" s="3331" t="s">
        <v>3013</v>
      </c>
      <c r="AS175" s="3395" t="s">
        <v>3014</v>
      </c>
      <c r="AT175" s="2902" t="s">
        <v>3015</v>
      </c>
      <c r="AU175" s="1165"/>
      <c r="AV175" s="1085"/>
      <c r="AW175" s="1085"/>
      <c r="AX175" s="1085"/>
      <c r="AY175" s="1085"/>
      <c r="AZ175" s="1085"/>
      <c r="BA175" s="1085"/>
      <c r="BB175" s="1085"/>
      <c r="BC175" s="1085"/>
      <c r="BD175" s="1085"/>
      <c r="BE175" s="1085"/>
      <c r="BF175" s="94"/>
      <c r="CB175" s="1031"/>
      <c r="CC175" s="1031"/>
      <c r="CD175" s="1031"/>
      <c r="CE175" s="1031"/>
      <c r="CF175" s="1031"/>
      <c r="CG175" s="1031"/>
      <c r="CH175" s="1163"/>
      <c r="CI175" s="1020"/>
      <c r="CJ175" s="1020"/>
      <c r="CK175" s="1020"/>
      <c r="CL175" s="1020"/>
      <c r="CM175" s="1020"/>
      <c r="CN175" s="1020"/>
      <c r="CO175" s="1020"/>
      <c r="CP175" s="1020"/>
      <c r="CQ175" s="1020"/>
      <c r="CR175" s="1020"/>
      <c r="CS175" s="1020"/>
      <c r="CT175" s="1020"/>
      <c r="CU175" s="1020"/>
      <c r="CV175" s="80"/>
      <c r="CW175" s="80"/>
      <c r="CX175" s="80"/>
      <c r="CY175" s="80"/>
      <c r="CZ175" s="80"/>
      <c r="DA175" s="80"/>
    </row>
    <row r="176" spans="1:105" ht="20.25" customHeight="1" x14ac:dyDescent="0.2">
      <c r="A176" s="3009">
        <v>28021000</v>
      </c>
      <c r="B176" s="1194" t="s">
        <v>1190</v>
      </c>
      <c r="C176" s="3070" t="s">
        <v>2777</v>
      </c>
      <c r="D176" s="3086" t="s">
        <v>2778</v>
      </c>
      <c r="E176" s="4749" t="s">
        <v>2779</v>
      </c>
      <c r="F176" s="2901" t="s">
        <v>2780</v>
      </c>
      <c r="G176" s="2902" t="s">
        <v>2781</v>
      </c>
      <c r="H176" s="2901" t="s">
        <v>2782</v>
      </c>
      <c r="I176" s="3323" t="s">
        <v>2783</v>
      </c>
      <c r="J176" s="2901" t="s">
        <v>2784</v>
      </c>
      <c r="K176" s="3323" t="s">
        <v>2785</v>
      </c>
      <c r="L176" s="2901" t="s">
        <v>2786</v>
      </c>
      <c r="M176" s="3323" t="s">
        <v>2787</v>
      </c>
      <c r="N176" s="2901" t="s">
        <v>2788</v>
      </c>
      <c r="O176" s="3323" t="s">
        <v>2789</v>
      </c>
      <c r="P176" s="2901" t="s">
        <v>2790</v>
      </c>
      <c r="Q176" s="3323" t="s">
        <v>2791</v>
      </c>
      <c r="R176" s="2901" t="s">
        <v>2792</v>
      </c>
      <c r="S176" s="3323" t="s">
        <v>2793</v>
      </c>
      <c r="T176" s="2901" t="s">
        <v>2794</v>
      </c>
      <c r="U176" s="3323" t="s">
        <v>2795</v>
      </c>
      <c r="V176" s="2901" t="s">
        <v>2796</v>
      </c>
      <c r="W176" s="3323" t="s">
        <v>2797</v>
      </c>
      <c r="X176" s="2901" t="s">
        <v>2798</v>
      </c>
      <c r="Y176" s="3323" t="s">
        <v>2799</v>
      </c>
      <c r="Z176" s="2901" t="s">
        <v>2800</v>
      </c>
      <c r="AA176" s="3323" t="s">
        <v>2801</v>
      </c>
      <c r="AB176" s="2901" t="s">
        <v>2817</v>
      </c>
      <c r="AC176" s="3323" t="s">
        <v>2818</v>
      </c>
      <c r="AD176" s="2901" t="s">
        <v>2819</v>
      </c>
      <c r="AE176" s="3323" t="s">
        <v>2821</v>
      </c>
      <c r="AF176" s="2901" t="s">
        <v>2822</v>
      </c>
      <c r="AG176" s="3323" t="s">
        <v>2823</v>
      </c>
      <c r="AH176" s="2901" t="s">
        <v>2824</v>
      </c>
      <c r="AI176" s="3323" t="s">
        <v>2825</v>
      </c>
      <c r="AJ176" s="2901" t="s">
        <v>2826</v>
      </c>
      <c r="AK176" s="3323" t="s">
        <v>2827</v>
      </c>
      <c r="AL176" s="2901" t="s">
        <v>2831</v>
      </c>
      <c r="AM176" s="3323" t="s">
        <v>2832</v>
      </c>
      <c r="AN176" s="2901" t="s">
        <v>2833</v>
      </c>
      <c r="AO176" s="3323" t="s">
        <v>2834</v>
      </c>
      <c r="AP176" s="3324" t="s">
        <v>3011</v>
      </c>
      <c r="AQ176" s="3325" t="s">
        <v>3012</v>
      </c>
      <c r="AR176" s="3331" t="s">
        <v>3013</v>
      </c>
      <c r="AS176" s="3395" t="s">
        <v>3014</v>
      </c>
      <c r="AT176" s="2902" t="s">
        <v>3015</v>
      </c>
      <c r="AU176" s="1165" t="str">
        <f t="shared" ref="AU176:AU192" si="8">CB176</f>
        <v xml:space="preserve">* El número de Consultas Según tipo de atención NO DEBE ser diferente al Total. </v>
      </c>
      <c r="AV176" s="94"/>
      <c r="AW176" s="94"/>
      <c r="AX176" s="94"/>
      <c r="AY176" s="94"/>
      <c r="AZ176" s="94"/>
      <c r="BA176" s="94"/>
      <c r="BB176" s="94"/>
      <c r="BC176" s="94"/>
      <c r="BD176" s="94"/>
      <c r="BE176" s="94"/>
      <c r="BF176" s="94"/>
      <c r="CB176" s="1031" t="str">
        <f t="shared" ref="CB176:CB192" si="9">IF(CH176=1,"* El número de Consultas Según tipo de atención NO DEBE ser diferente al Total. ","")</f>
        <v xml:space="preserve">* El número de Consultas Según tipo de atención NO DEBE ser diferente al Total. </v>
      </c>
      <c r="CC176" s="1031"/>
      <c r="CD176" s="1031"/>
      <c r="CE176" s="1031"/>
      <c r="CF176" s="1031"/>
      <c r="CG176" s="1031"/>
      <c r="CH176" s="1163">
        <f t="shared" ref="CH176:CH192" si="10">IF(C176&lt;&gt;SUM(AR176:AT176),1,0)</f>
        <v>1</v>
      </c>
      <c r="CI176" s="1020"/>
      <c r="CJ176" s="1020"/>
      <c r="CK176" s="1020"/>
      <c r="CL176" s="1020"/>
      <c r="CM176" s="1020"/>
      <c r="CN176" s="1020"/>
      <c r="CO176" s="1020"/>
      <c r="CP176" s="1020"/>
      <c r="CQ176" s="1020"/>
      <c r="CR176" s="1020"/>
      <c r="CS176" s="1020"/>
      <c r="CT176" s="1020"/>
      <c r="CU176" s="1020"/>
      <c r="CV176" s="80"/>
      <c r="CW176" s="80"/>
      <c r="CX176" s="80"/>
      <c r="CY176" s="80"/>
      <c r="CZ176" s="80"/>
      <c r="DA176" s="80"/>
    </row>
    <row r="177" spans="1:105" ht="20.25" customHeight="1" x14ac:dyDescent="0.2">
      <c r="A177" s="3009">
        <v>28021110</v>
      </c>
      <c r="B177" s="1194" t="s">
        <v>1191</v>
      </c>
      <c r="C177" s="3070" t="s">
        <v>2777</v>
      </c>
      <c r="D177" s="3086" t="s">
        <v>2778</v>
      </c>
      <c r="E177" s="4749" t="s">
        <v>2779</v>
      </c>
      <c r="F177" s="2901" t="s">
        <v>2780</v>
      </c>
      <c r="G177" s="2902" t="s">
        <v>2781</v>
      </c>
      <c r="H177" s="2901" t="s">
        <v>2782</v>
      </c>
      <c r="I177" s="3323" t="s">
        <v>2783</v>
      </c>
      <c r="J177" s="2901" t="s">
        <v>2784</v>
      </c>
      <c r="K177" s="3323" t="s">
        <v>2785</v>
      </c>
      <c r="L177" s="2901" t="s">
        <v>2786</v>
      </c>
      <c r="M177" s="3323" t="s">
        <v>2787</v>
      </c>
      <c r="N177" s="2901" t="s">
        <v>2788</v>
      </c>
      <c r="O177" s="3323" t="s">
        <v>2789</v>
      </c>
      <c r="P177" s="2901" t="s">
        <v>2790</v>
      </c>
      <c r="Q177" s="3323" t="s">
        <v>2791</v>
      </c>
      <c r="R177" s="2901" t="s">
        <v>2792</v>
      </c>
      <c r="S177" s="3323" t="s">
        <v>2793</v>
      </c>
      <c r="T177" s="2901" t="s">
        <v>2794</v>
      </c>
      <c r="U177" s="3323" t="s">
        <v>2795</v>
      </c>
      <c r="V177" s="2901" t="s">
        <v>2796</v>
      </c>
      <c r="W177" s="3323" t="s">
        <v>2797</v>
      </c>
      <c r="X177" s="2901" t="s">
        <v>2798</v>
      </c>
      <c r="Y177" s="3323" t="s">
        <v>2799</v>
      </c>
      <c r="Z177" s="2901" t="s">
        <v>2800</v>
      </c>
      <c r="AA177" s="3323" t="s">
        <v>2801</v>
      </c>
      <c r="AB177" s="2901" t="s">
        <v>2817</v>
      </c>
      <c r="AC177" s="3323" t="s">
        <v>2818</v>
      </c>
      <c r="AD177" s="2901" t="s">
        <v>2819</v>
      </c>
      <c r="AE177" s="3323" t="s">
        <v>2821</v>
      </c>
      <c r="AF177" s="2901" t="s">
        <v>2822</v>
      </c>
      <c r="AG177" s="3323" t="s">
        <v>2823</v>
      </c>
      <c r="AH177" s="2901" t="s">
        <v>2824</v>
      </c>
      <c r="AI177" s="3323" t="s">
        <v>2825</v>
      </c>
      <c r="AJ177" s="2901" t="s">
        <v>2826</v>
      </c>
      <c r="AK177" s="3323" t="s">
        <v>2827</v>
      </c>
      <c r="AL177" s="2901" t="s">
        <v>2831</v>
      </c>
      <c r="AM177" s="3323" t="s">
        <v>2832</v>
      </c>
      <c r="AN177" s="2901" t="s">
        <v>2833</v>
      </c>
      <c r="AO177" s="3323" t="s">
        <v>2834</v>
      </c>
      <c r="AP177" s="3324" t="s">
        <v>3011</v>
      </c>
      <c r="AQ177" s="3325" t="s">
        <v>3012</v>
      </c>
      <c r="AR177" s="3331" t="s">
        <v>3013</v>
      </c>
      <c r="AS177" s="3395" t="s">
        <v>3014</v>
      </c>
      <c r="AT177" s="2902" t="s">
        <v>3015</v>
      </c>
      <c r="AU177" s="1165" t="str">
        <f t="shared" si="8"/>
        <v xml:space="preserve">* El número de Consultas Según tipo de atención NO DEBE ser diferente al Total. </v>
      </c>
      <c r="AV177" s="94"/>
      <c r="AW177" s="94"/>
      <c r="AX177" s="94"/>
      <c r="AY177" s="94"/>
      <c r="AZ177" s="94"/>
      <c r="BA177" s="94"/>
      <c r="BB177" s="94"/>
      <c r="BC177" s="94"/>
      <c r="BD177" s="94"/>
      <c r="BE177" s="94"/>
      <c r="BF177" s="94"/>
      <c r="CB177" s="1031" t="str">
        <f t="shared" si="9"/>
        <v xml:space="preserve">* El número de Consultas Según tipo de atención NO DEBE ser diferente al Total. </v>
      </c>
      <c r="CC177" s="1031"/>
      <c r="CD177" s="1031"/>
      <c r="CE177" s="1031"/>
      <c r="CF177" s="1031"/>
      <c r="CG177" s="1031"/>
      <c r="CH177" s="1163">
        <f t="shared" si="10"/>
        <v>1</v>
      </c>
      <c r="CI177" s="1020"/>
      <c r="CJ177" s="1020"/>
      <c r="CK177" s="1020"/>
      <c r="CL177" s="1020"/>
      <c r="CM177" s="1020"/>
      <c r="CN177" s="1020"/>
      <c r="CO177" s="1020"/>
      <c r="CP177" s="1020"/>
      <c r="CQ177" s="1020"/>
      <c r="CR177" s="1020"/>
      <c r="CS177" s="1020"/>
      <c r="CT177" s="1020"/>
      <c r="CU177" s="1020"/>
      <c r="CV177" s="80"/>
      <c r="CW177" s="80"/>
      <c r="CX177" s="80"/>
      <c r="CY177" s="80"/>
      <c r="CZ177" s="80"/>
      <c r="DA177" s="80"/>
    </row>
    <row r="178" spans="1:105" ht="20.25" customHeight="1" x14ac:dyDescent="0.2">
      <c r="A178" s="3009">
        <v>28021120</v>
      </c>
      <c r="B178" s="1194" t="s">
        <v>1192</v>
      </c>
      <c r="C178" s="3070" t="s">
        <v>2777</v>
      </c>
      <c r="D178" s="3086" t="s">
        <v>2778</v>
      </c>
      <c r="E178" s="4749" t="s">
        <v>2779</v>
      </c>
      <c r="F178" s="2901" t="s">
        <v>2780</v>
      </c>
      <c r="G178" s="2902" t="s">
        <v>2781</v>
      </c>
      <c r="H178" s="2901" t="s">
        <v>2782</v>
      </c>
      <c r="I178" s="3323" t="s">
        <v>2783</v>
      </c>
      <c r="J178" s="2901" t="s">
        <v>2784</v>
      </c>
      <c r="K178" s="3323" t="s">
        <v>2785</v>
      </c>
      <c r="L178" s="2901" t="s">
        <v>2786</v>
      </c>
      <c r="M178" s="3323" t="s">
        <v>2787</v>
      </c>
      <c r="N178" s="2901" t="s">
        <v>2788</v>
      </c>
      <c r="O178" s="3323" t="s">
        <v>2789</v>
      </c>
      <c r="P178" s="2901" t="s">
        <v>2790</v>
      </c>
      <c r="Q178" s="3323" t="s">
        <v>2791</v>
      </c>
      <c r="R178" s="2901" t="s">
        <v>2792</v>
      </c>
      <c r="S178" s="3323" t="s">
        <v>2793</v>
      </c>
      <c r="T178" s="2901" t="s">
        <v>2794</v>
      </c>
      <c r="U178" s="3323" t="s">
        <v>2795</v>
      </c>
      <c r="V178" s="2901" t="s">
        <v>2796</v>
      </c>
      <c r="W178" s="3323" t="s">
        <v>2797</v>
      </c>
      <c r="X178" s="2901" t="s">
        <v>2798</v>
      </c>
      <c r="Y178" s="3323" t="s">
        <v>2799</v>
      </c>
      <c r="Z178" s="2901" t="s">
        <v>2800</v>
      </c>
      <c r="AA178" s="3323" t="s">
        <v>2801</v>
      </c>
      <c r="AB178" s="2901" t="s">
        <v>2817</v>
      </c>
      <c r="AC178" s="3323" t="s">
        <v>2818</v>
      </c>
      <c r="AD178" s="2901" t="s">
        <v>2819</v>
      </c>
      <c r="AE178" s="3323" t="s">
        <v>2821</v>
      </c>
      <c r="AF178" s="2901" t="s">
        <v>2822</v>
      </c>
      <c r="AG178" s="3323" t="s">
        <v>2823</v>
      </c>
      <c r="AH178" s="2901" t="s">
        <v>2824</v>
      </c>
      <c r="AI178" s="3323" t="s">
        <v>2825</v>
      </c>
      <c r="AJ178" s="2901" t="s">
        <v>2826</v>
      </c>
      <c r="AK178" s="3323" t="s">
        <v>2827</v>
      </c>
      <c r="AL178" s="2901" t="s">
        <v>2831</v>
      </c>
      <c r="AM178" s="3323" t="s">
        <v>2832</v>
      </c>
      <c r="AN178" s="2901" t="s">
        <v>2833</v>
      </c>
      <c r="AO178" s="3323" t="s">
        <v>2834</v>
      </c>
      <c r="AP178" s="3324" t="s">
        <v>3011</v>
      </c>
      <c r="AQ178" s="3325" t="s">
        <v>3012</v>
      </c>
      <c r="AR178" s="3331" t="s">
        <v>3013</v>
      </c>
      <c r="AS178" s="3395" t="s">
        <v>3014</v>
      </c>
      <c r="AT178" s="2902" t="s">
        <v>3015</v>
      </c>
      <c r="AU178" s="1165" t="str">
        <f t="shared" si="8"/>
        <v xml:space="preserve">* El número de Consultas Según tipo de atención NO DEBE ser diferente al Total. </v>
      </c>
      <c r="AV178" s="94"/>
      <c r="AW178" s="94"/>
      <c r="AX178" s="94"/>
      <c r="AY178" s="94"/>
      <c r="AZ178" s="94"/>
      <c r="BA178" s="94"/>
      <c r="BB178" s="94"/>
      <c r="BC178" s="94"/>
      <c r="BD178" s="94"/>
      <c r="BE178" s="94"/>
      <c r="BF178" s="94"/>
      <c r="CB178" s="1031" t="str">
        <f t="shared" si="9"/>
        <v xml:space="preserve">* El número de Consultas Según tipo de atención NO DEBE ser diferente al Total. </v>
      </c>
      <c r="CC178" s="1031"/>
      <c r="CD178" s="1031"/>
      <c r="CE178" s="1031"/>
      <c r="CF178" s="1031"/>
      <c r="CG178" s="1031"/>
      <c r="CH178" s="1163">
        <f t="shared" si="10"/>
        <v>1</v>
      </c>
      <c r="CI178" s="1020"/>
      <c r="CJ178" s="1020"/>
      <c r="CK178" s="1020"/>
      <c r="CL178" s="1020"/>
      <c r="CM178" s="1020"/>
      <c r="CN178" s="1020"/>
      <c r="CO178" s="1020"/>
      <c r="CP178" s="1020"/>
      <c r="CQ178" s="1020"/>
      <c r="CR178" s="1020"/>
      <c r="CS178" s="1020"/>
      <c r="CT178" s="1020"/>
      <c r="CU178" s="1020"/>
      <c r="CV178" s="80"/>
      <c r="CW178" s="80"/>
      <c r="CX178" s="80"/>
      <c r="CY178" s="80"/>
      <c r="CZ178" s="80"/>
      <c r="DA178" s="80"/>
    </row>
    <row r="179" spans="1:105" ht="20.25" customHeight="1" x14ac:dyDescent="0.2">
      <c r="A179" s="3009">
        <v>28021130</v>
      </c>
      <c r="B179" s="1194" t="s">
        <v>1557</v>
      </c>
      <c r="C179" s="3070" t="s">
        <v>2777</v>
      </c>
      <c r="D179" s="3086" t="s">
        <v>2778</v>
      </c>
      <c r="E179" s="4749" t="s">
        <v>2779</v>
      </c>
      <c r="F179" s="2901" t="s">
        <v>2780</v>
      </c>
      <c r="G179" s="2902" t="s">
        <v>2781</v>
      </c>
      <c r="H179" s="2901" t="s">
        <v>2782</v>
      </c>
      <c r="I179" s="3323" t="s">
        <v>2783</v>
      </c>
      <c r="J179" s="2901" t="s">
        <v>2784</v>
      </c>
      <c r="K179" s="3323" t="s">
        <v>2785</v>
      </c>
      <c r="L179" s="2901" t="s">
        <v>2786</v>
      </c>
      <c r="M179" s="3323" t="s">
        <v>2787</v>
      </c>
      <c r="N179" s="2901" t="s">
        <v>2788</v>
      </c>
      <c r="O179" s="3323" t="s">
        <v>2789</v>
      </c>
      <c r="P179" s="2901" t="s">
        <v>2790</v>
      </c>
      <c r="Q179" s="3323" t="s">
        <v>2791</v>
      </c>
      <c r="R179" s="2901" t="s">
        <v>2792</v>
      </c>
      <c r="S179" s="3323" t="s">
        <v>2793</v>
      </c>
      <c r="T179" s="2901" t="s">
        <v>2794</v>
      </c>
      <c r="U179" s="3323" t="s">
        <v>2795</v>
      </c>
      <c r="V179" s="2901" t="s">
        <v>2796</v>
      </c>
      <c r="W179" s="3323" t="s">
        <v>2797</v>
      </c>
      <c r="X179" s="2901" t="s">
        <v>2798</v>
      </c>
      <c r="Y179" s="3323" t="s">
        <v>2799</v>
      </c>
      <c r="Z179" s="2901" t="s">
        <v>2800</v>
      </c>
      <c r="AA179" s="3323" t="s">
        <v>2801</v>
      </c>
      <c r="AB179" s="2901" t="s">
        <v>2817</v>
      </c>
      <c r="AC179" s="3323" t="s">
        <v>2818</v>
      </c>
      <c r="AD179" s="2901" t="s">
        <v>2819</v>
      </c>
      <c r="AE179" s="3323" t="s">
        <v>2821</v>
      </c>
      <c r="AF179" s="2901" t="s">
        <v>2822</v>
      </c>
      <c r="AG179" s="3323" t="s">
        <v>2823</v>
      </c>
      <c r="AH179" s="2901" t="s">
        <v>2824</v>
      </c>
      <c r="AI179" s="3323" t="s">
        <v>2825</v>
      </c>
      <c r="AJ179" s="2901" t="s">
        <v>2826</v>
      </c>
      <c r="AK179" s="3323" t="s">
        <v>2827</v>
      </c>
      <c r="AL179" s="2901" t="s">
        <v>2831</v>
      </c>
      <c r="AM179" s="3323" t="s">
        <v>2832</v>
      </c>
      <c r="AN179" s="2901" t="s">
        <v>2833</v>
      </c>
      <c r="AO179" s="3323" t="s">
        <v>2834</v>
      </c>
      <c r="AP179" s="3324" t="s">
        <v>3011</v>
      </c>
      <c r="AQ179" s="3325" t="s">
        <v>3012</v>
      </c>
      <c r="AR179" s="3331" t="s">
        <v>3013</v>
      </c>
      <c r="AS179" s="3395" t="s">
        <v>3014</v>
      </c>
      <c r="AT179" s="2902" t="s">
        <v>3015</v>
      </c>
      <c r="AU179" s="1165" t="str">
        <f t="shared" si="8"/>
        <v xml:space="preserve">* El número de Consultas Según tipo de atención NO DEBE ser diferente al Total. </v>
      </c>
      <c r="AV179" s="94"/>
      <c r="AW179" s="94"/>
      <c r="AX179" s="94"/>
      <c r="AY179" s="94"/>
      <c r="AZ179" s="94"/>
      <c r="BA179" s="94"/>
      <c r="BB179" s="94"/>
      <c r="BC179" s="94"/>
      <c r="BD179" s="94"/>
      <c r="BE179" s="94"/>
      <c r="BF179" s="94"/>
      <c r="CB179" s="1031" t="str">
        <f t="shared" si="9"/>
        <v xml:space="preserve">* El número de Consultas Según tipo de atención NO DEBE ser diferente al Total. </v>
      </c>
      <c r="CC179" s="1031"/>
      <c r="CD179" s="1031"/>
      <c r="CE179" s="1031"/>
      <c r="CF179" s="1031"/>
      <c r="CG179" s="1031"/>
      <c r="CH179" s="1163">
        <f t="shared" si="10"/>
        <v>1</v>
      </c>
      <c r="CI179" s="1020"/>
      <c r="CJ179" s="1020"/>
      <c r="CK179" s="1020"/>
      <c r="CL179" s="1020"/>
      <c r="CM179" s="1020"/>
      <c r="CN179" s="1020"/>
      <c r="CO179" s="1020"/>
      <c r="CP179" s="1020"/>
      <c r="CQ179" s="1020"/>
      <c r="CR179" s="1020"/>
      <c r="CS179" s="1020"/>
      <c r="CT179" s="1020"/>
      <c r="CU179" s="1020"/>
      <c r="CV179" s="80"/>
      <c r="CW179" s="80"/>
      <c r="CX179" s="80"/>
      <c r="CY179" s="80"/>
      <c r="CZ179" s="80"/>
      <c r="DA179" s="80"/>
    </row>
    <row r="180" spans="1:105" ht="20.25" customHeight="1" x14ac:dyDescent="0.2">
      <c r="A180" s="3009">
        <v>28022390</v>
      </c>
      <c r="B180" s="1194" t="s">
        <v>1558</v>
      </c>
      <c r="C180" s="3070" t="s">
        <v>2777</v>
      </c>
      <c r="D180" s="3086" t="s">
        <v>2778</v>
      </c>
      <c r="E180" s="4749" t="s">
        <v>2779</v>
      </c>
      <c r="F180" s="2901" t="s">
        <v>2780</v>
      </c>
      <c r="G180" s="2902" t="s">
        <v>2781</v>
      </c>
      <c r="H180" s="2901" t="s">
        <v>2782</v>
      </c>
      <c r="I180" s="3323" t="s">
        <v>2783</v>
      </c>
      <c r="J180" s="2901" t="s">
        <v>2784</v>
      </c>
      <c r="K180" s="3323" t="s">
        <v>2785</v>
      </c>
      <c r="L180" s="2901" t="s">
        <v>2786</v>
      </c>
      <c r="M180" s="3323" t="s">
        <v>2787</v>
      </c>
      <c r="N180" s="2901" t="s">
        <v>2788</v>
      </c>
      <c r="O180" s="3323" t="s">
        <v>2789</v>
      </c>
      <c r="P180" s="2901" t="s">
        <v>2790</v>
      </c>
      <c r="Q180" s="3323" t="s">
        <v>2791</v>
      </c>
      <c r="R180" s="2901" t="s">
        <v>2792</v>
      </c>
      <c r="S180" s="3323" t="s">
        <v>2793</v>
      </c>
      <c r="T180" s="2901" t="s">
        <v>2794</v>
      </c>
      <c r="U180" s="3323" t="s">
        <v>2795</v>
      </c>
      <c r="V180" s="2901" t="s">
        <v>2796</v>
      </c>
      <c r="W180" s="3323" t="s">
        <v>2797</v>
      </c>
      <c r="X180" s="2901" t="s">
        <v>2798</v>
      </c>
      <c r="Y180" s="3323" t="s">
        <v>2799</v>
      </c>
      <c r="Z180" s="2901" t="s">
        <v>2800</v>
      </c>
      <c r="AA180" s="3323" t="s">
        <v>2801</v>
      </c>
      <c r="AB180" s="2901" t="s">
        <v>2817</v>
      </c>
      <c r="AC180" s="3323" t="s">
        <v>2818</v>
      </c>
      <c r="AD180" s="2901" t="s">
        <v>2819</v>
      </c>
      <c r="AE180" s="3323" t="s">
        <v>2821</v>
      </c>
      <c r="AF180" s="2901" t="s">
        <v>2822</v>
      </c>
      <c r="AG180" s="3323" t="s">
        <v>2823</v>
      </c>
      <c r="AH180" s="2901" t="s">
        <v>2824</v>
      </c>
      <c r="AI180" s="3323" t="s">
        <v>2825</v>
      </c>
      <c r="AJ180" s="2901" t="s">
        <v>2826</v>
      </c>
      <c r="AK180" s="3323" t="s">
        <v>2827</v>
      </c>
      <c r="AL180" s="2901" t="s">
        <v>2831</v>
      </c>
      <c r="AM180" s="3323" t="s">
        <v>2832</v>
      </c>
      <c r="AN180" s="2901" t="s">
        <v>2833</v>
      </c>
      <c r="AO180" s="3323" t="s">
        <v>2834</v>
      </c>
      <c r="AP180" s="3324" t="s">
        <v>3011</v>
      </c>
      <c r="AQ180" s="3325" t="s">
        <v>3012</v>
      </c>
      <c r="AR180" s="3331" t="s">
        <v>3013</v>
      </c>
      <c r="AS180" s="3395" t="s">
        <v>3014</v>
      </c>
      <c r="AT180" s="2902" t="s">
        <v>3015</v>
      </c>
      <c r="AU180" s="1165" t="str">
        <f t="shared" si="8"/>
        <v xml:space="preserve">* El número de Consultas Según tipo de atención NO DEBE ser diferente al Total. </v>
      </c>
      <c r="CB180" s="1031" t="str">
        <f t="shared" si="9"/>
        <v xml:space="preserve">* El número de Consultas Según tipo de atención NO DEBE ser diferente al Total. </v>
      </c>
      <c r="CC180" s="1031"/>
      <c r="CD180" s="1031"/>
      <c r="CE180" s="1031"/>
      <c r="CF180" s="1031"/>
      <c r="CG180" s="1031"/>
      <c r="CH180" s="1163">
        <f t="shared" si="10"/>
        <v>1</v>
      </c>
      <c r="CI180" s="1020"/>
      <c r="CJ180" s="1020"/>
      <c r="CK180" s="1020"/>
      <c r="CL180" s="1020"/>
      <c r="CM180" s="1020"/>
      <c r="CN180" s="1020"/>
      <c r="CO180" s="1020"/>
      <c r="CP180" s="1020"/>
      <c r="CQ180" s="1020"/>
      <c r="CR180" s="1020"/>
      <c r="CS180" s="1020"/>
      <c r="CT180" s="1020"/>
      <c r="CU180" s="1020"/>
      <c r="CV180" s="80"/>
      <c r="CW180" s="80"/>
      <c r="CX180" s="80"/>
      <c r="CY180" s="80"/>
      <c r="CZ180" s="80"/>
      <c r="DA180" s="80"/>
    </row>
    <row r="181" spans="1:105" ht="20.25" customHeight="1" x14ac:dyDescent="0.2">
      <c r="A181" s="4678">
        <v>28101060</v>
      </c>
      <c r="B181" s="1304" t="s">
        <v>2216</v>
      </c>
      <c r="C181" s="3070" t="s">
        <v>2777</v>
      </c>
      <c r="D181" s="3086" t="s">
        <v>2778</v>
      </c>
      <c r="E181" s="4749" t="s">
        <v>2779</v>
      </c>
      <c r="F181" s="2901" t="s">
        <v>2780</v>
      </c>
      <c r="G181" s="2902" t="s">
        <v>2781</v>
      </c>
      <c r="H181" s="2901" t="s">
        <v>2782</v>
      </c>
      <c r="I181" s="3323" t="s">
        <v>2783</v>
      </c>
      <c r="J181" s="2901" t="s">
        <v>2784</v>
      </c>
      <c r="K181" s="3323" t="s">
        <v>2785</v>
      </c>
      <c r="L181" s="2901" t="s">
        <v>2786</v>
      </c>
      <c r="M181" s="3323" t="s">
        <v>2787</v>
      </c>
      <c r="N181" s="2901" t="s">
        <v>2788</v>
      </c>
      <c r="O181" s="3323" t="s">
        <v>2789</v>
      </c>
      <c r="P181" s="2901" t="s">
        <v>2790</v>
      </c>
      <c r="Q181" s="3323" t="s">
        <v>2791</v>
      </c>
      <c r="R181" s="2901" t="s">
        <v>2792</v>
      </c>
      <c r="S181" s="3323" t="s">
        <v>2793</v>
      </c>
      <c r="T181" s="2901" t="s">
        <v>2794</v>
      </c>
      <c r="U181" s="3323" t="s">
        <v>2795</v>
      </c>
      <c r="V181" s="2901" t="s">
        <v>2796</v>
      </c>
      <c r="W181" s="3323" t="s">
        <v>2797</v>
      </c>
      <c r="X181" s="2901" t="s">
        <v>2798</v>
      </c>
      <c r="Y181" s="3323" t="s">
        <v>2799</v>
      </c>
      <c r="Z181" s="2901" t="s">
        <v>2800</v>
      </c>
      <c r="AA181" s="3323" t="s">
        <v>2801</v>
      </c>
      <c r="AB181" s="2901" t="s">
        <v>2817</v>
      </c>
      <c r="AC181" s="3323" t="s">
        <v>2818</v>
      </c>
      <c r="AD181" s="2901" t="s">
        <v>2819</v>
      </c>
      <c r="AE181" s="3323" t="s">
        <v>2821</v>
      </c>
      <c r="AF181" s="2901" t="s">
        <v>2822</v>
      </c>
      <c r="AG181" s="3323" t="s">
        <v>2823</v>
      </c>
      <c r="AH181" s="2901" t="s">
        <v>2824</v>
      </c>
      <c r="AI181" s="3323" t="s">
        <v>2825</v>
      </c>
      <c r="AJ181" s="2901" t="s">
        <v>2826</v>
      </c>
      <c r="AK181" s="3323" t="s">
        <v>2827</v>
      </c>
      <c r="AL181" s="2901" t="s">
        <v>2831</v>
      </c>
      <c r="AM181" s="3323" t="s">
        <v>2832</v>
      </c>
      <c r="AN181" s="2901" t="s">
        <v>2833</v>
      </c>
      <c r="AO181" s="3323" t="s">
        <v>2834</v>
      </c>
      <c r="AP181" s="3324" t="s">
        <v>3011</v>
      </c>
      <c r="AQ181" s="3325" t="s">
        <v>3012</v>
      </c>
      <c r="AR181" s="3331" t="s">
        <v>3013</v>
      </c>
      <c r="AS181" s="3395" t="s">
        <v>3014</v>
      </c>
      <c r="AT181" s="2902" t="s">
        <v>3015</v>
      </c>
      <c r="AU181" s="1165" t="str">
        <f t="shared" si="8"/>
        <v xml:space="preserve">* El número de Consultas Según tipo de atención NO DEBE ser diferente al Total. </v>
      </c>
      <c r="CB181" s="1031" t="str">
        <f t="shared" si="9"/>
        <v xml:space="preserve">* El número de Consultas Según tipo de atención NO DEBE ser diferente al Total. </v>
      </c>
      <c r="CC181" s="1031"/>
      <c r="CD181" s="1031"/>
      <c r="CE181" s="1031"/>
      <c r="CF181" s="1031"/>
      <c r="CG181" s="1031"/>
      <c r="CH181" s="1163">
        <f t="shared" si="10"/>
        <v>1</v>
      </c>
      <c r="CI181" s="1020"/>
      <c r="CJ181" s="1020"/>
      <c r="CK181" s="1020"/>
      <c r="CL181" s="1020"/>
      <c r="CM181" s="1020"/>
      <c r="CN181" s="1020"/>
      <c r="CO181" s="1020"/>
      <c r="CP181" s="1020"/>
      <c r="CQ181" s="1020"/>
      <c r="CR181" s="1020"/>
      <c r="CS181" s="1020"/>
      <c r="CT181" s="1020"/>
      <c r="CU181" s="1020"/>
      <c r="CV181" s="80"/>
      <c r="CW181" s="80"/>
      <c r="CX181" s="80"/>
      <c r="CY181" s="80"/>
      <c r="CZ181" s="80"/>
      <c r="DA181" s="80"/>
    </row>
    <row r="182" spans="1:105" ht="20.25" customHeight="1" x14ac:dyDescent="0.2">
      <c r="A182" s="3009">
        <v>28021150</v>
      </c>
      <c r="B182" s="1194" t="s">
        <v>1194</v>
      </c>
      <c r="C182" s="3070" t="s">
        <v>2777</v>
      </c>
      <c r="D182" s="3086" t="s">
        <v>2778</v>
      </c>
      <c r="E182" s="4749" t="s">
        <v>2779</v>
      </c>
      <c r="F182" s="2901" t="s">
        <v>2780</v>
      </c>
      <c r="G182" s="2902" t="s">
        <v>2781</v>
      </c>
      <c r="H182" s="2901" t="s">
        <v>2782</v>
      </c>
      <c r="I182" s="3323" t="s">
        <v>2783</v>
      </c>
      <c r="J182" s="2901" t="s">
        <v>2784</v>
      </c>
      <c r="K182" s="3323" t="s">
        <v>2785</v>
      </c>
      <c r="L182" s="2901" t="s">
        <v>2786</v>
      </c>
      <c r="M182" s="3323" t="s">
        <v>2787</v>
      </c>
      <c r="N182" s="2901" t="s">
        <v>2788</v>
      </c>
      <c r="O182" s="3323" t="s">
        <v>2789</v>
      </c>
      <c r="P182" s="2901" t="s">
        <v>2790</v>
      </c>
      <c r="Q182" s="3323" t="s">
        <v>2791</v>
      </c>
      <c r="R182" s="2901" t="s">
        <v>2792</v>
      </c>
      <c r="S182" s="3323" t="s">
        <v>2793</v>
      </c>
      <c r="T182" s="2901" t="s">
        <v>2794</v>
      </c>
      <c r="U182" s="3323" t="s">
        <v>2795</v>
      </c>
      <c r="V182" s="2901" t="s">
        <v>2796</v>
      </c>
      <c r="W182" s="3323" t="s">
        <v>2797</v>
      </c>
      <c r="X182" s="2901" t="s">
        <v>2798</v>
      </c>
      <c r="Y182" s="3323" t="s">
        <v>2799</v>
      </c>
      <c r="Z182" s="2901" t="s">
        <v>2800</v>
      </c>
      <c r="AA182" s="3323" t="s">
        <v>2801</v>
      </c>
      <c r="AB182" s="2901" t="s">
        <v>2817</v>
      </c>
      <c r="AC182" s="3323" t="s">
        <v>2818</v>
      </c>
      <c r="AD182" s="2901" t="s">
        <v>2819</v>
      </c>
      <c r="AE182" s="3323" t="s">
        <v>2821</v>
      </c>
      <c r="AF182" s="2901" t="s">
        <v>2822</v>
      </c>
      <c r="AG182" s="3323" t="s">
        <v>2823</v>
      </c>
      <c r="AH182" s="2901" t="s">
        <v>2824</v>
      </c>
      <c r="AI182" s="3323" t="s">
        <v>2825</v>
      </c>
      <c r="AJ182" s="2901" t="s">
        <v>2826</v>
      </c>
      <c r="AK182" s="3323" t="s">
        <v>2827</v>
      </c>
      <c r="AL182" s="2901" t="s">
        <v>2831</v>
      </c>
      <c r="AM182" s="3323" t="s">
        <v>2832</v>
      </c>
      <c r="AN182" s="2901" t="s">
        <v>2833</v>
      </c>
      <c r="AO182" s="3323" t="s">
        <v>2834</v>
      </c>
      <c r="AP182" s="3324" t="s">
        <v>3011</v>
      </c>
      <c r="AQ182" s="3325" t="s">
        <v>3012</v>
      </c>
      <c r="AR182" s="3331" t="s">
        <v>3013</v>
      </c>
      <c r="AS182" s="3395" t="s">
        <v>3014</v>
      </c>
      <c r="AT182" s="2902" t="s">
        <v>3015</v>
      </c>
      <c r="AU182" s="1165" t="str">
        <f t="shared" si="8"/>
        <v xml:space="preserve">* El número de Consultas Según tipo de atención NO DEBE ser diferente al Total. </v>
      </c>
      <c r="CB182" s="1031" t="str">
        <f t="shared" si="9"/>
        <v xml:space="preserve">* El número de Consultas Según tipo de atención NO DEBE ser diferente al Total. </v>
      </c>
      <c r="CC182" s="1031"/>
      <c r="CD182" s="1031"/>
      <c r="CE182" s="1031"/>
      <c r="CF182" s="1031"/>
      <c r="CG182" s="1031"/>
      <c r="CH182" s="1163">
        <f t="shared" si="10"/>
        <v>1</v>
      </c>
      <c r="CI182" s="1020"/>
      <c r="CJ182" s="1020"/>
      <c r="CK182" s="1020"/>
      <c r="CL182" s="1020"/>
      <c r="CM182" s="1020"/>
      <c r="CN182" s="1020"/>
      <c r="CO182" s="1020"/>
      <c r="CP182" s="1020"/>
      <c r="CQ182" s="1020"/>
      <c r="CR182" s="1020"/>
      <c r="CS182" s="1020"/>
      <c r="CT182" s="1020"/>
      <c r="CU182" s="1020"/>
      <c r="CV182" s="80"/>
      <c r="CW182" s="80"/>
      <c r="CX182" s="80"/>
      <c r="CY182" s="80"/>
      <c r="CZ182" s="80"/>
      <c r="DA182" s="80"/>
    </row>
    <row r="183" spans="1:105" ht="20.25" customHeight="1" x14ac:dyDescent="0.2">
      <c r="A183" s="3009">
        <v>28021160</v>
      </c>
      <c r="B183" s="1194" t="s">
        <v>1195</v>
      </c>
      <c r="C183" s="3070" t="s">
        <v>2777</v>
      </c>
      <c r="D183" s="3086" t="s">
        <v>2778</v>
      </c>
      <c r="E183" s="4749" t="s">
        <v>2779</v>
      </c>
      <c r="F183" s="2901" t="s">
        <v>2780</v>
      </c>
      <c r="G183" s="2902" t="s">
        <v>2781</v>
      </c>
      <c r="H183" s="2901" t="s">
        <v>2782</v>
      </c>
      <c r="I183" s="3323" t="s">
        <v>2783</v>
      </c>
      <c r="J183" s="2901" t="s">
        <v>2784</v>
      </c>
      <c r="K183" s="3323" t="s">
        <v>2785</v>
      </c>
      <c r="L183" s="2901" t="s">
        <v>2786</v>
      </c>
      <c r="M183" s="3323" t="s">
        <v>2787</v>
      </c>
      <c r="N183" s="2901" t="s">
        <v>2788</v>
      </c>
      <c r="O183" s="3323" t="s">
        <v>2789</v>
      </c>
      <c r="P183" s="2901" t="s">
        <v>2790</v>
      </c>
      <c r="Q183" s="3323" t="s">
        <v>2791</v>
      </c>
      <c r="R183" s="2901" t="s">
        <v>2792</v>
      </c>
      <c r="S183" s="3323" t="s">
        <v>2793</v>
      </c>
      <c r="T183" s="2901" t="s">
        <v>2794</v>
      </c>
      <c r="U183" s="3323" t="s">
        <v>2795</v>
      </c>
      <c r="V183" s="2901" t="s">
        <v>2796</v>
      </c>
      <c r="W183" s="3323" t="s">
        <v>2797</v>
      </c>
      <c r="X183" s="2901" t="s">
        <v>2798</v>
      </c>
      <c r="Y183" s="3323" t="s">
        <v>2799</v>
      </c>
      <c r="Z183" s="2901" t="s">
        <v>2800</v>
      </c>
      <c r="AA183" s="3323" t="s">
        <v>2801</v>
      </c>
      <c r="AB183" s="2901" t="s">
        <v>2817</v>
      </c>
      <c r="AC183" s="3323" t="s">
        <v>2818</v>
      </c>
      <c r="AD183" s="2901" t="s">
        <v>2819</v>
      </c>
      <c r="AE183" s="3323" t="s">
        <v>2821</v>
      </c>
      <c r="AF183" s="2901" t="s">
        <v>2822</v>
      </c>
      <c r="AG183" s="3323" t="s">
        <v>2823</v>
      </c>
      <c r="AH183" s="2901" t="s">
        <v>2824</v>
      </c>
      <c r="AI183" s="3323" t="s">
        <v>2825</v>
      </c>
      <c r="AJ183" s="2901" t="s">
        <v>2826</v>
      </c>
      <c r="AK183" s="3323" t="s">
        <v>2827</v>
      </c>
      <c r="AL183" s="2901" t="s">
        <v>2831</v>
      </c>
      <c r="AM183" s="3323" t="s">
        <v>2832</v>
      </c>
      <c r="AN183" s="2901" t="s">
        <v>2833</v>
      </c>
      <c r="AO183" s="3323" t="s">
        <v>2834</v>
      </c>
      <c r="AP183" s="3324" t="s">
        <v>3011</v>
      </c>
      <c r="AQ183" s="3325" t="s">
        <v>3012</v>
      </c>
      <c r="AR183" s="3331" t="s">
        <v>3013</v>
      </c>
      <c r="AS183" s="3395" t="s">
        <v>3014</v>
      </c>
      <c r="AT183" s="2902" t="s">
        <v>3015</v>
      </c>
      <c r="AU183" s="1165" t="str">
        <f t="shared" si="8"/>
        <v xml:space="preserve">* El número de Consultas Según tipo de atención NO DEBE ser diferente al Total. </v>
      </c>
      <c r="CB183" s="1031" t="str">
        <f t="shared" si="9"/>
        <v xml:space="preserve">* El número de Consultas Según tipo de atención NO DEBE ser diferente al Total. </v>
      </c>
      <c r="CC183" s="1031"/>
      <c r="CD183" s="1031"/>
      <c r="CE183" s="1031"/>
      <c r="CF183" s="1031"/>
      <c r="CG183" s="1031"/>
      <c r="CH183" s="1163">
        <f t="shared" si="10"/>
        <v>1</v>
      </c>
      <c r="CI183" s="1020"/>
      <c r="CJ183" s="1020"/>
      <c r="CK183" s="1020"/>
      <c r="CL183" s="1020"/>
      <c r="CM183" s="1020"/>
      <c r="CN183" s="1020"/>
      <c r="CO183" s="1020"/>
      <c r="CP183" s="1020"/>
      <c r="CQ183" s="1020"/>
      <c r="CR183" s="1020"/>
      <c r="CS183" s="1020"/>
      <c r="CT183" s="1020"/>
      <c r="CU183" s="1020"/>
      <c r="CV183" s="80"/>
      <c r="CW183" s="80"/>
      <c r="CX183" s="80"/>
      <c r="CY183" s="80"/>
      <c r="CZ183" s="80"/>
      <c r="DA183" s="80"/>
    </row>
    <row r="184" spans="1:105" ht="20.25" customHeight="1" x14ac:dyDescent="0.2">
      <c r="A184" s="3009">
        <v>28021170</v>
      </c>
      <c r="B184" s="1194" t="s">
        <v>1196</v>
      </c>
      <c r="C184" s="3070" t="s">
        <v>2777</v>
      </c>
      <c r="D184" s="3086" t="s">
        <v>2778</v>
      </c>
      <c r="E184" s="4749" t="s">
        <v>2779</v>
      </c>
      <c r="F184" s="2901" t="s">
        <v>2780</v>
      </c>
      <c r="G184" s="2902" t="s">
        <v>2781</v>
      </c>
      <c r="H184" s="2901" t="s">
        <v>2782</v>
      </c>
      <c r="I184" s="3323" t="s">
        <v>2783</v>
      </c>
      <c r="J184" s="2901" t="s">
        <v>2784</v>
      </c>
      <c r="K184" s="3323" t="s">
        <v>2785</v>
      </c>
      <c r="L184" s="2901" t="s">
        <v>2786</v>
      </c>
      <c r="M184" s="3323" t="s">
        <v>2787</v>
      </c>
      <c r="N184" s="2901" t="s">
        <v>2788</v>
      </c>
      <c r="O184" s="3323" t="s">
        <v>2789</v>
      </c>
      <c r="P184" s="2901" t="s">
        <v>2790</v>
      </c>
      <c r="Q184" s="3323" t="s">
        <v>2791</v>
      </c>
      <c r="R184" s="2901" t="s">
        <v>2792</v>
      </c>
      <c r="S184" s="3323" t="s">
        <v>2793</v>
      </c>
      <c r="T184" s="2901" t="s">
        <v>2794</v>
      </c>
      <c r="U184" s="3323" t="s">
        <v>2795</v>
      </c>
      <c r="V184" s="2901" t="s">
        <v>2796</v>
      </c>
      <c r="W184" s="3323" t="s">
        <v>2797</v>
      </c>
      <c r="X184" s="2901" t="s">
        <v>2798</v>
      </c>
      <c r="Y184" s="3323" t="s">
        <v>2799</v>
      </c>
      <c r="Z184" s="2901" t="s">
        <v>2800</v>
      </c>
      <c r="AA184" s="3323" t="s">
        <v>2801</v>
      </c>
      <c r="AB184" s="2901" t="s">
        <v>2817</v>
      </c>
      <c r="AC184" s="3323" t="s">
        <v>2818</v>
      </c>
      <c r="AD184" s="2901" t="s">
        <v>2819</v>
      </c>
      <c r="AE184" s="3323" t="s">
        <v>2821</v>
      </c>
      <c r="AF184" s="2901" t="s">
        <v>2822</v>
      </c>
      <c r="AG184" s="3323" t="s">
        <v>2823</v>
      </c>
      <c r="AH184" s="2901" t="s">
        <v>2824</v>
      </c>
      <c r="AI184" s="3323" t="s">
        <v>2825</v>
      </c>
      <c r="AJ184" s="2901" t="s">
        <v>2826</v>
      </c>
      <c r="AK184" s="3323" t="s">
        <v>2827</v>
      </c>
      <c r="AL184" s="2901" t="s">
        <v>2831</v>
      </c>
      <c r="AM184" s="3323" t="s">
        <v>2832</v>
      </c>
      <c r="AN184" s="2901" t="s">
        <v>2833</v>
      </c>
      <c r="AO184" s="3323" t="s">
        <v>2834</v>
      </c>
      <c r="AP184" s="3324" t="s">
        <v>3011</v>
      </c>
      <c r="AQ184" s="3325" t="s">
        <v>3012</v>
      </c>
      <c r="AR184" s="3331" t="s">
        <v>3013</v>
      </c>
      <c r="AS184" s="3395" t="s">
        <v>3014</v>
      </c>
      <c r="AT184" s="2902" t="s">
        <v>3015</v>
      </c>
      <c r="AU184" s="1165" t="str">
        <f t="shared" si="8"/>
        <v xml:space="preserve">* El número de Consultas Según tipo de atención NO DEBE ser diferente al Total. </v>
      </c>
      <c r="CB184" s="1031" t="str">
        <f t="shared" si="9"/>
        <v xml:space="preserve">* El número de Consultas Según tipo de atención NO DEBE ser diferente al Total. </v>
      </c>
      <c r="CC184" s="1031"/>
      <c r="CD184" s="1031"/>
      <c r="CE184" s="1031"/>
      <c r="CF184" s="1031"/>
      <c r="CG184" s="1031"/>
      <c r="CH184" s="1163">
        <f t="shared" si="10"/>
        <v>1</v>
      </c>
      <c r="CI184" s="1020"/>
      <c r="CJ184" s="1020"/>
      <c r="CK184" s="1020"/>
      <c r="CL184" s="1020"/>
      <c r="CM184" s="1020"/>
      <c r="CN184" s="1020"/>
      <c r="CO184" s="1020"/>
      <c r="CP184" s="1020"/>
      <c r="CQ184" s="1020"/>
      <c r="CR184" s="1020"/>
      <c r="CS184" s="1020"/>
      <c r="CT184" s="1020"/>
      <c r="CU184" s="1020"/>
      <c r="CV184" s="80"/>
      <c r="CW184" s="80"/>
      <c r="CX184" s="80"/>
      <c r="CY184" s="80"/>
      <c r="CZ184" s="80"/>
      <c r="DA184" s="80"/>
    </row>
    <row r="185" spans="1:105" ht="20.25" customHeight="1" x14ac:dyDescent="0.2">
      <c r="A185" s="3009">
        <v>28021180</v>
      </c>
      <c r="B185" s="1194" t="s">
        <v>1197</v>
      </c>
      <c r="C185" s="3070" t="s">
        <v>2777</v>
      </c>
      <c r="D185" s="3086" t="s">
        <v>2778</v>
      </c>
      <c r="E185" s="4749" t="s">
        <v>2779</v>
      </c>
      <c r="F185" s="2901" t="s">
        <v>2780</v>
      </c>
      <c r="G185" s="2902" t="s">
        <v>2781</v>
      </c>
      <c r="H185" s="2901" t="s">
        <v>2782</v>
      </c>
      <c r="I185" s="3323" t="s">
        <v>2783</v>
      </c>
      <c r="J185" s="2901" t="s">
        <v>2784</v>
      </c>
      <c r="K185" s="3323" t="s">
        <v>2785</v>
      </c>
      <c r="L185" s="2901" t="s">
        <v>2786</v>
      </c>
      <c r="M185" s="3323" t="s">
        <v>2787</v>
      </c>
      <c r="N185" s="2901" t="s">
        <v>2788</v>
      </c>
      <c r="O185" s="3323" t="s">
        <v>2789</v>
      </c>
      <c r="P185" s="2901" t="s">
        <v>2790</v>
      </c>
      <c r="Q185" s="3323" t="s">
        <v>2791</v>
      </c>
      <c r="R185" s="2901" t="s">
        <v>2792</v>
      </c>
      <c r="S185" s="3323" t="s">
        <v>2793</v>
      </c>
      <c r="T185" s="2901" t="s">
        <v>2794</v>
      </c>
      <c r="U185" s="3323" t="s">
        <v>2795</v>
      </c>
      <c r="V185" s="2901" t="s">
        <v>2796</v>
      </c>
      <c r="W185" s="3323" t="s">
        <v>2797</v>
      </c>
      <c r="X185" s="2901" t="s">
        <v>2798</v>
      </c>
      <c r="Y185" s="3323" t="s">
        <v>2799</v>
      </c>
      <c r="Z185" s="2901" t="s">
        <v>2800</v>
      </c>
      <c r="AA185" s="3323" t="s">
        <v>2801</v>
      </c>
      <c r="AB185" s="2901" t="s">
        <v>2817</v>
      </c>
      <c r="AC185" s="3323" t="s">
        <v>2818</v>
      </c>
      <c r="AD185" s="2901" t="s">
        <v>2819</v>
      </c>
      <c r="AE185" s="3323" t="s">
        <v>2821</v>
      </c>
      <c r="AF185" s="2901" t="s">
        <v>2822</v>
      </c>
      <c r="AG185" s="3323" t="s">
        <v>2823</v>
      </c>
      <c r="AH185" s="2901" t="s">
        <v>2824</v>
      </c>
      <c r="AI185" s="3323" t="s">
        <v>2825</v>
      </c>
      <c r="AJ185" s="2901" t="s">
        <v>2826</v>
      </c>
      <c r="AK185" s="3323" t="s">
        <v>2827</v>
      </c>
      <c r="AL185" s="2901" t="s">
        <v>2831</v>
      </c>
      <c r="AM185" s="3323" t="s">
        <v>2832</v>
      </c>
      <c r="AN185" s="2901" t="s">
        <v>2833</v>
      </c>
      <c r="AO185" s="3323" t="s">
        <v>2834</v>
      </c>
      <c r="AP185" s="3324" t="s">
        <v>3011</v>
      </c>
      <c r="AQ185" s="3325" t="s">
        <v>3012</v>
      </c>
      <c r="AR185" s="3331" t="s">
        <v>3013</v>
      </c>
      <c r="AS185" s="3395" t="s">
        <v>3014</v>
      </c>
      <c r="AT185" s="2902" t="s">
        <v>3015</v>
      </c>
      <c r="AU185" s="1165" t="str">
        <f t="shared" si="8"/>
        <v xml:space="preserve">* El número de Consultas Según tipo de atención NO DEBE ser diferente al Total. </v>
      </c>
      <c r="CB185" s="1031" t="str">
        <f t="shared" si="9"/>
        <v xml:space="preserve">* El número de Consultas Según tipo de atención NO DEBE ser diferente al Total. </v>
      </c>
      <c r="CC185" s="1031"/>
      <c r="CD185" s="1031"/>
      <c r="CE185" s="1031"/>
      <c r="CF185" s="1031"/>
      <c r="CG185" s="1031"/>
      <c r="CH185" s="1163">
        <f t="shared" si="10"/>
        <v>1</v>
      </c>
      <c r="CI185" s="1020"/>
      <c r="CJ185" s="1020"/>
      <c r="CK185" s="1020"/>
      <c r="CL185" s="1020"/>
      <c r="CM185" s="1020"/>
      <c r="CN185" s="1020"/>
      <c r="CO185" s="1020"/>
      <c r="CP185" s="1020"/>
      <c r="CQ185" s="1020"/>
      <c r="CR185" s="1020"/>
      <c r="CS185" s="1020"/>
      <c r="CT185" s="1020"/>
      <c r="CU185" s="1020"/>
      <c r="CV185" s="80"/>
      <c r="CW185" s="80"/>
      <c r="CX185" s="80"/>
      <c r="CY185" s="80"/>
      <c r="CZ185" s="80"/>
      <c r="DA185" s="80"/>
    </row>
    <row r="186" spans="1:105" ht="20.25" customHeight="1" x14ac:dyDescent="0.2">
      <c r="A186" s="3009">
        <v>28022400</v>
      </c>
      <c r="B186" s="1194" t="s">
        <v>1559</v>
      </c>
      <c r="C186" s="3070" t="s">
        <v>2777</v>
      </c>
      <c r="D186" s="3086" t="s">
        <v>2778</v>
      </c>
      <c r="E186" s="4749" t="s">
        <v>2779</v>
      </c>
      <c r="F186" s="2901" t="s">
        <v>2780</v>
      </c>
      <c r="G186" s="2902" t="s">
        <v>2781</v>
      </c>
      <c r="H186" s="2901" t="s">
        <v>2782</v>
      </c>
      <c r="I186" s="3323" t="s">
        <v>2783</v>
      </c>
      <c r="J186" s="2901" t="s">
        <v>2784</v>
      </c>
      <c r="K186" s="3323" t="s">
        <v>2785</v>
      </c>
      <c r="L186" s="2901" t="s">
        <v>2786</v>
      </c>
      <c r="M186" s="3323" t="s">
        <v>2787</v>
      </c>
      <c r="N186" s="2901" t="s">
        <v>2788</v>
      </c>
      <c r="O186" s="3323" t="s">
        <v>2789</v>
      </c>
      <c r="P186" s="2901" t="s">
        <v>2790</v>
      </c>
      <c r="Q186" s="3323" t="s">
        <v>2791</v>
      </c>
      <c r="R186" s="2901" t="s">
        <v>2792</v>
      </c>
      <c r="S186" s="3323" t="s">
        <v>2793</v>
      </c>
      <c r="T186" s="2901" t="s">
        <v>2794</v>
      </c>
      <c r="U186" s="3323" t="s">
        <v>2795</v>
      </c>
      <c r="V186" s="2901" t="s">
        <v>2796</v>
      </c>
      <c r="W186" s="3323" t="s">
        <v>2797</v>
      </c>
      <c r="X186" s="2901" t="s">
        <v>2798</v>
      </c>
      <c r="Y186" s="3323" t="s">
        <v>2799</v>
      </c>
      <c r="Z186" s="2901" t="s">
        <v>2800</v>
      </c>
      <c r="AA186" s="3323" t="s">
        <v>2801</v>
      </c>
      <c r="AB186" s="2901" t="s">
        <v>2817</v>
      </c>
      <c r="AC186" s="3323" t="s">
        <v>2818</v>
      </c>
      <c r="AD186" s="2901" t="s">
        <v>2819</v>
      </c>
      <c r="AE186" s="3323" t="s">
        <v>2821</v>
      </c>
      <c r="AF186" s="2901" t="s">
        <v>2822</v>
      </c>
      <c r="AG186" s="3323" t="s">
        <v>2823</v>
      </c>
      <c r="AH186" s="2901" t="s">
        <v>2824</v>
      </c>
      <c r="AI186" s="3323" t="s">
        <v>2825</v>
      </c>
      <c r="AJ186" s="2901" t="s">
        <v>2826</v>
      </c>
      <c r="AK186" s="3323" t="s">
        <v>2827</v>
      </c>
      <c r="AL186" s="2901" t="s">
        <v>2831</v>
      </c>
      <c r="AM186" s="3323" t="s">
        <v>2832</v>
      </c>
      <c r="AN186" s="2901" t="s">
        <v>2833</v>
      </c>
      <c r="AO186" s="3323" t="s">
        <v>2834</v>
      </c>
      <c r="AP186" s="3324" t="s">
        <v>3011</v>
      </c>
      <c r="AQ186" s="3325" t="s">
        <v>3012</v>
      </c>
      <c r="AR186" s="3331" t="s">
        <v>3013</v>
      </c>
      <c r="AS186" s="3395" t="s">
        <v>3014</v>
      </c>
      <c r="AT186" s="2902" t="s">
        <v>3015</v>
      </c>
      <c r="AU186" s="1165" t="str">
        <f t="shared" si="8"/>
        <v xml:space="preserve">* El número de Consultas Según tipo de atención NO DEBE ser diferente al Total. </v>
      </c>
      <c r="CB186" s="1031" t="str">
        <f t="shared" si="9"/>
        <v xml:space="preserve">* El número de Consultas Según tipo de atención NO DEBE ser diferente al Total. </v>
      </c>
      <c r="CC186" s="1031"/>
      <c r="CD186" s="1031"/>
      <c r="CE186" s="1031"/>
      <c r="CF186" s="1031"/>
      <c r="CG186" s="1031"/>
      <c r="CH186" s="1163">
        <f t="shared" si="10"/>
        <v>1</v>
      </c>
      <c r="CI186" s="1020"/>
      <c r="CJ186" s="1020"/>
      <c r="CK186" s="1020"/>
      <c r="CL186" s="1020"/>
      <c r="CM186" s="1020"/>
      <c r="CN186" s="1020"/>
      <c r="CO186" s="1020"/>
      <c r="CP186" s="1020"/>
      <c r="CQ186" s="1020"/>
      <c r="CR186" s="1020"/>
      <c r="CS186" s="1020"/>
      <c r="CT186" s="1020"/>
      <c r="CU186" s="1020"/>
      <c r="CV186" s="80"/>
      <c r="CW186" s="80"/>
      <c r="CX186" s="80"/>
      <c r="CY186" s="80"/>
      <c r="CZ186" s="80"/>
      <c r="DA186" s="80"/>
    </row>
    <row r="187" spans="1:105" ht="20.25" customHeight="1" x14ac:dyDescent="0.2">
      <c r="A187" s="3009">
        <v>28022410</v>
      </c>
      <c r="B187" s="1194" t="s">
        <v>1526</v>
      </c>
      <c r="C187" s="3070" t="s">
        <v>2777</v>
      </c>
      <c r="D187" s="3086" t="s">
        <v>2778</v>
      </c>
      <c r="E187" s="4749" t="s">
        <v>2779</v>
      </c>
      <c r="F187" s="2901" t="s">
        <v>2780</v>
      </c>
      <c r="G187" s="2902" t="s">
        <v>2781</v>
      </c>
      <c r="H187" s="2901" t="s">
        <v>2782</v>
      </c>
      <c r="I187" s="3323" t="s">
        <v>2783</v>
      </c>
      <c r="J187" s="2901" t="s">
        <v>2784</v>
      </c>
      <c r="K187" s="3323" t="s">
        <v>2785</v>
      </c>
      <c r="L187" s="2901" t="s">
        <v>2786</v>
      </c>
      <c r="M187" s="3323" t="s">
        <v>2787</v>
      </c>
      <c r="N187" s="2901" t="s">
        <v>2788</v>
      </c>
      <c r="O187" s="3323" t="s">
        <v>2789</v>
      </c>
      <c r="P187" s="2901" t="s">
        <v>2790</v>
      </c>
      <c r="Q187" s="3323" t="s">
        <v>2791</v>
      </c>
      <c r="R187" s="2901" t="s">
        <v>2792</v>
      </c>
      <c r="S187" s="3323" t="s">
        <v>2793</v>
      </c>
      <c r="T187" s="2901" t="s">
        <v>2794</v>
      </c>
      <c r="U187" s="3323" t="s">
        <v>2795</v>
      </c>
      <c r="V187" s="2901" t="s">
        <v>2796</v>
      </c>
      <c r="W187" s="3323" t="s">
        <v>2797</v>
      </c>
      <c r="X187" s="2901" t="s">
        <v>2798</v>
      </c>
      <c r="Y187" s="3323" t="s">
        <v>2799</v>
      </c>
      <c r="Z187" s="2901" t="s">
        <v>2800</v>
      </c>
      <c r="AA187" s="3323" t="s">
        <v>2801</v>
      </c>
      <c r="AB187" s="2901" t="s">
        <v>2817</v>
      </c>
      <c r="AC187" s="3323" t="s">
        <v>2818</v>
      </c>
      <c r="AD187" s="2901" t="s">
        <v>2819</v>
      </c>
      <c r="AE187" s="3323" t="s">
        <v>2821</v>
      </c>
      <c r="AF187" s="2901" t="s">
        <v>2822</v>
      </c>
      <c r="AG187" s="3323" t="s">
        <v>2823</v>
      </c>
      <c r="AH187" s="2901" t="s">
        <v>2824</v>
      </c>
      <c r="AI187" s="3323" t="s">
        <v>2825</v>
      </c>
      <c r="AJ187" s="2901" t="s">
        <v>2826</v>
      </c>
      <c r="AK187" s="3323" t="s">
        <v>2827</v>
      </c>
      <c r="AL187" s="2901" t="s">
        <v>2831</v>
      </c>
      <c r="AM187" s="3323" t="s">
        <v>2832</v>
      </c>
      <c r="AN187" s="2901" t="s">
        <v>2833</v>
      </c>
      <c r="AO187" s="3323" t="s">
        <v>2834</v>
      </c>
      <c r="AP187" s="3324" t="s">
        <v>3011</v>
      </c>
      <c r="AQ187" s="3325" t="s">
        <v>3012</v>
      </c>
      <c r="AR187" s="3331" t="s">
        <v>3013</v>
      </c>
      <c r="AS187" s="3395" t="s">
        <v>3014</v>
      </c>
      <c r="AT187" s="2902" t="s">
        <v>3015</v>
      </c>
      <c r="AU187" s="1165" t="str">
        <f t="shared" si="8"/>
        <v xml:space="preserve">* El número de Consultas Según tipo de atención NO DEBE ser diferente al Total. </v>
      </c>
      <c r="CB187" s="1031" t="str">
        <f t="shared" si="9"/>
        <v xml:space="preserve">* El número de Consultas Según tipo de atención NO DEBE ser diferente al Total. </v>
      </c>
      <c r="CC187" s="1031"/>
      <c r="CD187" s="1031"/>
      <c r="CE187" s="1031"/>
      <c r="CF187" s="1031"/>
      <c r="CG187" s="1031"/>
      <c r="CH187" s="1163">
        <f t="shared" si="10"/>
        <v>1</v>
      </c>
      <c r="CI187" s="1020"/>
      <c r="CJ187" s="1020"/>
      <c r="CK187" s="1020"/>
      <c r="CL187" s="1020"/>
      <c r="CM187" s="1020"/>
      <c r="CN187" s="1020"/>
      <c r="CO187" s="1020"/>
      <c r="CP187" s="1020"/>
      <c r="CQ187" s="1020"/>
      <c r="CR187" s="1020"/>
      <c r="CS187" s="1020"/>
      <c r="CT187" s="1020"/>
      <c r="CU187" s="1020"/>
      <c r="CV187" s="80"/>
      <c r="CW187" s="80"/>
      <c r="CX187" s="80"/>
      <c r="CY187" s="80"/>
      <c r="CZ187" s="80"/>
      <c r="DA187" s="80"/>
    </row>
    <row r="188" spans="1:105" ht="20.25" customHeight="1" x14ac:dyDescent="0.2">
      <c r="A188" s="3009">
        <v>28022420</v>
      </c>
      <c r="B188" s="1194" t="s">
        <v>1527</v>
      </c>
      <c r="C188" s="3070" t="s">
        <v>2777</v>
      </c>
      <c r="D188" s="3086" t="s">
        <v>2778</v>
      </c>
      <c r="E188" s="4749" t="s">
        <v>2779</v>
      </c>
      <c r="F188" s="2901" t="s">
        <v>2780</v>
      </c>
      <c r="G188" s="2902" t="s">
        <v>2781</v>
      </c>
      <c r="H188" s="2901" t="s">
        <v>2782</v>
      </c>
      <c r="I188" s="3323" t="s">
        <v>2783</v>
      </c>
      <c r="J188" s="2901" t="s">
        <v>2784</v>
      </c>
      <c r="K188" s="3323" t="s">
        <v>2785</v>
      </c>
      <c r="L188" s="2901" t="s">
        <v>2786</v>
      </c>
      <c r="M188" s="3323" t="s">
        <v>2787</v>
      </c>
      <c r="N188" s="2901" t="s">
        <v>2788</v>
      </c>
      <c r="O188" s="3323" t="s">
        <v>2789</v>
      </c>
      <c r="P188" s="2901" t="s">
        <v>2790</v>
      </c>
      <c r="Q188" s="3323" t="s">
        <v>2791</v>
      </c>
      <c r="R188" s="2901" t="s">
        <v>2792</v>
      </c>
      <c r="S188" s="3323" t="s">
        <v>2793</v>
      </c>
      <c r="T188" s="2901" t="s">
        <v>2794</v>
      </c>
      <c r="U188" s="3323" t="s">
        <v>2795</v>
      </c>
      <c r="V188" s="2901" t="s">
        <v>2796</v>
      </c>
      <c r="W188" s="3323" t="s">
        <v>2797</v>
      </c>
      <c r="X188" s="2901" t="s">
        <v>2798</v>
      </c>
      <c r="Y188" s="3323" t="s">
        <v>2799</v>
      </c>
      <c r="Z188" s="2901" t="s">
        <v>2800</v>
      </c>
      <c r="AA188" s="3323" t="s">
        <v>2801</v>
      </c>
      <c r="AB188" s="2901" t="s">
        <v>2817</v>
      </c>
      <c r="AC188" s="3323" t="s">
        <v>2818</v>
      </c>
      <c r="AD188" s="2901" t="s">
        <v>2819</v>
      </c>
      <c r="AE188" s="3323" t="s">
        <v>2821</v>
      </c>
      <c r="AF188" s="2901" t="s">
        <v>2822</v>
      </c>
      <c r="AG188" s="3323" t="s">
        <v>2823</v>
      </c>
      <c r="AH188" s="2901" t="s">
        <v>2824</v>
      </c>
      <c r="AI188" s="3323" t="s">
        <v>2825</v>
      </c>
      <c r="AJ188" s="2901" t="s">
        <v>2826</v>
      </c>
      <c r="AK188" s="3323" t="s">
        <v>2827</v>
      </c>
      <c r="AL188" s="2901" t="s">
        <v>2831</v>
      </c>
      <c r="AM188" s="3323" t="s">
        <v>2832</v>
      </c>
      <c r="AN188" s="2901" t="s">
        <v>2833</v>
      </c>
      <c r="AO188" s="3323" t="s">
        <v>2834</v>
      </c>
      <c r="AP188" s="3324" t="s">
        <v>3011</v>
      </c>
      <c r="AQ188" s="3325" t="s">
        <v>3012</v>
      </c>
      <c r="AR188" s="3331" t="s">
        <v>3013</v>
      </c>
      <c r="AS188" s="3395" t="s">
        <v>3014</v>
      </c>
      <c r="AT188" s="2902" t="s">
        <v>3015</v>
      </c>
      <c r="AU188" s="1165" t="str">
        <f t="shared" si="8"/>
        <v xml:space="preserve">* El número de Consultas Según tipo de atención NO DEBE ser diferente al Total. </v>
      </c>
      <c r="CB188" s="1031" t="str">
        <f t="shared" si="9"/>
        <v xml:space="preserve">* El número de Consultas Según tipo de atención NO DEBE ser diferente al Total. </v>
      </c>
      <c r="CC188" s="1031"/>
      <c r="CD188" s="1031"/>
      <c r="CE188" s="1031"/>
      <c r="CF188" s="1031"/>
      <c r="CG188" s="1031"/>
      <c r="CH188" s="1163">
        <f t="shared" si="10"/>
        <v>1</v>
      </c>
      <c r="CI188" s="1020"/>
      <c r="CJ188" s="1020"/>
      <c r="CK188" s="1020"/>
      <c r="CL188" s="1020"/>
      <c r="CM188" s="1020"/>
      <c r="CN188" s="1020"/>
      <c r="CO188" s="1020"/>
      <c r="CP188" s="1020"/>
      <c r="CQ188" s="1020"/>
      <c r="CR188" s="1020"/>
      <c r="CS188" s="1020"/>
      <c r="CT188" s="1020"/>
      <c r="CU188" s="1020"/>
      <c r="CV188" s="80"/>
      <c r="CW188" s="80"/>
      <c r="CX188" s="80"/>
      <c r="CY188" s="80"/>
      <c r="CZ188" s="80"/>
      <c r="DA188" s="80"/>
    </row>
    <row r="189" spans="1:105" ht="20.25" customHeight="1" x14ac:dyDescent="0.2">
      <c r="A189" s="3009">
        <v>28022430</v>
      </c>
      <c r="B189" s="1194" t="s">
        <v>1528</v>
      </c>
      <c r="C189" s="3070" t="s">
        <v>2777</v>
      </c>
      <c r="D189" s="3086" t="s">
        <v>2778</v>
      </c>
      <c r="E189" s="4749" t="s">
        <v>2779</v>
      </c>
      <c r="F189" s="2901" t="s">
        <v>2780</v>
      </c>
      <c r="G189" s="2902" t="s">
        <v>2781</v>
      </c>
      <c r="H189" s="2901" t="s">
        <v>2782</v>
      </c>
      <c r="I189" s="3323" t="s">
        <v>2783</v>
      </c>
      <c r="J189" s="2901" t="s">
        <v>2784</v>
      </c>
      <c r="K189" s="3323" t="s">
        <v>2785</v>
      </c>
      <c r="L189" s="2901" t="s">
        <v>2786</v>
      </c>
      <c r="M189" s="3323" t="s">
        <v>2787</v>
      </c>
      <c r="N189" s="2901" t="s">
        <v>2788</v>
      </c>
      <c r="O189" s="3323" t="s">
        <v>2789</v>
      </c>
      <c r="P189" s="2901" t="s">
        <v>2790</v>
      </c>
      <c r="Q189" s="3323" t="s">
        <v>2791</v>
      </c>
      <c r="R189" s="2901" t="s">
        <v>2792</v>
      </c>
      <c r="S189" s="3323" t="s">
        <v>2793</v>
      </c>
      <c r="T189" s="2901" t="s">
        <v>2794</v>
      </c>
      <c r="U189" s="3323" t="s">
        <v>2795</v>
      </c>
      <c r="V189" s="2901" t="s">
        <v>2796</v>
      </c>
      <c r="W189" s="3323" t="s">
        <v>2797</v>
      </c>
      <c r="X189" s="2901" t="s">
        <v>2798</v>
      </c>
      <c r="Y189" s="3323" t="s">
        <v>2799</v>
      </c>
      <c r="Z189" s="2901" t="s">
        <v>2800</v>
      </c>
      <c r="AA189" s="3323" t="s">
        <v>2801</v>
      </c>
      <c r="AB189" s="2901" t="s">
        <v>2817</v>
      </c>
      <c r="AC189" s="3323" t="s">
        <v>2818</v>
      </c>
      <c r="AD189" s="2901" t="s">
        <v>2819</v>
      </c>
      <c r="AE189" s="3323" t="s">
        <v>2821</v>
      </c>
      <c r="AF189" s="2901" t="s">
        <v>2822</v>
      </c>
      <c r="AG189" s="3323" t="s">
        <v>2823</v>
      </c>
      <c r="AH189" s="2901" t="s">
        <v>2824</v>
      </c>
      <c r="AI189" s="3323" t="s">
        <v>2825</v>
      </c>
      <c r="AJ189" s="2901" t="s">
        <v>2826</v>
      </c>
      <c r="AK189" s="3323" t="s">
        <v>2827</v>
      </c>
      <c r="AL189" s="2901" t="s">
        <v>2831</v>
      </c>
      <c r="AM189" s="3323" t="s">
        <v>2832</v>
      </c>
      <c r="AN189" s="2901" t="s">
        <v>2833</v>
      </c>
      <c r="AO189" s="3323" t="s">
        <v>2834</v>
      </c>
      <c r="AP189" s="3324" t="s">
        <v>3011</v>
      </c>
      <c r="AQ189" s="3325" t="s">
        <v>3012</v>
      </c>
      <c r="AR189" s="3331" t="s">
        <v>3013</v>
      </c>
      <c r="AS189" s="3395" t="s">
        <v>3014</v>
      </c>
      <c r="AT189" s="2902" t="s">
        <v>3015</v>
      </c>
      <c r="AU189" s="1165" t="str">
        <f t="shared" si="8"/>
        <v xml:space="preserve">* El número de Consultas Según tipo de atención NO DEBE ser diferente al Total. </v>
      </c>
      <c r="CB189" s="1031" t="str">
        <f t="shared" si="9"/>
        <v xml:space="preserve">* El número de Consultas Según tipo de atención NO DEBE ser diferente al Total. </v>
      </c>
      <c r="CC189" s="1031"/>
      <c r="CD189" s="1031"/>
      <c r="CE189" s="1031"/>
      <c r="CF189" s="1031"/>
      <c r="CG189" s="1031"/>
      <c r="CH189" s="1163">
        <f t="shared" si="10"/>
        <v>1</v>
      </c>
      <c r="CI189" s="1020"/>
      <c r="CJ189" s="1020"/>
      <c r="CK189" s="1020"/>
      <c r="CL189" s="1020"/>
      <c r="CM189" s="1020"/>
      <c r="CN189" s="1020"/>
      <c r="CO189" s="1020"/>
      <c r="CP189" s="1020"/>
      <c r="CQ189" s="1020"/>
      <c r="CR189" s="1020"/>
      <c r="CS189" s="1020"/>
      <c r="CT189" s="1020"/>
      <c r="CU189" s="1020"/>
      <c r="CV189" s="80"/>
      <c r="CW189" s="80"/>
      <c r="CX189" s="80"/>
      <c r="CY189" s="80"/>
      <c r="CZ189" s="80"/>
      <c r="DA189" s="80"/>
    </row>
    <row r="190" spans="1:105" ht="20.25" customHeight="1" x14ac:dyDescent="0.2">
      <c r="A190" s="3009">
        <v>28022440</v>
      </c>
      <c r="B190" s="1194" t="s">
        <v>1030</v>
      </c>
      <c r="C190" s="3070" t="s">
        <v>2777</v>
      </c>
      <c r="D190" s="3086" t="s">
        <v>2778</v>
      </c>
      <c r="E190" s="4749" t="s">
        <v>2779</v>
      </c>
      <c r="F190" s="2901" t="s">
        <v>2780</v>
      </c>
      <c r="G190" s="2902" t="s">
        <v>2781</v>
      </c>
      <c r="H190" s="2901" t="s">
        <v>2782</v>
      </c>
      <c r="I190" s="3323" t="s">
        <v>2783</v>
      </c>
      <c r="J190" s="2901" t="s">
        <v>2784</v>
      </c>
      <c r="K190" s="3323" t="s">
        <v>2785</v>
      </c>
      <c r="L190" s="2901" t="s">
        <v>2786</v>
      </c>
      <c r="M190" s="3323" t="s">
        <v>2787</v>
      </c>
      <c r="N190" s="2901" t="s">
        <v>2788</v>
      </c>
      <c r="O190" s="3323" t="s">
        <v>2789</v>
      </c>
      <c r="P190" s="2901" t="s">
        <v>2790</v>
      </c>
      <c r="Q190" s="3323" t="s">
        <v>2791</v>
      </c>
      <c r="R190" s="2901" t="s">
        <v>2792</v>
      </c>
      <c r="S190" s="3323" t="s">
        <v>2793</v>
      </c>
      <c r="T190" s="2901" t="s">
        <v>2794</v>
      </c>
      <c r="U190" s="3323" t="s">
        <v>2795</v>
      </c>
      <c r="V190" s="2901" t="s">
        <v>2796</v>
      </c>
      <c r="W190" s="3323" t="s">
        <v>2797</v>
      </c>
      <c r="X190" s="2901" t="s">
        <v>2798</v>
      </c>
      <c r="Y190" s="3323" t="s">
        <v>2799</v>
      </c>
      <c r="Z190" s="2901" t="s">
        <v>2800</v>
      </c>
      <c r="AA190" s="3323" t="s">
        <v>2801</v>
      </c>
      <c r="AB190" s="2901" t="s">
        <v>2817</v>
      </c>
      <c r="AC190" s="3323" t="s">
        <v>2818</v>
      </c>
      <c r="AD190" s="2901" t="s">
        <v>2819</v>
      </c>
      <c r="AE190" s="3323" t="s">
        <v>2821</v>
      </c>
      <c r="AF190" s="2901" t="s">
        <v>2822</v>
      </c>
      <c r="AG190" s="3323" t="s">
        <v>2823</v>
      </c>
      <c r="AH190" s="2901" t="s">
        <v>2824</v>
      </c>
      <c r="AI190" s="3323" t="s">
        <v>2825</v>
      </c>
      <c r="AJ190" s="2901" t="s">
        <v>2826</v>
      </c>
      <c r="AK190" s="3323" t="s">
        <v>2827</v>
      </c>
      <c r="AL190" s="2901" t="s">
        <v>2831</v>
      </c>
      <c r="AM190" s="3323" t="s">
        <v>2832</v>
      </c>
      <c r="AN190" s="2901" t="s">
        <v>2833</v>
      </c>
      <c r="AO190" s="3323" t="s">
        <v>2834</v>
      </c>
      <c r="AP190" s="3324" t="s">
        <v>3011</v>
      </c>
      <c r="AQ190" s="3325" t="s">
        <v>3012</v>
      </c>
      <c r="AR190" s="3331" t="s">
        <v>3013</v>
      </c>
      <c r="AS190" s="3395" t="s">
        <v>3014</v>
      </c>
      <c r="AT190" s="2902" t="s">
        <v>3015</v>
      </c>
      <c r="AU190" s="1165" t="str">
        <f t="shared" si="8"/>
        <v xml:space="preserve">* El número de Consultas Según tipo de atención NO DEBE ser diferente al Total. </v>
      </c>
      <c r="CB190" s="1031" t="str">
        <f t="shared" si="9"/>
        <v xml:space="preserve">* El número de Consultas Según tipo de atención NO DEBE ser diferente al Total. </v>
      </c>
      <c r="CC190" s="1031"/>
      <c r="CD190" s="1031"/>
      <c r="CE190" s="1031"/>
      <c r="CF190" s="1031"/>
      <c r="CG190" s="1031"/>
      <c r="CH190" s="1163">
        <f t="shared" si="10"/>
        <v>1</v>
      </c>
      <c r="CI190" s="1020"/>
      <c r="CJ190" s="1020"/>
      <c r="CK190" s="1020"/>
      <c r="CL190" s="1020"/>
      <c r="CM190" s="1020"/>
      <c r="CN190" s="1020"/>
      <c r="CO190" s="1020"/>
      <c r="CP190" s="1020"/>
      <c r="CQ190" s="1020"/>
      <c r="CR190" s="1020"/>
      <c r="CS190" s="1020"/>
      <c r="CT190" s="1020"/>
      <c r="CU190" s="1020"/>
      <c r="CV190" s="80"/>
      <c r="CW190" s="80"/>
      <c r="CX190" s="80"/>
      <c r="CY190" s="80"/>
      <c r="CZ190" s="80"/>
      <c r="DA190" s="80"/>
    </row>
    <row r="191" spans="1:105" ht="20.25" customHeight="1" x14ac:dyDescent="0.2">
      <c r="A191" s="4679">
        <v>28101070</v>
      </c>
      <c r="B191" s="4731" t="s">
        <v>3944</v>
      </c>
      <c r="C191" s="4727" t="s">
        <v>2777</v>
      </c>
      <c r="D191" s="4728" t="s">
        <v>2778</v>
      </c>
      <c r="E191" s="4772" t="s">
        <v>2779</v>
      </c>
      <c r="F191" s="3611" t="s">
        <v>2780</v>
      </c>
      <c r="G191" s="3304" t="s">
        <v>2781</v>
      </c>
      <c r="H191" s="3611" t="s">
        <v>2782</v>
      </c>
      <c r="I191" s="3401" t="s">
        <v>2783</v>
      </c>
      <c r="J191" s="3611" t="s">
        <v>2784</v>
      </c>
      <c r="K191" s="3401" t="s">
        <v>2785</v>
      </c>
      <c r="L191" s="3611" t="s">
        <v>2786</v>
      </c>
      <c r="M191" s="3401" t="s">
        <v>2787</v>
      </c>
      <c r="N191" s="3611" t="s">
        <v>2788</v>
      </c>
      <c r="O191" s="3401" t="s">
        <v>2789</v>
      </c>
      <c r="P191" s="3611" t="s">
        <v>2790</v>
      </c>
      <c r="Q191" s="3401" t="s">
        <v>2791</v>
      </c>
      <c r="R191" s="3611" t="s">
        <v>2792</v>
      </c>
      <c r="S191" s="3401" t="s">
        <v>2793</v>
      </c>
      <c r="T191" s="3611" t="s">
        <v>2794</v>
      </c>
      <c r="U191" s="3401" t="s">
        <v>2795</v>
      </c>
      <c r="V191" s="3611" t="s">
        <v>2796</v>
      </c>
      <c r="W191" s="3401" t="s">
        <v>2797</v>
      </c>
      <c r="X191" s="3611" t="s">
        <v>2798</v>
      </c>
      <c r="Y191" s="3401" t="s">
        <v>2799</v>
      </c>
      <c r="Z191" s="3611" t="s">
        <v>2800</v>
      </c>
      <c r="AA191" s="3401" t="s">
        <v>2801</v>
      </c>
      <c r="AB191" s="3611" t="s">
        <v>2817</v>
      </c>
      <c r="AC191" s="3401" t="s">
        <v>2818</v>
      </c>
      <c r="AD191" s="3611" t="s">
        <v>2819</v>
      </c>
      <c r="AE191" s="3401" t="s">
        <v>2821</v>
      </c>
      <c r="AF191" s="3611" t="s">
        <v>2822</v>
      </c>
      <c r="AG191" s="3401" t="s">
        <v>2823</v>
      </c>
      <c r="AH191" s="3611" t="s">
        <v>2824</v>
      </c>
      <c r="AI191" s="3401" t="s">
        <v>2825</v>
      </c>
      <c r="AJ191" s="3611" t="s">
        <v>2826</v>
      </c>
      <c r="AK191" s="3401" t="s">
        <v>2827</v>
      </c>
      <c r="AL191" s="3611" t="s">
        <v>2831</v>
      </c>
      <c r="AM191" s="3401" t="s">
        <v>2832</v>
      </c>
      <c r="AN191" s="3611" t="s">
        <v>2833</v>
      </c>
      <c r="AO191" s="3401" t="s">
        <v>2834</v>
      </c>
      <c r="AP191" s="4729" t="s">
        <v>3011</v>
      </c>
      <c r="AQ191" s="4619" t="s">
        <v>3012</v>
      </c>
      <c r="AR191" s="4620" t="s">
        <v>3013</v>
      </c>
      <c r="AS191" s="4730" t="s">
        <v>3014</v>
      </c>
      <c r="AT191" s="3304" t="s">
        <v>3015</v>
      </c>
      <c r="AU191" s="2300"/>
      <c r="CB191" s="1031"/>
      <c r="CC191" s="1031"/>
      <c r="CD191" s="1031"/>
      <c r="CE191" s="1031"/>
      <c r="CF191" s="1031"/>
      <c r="CG191" s="1031"/>
      <c r="CH191" s="1163"/>
      <c r="CI191" s="1020"/>
      <c r="CJ191" s="1020"/>
      <c r="CK191" s="1020"/>
      <c r="CL191" s="1020"/>
      <c r="CM191" s="1020"/>
      <c r="CN191" s="1020"/>
      <c r="CO191" s="1020"/>
      <c r="CP191" s="1020"/>
      <c r="CQ191" s="1020"/>
      <c r="CR191" s="1020"/>
      <c r="CS191" s="1020"/>
      <c r="CT191" s="1020"/>
      <c r="CU191" s="1020"/>
      <c r="CV191" s="80"/>
      <c r="CW191" s="80"/>
      <c r="CX191" s="80"/>
      <c r="CY191" s="80"/>
      <c r="CZ191" s="80"/>
      <c r="DA191" s="80"/>
    </row>
    <row r="192" spans="1:105" ht="20.25" customHeight="1" x14ac:dyDescent="0.2">
      <c r="A192" s="3009">
        <v>28021190</v>
      </c>
      <c r="B192" s="3068" t="s">
        <v>318</v>
      </c>
      <c r="C192" s="3084" t="s">
        <v>2777</v>
      </c>
      <c r="D192" s="3087" t="s">
        <v>2778</v>
      </c>
      <c r="E192" s="4748" t="s">
        <v>2779</v>
      </c>
      <c r="F192" s="2905" t="s">
        <v>2780</v>
      </c>
      <c r="G192" s="2906" t="s">
        <v>2781</v>
      </c>
      <c r="H192" s="2905" t="s">
        <v>2782</v>
      </c>
      <c r="I192" s="3316" t="s">
        <v>2783</v>
      </c>
      <c r="J192" s="2905" t="s">
        <v>2784</v>
      </c>
      <c r="K192" s="3316" t="s">
        <v>2785</v>
      </c>
      <c r="L192" s="2905" t="s">
        <v>2786</v>
      </c>
      <c r="M192" s="3316" t="s">
        <v>2787</v>
      </c>
      <c r="N192" s="2905" t="s">
        <v>2788</v>
      </c>
      <c r="O192" s="3316" t="s">
        <v>2789</v>
      </c>
      <c r="P192" s="2905" t="s">
        <v>2790</v>
      </c>
      <c r="Q192" s="3316" t="s">
        <v>2791</v>
      </c>
      <c r="R192" s="2905" t="s">
        <v>2792</v>
      </c>
      <c r="S192" s="3316" t="s">
        <v>2793</v>
      </c>
      <c r="T192" s="2905" t="s">
        <v>2794</v>
      </c>
      <c r="U192" s="3316" t="s">
        <v>2795</v>
      </c>
      <c r="V192" s="2905" t="s">
        <v>2796</v>
      </c>
      <c r="W192" s="3316" t="s">
        <v>2797</v>
      </c>
      <c r="X192" s="2905" t="s">
        <v>2798</v>
      </c>
      <c r="Y192" s="3316" t="s">
        <v>2799</v>
      </c>
      <c r="Z192" s="2905" t="s">
        <v>2800</v>
      </c>
      <c r="AA192" s="3316" t="s">
        <v>2801</v>
      </c>
      <c r="AB192" s="2905" t="s">
        <v>2817</v>
      </c>
      <c r="AC192" s="3316" t="s">
        <v>2818</v>
      </c>
      <c r="AD192" s="2905" t="s">
        <v>2819</v>
      </c>
      <c r="AE192" s="3316" t="s">
        <v>2821</v>
      </c>
      <c r="AF192" s="2905" t="s">
        <v>2822</v>
      </c>
      <c r="AG192" s="3316" t="s">
        <v>2823</v>
      </c>
      <c r="AH192" s="2905" t="s">
        <v>2824</v>
      </c>
      <c r="AI192" s="3316" t="s">
        <v>2825</v>
      </c>
      <c r="AJ192" s="2905" t="s">
        <v>2826</v>
      </c>
      <c r="AK192" s="3316" t="s">
        <v>2827</v>
      </c>
      <c r="AL192" s="2905" t="s">
        <v>2831</v>
      </c>
      <c r="AM192" s="3316" t="s">
        <v>2832</v>
      </c>
      <c r="AN192" s="2905" t="s">
        <v>2833</v>
      </c>
      <c r="AO192" s="3316" t="s">
        <v>2834</v>
      </c>
      <c r="AP192" s="3317" t="s">
        <v>3011</v>
      </c>
      <c r="AQ192" s="3318" t="s">
        <v>3012</v>
      </c>
      <c r="AR192" s="3335" t="s">
        <v>3013</v>
      </c>
      <c r="AS192" s="3421" t="s">
        <v>3014</v>
      </c>
      <c r="AT192" s="2906" t="s">
        <v>3015</v>
      </c>
      <c r="AU192" s="1165" t="str">
        <f t="shared" si="8"/>
        <v xml:space="preserve">* El número de Consultas Según tipo de atención NO DEBE ser diferente al Total. </v>
      </c>
      <c r="CB192" s="1031" t="str">
        <f t="shared" si="9"/>
        <v xml:space="preserve">* El número de Consultas Según tipo de atención NO DEBE ser diferente al Total. </v>
      </c>
      <c r="CC192" s="1031"/>
      <c r="CD192" s="1031"/>
      <c r="CE192" s="1031"/>
      <c r="CF192" s="1031"/>
      <c r="CG192" s="1031"/>
      <c r="CH192" s="1163">
        <f t="shared" si="10"/>
        <v>1</v>
      </c>
      <c r="CI192" s="1020"/>
      <c r="CJ192" s="1020"/>
      <c r="CK192" s="1020"/>
      <c r="CL192" s="1020"/>
      <c r="CM192" s="1020"/>
      <c r="CN192" s="1020"/>
      <c r="CO192" s="1020"/>
      <c r="CP192" s="1020"/>
      <c r="CQ192" s="1020"/>
      <c r="CR192" s="1020"/>
      <c r="CS192" s="1020"/>
      <c r="CT192" s="1020"/>
      <c r="CU192" s="1020"/>
      <c r="CV192" s="80"/>
      <c r="CW192" s="80"/>
      <c r="CX192" s="80"/>
      <c r="CY192" s="80"/>
      <c r="CZ192" s="80"/>
      <c r="DA192" s="80"/>
    </row>
    <row r="193" spans="1:105" ht="20.25" customHeight="1" x14ac:dyDescent="0.2">
      <c r="A193" s="2527"/>
      <c r="B193" s="4686" t="s">
        <v>326</v>
      </c>
      <c r="C193" s="4687">
        <f>SUM(C194:C198)</f>
        <v>0</v>
      </c>
      <c r="D193" s="4688">
        <f t="shared" ref="D193:AT193" si="11">SUM(D194:D198)</f>
        <v>0</v>
      </c>
      <c r="E193" s="4689">
        <f t="shared" si="11"/>
        <v>0</v>
      </c>
      <c r="F193" s="4647">
        <f t="shared" si="11"/>
        <v>0</v>
      </c>
      <c r="G193" s="4690">
        <f t="shared" si="11"/>
        <v>0</v>
      </c>
      <c r="H193" s="4691">
        <f t="shared" si="11"/>
        <v>0</v>
      </c>
      <c r="I193" s="4692">
        <f t="shared" si="11"/>
        <v>0</v>
      </c>
      <c r="J193" s="4693">
        <f t="shared" si="11"/>
        <v>0</v>
      </c>
      <c r="K193" s="4692">
        <f t="shared" si="11"/>
        <v>0</v>
      </c>
      <c r="L193" s="4693">
        <f t="shared" si="11"/>
        <v>0</v>
      </c>
      <c r="M193" s="4692">
        <f t="shared" si="11"/>
        <v>0</v>
      </c>
      <c r="N193" s="4693">
        <f t="shared" si="11"/>
        <v>0</v>
      </c>
      <c r="O193" s="4692">
        <f t="shared" si="11"/>
        <v>0</v>
      </c>
      <c r="P193" s="4693">
        <f t="shared" si="11"/>
        <v>0</v>
      </c>
      <c r="Q193" s="4692">
        <f t="shared" si="11"/>
        <v>0</v>
      </c>
      <c r="R193" s="4693">
        <f t="shared" si="11"/>
        <v>0</v>
      </c>
      <c r="S193" s="4692">
        <f t="shared" si="11"/>
        <v>0</v>
      </c>
      <c r="T193" s="4693">
        <f t="shared" si="11"/>
        <v>0</v>
      </c>
      <c r="U193" s="4692">
        <f t="shared" si="11"/>
        <v>0</v>
      </c>
      <c r="V193" s="4693">
        <f t="shared" si="11"/>
        <v>0</v>
      </c>
      <c r="W193" s="4692">
        <f t="shared" si="11"/>
        <v>0</v>
      </c>
      <c r="X193" s="4693">
        <f t="shared" si="11"/>
        <v>0</v>
      </c>
      <c r="Y193" s="4692">
        <f t="shared" si="11"/>
        <v>0</v>
      </c>
      <c r="Z193" s="4693">
        <f t="shared" si="11"/>
        <v>0</v>
      </c>
      <c r="AA193" s="4692">
        <f t="shared" si="11"/>
        <v>0</v>
      </c>
      <c r="AB193" s="4693">
        <f t="shared" si="11"/>
        <v>0</v>
      </c>
      <c r="AC193" s="4692">
        <f t="shared" si="11"/>
        <v>0</v>
      </c>
      <c r="AD193" s="4693">
        <f t="shared" si="11"/>
        <v>0</v>
      </c>
      <c r="AE193" s="4692">
        <f t="shared" si="11"/>
        <v>0</v>
      </c>
      <c r="AF193" s="4693">
        <f t="shared" si="11"/>
        <v>0</v>
      </c>
      <c r="AG193" s="4692">
        <f t="shared" si="11"/>
        <v>0</v>
      </c>
      <c r="AH193" s="4693">
        <f t="shared" si="11"/>
        <v>0</v>
      </c>
      <c r="AI193" s="4692">
        <f t="shared" si="11"/>
        <v>0</v>
      </c>
      <c r="AJ193" s="4693">
        <f t="shared" si="11"/>
        <v>0</v>
      </c>
      <c r="AK193" s="4692">
        <f t="shared" si="11"/>
        <v>0</v>
      </c>
      <c r="AL193" s="4693">
        <f t="shared" si="11"/>
        <v>0</v>
      </c>
      <c r="AM193" s="4692">
        <f t="shared" si="11"/>
        <v>0</v>
      </c>
      <c r="AN193" s="4693">
        <f t="shared" si="11"/>
        <v>0</v>
      </c>
      <c r="AO193" s="4692">
        <f t="shared" si="11"/>
        <v>0</v>
      </c>
      <c r="AP193" s="4694">
        <f t="shared" si="11"/>
        <v>0</v>
      </c>
      <c r="AQ193" s="4695">
        <f t="shared" si="11"/>
        <v>0</v>
      </c>
      <c r="AR193" s="4696">
        <f t="shared" si="11"/>
        <v>0</v>
      </c>
      <c r="AS193" s="4504">
        <f t="shared" si="11"/>
        <v>0</v>
      </c>
      <c r="AT193" s="4697">
        <f t="shared" si="11"/>
        <v>0</v>
      </c>
      <c r="AU193" s="947"/>
      <c r="CH193" s="1020"/>
      <c r="CI193" s="1020"/>
      <c r="CJ193" s="1020"/>
      <c r="CK193" s="1020"/>
      <c r="CL193" s="1020"/>
      <c r="CM193" s="1020"/>
      <c r="CN193" s="1020"/>
      <c r="CO193" s="1020"/>
      <c r="CP193" s="1020"/>
      <c r="CQ193" s="1020"/>
      <c r="CR193" s="1020"/>
      <c r="CS193" s="1020"/>
      <c r="CT193" s="1020"/>
      <c r="CU193" s="1020"/>
      <c r="CV193" s="80"/>
      <c r="CW193" s="80"/>
      <c r="CX193" s="80"/>
      <c r="CY193" s="80"/>
      <c r="CZ193" s="80"/>
      <c r="DA193" s="80"/>
    </row>
    <row r="194" spans="1:105" ht="20.25" customHeight="1" x14ac:dyDescent="0.2">
      <c r="A194" s="3009">
        <v>28021200</v>
      </c>
      <c r="B194" s="238" t="s">
        <v>752</v>
      </c>
      <c r="C194" s="4699" t="s">
        <v>2777</v>
      </c>
      <c r="D194" s="4700" t="s">
        <v>2778</v>
      </c>
      <c r="E194" s="4711" t="s">
        <v>2779</v>
      </c>
      <c r="F194" s="4702" t="s">
        <v>2780</v>
      </c>
      <c r="G194" s="4709" t="s">
        <v>2781</v>
      </c>
      <c r="H194" s="4702" t="s">
        <v>2782</v>
      </c>
      <c r="I194" s="4704" t="s">
        <v>2783</v>
      </c>
      <c r="J194" s="4702" t="s">
        <v>2784</v>
      </c>
      <c r="K194" s="4704" t="s">
        <v>2785</v>
      </c>
      <c r="L194" s="4702" t="s">
        <v>2786</v>
      </c>
      <c r="M194" s="4704" t="s">
        <v>2787</v>
      </c>
      <c r="N194" s="4702" t="s">
        <v>2788</v>
      </c>
      <c r="O194" s="4704" t="s">
        <v>2789</v>
      </c>
      <c r="P194" s="4702" t="s">
        <v>2790</v>
      </c>
      <c r="Q194" s="4704" t="s">
        <v>2791</v>
      </c>
      <c r="R194" s="4702" t="s">
        <v>2792</v>
      </c>
      <c r="S194" s="4704" t="s">
        <v>2793</v>
      </c>
      <c r="T194" s="4702" t="s">
        <v>2794</v>
      </c>
      <c r="U194" s="4704" t="s">
        <v>2795</v>
      </c>
      <c r="V194" s="4702" t="s">
        <v>2796</v>
      </c>
      <c r="W194" s="4704" t="s">
        <v>2797</v>
      </c>
      <c r="X194" s="4702" t="s">
        <v>2798</v>
      </c>
      <c r="Y194" s="4704" t="s">
        <v>2799</v>
      </c>
      <c r="Z194" s="4702" t="s">
        <v>2800</v>
      </c>
      <c r="AA194" s="4704" t="s">
        <v>2801</v>
      </c>
      <c r="AB194" s="4702" t="s">
        <v>2817</v>
      </c>
      <c r="AC194" s="4704" t="s">
        <v>2818</v>
      </c>
      <c r="AD194" s="4702" t="s">
        <v>2819</v>
      </c>
      <c r="AE194" s="4704" t="s">
        <v>2821</v>
      </c>
      <c r="AF194" s="4702" t="s">
        <v>2822</v>
      </c>
      <c r="AG194" s="4704" t="s">
        <v>2823</v>
      </c>
      <c r="AH194" s="4702" t="s">
        <v>2824</v>
      </c>
      <c r="AI194" s="4704" t="s">
        <v>2825</v>
      </c>
      <c r="AJ194" s="4702" t="s">
        <v>2826</v>
      </c>
      <c r="AK194" s="4704" t="s">
        <v>2827</v>
      </c>
      <c r="AL194" s="4702" t="s">
        <v>2831</v>
      </c>
      <c r="AM194" s="4704" t="s">
        <v>2832</v>
      </c>
      <c r="AN194" s="4702" t="s">
        <v>2833</v>
      </c>
      <c r="AO194" s="4704" t="s">
        <v>2834</v>
      </c>
      <c r="AP194" s="4705" t="s">
        <v>3011</v>
      </c>
      <c r="AQ194" s="4706" t="s">
        <v>3012</v>
      </c>
      <c r="AR194" s="4707" t="s">
        <v>3013</v>
      </c>
      <c r="AS194" s="4708" t="s">
        <v>3014</v>
      </c>
      <c r="AT194" s="4709" t="s">
        <v>3015</v>
      </c>
      <c r="AU194" s="947"/>
      <c r="CH194" s="1020"/>
      <c r="CI194" s="1020"/>
      <c r="CJ194" s="1020"/>
      <c r="CK194" s="1020"/>
      <c r="CL194" s="1020"/>
      <c r="CM194" s="1020"/>
      <c r="CN194" s="1020"/>
      <c r="CO194" s="1020"/>
      <c r="CP194" s="1020"/>
      <c r="CQ194" s="1020"/>
      <c r="CR194" s="1020"/>
      <c r="CS194" s="1020"/>
      <c r="CT194" s="1020"/>
      <c r="CU194" s="1020"/>
      <c r="CV194" s="80"/>
      <c r="CW194" s="80"/>
      <c r="CX194" s="80"/>
      <c r="CY194" s="80"/>
      <c r="CZ194" s="80"/>
      <c r="DA194" s="80"/>
    </row>
    <row r="195" spans="1:105" ht="20.25" customHeight="1" x14ac:dyDescent="0.2">
      <c r="A195" s="3009">
        <v>28021210</v>
      </c>
      <c r="B195" s="1249" t="s">
        <v>753</v>
      </c>
      <c r="C195" s="3070" t="s">
        <v>2777</v>
      </c>
      <c r="D195" s="3086" t="s">
        <v>2778</v>
      </c>
      <c r="E195" s="4645" t="s">
        <v>2779</v>
      </c>
      <c r="F195" s="2901" t="s">
        <v>2780</v>
      </c>
      <c r="G195" s="3323" t="s">
        <v>2781</v>
      </c>
      <c r="H195" s="2901" t="s">
        <v>2782</v>
      </c>
      <c r="I195" s="3330" t="s">
        <v>2783</v>
      </c>
      <c r="J195" s="2901" t="s">
        <v>2784</v>
      </c>
      <c r="K195" s="3323" t="s">
        <v>2785</v>
      </c>
      <c r="L195" s="2901" t="s">
        <v>2786</v>
      </c>
      <c r="M195" s="3323" t="s">
        <v>2787</v>
      </c>
      <c r="N195" s="2901" t="s">
        <v>2788</v>
      </c>
      <c r="O195" s="3323" t="s">
        <v>2789</v>
      </c>
      <c r="P195" s="2901" t="s">
        <v>2790</v>
      </c>
      <c r="Q195" s="3323" t="s">
        <v>2791</v>
      </c>
      <c r="R195" s="2901" t="s">
        <v>2792</v>
      </c>
      <c r="S195" s="3323" t="s">
        <v>2793</v>
      </c>
      <c r="T195" s="2901" t="s">
        <v>2794</v>
      </c>
      <c r="U195" s="3323" t="s">
        <v>2795</v>
      </c>
      <c r="V195" s="2901" t="s">
        <v>2796</v>
      </c>
      <c r="W195" s="3323" t="s">
        <v>2797</v>
      </c>
      <c r="X195" s="2901" t="s">
        <v>2798</v>
      </c>
      <c r="Y195" s="3323" t="s">
        <v>2799</v>
      </c>
      <c r="Z195" s="2901" t="s">
        <v>2800</v>
      </c>
      <c r="AA195" s="3323" t="s">
        <v>2801</v>
      </c>
      <c r="AB195" s="2901" t="s">
        <v>2817</v>
      </c>
      <c r="AC195" s="3323" t="s">
        <v>2818</v>
      </c>
      <c r="AD195" s="2901" t="s">
        <v>2819</v>
      </c>
      <c r="AE195" s="3323" t="s">
        <v>2821</v>
      </c>
      <c r="AF195" s="2901" t="s">
        <v>2822</v>
      </c>
      <c r="AG195" s="3323" t="s">
        <v>2823</v>
      </c>
      <c r="AH195" s="2901" t="s">
        <v>2824</v>
      </c>
      <c r="AI195" s="3323" t="s">
        <v>2825</v>
      </c>
      <c r="AJ195" s="2901" t="s">
        <v>2826</v>
      </c>
      <c r="AK195" s="3323" t="s">
        <v>2827</v>
      </c>
      <c r="AL195" s="2901" t="s">
        <v>2831</v>
      </c>
      <c r="AM195" s="3323" t="s">
        <v>2832</v>
      </c>
      <c r="AN195" s="2901" t="s">
        <v>2833</v>
      </c>
      <c r="AO195" s="3323" t="s">
        <v>2834</v>
      </c>
      <c r="AP195" s="3324" t="s">
        <v>3011</v>
      </c>
      <c r="AQ195" s="3325" t="s">
        <v>3012</v>
      </c>
      <c r="AR195" s="2902" t="s">
        <v>3013</v>
      </c>
      <c r="AS195" s="3323" t="s">
        <v>3014</v>
      </c>
      <c r="AT195" s="3323" t="s">
        <v>3015</v>
      </c>
      <c r="AU195" s="1088"/>
      <c r="CH195" s="1020"/>
      <c r="CI195" s="1020"/>
      <c r="CJ195" s="1020"/>
      <c r="CK195" s="1020"/>
      <c r="CL195" s="1020"/>
      <c r="CM195" s="1020"/>
      <c r="CN195" s="1020"/>
      <c r="CO195" s="1020"/>
      <c r="CP195" s="1020"/>
      <c r="CQ195" s="1020"/>
      <c r="CR195" s="1020"/>
      <c r="CS195" s="1020"/>
      <c r="CT195" s="1020"/>
      <c r="CU195" s="1020"/>
      <c r="CV195" s="80"/>
      <c r="CW195" s="80"/>
      <c r="CX195" s="80"/>
      <c r="CY195" s="80"/>
      <c r="CZ195" s="80"/>
      <c r="DA195" s="80"/>
    </row>
    <row r="196" spans="1:105" ht="20.25" customHeight="1" x14ac:dyDescent="0.2">
      <c r="A196" s="3009">
        <v>28021220</v>
      </c>
      <c r="B196" s="534" t="s">
        <v>754</v>
      </c>
      <c r="C196" s="3070" t="s">
        <v>2777</v>
      </c>
      <c r="D196" s="3086" t="s">
        <v>2778</v>
      </c>
      <c r="E196" s="4645" t="s">
        <v>2779</v>
      </c>
      <c r="F196" s="2901" t="s">
        <v>2780</v>
      </c>
      <c r="G196" s="3323" t="s">
        <v>2781</v>
      </c>
      <c r="H196" s="2901" t="s">
        <v>2782</v>
      </c>
      <c r="I196" s="3323" t="s">
        <v>2783</v>
      </c>
      <c r="J196" s="2901" t="s">
        <v>2784</v>
      </c>
      <c r="K196" s="3323" t="s">
        <v>2785</v>
      </c>
      <c r="L196" s="2901" t="s">
        <v>2786</v>
      </c>
      <c r="M196" s="3323" t="s">
        <v>2787</v>
      </c>
      <c r="N196" s="2901" t="s">
        <v>2788</v>
      </c>
      <c r="O196" s="3323" t="s">
        <v>2789</v>
      </c>
      <c r="P196" s="2901" t="s">
        <v>2790</v>
      </c>
      <c r="Q196" s="3323" t="s">
        <v>2791</v>
      </c>
      <c r="R196" s="2901" t="s">
        <v>2792</v>
      </c>
      <c r="S196" s="3323" t="s">
        <v>2793</v>
      </c>
      <c r="T196" s="2901" t="s">
        <v>2794</v>
      </c>
      <c r="U196" s="3323" t="s">
        <v>2795</v>
      </c>
      <c r="V196" s="2901" t="s">
        <v>2796</v>
      </c>
      <c r="W196" s="3323" t="s">
        <v>2797</v>
      </c>
      <c r="X196" s="2901" t="s">
        <v>2798</v>
      </c>
      <c r="Y196" s="3323" t="s">
        <v>2799</v>
      </c>
      <c r="Z196" s="2901" t="s">
        <v>2800</v>
      </c>
      <c r="AA196" s="3323" t="s">
        <v>2801</v>
      </c>
      <c r="AB196" s="2901" t="s">
        <v>2817</v>
      </c>
      <c r="AC196" s="3323" t="s">
        <v>2818</v>
      </c>
      <c r="AD196" s="2901" t="s">
        <v>2819</v>
      </c>
      <c r="AE196" s="3323" t="s">
        <v>2821</v>
      </c>
      <c r="AF196" s="2901" t="s">
        <v>2822</v>
      </c>
      <c r="AG196" s="3323" t="s">
        <v>2823</v>
      </c>
      <c r="AH196" s="2901" t="s">
        <v>2824</v>
      </c>
      <c r="AI196" s="3323" t="s">
        <v>2825</v>
      </c>
      <c r="AJ196" s="2901" t="s">
        <v>2826</v>
      </c>
      <c r="AK196" s="3323" t="s">
        <v>2827</v>
      </c>
      <c r="AL196" s="2901" t="s">
        <v>2831</v>
      </c>
      <c r="AM196" s="3323" t="s">
        <v>2832</v>
      </c>
      <c r="AN196" s="2901" t="s">
        <v>2833</v>
      </c>
      <c r="AO196" s="3323" t="s">
        <v>2834</v>
      </c>
      <c r="AP196" s="3324" t="s">
        <v>3011</v>
      </c>
      <c r="AQ196" s="3325" t="s">
        <v>3012</v>
      </c>
      <c r="AR196" s="2902" t="s">
        <v>3013</v>
      </c>
      <c r="AS196" s="3323" t="s">
        <v>3014</v>
      </c>
      <c r="AT196" s="3323" t="s">
        <v>3015</v>
      </c>
      <c r="AU196" s="947"/>
      <c r="CH196" s="1020"/>
      <c r="CI196" s="1020"/>
      <c r="CJ196" s="1020"/>
      <c r="CK196" s="1020"/>
      <c r="CL196" s="1020"/>
      <c r="CM196" s="1020"/>
      <c r="CN196" s="1020"/>
      <c r="CO196" s="1020"/>
      <c r="CP196" s="1020"/>
      <c r="CQ196" s="1020"/>
      <c r="CR196" s="1020"/>
      <c r="CS196" s="1020"/>
      <c r="CT196" s="1020"/>
      <c r="CU196" s="1020"/>
      <c r="CV196" s="80"/>
      <c r="CW196" s="80"/>
      <c r="CX196" s="80"/>
      <c r="CY196" s="80"/>
      <c r="CZ196" s="80"/>
      <c r="DA196" s="80"/>
    </row>
    <row r="197" spans="1:105" ht="20.25" customHeight="1" x14ac:dyDescent="0.2">
      <c r="A197" s="3009">
        <v>28021626</v>
      </c>
      <c r="B197" s="349" t="s">
        <v>793</v>
      </c>
      <c r="C197" s="3070" t="s">
        <v>2777</v>
      </c>
      <c r="D197" s="3086" t="s">
        <v>2778</v>
      </c>
      <c r="E197" s="4644" t="s">
        <v>2779</v>
      </c>
      <c r="F197" s="2901" t="s">
        <v>2780</v>
      </c>
      <c r="G197" s="3323" t="s">
        <v>2781</v>
      </c>
      <c r="H197" s="2901" t="s">
        <v>2782</v>
      </c>
      <c r="I197" s="3323" t="s">
        <v>2783</v>
      </c>
      <c r="J197" s="2901" t="s">
        <v>2784</v>
      </c>
      <c r="K197" s="3323" t="s">
        <v>2785</v>
      </c>
      <c r="L197" s="2901" t="s">
        <v>2786</v>
      </c>
      <c r="M197" s="3323" t="s">
        <v>2787</v>
      </c>
      <c r="N197" s="2901" t="s">
        <v>2788</v>
      </c>
      <c r="O197" s="3323" t="s">
        <v>2789</v>
      </c>
      <c r="P197" s="2901" t="s">
        <v>2790</v>
      </c>
      <c r="Q197" s="3323" t="s">
        <v>2791</v>
      </c>
      <c r="R197" s="2901" t="s">
        <v>2792</v>
      </c>
      <c r="S197" s="3323" t="s">
        <v>2793</v>
      </c>
      <c r="T197" s="2901" t="s">
        <v>2794</v>
      </c>
      <c r="U197" s="3323" t="s">
        <v>2795</v>
      </c>
      <c r="V197" s="2901" t="s">
        <v>2796</v>
      </c>
      <c r="W197" s="3323" t="s">
        <v>2797</v>
      </c>
      <c r="X197" s="2901" t="s">
        <v>2798</v>
      </c>
      <c r="Y197" s="3323" t="s">
        <v>2799</v>
      </c>
      <c r="Z197" s="2901" t="s">
        <v>2800</v>
      </c>
      <c r="AA197" s="3323" t="s">
        <v>2801</v>
      </c>
      <c r="AB197" s="2901" t="s">
        <v>2817</v>
      </c>
      <c r="AC197" s="3323" t="s">
        <v>2818</v>
      </c>
      <c r="AD197" s="2901" t="s">
        <v>2819</v>
      </c>
      <c r="AE197" s="3323" t="s">
        <v>2821</v>
      </c>
      <c r="AF197" s="2901" t="s">
        <v>2822</v>
      </c>
      <c r="AG197" s="3323" t="s">
        <v>2823</v>
      </c>
      <c r="AH197" s="2901" t="s">
        <v>2824</v>
      </c>
      <c r="AI197" s="3323" t="s">
        <v>2825</v>
      </c>
      <c r="AJ197" s="2901" t="s">
        <v>2826</v>
      </c>
      <c r="AK197" s="3323" t="s">
        <v>2827</v>
      </c>
      <c r="AL197" s="2901" t="s">
        <v>2831</v>
      </c>
      <c r="AM197" s="3323" t="s">
        <v>2832</v>
      </c>
      <c r="AN197" s="2901" t="s">
        <v>2833</v>
      </c>
      <c r="AO197" s="3323" t="s">
        <v>2834</v>
      </c>
      <c r="AP197" s="3324" t="s">
        <v>3011</v>
      </c>
      <c r="AQ197" s="3325" t="s">
        <v>3012</v>
      </c>
      <c r="AR197" s="2902" t="s">
        <v>3013</v>
      </c>
      <c r="AS197" s="3323" t="s">
        <v>3014</v>
      </c>
      <c r="AT197" s="3323" t="s">
        <v>3015</v>
      </c>
      <c r="AU197" s="1088"/>
      <c r="CH197" s="1020"/>
      <c r="CI197" s="1020"/>
      <c r="CJ197" s="1020"/>
      <c r="CK197" s="1020"/>
      <c r="CL197" s="1020"/>
      <c r="CM197" s="1020"/>
      <c r="CN197" s="1020"/>
      <c r="CO197" s="1020"/>
      <c r="CP197" s="1020"/>
      <c r="CQ197" s="1020"/>
      <c r="CR197" s="1020"/>
      <c r="CS197" s="1020"/>
      <c r="CT197" s="1020"/>
      <c r="CU197" s="1020"/>
      <c r="CV197" s="80"/>
      <c r="CW197" s="80"/>
      <c r="CX197" s="80"/>
      <c r="CY197" s="80"/>
      <c r="CZ197" s="80"/>
      <c r="DA197" s="80"/>
    </row>
    <row r="198" spans="1:105" ht="20.25" customHeight="1" x14ac:dyDescent="0.2">
      <c r="A198" s="3009">
        <v>28021627</v>
      </c>
      <c r="B198" s="1806" t="s">
        <v>318</v>
      </c>
      <c r="C198" s="3604" t="s">
        <v>2777</v>
      </c>
      <c r="D198" s="3505" t="s">
        <v>2778</v>
      </c>
      <c r="E198" s="3484" t="s">
        <v>2779</v>
      </c>
      <c r="F198" s="2905" t="s">
        <v>2780</v>
      </c>
      <c r="G198" s="3605" t="s">
        <v>2781</v>
      </c>
      <c r="H198" s="3606" t="s">
        <v>2782</v>
      </c>
      <c r="I198" s="3605" t="s">
        <v>2783</v>
      </c>
      <c r="J198" s="3606" t="s">
        <v>2784</v>
      </c>
      <c r="K198" s="3605" t="s">
        <v>2785</v>
      </c>
      <c r="L198" s="3606" t="s">
        <v>2786</v>
      </c>
      <c r="M198" s="3605" t="s">
        <v>2787</v>
      </c>
      <c r="N198" s="3606" t="s">
        <v>2788</v>
      </c>
      <c r="O198" s="3605" t="s">
        <v>2789</v>
      </c>
      <c r="P198" s="3606" t="s">
        <v>2790</v>
      </c>
      <c r="Q198" s="3605" t="s">
        <v>2791</v>
      </c>
      <c r="R198" s="3606" t="s">
        <v>2792</v>
      </c>
      <c r="S198" s="3605" t="s">
        <v>2793</v>
      </c>
      <c r="T198" s="3606" t="s">
        <v>2794</v>
      </c>
      <c r="U198" s="3605" t="s">
        <v>2795</v>
      </c>
      <c r="V198" s="3606" t="s">
        <v>2796</v>
      </c>
      <c r="W198" s="3605" t="s">
        <v>2797</v>
      </c>
      <c r="X198" s="3606" t="s">
        <v>2798</v>
      </c>
      <c r="Y198" s="3605" t="s">
        <v>2799</v>
      </c>
      <c r="Z198" s="3606" t="s">
        <v>2800</v>
      </c>
      <c r="AA198" s="3605" t="s">
        <v>2801</v>
      </c>
      <c r="AB198" s="3606" t="s">
        <v>2817</v>
      </c>
      <c r="AC198" s="3605" t="s">
        <v>2818</v>
      </c>
      <c r="AD198" s="3606" t="s">
        <v>2819</v>
      </c>
      <c r="AE198" s="3605" t="s">
        <v>2821</v>
      </c>
      <c r="AF198" s="3606" t="s">
        <v>2822</v>
      </c>
      <c r="AG198" s="3605" t="s">
        <v>2823</v>
      </c>
      <c r="AH198" s="3606" t="s">
        <v>2824</v>
      </c>
      <c r="AI198" s="3605" t="s">
        <v>2825</v>
      </c>
      <c r="AJ198" s="3606" t="s">
        <v>2826</v>
      </c>
      <c r="AK198" s="3605" t="s">
        <v>2827</v>
      </c>
      <c r="AL198" s="3606" t="s">
        <v>2831</v>
      </c>
      <c r="AM198" s="3605" t="s">
        <v>2832</v>
      </c>
      <c r="AN198" s="3606" t="s">
        <v>2833</v>
      </c>
      <c r="AO198" s="3605" t="s">
        <v>2834</v>
      </c>
      <c r="AP198" s="3457" t="s">
        <v>3011</v>
      </c>
      <c r="AQ198" s="3607" t="s">
        <v>3012</v>
      </c>
      <c r="AR198" s="3424" t="s">
        <v>3013</v>
      </c>
      <c r="AS198" s="3605" t="s">
        <v>3014</v>
      </c>
      <c r="AT198" s="3605" t="s">
        <v>3015</v>
      </c>
      <c r="AU198" s="947"/>
      <c r="CH198" s="1020"/>
      <c r="CI198" s="1020"/>
      <c r="CJ198" s="1020"/>
      <c r="CK198" s="1020"/>
      <c r="CL198" s="1020"/>
      <c r="CM198" s="1020"/>
      <c r="CN198" s="1020"/>
      <c r="CO198" s="1020"/>
      <c r="CP198" s="1020"/>
      <c r="CQ198" s="1020"/>
      <c r="CR198" s="1020"/>
      <c r="CS198" s="1020"/>
      <c r="CT198" s="1020"/>
      <c r="CU198" s="1020"/>
      <c r="CV198" s="80"/>
      <c r="CW198" s="80"/>
      <c r="CX198" s="80"/>
      <c r="CY198" s="80"/>
      <c r="CZ198" s="80"/>
      <c r="DA198" s="80"/>
    </row>
    <row r="199" spans="1:105" ht="32.1" customHeight="1" x14ac:dyDescent="0.2">
      <c r="B199" s="85" t="s">
        <v>903</v>
      </c>
      <c r="E199" s="85"/>
      <c r="F199" s="612"/>
      <c r="G199" s="612"/>
      <c r="H199" s="612"/>
      <c r="I199" s="612"/>
      <c r="J199" s="612"/>
      <c r="K199" s="612"/>
      <c r="L199" s="612"/>
      <c r="M199" s="612"/>
      <c r="N199" s="612"/>
      <c r="O199" s="612"/>
      <c r="P199" s="612"/>
      <c r="Q199" s="612"/>
      <c r="R199" s="612"/>
      <c r="S199" s="612"/>
      <c r="T199" s="612"/>
      <c r="U199" s="612"/>
      <c r="V199" s="612"/>
      <c r="W199" s="612"/>
      <c r="X199" s="612"/>
      <c r="Y199" s="612"/>
      <c r="Z199" s="612"/>
      <c r="AA199" s="612"/>
      <c r="AB199" s="612"/>
      <c r="AC199" s="612"/>
      <c r="AD199" s="612"/>
      <c r="AE199" s="612"/>
      <c r="AF199" s="612"/>
      <c r="AG199" s="612"/>
      <c r="AH199" s="612"/>
      <c r="AI199" s="612"/>
      <c r="AJ199" s="612"/>
      <c r="AK199" s="612"/>
      <c r="AL199" s="612"/>
      <c r="AM199" s="612"/>
      <c r="AN199" s="612"/>
      <c r="AO199" s="612"/>
      <c r="AP199" s="612"/>
      <c r="AQ199" s="612"/>
      <c r="AR199" s="190"/>
      <c r="AS199" s="190"/>
      <c r="AT199" s="190"/>
      <c r="AU199" s="881"/>
      <c r="CH199" s="1020"/>
      <c r="CI199" s="1020"/>
      <c r="CJ199" s="1020"/>
      <c r="CK199" s="1020"/>
      <c r="CL199" s="1020"/>
      <c r="CM199" s="1020"/>
      <c r="CN199" s="1020"/>
      <c r="CO199" s="1020"/>
      <c r="CP199" s="1020"/>
      <c r="CQ199" s="1020"/>
      <c r="CR199" s="1020"/>
      <c r="CS199" s="1020"/>
      <c r="CT199" s="1020"/>
      <c r="CU199" s="1020"/>
      <c r="CV199" s="80"/>
      <c r="CW199" s="80"/>
      <c r="CX199" s="80"/>
      <c r="CY199" s="80"/>
      <c r="CZ199" s="80"/>
      <c r="DA199" s="80"/>
    </row>
    <row r="200" spans="1:105" ht="14.25" customHeight="1" x14ac:dyDescent="0.2">
      <c r="B200" s="6306" t="s">
        <v>3</v>
      </c>
      <c r="C200" s="5797" t="s">
        <v>4</v>
      </c>
      <c r="D200" s="6309"/>
      <c r="E200" s="6219"/>
      <c r="F200" s="190"/>
      <c r="G200" s="881"/>
      <c r="AL200" s="79"/>
      <c r="AM200" s="79"/>
      <c r="BZ200" s="80"/>
      <c r="CA200" s="80"/>
      <c r="CH200" s="1020"/>
      <c r="CI200" s="1020"/>
      <c r="CJ200" s="1020"/>
      <c r="CK200" s="1020"/>
      <c r="CL200" s="1020"/>
      <c r="CM200" s="1020"/>
      <c r="CN200" s="1020"/>
      <c r="CO200" s="1020"/>
      <c r="CP200" s="1020"/>
      <c r="CQ200" s="1020"/>
      <c r="CR200" s="1020"/>
      <c r="CS200" s="1020"/>
      <c r="CT200" s="1020"/>
      <c r="CU200" s="1020"/>
      <c r="CV200" s="80"/>
      <c r="CW200" s="80"/>
      <c r="CX200" s="80"/>
      <c r="CY200" s="80"/>
      <c r="CZ200" s="80"/>
      <c r="DA200" s="80"/>
    </row>
    <row r="201" spans="1:105" ht="15" customHeight="1" x14ac:dyDescent="0.2">
      <c r="B201" s="5135"/>
      <c r="C201" s="5799"/>
      <c r="D201" s="5402"/>
      <c r="E201" s="5403"/>
      <c r="F201" s="881"/>
      <c r="G201" s="881"/>
      <c r="AL201" s="79"/>
      <c r="AM201" s="79"/>
      <c r="BZ201" s="80"/>
      <c r="CA201" s="80"/>
      <c r="CH201" s="1020"/>
      <c r="CI201" s="1020"/>
      <c r="CJ201" s="1020"/>
      <c r="CK201" s="1020"/>
      <c r="CL201" s="1020"/>
      <c r="CM201" s="1020"/>
      <c r="CN201" s="1020"/>
      <c r="CO201" s="1020"/>
      <c r="CP201" s="1020"/>
      <c r="CQ201" s="1020"/>
      <c r="CR201" s="1020"/>
      <c r="CS201" s="1020"/>
      <c r="CT201" s="1020"/>
      <c r="CU201" s="1020"/>
      <c r="CV201" s="80"/>
      <c r="CW201" s="80"/>
      <c r="CX201" s="80"/>
      <c r="CY201" s="80"/>
      <c r="CZ201" s="80"/>
      <c r="DA201" s="80"/>
    </row>
    <row r="202" spans="1:105" ht="15" customHeight="1" x14ac:dyDescent="0.2">
      <c r="B202" s="6307"/>
      <c r="C202" s="1598" t="s">
        <v>184</v>
      </c>
      <c r="D202" s="1695" t="s">
        <v>24</v>
      </c>
      <c r="E202" s="1792" t="s">
        <v>25</v>
      </c>
      <c r="F202" s="956"/>
      <c r="G202" s="881"/>
      <c r="AL202" s="79"/>
      <c r="AM202" s="79"/>
      <c r="BZ202" s="80"/>
      <c r="CA202" s="80"/>
      <c r="CH202" s="1020"/>
      <c r="CI202" s="1020"/>
      <c r="CJ202" s="1020"/>
      <c r="CK202" s="1020"/>
      <c r="CL202" s="1020"/>
      <c r="CM202" s="1020"/>
      <c r="CN202" s="1020"/>
      <c r="CO202" s="1020"/>
      <c r="CP202" s="1020"/>
      <c r="CQ202" s="1020"/>
      <c r="CR202" s="1020"/>
      <c r="CS202" s="1020"/>
      <c r="CT202" s="1020"/>
      <c r="CU202" s="1020"/>
      <c r="CV202" s="80"/>
      <c r="CW202" s="80"/>
      <c r="CX202" s="80"/>
      <c r="CY202" s="80"/>
      <c r="CZ202" s="80"/>
      <c r="DA202" s="80"/>
    </row>
    <row r="203" spans="1:105" ht="18.75" customHeight="1" x14ac:dyDescent="0.2">
      <c r="A203" s="3009">
        <v>28021230</v>
      </c>
      <c r="B203" s="1783" t="s">
        <v>499</v>
      </c>
      <c r="C203" s="3608" t="s">
        <v>2777</v>
      </c>
      <c r="D203" s="2901" t="s">
        <v>2778</v>
      </c>
      <c r="E203" s="2902" t="s">
        <v>2779</v>
      </c>
      <c r="F203" s="1165"/>
      <c r="G203" s="1085"/>
      <c r="AL203" s="79"/>
      <c r="AM203" s="79"/>
      <c r="BZ203" s="80"/>
      <c r="CA203" s="80"/>
      <c r="CB203" s="1031"/>
      <c r="CC203" s="1031"/>
      <c r="CD203" s="1031"/>
      <c r="CE203" s="1031"/>
      <c r="CF203" s="1031"/>
      <c r="CG203" s="1031"/>
      <c r="CH203" s="1163"/>
      <c r="CI203" s="1163"/>
      <c r="CJ203" s="1020"/>
      <c r="CK203" s="1020"/>
      <c r="CL203" s="1020"/>
      <c r="CM203" s="1020"/>
      <c r="CN203" s="1020"/>
      <c r="CO203" s="1020"/>
      <c r="CP203" s="1020"/>
      <c r="CQ203" s="1020"/>
      <c r="CR203" s="1020"/>
      <c r="CS203" s="1020"/>
      <c r="CT203" s="1020"/>
      <c r="CU203" s="1020"/>
      <c r="CV203" s="80"/>
      <c r="CW203" s="80"/>
      <c r="CX203" s="80"/>
      <c r="CY203" s="80"/>
      <c r="CZ203" s="80"/>
      <c r="DA203" s="80"/>
    </row>
    <row r="204" spans="1:105" ht="18.75" customHeight="1" x14ac:dyDescent="0.2">
      <c r="A204" s="3009">
        <v>28021240</v>
      </c>
      <c r="B204" s="1784" t="s">
        <v>282</v>
      </c>
      <c r="C204" s="3070" t="s">
        <v>2777</v>
      </c>
      <c r="D204" s="2901" t="s">
        <v>2778</v>
      </c>
      <c r="E204" s="2902" t="s">
        <v>2779</v>
      </c>
      <c r="F204" s="1165"/>
      <c r="G204" s="1085"/>
      <c r="AL204" s="79"/>
      <c r="AM204" s="79"/>
      <c r="BZ204" s="80"/>
      <c r="CA204" s="80"/>
      <c r="CB204" s="1031"/>
      <c r="CC204" s="1031"/>
      <c r="CD204" s="1031"/>
      <c r="CE204" s="1031"/>
      <c r="CF204" s="1031"/>
      <c r="CG204" s="1031"/>
      <c r="CH204" s="1163"/>
      <c r="CI204" s="1163"/>
      <c r="CJ204" s="1020"/>
      <c r="CK204" s="1020"/>
      <c r="CL204" s="1020"/>
      <c r="CM204" s="1020"/>
      <c r="CN204" s="1020"/>
      <c r="CO204" s="1020"/>
      <c r="CP204" s="1020"/>
      <c r="CQ204" s="1020"/>
      <c r="CR204" s="1020"/>
      <c r="CS204" s="1020"/>
      <c r="CT204" s="1020"/>
      <c r="CU204" s="1020"/>
      <c r="CV204" s="80"/>
      <c r="CW204" s="80"/>
      <c r="CX204" s="80"/>
      <c r="CY204" s="80"/>
      <c r="CZ204" s="80"/>
      <c r="DA204" s="80"/>
    </row>
    <row r="205" spans="1:105" ht="18.75" customHeight="1" x14ac:dyDescent="0.2">
      <c r="A205" s="3009">
        <v>28021250</v>
      </c>
      <c r="B205" s="1784" t="s">
        <v>281</v>
      </c>
      <c r="C205" s="3070" t="s">
        <v>2777</v>
      </c>
      <c r="D205" s="2901" t="s">
        <v>2778</v>
      </c>
      <c r="E205" s="2902" t="s">
        <v>2779</v>
      </c>
      <c r="F205" s="1165"/>
      <c r="G205" s="1085"/>
      <c r="AL205" s="79"/>
      <c r="AM205" s="79"/>
      <c r="BZ205" s="80"/>
      <c r="CA205" s="80"/>
      <c r="CB205" s="1031"/>
      <c r="CC205" s="1031"/>
      <c r="CD205" s="1031"/>
      <c r="CE205" s="1031"/>
      <c r="CF205" s="1031"/>
      <c r="CG205" s="1031"/>
      <c r="CH205" s="1163"/>
      <c r="CI205" s="1163"/>
      <c r="CJ205" s="1020"/>
      <c r="CK205" s="1020"/>
      <c r="CL205" s="1020"/>
      <c r="CM205" s="1020"/>
      <c r="CN205" s="1020"/>
      <c r="CO205" s="1020"/>
      <c r="CP205" s="1020"/>
      <c r="CQ205" s="1020"/>
      <c r="CR205" s="1020"/>
      <c r="CS205" s="1020"/>
      <c r="CT205" s="1020"/>
      <c r="CU205" s="1020"/>
      <c r="CV205" s="80"/>
      <c r="CW205" s="80"/>
      <c r="CX205" s="80"/>
      <c r="CY205" s="80"/>
      <c r="CZ205" s="80"/>
      <c r="DA205" s="80"/>
    </row>
    <row r="206" spans="1:105" ht="18.75" customHeight="1" x14ac:dyDescent="0.2">
      <c r="A206" s="3009">
        <v>28021260</v>
      </c>
      <c r="B206" s="1785" t="s">
        <v>280</v>
      </c>
      <c r="C206" s="3070" t="s">
        <v>2777</v>
      </c>
      <c r="D206" s="2901" t="s">
        <v>2778</v>
      </c>
      <c r="E206" s="2902" t="s">
        <v>2779</v>
      </c>
      <c r="F206" s="1165"/>
      <c r="G206" s="1085"/>
      <c r="AL206" s="79"/>
      <c r="AM206" s="79"/>
      <c r="BZ206" s="80"/>
      <c r="CA206" s="80"/>
      <c r="CB206" s="1031"/>
      <c r="CC206" s="1031"/>
      <c r="CD206" s="1031"/>
      <c r="CE206" s="1031"/>
      <c r="CF206" s="1031"/>
      <c r="CG206" s="1031"/>
      <c r="CH206" s="1163"/>
      <c r="CI206" s="1163"/>
      <c r="CJ206" s="1020"/>
      <c r="CK206" s="1020"/>
      <c r="CL206" s="1020"/>
      <c r="CM206" s="1020"/>
      <c r="CN206" s="1020"/>
      <c r="CO206" s="1020"/>
      <c r="CP206" s="1020"/>
      <c r="CQ206" s="1020"/>
      <c r="CR206" s="1020"/>
      <c r="CS206" s="1020"/>
      <c r="CT206" s="1020"/>
      <c r="CU206" s="1020"/>
      <c r="CV206" s="80"/>
      <c r="CW206" s="80"/>
      <c r="CX206" s="80"/>
      <c r="CY206" s="80"/>
      <c r="CZ206" s="80"/>
      <c r="DA206" s="80"/>
    </row>
    <row r="207" spans="1:105" ht="18.75" customHeight="1" x14ac:dyDescent="0.2">
      <c r="A207" s="3009">
        <v>28021270</v>
      </c>
      <c r="B207" s="1785" t="s">
        <v>283</v>
      </c>
      <c r="C207" s="3502" t="s">
        <v>2777</v>
      </c>
      <c r="D207" s="2901" t="s">
        <v>2778</v>
      </c>
      <c r="E207" s="2902" t="s">
        <v>2779</v>
      </c>
      <c r="F207" s="1165"/>
      <c r="G207" s="1085"/>
      <c r="AL207" s="79"/>
      <c r="AM207" s="79"/>
      <c r="BZ207" s="80"/>
      <c r="CA207" s="80"/>
      <c r="CB207" s="1031"/>
      <c r="CC207" s="1031"/>
      <c r="CD207" s="1031"/>
      <c r="CE207" s="1031"/>
      <c r="CF207" s="1031"/>
      <c r="CG207" s="1031"/>
      <c r="CH207" s="1163"/>
      <c r="CI207" s="1163"/>
      <c r="CJ207" s="1020"/>
      <c r="CK207" s="1020"/>
      <c r="CL207" s="1020"/>
      <c r="CM207" s="1020"/>
      <c r="CN207" s="1020"/>
      <c r="CO207" s="1020"/>
      <c r="CP207" s="1020"/>
      <c r="CQ207" s="1020"/>
      <c r="CR207" s="1020"/>
      <c r="CS207" s="1020"/>
      <c r="CT207" s="1020"/>
      <c r="CU207" s="1020"/>
      <c r="CV207" s="80"/>
      <c r="CW207" s="80"/>
      <c r="CX207" s="80"/>
      <c r="CY207" s="80"/>
      <c r="CZ207" s="80"/>
      <c r="DA207" s="80"/>
    </row>
    <row r="208" spans="1:105" ht="18.75" customHeight="1" x14ac:dyDescent="0.2">
      <c r="A208" s="3009">
        <v>28022450</v>
      </c>
      <c r="B208" s="1195" t="s">
        <v>1529</v>
      </c>
      <c r="C208" s="3610" t="s">
        <v>2777</v>
      </c>
      <c r="D208" s="3611" t="s">
        <v>2778</v>
      </c>
      <c r="E208" s="3304" t="s">
        <v>2779</v>
      </c>
      <c r="F208" s="1165"/>
      <c r="G208" s="881"/>
      <c r="AL208" s="79"/>
      <c r="AM208" s="79"/>
      <c r="BZ208" s="80"/>
      <c r="CA208" s="80"/>
      <c r="CB208" s="1031"/>
      <c r="CC208" s="1031"/>
      <c r="CD208" s="1031"/>
      <c r="CE208" s="1031"/>
      <c r="CF208" s="1031"/>
      <c r="CG208" s="1031"/>
      <c r="CH208" s="1163"/>
      <c r="CI208" s="1163"/>
      <c r="CJ208" s="1020"/>
      <c r="CK208" s="1020"/>
      <c r="CL208" s="1020"/>
      <c r="CM208" s="1020"/>
      <c r="CN208" s="1020"/>
      <c r="CO208" s="1020"/>
      <c r="CP208" s="1020"/>
      <c r="CQ208" s="1020"/>
      <c r="CR208" s="1020"/>
      <c r="CS208" s="1020"/>
      <c r="CT208" s="1020"/>
      <c r="CU208" s="1020"/>
      <c r="CV208" s="80"/>
      <c r="CW208" s="80"/>
      <c r="CX208" s="80"/>
      <c r="CY208" s="80"/>
      <c r="CZ208" s="80"/>
      <c r="DA208" s="80"/>
    </row>
    <row r="209" spans="1:105" ht="18.75" customHeight="1" x14ac:dyDescent="0.2">
      <c r="A209" s="2527"/>
      <c r="B209" s="3609" t="s">
        <v>42</v>
      </c>
      <c r="C209" s="3612">
        <f>SUM(C203:C208)</f>
        <v>0</v>
      </c>
      <c r="D209" s="4389">
        <f t="shared" ref="D209:E209" si="12">SUM(D203:D208)</f>
        <v>0</v>
      </c>
      <c r="E209" s="4390">
        <f t="shared" si="12"/>
        <v>0</v>
      </c>
      <c r="F209" s="956"/>
      <c r="G209" s="881"/>
      <c r="AL209" s="79"/>
      <c r="AM209" s="79"/>
      <c r="BZ209" s="80"/>
      <c r="CA209" s="80"/>
      <c r="CH209" s="1020"/>
      <c r="CI209" s="1020"/>
      <c r="CJ209" s="1020"/>
      <c r="CK209" s="1020"/>
      <c r="CL209" s="1020"/>
      <c r="CM209" s="1020"/>
      <c r="CN209" s="1020"/>
      <c r="CO209" s="1020"/>
      <c r="CP209" s="1020"/>
      <c r="CQ209" s="1020"/>
      <c r="CR209" s="1020"/>
      <c r="CS209" s="1020"/>
      <c r="CT209" s="1020"/>
      <c r="CU209" s="1020"/>
      <c r="CV209" s="80"/>
      <c r="CW209" s="80"/>
      <c r="CX209" s="80"/>
      <c r="CY209" s="80"/>
      <c r="CZ209" s="80"/>
      <c r="DA209" s="80"/>
    </row>
    <row r="210" spans="1:105" ht="27.75" customHeight="1" x14ac:dyDescent="0.2">
      <c r="B210" s="1787" t="s">
        <v>2713</v>
      </c>
      <c r="AT210" s="94"/>
      <c r="AU210" s="94"/>
      <c r="CH210" s="1020"/>
      <c r="CI210" s="1020"/>
      <c r="CJ210" s="1020"/>
      <c r="CK210" s="1020"/>
      <c r="CL210" s="1020"/>
      <c r="CM210" s="1020"/>
      <c r="CN210" s="1020"/>
      <c r="CO210" s="1020"/>
      <c r="CP210" s="1020"/>
      <c r="CQ210" s="1020"/>
      <c r="CR210" s="1020"/>
      <c r="CS210" s="1020"/>
      <c r="CT210" s="1020"/>
      <c r="CU210" s="1020"/>
      <c r="CV210" s="80"/>
      <c r="CW210" s="80"/>
      <c r="CX210" s="80"/>
      <c r="CY210" s="80"/>
      <c r="CZ210" s="80"/>
      <c r="DA210" s="80"/>
    </row>
    <row r="211" spans="1:105" ht="15" customHeight="1" x14ac:dyDescent="0.2">
      <c r="B211" s="1798" t="s">
        <v>3</v>
      </c>
      <c r="C211" s="1791" t="s">
        <v>4</v>
      </c>
      <c r="AT211" s="94"/>
      <c r="AU211" s="94"/>
      <c r="CH211" s="1020"/>
      <c r="CI211" s="1020"/>
      <c r="CJ211" s="1020"/>
      <c r="CK211" s="1020"/>
      <c r="CL211" s="1020"/>
      <c r="CM211" s="1020"/>
      <c r="CN211" s="1020"/>
      <c r="CO211" s="1020"/>
      <c r="CP211" s="1020"/>
      <c r="CQ211" s="1020"/>
      <c r="CR211" s="1020"/>
      <c r="CS211" s="1020"/>
      <c r="CT211" s="1020"/>
      <c r="CU211" s="1020"/>
      <c r="CV211" s="80"/>
      <c r="CW211" s="80"/>
      <c r="CX211" s="80"/>
      <c r="CY211" s="80"/>
      <c r="CZ211" s="80"/>
      <c r="DA211" s="80"/>
    </row>
    <row r="212" spans="1:105" ht="18" customHeight="1" x14ac:dyDescent="0.2">
      <c r="A212" s="3009">
        <v>28021280</v>
      </c>
      <c r="B212" s="1783" t="s">
        <v>499</v>
      </c>
      <c r="C212" s="1604" t="s">
        <v>2777</v>
      </c>
      <c r="CH212" s="1020"/>
      <c r="CI212" s="1020"/>
      <c r="CJ212" s="1020"/>
      <c r="CK212" s="1020"/>
      <c r="CL212" s="1020"/>
      <c r="CM212" s="1020"/>
      <c r="CN212" s="1020"/>
      <c r="CO212" s="1020"/>
      <c r="CP212" s="1020"/>
      <c r="CQ212" s="1020"/>
      <c r="CR212" s="1020"/>
      <c r="CS212" s="1020"/>
      <c r="CT212" s="1020"/>
      <c r="CU212" s="1020"/>
      <c r="CV212" s="80"/>
      <c r="CW212" s="80"/>
      <c r="CX212" s="80"/>
      <c r="CY212" s="80"/>
      <c r="CZ212" s="80"/>
      <c r="DA212" s="80"/>
    </row>
    <row r="213" spans="1:105" ht="18" customHeight="1" x14ac:dyDescent="0.2">
      <c r="A213" s="3009">
        <v>28021290</v>
      </c>
      <c r="B213" s="1784" t="s">
        <v>282</v>
      </c>
      <c r="C213" s="164" t="s">
        <v>2777</v>
      </c>
      <c r="CH213" s="1020"/>
      <c r="CI213" s="1020"/>
      <c r="CJ213" s="1020"/>
      <c r="CK213" s="1020"/>
      <c r="CL213" s="1020"/>
      <c r="CM213" s="1020"/>
      <c r="CN213" s="1020"/>
      <c r="CO213" s="1020"/>
      <c r="CP213" s="1020"/>
      <c r="CQ213" s="1020"/>
      <c r="CR213" s="1020"/>
      <c r="CS213" s="1020"/>
      <c r="CT213" s="1020"/>
      <c r="CU213" s="1020"/>
      <c r="CV213" s="80"/>
      <c r="CW213" s="80"/>
      <c r="CX213" s="80"/>
      <c r="CY213" s="80"/>
      <c r="CZ213" s="80"/>
      <c r="DA213" s="80"/>
    </row>
    <row r="214" spans="1:105" ht="18" customHeight="1" x14ac:dyDescent="0.2">
      <c r="A214" s="3009">
        <v>28021300</v>
      </c>
      <c r="B214" s="1784" t="s">
        <v>281</v>
      </c>
      <c r="C214" s="164" t="s">
        <v>2777</v>
      </c>
      <c r="CH214" s="1020"/>
      <c r="CI214" s="1020"/>
      <c r="CJ214" s="1020"/>
      <c r="CK214" s="1020"/>
      <c r="CL214" s="1020"/>
      <c r="CM214" s="1020"/>
      <c r="CN214" s="1020"/>
      <c r="CO214" s="1020"/>
      <c r="CP214" s="1020"/>
      <c r="CQ214" s="1020"/>
      <c r="CR214" s="1020"/>
      <c r="CS214" s="1020"/>
      <c r="CT214" s="1020"/>
      <c r="CU214" s="1020"/>
      <c r="CV214" s="80"/>
      <c r="CW214" s="80"/>
      <c r="CX214" s="80"/>
      <c r="CY214" s="80"/>
      <c r="CZ214" s="80"/>
      <c r="DA214" s="80"/>
    </row>
    <row r="215" spans="1:105" ht="18" customHeight="1" x14ac:dyDescent="0.2">
      <c r="A215" s="3009">
        <v>28021310</v>
      </c>
      <c r="B215" s="1785" t="s">
        <v>280</v>
      </c>
      <c r="C215" s="164" t="s">
        <v>2777</v>
      </c>
      <c r="CH215" s="1020"/>
      <c r="CI215" s="1020"/>
      <c r="CJ215" s="1020"/>
      <c r="CK215" s="1020"/>
      <c r="CL215" s="1020"/>
      <c r="CM215" s="1020"/>
      <c r="CN215" s="1020"/>
      <c r="CO215" s="1020"/>
      <c r="CP215" s="1020"/>
      <c r="CQ215" s="1020"/>
      <c r="CR215" s="1020"/>
      <c r="CS215" s="1020"/>
      <c r="CT215" s="1020"/>
      <c r="CU215" s="1020"/>
      <c r="CV215" s="80"/>
      <c r="CW215" s="80"/>
      <c r="CX215" s="80"/>
      <c r="CY215" s="80"/>
      <c r="CZ215" s="80"/>
      <c r="DA215" s="80"/>
    </row>
    <row r="216" spans="1:105" ht="18" customHeight="1" x14ac:dyDescent="0.2">
      <c r="A216" s="3009">
        <v>28022460</v>
      </c>
      <c r="B216" s="1196" t="s">
        <v>1529</v>
      </c>
      <c r="C216" s="1711" t="s">
        <v>2777</v>
      </c>
      <c r="CH216" s="1020"/>
      <c r="CI216" s="1020"/>
      <c r="CJ216" s="1020"/>
      <c r="CK216" s="1020"/>
      <c r="CL216" s="1020"/>
      <c r="CM216" s="1020"/>
      <c r="CN216" s="1020"/>
      <c r="CO216" s="1020"/>
      <c r="CP216" s="1020"/>
      <c r="CQ216" s="1020"/>
      <c r="CR216" s="1020"/>
      <c r="CS216" s="1020"/>
      <c r="CT216" s="1020"/>
      <c r="CU216" s="1020"/>
      <c r="CV216" s="80"/>
      <c r="CW216" s="80"/>
      <c r="CX216" s="80"/>
      <c r="CY216" s="80"/>
      <c r="CZ216" s="80"/>
      <c r="DA216" s="80"/>
    </row>
    <row r="217" spans="1:105" ht="18" customHeight="1" x14ac:dyDescent="0.2">
      <c r="A217" s="2527"/>
      <c r="B217" s="1805" t="s">
        <v>42</v>
      </c>
      <c r="C217" s="100">
        <f>SUM(C212:C216)</f>
        <v>0</v>
      </c>
      <c r="CH217" s="1020"/>
      <c r="CI217" s="1020"/>
      <c r="CJ217" s="1020"/>
      <c r="CK217" s="1020"/>
      <c r="CL217" s="1020"/>
      <c r="CM217" s="1020"/>
      <c r="CN217" s="1020"/>
      <c r="CO217" s="1020"/>
      <c r="CP217" s="1020"/>
      <c r="CQ217" s="1020"/>
      <c r="CR217" s="1020"/>
      <c r="CS217" s="1020"/>
      <c r="CT217" s="1020"/>
      <c r="CU217" s="1020"/>
      <c r="CV217" s="80"/>
      <c r="CW217" s="80"/>
      <c r="CX217" s="80"/>
      <c r="CY217" s="80"/>
      <c r="CZ217" s="80"/>
      <c r="DA217" s="80"/>
    </row>
    <row r="218" spans="1:105" ht="22.5" customHeight="1" x14ac:dyDescent="0.2">
      <c r="B218" s="177" t="s">
        <v>904</v>
      </c>
      <c r="CH218" s="1020"/>
      <c r="CI218" s="1020"/>
      <c r="CJ218" s="1020"/>
      <c r="CK218" s="1020"/>
      <c r="CL218" s="1020"/>
      <c r="CM218" s="1020"/>
      <c r="CN218" s="1020"/>
      <c r="CO218" s="1020"/>
      <c r="CP218" s="1020"/>
      <c r="CQ218" s="1020"/>
      <c r="CR218" s="1020"/>
      <c r="CS218" s="1020"/>
      <c r="CT218" s="1020"/>
      <c r="CU218" s="1020"/>
      <c r="CV218" s="80"/>
      <c r="CW218" s="80"/>
      <c r="CX218" s="80"/>
      <c r="CY218" s="80"/>
      <c r="CZ218" s="80"/>
      <c r="DA218" s="80"/>
    </row>
    <row r="219" spans="1:105" ht="26.45" customHeight="1" x14ac:dyDescent="0.2">
      <c r="B219" s="1798" t="s">
        <v>3</v>
      </c>
      <c r="C219" s="1794" t="s">
        <v>4</v>
      </c>
      <c r="CH219" s="1020"/>
      <c r="CI219" s="1020"/>
      <c r="CJ219" s="1020"/>
      <c r="CK219" s="1020"/>
      <c r="CL219" s="1020"/>
      <c r="CM219" s="1020"/>
      <c r="CN219" s="1020"/>
      <c r="CO219" s="1020"/>
      <c r="CP219" s="1020"/>
      <c r="CQ219" s="1020"/>
      <c r="CR219" s="1020"/>
      <c r="CS219" s="1020"/>
      <c r="CT219" s="1020"/>
      <c r="CU219" s="1020"/>
      <c r="CV219" s="80"/>
      <c r="CW219" s="80"/>
      <c r="CX219" s="80"/>
      <c r="CY219" s="80"/>
      <c r="CZ219" s="80"/>
      <c r="DA219" s="80"/>
    </row>
    <row r="220" spans="1:105" ht="18" customHeight="1" x14ac:dyDescent="0.2">
      <c r="A220" s="3009">
        <v>28021320</v>
      </c>
      <c r="B220" s="1783" t="s">
        <v>499</v>
      </c>
      <c r="C220" s="112" t="s">
        <v>2777</v>
      </c>
      <c r="CH220" s="1020"/>
      <c r="CI220" s="1020"/>
      <c r="CJ220" s="1020"/>
      <c r="CK220" s="1020"/>
      <c r="CL220" s="1020"/>
      <c r="CM220" s="1020"/>
      <c r="CN220" s="1020"/>
      <c r="CO220" s="1020"/>
      <c r="CP220" s="1020"/>
      <c r="CQ220" s="1020"/>
      <c r="CR220" s="1020"/>
      <c r="CS220" s="1020"/>
      <c r="CT220" s="1020"/>
      <c r="CU220" s="1020"/>
      <c r="CV220" s="80"/>
      <c r="CW220" s="80"/>
      <c r="CX220" s="80"/>
      <c r="CY220" s="80"/>
      <c r="CZ220" s="80"/>
      <c r="DA220" s="80"/>
    </row>
    <row r="221" spans="1:105" ht="18" customHeight="1" x14ac:dyDescent="0.2">
      <c r="A221" s="3009">
        <v>28021330</v>
      </c>
      <c r="B221" s="1784" t="s">
        <v>282</v>
      </c>
      <c r="C221" s="164" t="s">
        <v>2777</v>
      </c>
      <c r="CH221" s="1020"/>
      <c r="CI221" s="1020"/>
      <c r="CJ221" s="1020"/>
      <c r="CK221" s="1020"/>
      <c r="CL221" s="1020"/>
      <c r="CM221" s="1020"/>
      <c r="CN221" s="1020"/>
      <c r="CO221" s="1020"/>
      <c r="CP221" s="1020"/>
      <c r="CQ221" s="1020"/>
      <c r="CR221" s="1020"/>
      <c r="CS221" s="1020"/>
      <c r="CT221" s="1020"/>
      <c r="CU221" s="1020"/>
      <c r="CV221" s="80"/>
      <c r="CW221" s="80"/>
      <c r="CX221" s="80"/>
      <c r="CY221" s="80"/>
      <c r="CZ221" s="80"/>
      <c r="DA221" s="80"/>
    </row>
    <row r="222" spans="1:105" ht="18" customHeight="1" x14ac:dyDescent="0.2">
      <c r="A222" s="3009">
        <v>28021340</v>
      </c>
      <c r="B222" s="1784" t="s">
        <v>281</v>
      </c>
      <c r="C222" s="164" t="s">
        <v>2777</v>
      </c>
      <c r="CH222" s="1020"/>
      <c r="CI222" s="1020"/>
      <c r="CJ222" s="1020"/>
      <c r="CK222" s="1020"/>
      <c r="CL222" s="1020"/>
      <c r="CM222" s="1020"/>
      <c r="CN222" s="1020"/>
      <c r="CO222" s="1020"/>
      <c r="CP222" s="1020"/>
      <c r="CQ222" s="1020"/>
      <c r="CR222" s="1020"/>
      <c r="CS222" s="1020"/>
      <c r="CT222" s="1020"/>
      <c r="CU222" s="1020"/>
      <c r="CV222" s="80"/>
      <c r="CW222" s="80"/>
      <c r="CX222" s="80"/>
      <c r="CY222" s="80"/>
      <c r="CZ222" s="80"/>
      <c r="DA222" s="80"/>
    </row>
    <row r="223" spans="1:105" ht="18" customHeight="1" x14ac:dyDescent="0.2">
      <c r="A223" s="3009">
        <v>28021350</v>
      </c>
      <c r="B223" s="201" t="s">
        <v>280</v>
      </c>
      <c r="C223" s="105" t="s">
        <v>2777</v>
      </c>
      <c r="CH223" s="1020"/>
      <c r="CI223" s="1020"/>
      <c r="CJ223" s="1020"/>
      <c r="CK223" s="1020"/>
      <c r="CL223" s="1020"/>
      <c r="CM223" s="1020"/>
      <c r="CN223" s="1020"/>
      <c r="CO223" s="1020"/>
      <c r="CP223" s="1020"/>
      <c r="CQ223" s="1020"/>
      <c r="CR223" s="1020"/>
      <c r="CS223" s="1020"/>
      <c r="CT223" s="1020"/>
      <c r="CU223" s="1020"/>
      <c r="CV223" s="80"/>
      <c r="CW223" s="80"/>
      <c r="CX223" s="80"/>
      <c r="CY223" s="80"/>
      <c r="CZ223" s="80"/>
      <c r="DA223" s="80"/>
    </row>
    <row r="224" spans="1:105" ht="18" customHeight="1" x14ac:dyDescent="0.2">
      <c r="A224" s="2527"/>
      <c r="B224" s="1805" t="s">
        <v>42</v>
      </c>
      <c r="C224" s="100">
        <f>SUM(C220:C223)</f>
        <v>0</v>
      </c>
      <c r="CH224" s="1020"/>
      <c r="CI224" s="1020"/>
      <c r="CJ224" s="1020"/>
      <c r="CK224" s="1020"/>
      <c r="CL224" s="1020"/>
      <c r="CM224" s="1020"/>
      <c r="CN224" s="1020"/>
      <c r="CO224" s="1020"/>
      <c r="CP224" s="1020"/>
      <c r="CQ224" s="1020"/>
      <c r="CR224" s="1020"/>
      <c r="CS224" s="1020"/>
      <c r="CT224" s="1020"/>
      <c r="CU224" s="1020"/>
      <c r="CV224" s="80"/>
      <c r="CW224" s="80"/>
      <c r="CX224" s="80"/>
      <c r="CY224" s="80"/>
      <c r="CZ224" s="80"/>
      <c r="DA224" s="80"/>
    </row>
    <row r="225" spans="1:105" ht="26.25" customHeight="1" x14ac:dyDescent="0.2">
      <c r="B225" s="85" t="s">
        <v>2714</v>
      </c>
      <c r="CH225" s="1020"/>
      <c r="CI225" s="1020"/>
      <c r="CJ225" s="1020"/>
      <c r="CK225" s="1020"/>
      <c r="CL225" s="1020"/>
      <c r="CM225" s="1020"/>
      <c r="CN225" s="1020"/>
      <c r="CO225" s="1020"/>
      <c r="CP225" s="1020"/>
      <c r="CQ225" s="1020"/>
      <c r="CR225" s="1020"/>
      <c r="CS225" s="1020"/>
      <c r="CT225" s="1020"/>
      <c r="CU225" s="1020"/>
      <c r="CV225" s="80"/>
      <c r="CW225" s="80"/>
      <c r="CX225" s="80"/>
      <c r="CY225" s="80"/>
      <c r="CZ225" s="80"/>
      <c r="DA225" s="80"/>
    </row>
    <row r="226" spans="1:105" ht="24" customHeight="1" x14ac:dyDescent="0.2">
      <c r="B226" s="1798" t="s">
        <v>794</v>
      </c>
      <c r="C226" s="1794" t="s">
        <v>4</v>
      </c>
      <c r="CH226" s="1020"/>
      <c r="CI226" s="1020"/>
      <c r="CJ226" s="1020"/>
      <c r="CK226" s="1020"/>
      <c r="CL226" s="1020"/>
      <c r="CM226" s="1020"/>
      <c r="CN226" s="1020"/>
      <c r="CO226" s="1020"/>
      <c r="CP226" s="1020"/>
      <c r="CQ226" s="1020"/>
      <c r="CR226" s="1020"/>
      <c r="CS226" s="1020"/>
      <c r="CT226" s="1020"/>
      <c r="CU226" s="1020"/>
      <c r="CV226" s="80"/>
      <c r="CW226" s="80"/>
      <c r="CX226" s="80"/>
      <c r="CY226" s="80"/>
      <c r="CZ226" s="80"/>
      <c r="DA226" s="80"/>
    </row>
    <row r="227" spans="1:105" x14ac:dyDescent="0.2">
      <c r="A227" s="3009">
        <v>28021360</v>
      </c>
      <c r="B227" s="108" t="s">
        <v>795</v>
      </c>
      <c r="C227" s="112" t="s">
        <v>2777</v>
      </c>
      <c r="CH227" s="1020"/>
      <c r="CI227" s="1020"/>
      <c r="CJ227" s="1020"/>
      <c r="CK227" s="1020"/>
      <c r="CL227" s="1020"/>
      <c r="CM227" s="1020"/>
      <c r="CN227" s="1020"/>
      <c r="CO227" s="1020"/>
      <c r="CP227" s="1020"/>
      <c r="CQ227" s="1020"/>
      <c r="CR227" s="1020"/>
      <c r="CS227" s="1020"/>
      <c r="CT227" s="1020"/>
      <c r="CU227" s="1020"/>
      <c r="CV227" s="80"/>
      <c r="CW227" s="80"/>
      <c r="CX227" s="80"/>
      <c r="CY227" s="80"/>
      <c r="CZ227" s="80"/>
      <c r="DA227" s="80"/>
    </row>
    <row r="228" spans="1:105" ht="20.25" customHeight="1" x14ac:dyDescent="0.2">
      <c r="A228" s="3009">
        <v>28021370</v>
      </c>
      <c r="B228" s="192" t="s">
        <v>796</v>
      </c>
      <c r="C228" s="164" t="s">
        <v>2777</v>
      </c>
      <c r="CH228" s="1020"/>
      <c r="CI228" s="1020"/>
      <c r="CJ228" s="1020"/>
      <c r="CK228" s="1020"/>
      <c r="CL228" s="1020"/>
      <c r="CM228" s="1020"/>
      <c r="CN228" s="1020"/>
      <c r="CO228" s="1020"/>
      <c r="CP228" s="1020"/>
      <c r="CQ228" s="1020"/>
      <c r="CR228" s="1020"/>
      <c r="CS228" s="1020"/>
      <c r="CT228" s="1020"/>
      <c r="CU228" s="1020"/>
      <c r="CV228" s="80"/>
      <c r="CW228" s="80"/>
      <c r="CX228" s="80"/>
      <c r="CY228" s="80"/>
      <c r="CZ228" s="80"/>
      <c r="DA228" s="80"/>
    </row>
    <row r="229" spans="1:105" ht="19.5" customHeight="1" x14ac:dyDescent="0.2">
      <c r="A229" s="3009">
        <v>28021380</v>
      </c>
      <c r="B229" s="193" t="s">
        <v>797</v>
      </c>
      <c r="C229" s="105" t="s">
        <v>2777</v>
      </c>
      <c r="CH229" s="1020"/>
      <c r="CI229" s="1020"/>
      <c r="CJ229" s="1020"/>
      <c r="CK229" s="1020"/>
      <c r="CL229" s="1020"/>
      <c r="CM229" s="1020"/>
      <c r="CN229" s="1020"/>
      <c r="CO229" s="1020"/>
      <c r="CP229" s="1020"/>
      <c r="CQ229" s="1020"/>
      <c r="CR229" s="1020"/>
      <c r="CS229" s="1020"/>
      <c r="CT229" s="1020"/>
      <c r="CU229" s="1020"/>
      <c r="CV229" s="80"/>
      <c r="CW229" s="80"/>
      <c r="CX229" s="80"/>
      <c r="CY229" s="80"/>
      <c r="CZ229" s="80"/>
      <c r="DA229" s="80"/>
    </row>
    <row r="230" spans="1:105" ht="31.5" customHeight="1" x14ac:dyDescent="0.2">
      <c r="B230" s="177" t="s">
        <v>2715</v>
      </c>
      <c r="CH230" s="1020"/>
      <c r="CI230" s="1020"/>
      <c r="CJ230" s="1020"/>
      <c r="CK230" s="1020"/>
      <c r="CL230" s="1020"/>
      <c r="CM230" s="1020"/>
      <c r="CN230" s="1020"/>
      <c r="CO230" s="1020"/>
      <c r="CP230" s="1020"/>
      <c r="CQ230" s="1020"/>
      <c r="CR230" s="1020"/>
      <c r="CS230" s="1020"/>
      <c r="CT230" s="1020"/>
      <c r="CU230" s="1020"/>
      <c r="CV230" s="80"/>
      <c r="CW230" s="80"/>
      <c r="CX230" s="80"/>
      <c r="CY230" s="80"/>
      <c r="CZ230" s="80"/>
      <c r="DA230" s="80"/>
    </row>
    <row r="231" spans="1:105" ht="19.5" customHeight="1" x14ac:dyDescent="0.2">
      <c r="B231" s="1788" t="s">
        <v>218</v>
      </c>
      <c r="C231" s="1794" t="s">
        <v>42</v>
      </c>
      <c r="CH231" s="1020"/>
      <c r="CI231" s="1020"/>
      <c r="CJ231" s="1020"/>
      <c r="CK231" s="1020"/>
      <c r="CL231" s="1020"/>
      <c r="CM231" s="1020"/>
      <c r="CN231" s="1020"/>
      <c r="CO231" s="1020"/>
      <c r="CP231" s="1020"/>
      <c r="CQ231" s="1020"/>
      <c r="CR231" s="1020"/>
      <c r="CS231" s="1020"/>
      <c r="CT231" s="1020"/>
      <c r="CU231" s="1020"/>
      <c r="CV231" s="80"/>
      <c r="CW231" s="80"/>
      <c r="CX231" s="80"/>
      <c r="CY231" s="80"/>
      <c r="CZ231" s="80"/>
      <c r="DA231" s="80"/>
    </row>
    <row r="232" spans="1:105" x14ac:dyDescent="0.2">
      <c r="A232" s="3009">
        <v>28012100</v>
      </c>
      <c r="B232" s="192" t="s">
        <v>1171</v>
      </c>
      <c r="C232" s="1604" t="s">
        <v>2777</v>
      </c>
      <c r="CH232" s="1020"/>
      <c r="CI232" s="1020"/>
      <c r="CJ232" s="1020"/>
      <c r="CK232" s="1020"/>
      <c r="CL232" s="1020"/>
      <c r="CM232" s="1020"/>
      <c r="CN232" s="1020"/>
      <c r="CO232" s="1020"/>
      <c r="CP232" s="1020"/>
      <c r="CQ232" s="1020"/>
      <c r="CR232" s="1020"/>
      <c r="CS232" s="1020"/>
      <c r="CT232" s="1020"/>
      <c r="CU232" s="1020"/>
      <c r="CV232" s="80"/>
      <c r="CW232" s="80"/>
      <c r="CX232" s="80"/>
      <c r="CY232" s="80"/>
      <c r="CZ232" s="80"/>
      <c r="DA232" s="80"/>
    </row>
    <row r="233" spans="1:105" x14ac:dyDescent="0.2">
      <c r="A233" s="3009">
        <v>28012110</v>
      </c>
      <c r="B233" s="192" t="s">
        <v>2716</v>
      </c>
      <c r="C233" s="112" t="s">
        <v>2777</v>
      </c>
      <c r="CH233" s="1020"/>
      <c r="CI233" s="1020"/>
      <c r="CJ233" s="1020"/>
      <c r="CK233" s="1020"/>
      <c r="CL233" s="1020"/>
      <c r="CM233" s="1020"/>
      <c r="CN233" s="1020"/>
      <c r="CO233" s="1020"/>
      <c r="CP233" s="1020"/>
      <c r="CQ233" s="1020"/>
      <c r="CR233" s="1020"/>
      <c r="CS233" s="1020"/>
      <c r="CT233" s="1020"/>
      <c r="CU233" s="1020"/>
      <c r="CV233" s="80"/>
      <c r="CW233" s="80"/>
      <c r="CX233" s="80"/>
      <c r="CY233" s="80"/>
      <c r="CZ233" s="80"/>
      <c r="DA233" s="80"/>
    </row>
    <row r="234" spans="1:105" x14ac:dyDescent="0.2">
      <c r="A234" s="3009">
        <v>28021390</v>
      </c>
      <c r="B234" s="192" t="s">
        <v>1172</v>
      </c>
      <c r="C234" s="164" t="s">
        <v>2777</v>
      </c>
      <c r="CH234" s="1020"/>
      <c r="CI234" s="1020"/>
      <c r="CJ234" s="1020"/>
      <c r="CK234" s="1020"/>
      <c r="CL234" s="1020"/>
      <c r="CM234" s="1020"/>
      <c r="CN234" s="1020"/>
      <c r="CO234" s="1020"/>
      <c r="CP234" s="1020"/>
      <c r="CQ234" s="1020"/>
      <c r="CR234" s="1020"/>
      <c r="CS234" s="1020"/>
      <c r="CT234" s="1020"/>
      <c r="CU234" s="1020"/>
      <c r="CV234" s="80"/>
      <c r="CW234" s="80"/>
      <c r="CX234" s="80"/>
      <c r="CY234" s="80"/>
      <c r="CZ234" s="80"/>
      <c r="DA234" s="80"/>
    </row>
    <row r="235" spans="1:105" ht="15" customHeight="1" x14ac:dyDescent="0.2">
      <c r="A235" s="3009">
        <v>28021400</v>
      </c>
      <c r="B235" s="192" t="s">
        <v>1199</v>
      </c>
      <c r="C235" s="164" t="s">
        <v>2777</v>
      </c>
      <c r="CH235" s="1020"/>
      <c r="CI235" s="1020"/>
      <c r="CJ235" s="1020"/>
      <c r="CK235" s="1020"/>
      <c r="CL235" s="1020"/>
      <c r="CM235" s="1020"/>
      <c r="CN235" s="1020"/>
      <c r="CO235" s="1020"/>
      <c r="CP235" s="1020"/>
      <c r="CQ235" s="1020"/>
      <c r="CR235" s="1020"/>
      <c r="CS235" s="1020"/>
      <c r="CT235" s="1020"/>
      <c r="CU235" s="1020"/>
      <c r="CV235" s="80"/>
      <c r="CW235" s="80"/>
      <c r="CX235" s="80"/>
      <c r="CY235" s="80"/>
      <c r="CZ235" s="80"/>
      <c r="DA235" s="80"/>
    </row>
    <row r="236" spans="1:105" x14ac:dyDescent="0.2">
      <c r="A236" s="3009">
        <v>28021420</v>
      </c>
      <c r="B236" s="192" t="s">
        <v>1200</v>
      </c>
      <c r="C236" s="164" t="s">
        <v>2777</v>
      </c>
      <c r="CH236" s="1020"/>
      <c r="CI236" s="1020"/>
      <c r="CJ236" s="1020"/>
      <c r="CK236" s="1020"/>
      <c r="CL236" s="1020"/>
      <c r="CM236" s="1020"/>
      <c r="CN236" s="1020"/>
      <c r="CO236" s="1020"/>
      <c r="CP236" s="1020"/>
      <c r="CQ236" s="1020"/>
      <c r="CR236" s="1020"/>
      <c r="CS236" s="1020"/>
      <c r="CT236" s="1020"/>
      <c r="CU236" s="1020"/>
      <c r="CV236" s="80"/>
      <c r="CW236" s="80"/>
      <c r="CX236" s="80"/>
      <c r="CY236" s="80"/>
      <c r="CZ236" s="80"/>
      <c r="DA236" s="80"/>
    </row>
    <row r="237" spans="1:105" x14ac:dyDescent="0.2">
      <c r="A237" s="3009">
        <v>28021430</v>
      </c>
      <c r="B237" s="192" t="s">
        <v>1060</v>
      </c>
      <c r="C237" s="164" t="s">
        <v>2777</v>
      </c>
      <c r="CH237" s="1020"/>
      <c r="CI237" s="1020"/>
      <c r="CJ237" s="1020"/>
      <c r="CK237" s="1020"/>
      <c r="CL237" s="1020"/>
      <c r="CM237" s="1020"/>
      <c r="CN237" s="1020"/>
      <c r="CO237" s="1020"/>
      <c r="CP237" s="1020"/>
      <c r="CQ237" s="1020"/>
      <c r="CR237" s="1020"/>
      <c r="CS237" s="1020"/>
      <c r="CT237" s="1020"/>
      <c r="CU237" s="1020"/>
      <c r="CV237" s="80"/>
      <c r="CW237" s="80"/>
      <c r="CX237" s="80"/>
      <c r="CY237" s="80"/>
      <c r="CZ237" s="80"/>
      <c r="DA237" s="80"/>
    </row>
    <row r="238" spans="1:105" x14ac:dyDescent="0.2">
      <c r="A238" s="3009">
        <v>28021440</v>
      </c>
      <c r="B238" s="192" t="s">
        <v>1201</v>
      </c>
      <c r="C238" s="164" t="s">
        <v>2777</v>
      </c>
      <c r="CV238" s="80"/>
      <c r="CW238" s="80"/>
      <c r="CX238" s="80"/>
      <c r="CY238" s="80"/>
      <c r="CZ238" s="80"/>
      <c r="DA238" s="80"/>
    </row>
    <row r="239" spans="1:105" ht="15.75" customHeight="1" x14ac:dyDescent="0.2">
      <c r="A239" s="3009">
        <v>28021460</v>
      </c>
      <c r="B239" s="192" t="s">
        <v>1174</v>
      </c>
      <c r="C239" s="164" t="s">
        <v>2777</v>
      </c>
      <c r="BZ239" s="80"/>
      <c r="CA239" s="80"/>
      <c r="CB239" s="80"/>
      <c r="CC239" s="80"/>
      <c r="CD239" s="80"/>
      <c r="CE239" s="80"/>
      <c r="CF239" s="80"/>
      <c r="CG239" s="80"/>
      <c r="CH239" s="80"/>
      <c r="CI239" s="80"/>
      <c r="CJ239" s="80"/>
      <c r="CK239" s="80"/>
      <c r="CL239" s="80"/>
      <c r="CM239" s="80"/>
      <c r="CN239" s="80"/>
      <c r="CO239" s="80"/>
      <c r="CP239" s="80"/>
      <c r="CQ239" s="80"/>
      <c r="CR239" s="80"/>
      <c r="CS239" s="80"/>
      <c r="CT239" s="80"/>
      <c r="CU239" s="80"/>
      <c r="CV239" s="80"/>
      <c r="CW239" s="80"/>
      <c r="CX239" s="80"/>
      <c r="CY239" s="80"/>
      <c r="CZ239" s="80"/>
      <c r="DA239" s="80"/>
    </row>
    <row r="240" spans="1:105" ht="16.5" customHeight="1" x14ac:dyDescent="0.2">
      <c r="A240" s="3009">
        <v>28021480</v>
      </c>
      <c r="B240" s="192" t="s">
        <v>1202</v>
      </c>
      <c r="C240" s="164" t="s">
        <v>2777</v>
      </c>
      <c r="BZ240" s="80"/>
      <c r="CA240" s="80"/>
      <c r="CB240" s="80"/>
      <c r="CC240" s="80"/>
      <c r="CD240" s="80"/>
      <c r="CE240" s="80"/>
      <c r="CF240" s="80"/>
      <c r="CG240" s="80"/>
      <c r="CH240" s="80"/>
      <c r="CI240" s="80"/>
      <c r="CJ240" s="80"/>
      <c r="CK240" s="80"/>
      <c r="CL240" s="80"/>
      <c r="CM240" s="80"/>
      <c r="CN240" s="80"/>
      <c r="CO240" s="80"/>
      <c r="CP240" s="80"/>
      <c r="CQ240" s="80"/>
      <c r="CR240" s="80"/>
      <c r="CS240" s="80"/>
      <c r="CT240" s="80"/>
      <c r="CU240" s="80"/>
      <c r="CV240" s="80"/>
      <c r="CW240" s="80"/>
      <c r="CX240" s="80"/>
      <c r="CY240" s="80"/>
      <c r="CZ240" s="80"/>
      <c r="DA240" s="80"/>
    </row>
    <row r="241" spans="1:105" x14ac:dyDescent="0.2">
      <c r="A241" s="3009">
        <v>28021490</v>
      </c>
      <c r="B241" s="192" t="s">
        <v>1203</v>
      </c>
      <c r="C241" s="164" t="s">
        <v>2777</v>
      </c>
      <c r="BZ241" s="80"/>
      <c r="CA241" s="80"/>
      <c r="CB241" s="80"/>
      <c r="CC241" s="80"/>
      <c r="CD241" s="80"/>
      <c r="CE241" s="80"/>
      <c r="CF241" s="80"/>
      <c r="CG241" s="80"/>
      <c r="CH241" s="80"/>
      <c r="CI241" s="80"/>
      <c r="CJ241" s="80"/>
      <c r="CK241" s="80"/>
      <c r="CL241" s="80"/>
      <c r="CM241" s="80"/>
      <c r="CN241" s="80"/>
      <c r="CO241" s="80"/>
      <c r="CP241" s="80"/>
      <c r="CQ241" s="80"/>
      <c r="CR241" s="80"/>
      <c r="CS241" s="80"/>
      <c r="CT241" s="80"/>
      <c r="CU241" s="80"/>
      <c r="CV241" s="80"/>
      <c r="CW241" s="80"/>
      <c r="CX241" s="80"/>
      <c r="CY241" s="80"/>
      <c r="CZ241" s="80"/>
      <c r="DA241" s="80"/>
    </row>
    <row r="242" spans="1:105" x14ac:dyDescent="0.2">
      <c r="A242" s="3009">
        <v>28021500</v>
      </c>
      <c r="B242" s="192" t="s">
        <v>1204</v>
      </c>
      <c r="C242" s="164" t="s">
        <v>2777</v>
      </c>
      <c r="BZ242" s="80"/>
      <c r="CA242" s="80"/>
      <c r="CB242" s="80"/>
      <c r="CC242" s="80"/>
      <c r="CD242" s="80"/>
      <c r="CE242" s="80"/>
      <c r="CF242" s="80"/>
      <c r="CG242" s="80"/>
      <c r="CH242" s="80"/>
      <c r="CI242" s="80"/>
      <c r="CJ242" s="80"/>
      <c r="CK242" s="80"/>
      <c r="CL242" s="80"/>
      <c r="CM242" s="80"/>
      <c r="CN242" s="80"/>
      <c r="CO242" s="80"/>
      <c r="CP242" s="80"/>
      <c r="CQ242" s="80"/>
      <c r="CR242" s="80"/>
      <c r="CS242" s="80"/>
      <c r="CT242" s="80"/>
      <c r="CU242" s="80"/>
      <c r="CV242" s="80"/>
      <c r="CW242" s="80"/>
      <c r="CX242" s="80"/>
      <c r="CY242" s="80"/>
      <c r="CZ242" s="80"/>
      <c r="DA242" s="80"/>
    </row>
    <row r="243" spans="1:105" ht="27" customHeight="1" x14ac:dyDescent="0.2">
      <c r="A243" s="3009">
        <v>28021510</v>
      </c>
      <c r="B243" s="2013" t="s">
        <v>1205</v>
      </c>
      <c r="C243" s="164" t="s">
        <v>2777</v>
      </c>
      <c r="BZ243" s="80"/>
      <c r="CA243" s="80"/>
      <c r="CB243" s="80"/>
      <c r="CC243" s="80"/>
      <c r="CD243" s="80"/>
      <c r="CE243" s="80"/>
      <c r="CF243" s="80"/>
      <c r="CG243" s="80"/>
      <c r="CH243" s="80"/>
      <c r="CI243" s="80"/>
      <c r="CJ243" s="80"/>
      <c r="CK243" s="80"/>
      <c r="CL243" s="80"/>
      <c r="CM243" s="80"/>
      <c r="CN243" s="80"/>
      <c r="CO243" s="80"/>
      <c r="CP243" s="80"/>
      <c r="CQ243" s="80"/>
      <c r="CR243" s="80"/>
      <c r="CS243" s="80"/>
      <c r="CT243" s="80"/>
      <c r="CU243" s="80"/>
      <c r="CV243" s="80"/>
      <c r="CW243" s="80"/>
      <c r="CX243" s="80"/>
      <c r="CY243" s="80"/>
      <c r="CZ243" s="80"/>
      <c r="DA243" s="80"/>
    </row>
    <row r="244" spans="1:105" x14ac:dyDescent="0.2">
      <c r="A244" s="4679">
        <v>28101080</v>
      </c>
      <c r="B244" s="1298" t="s">
        <v>2604</v>
      </c>
      <c r="C244" s="164" t="s">
        <v>2777</v>
      </c>
      <c r="BZ244" s="80"/>
      <c r="CA244" s="80"/>
      <c r="CB244" s="80"/>
      <c r="CC244" s="80"/>
      <c r="CD244" s="80"/>
      <c r="CE244" s="80"/>
      <c r="CF244" s="80"/>
      <c r="CG244" s="80"/>
      <c r="CH244" s="80"/>
      <c r="CI244" s="80"/>
      <c r="CJ244" s="80"/>
      <c r="CK244" s="80"/>
      <c r="CL244" s="80"/>
      <c r="CM244" s="80"/>
      <c r="CN244" s="80"/>
      <c r="CO244" s="80"/>
      <c r="CP244" s="80"/>
      <c r="CQ244" s="80"/>
      <c r="CR244" s="80"/>
      <c r="CS244" s="80"/>
      <c r="CT244" s="80"/>
      <c r="CU244" s="80"/>
      <c r="CV244" s="80"/>
      <c r="CW244" s="80"/>
      <c r="CX244" s="80"/>
      <c r="CY244" s="80"/>
      <c r="CZ244" s="80"/>
      <c r="DA244" s="80"/>
    </row>
    <row r="245" spans="1:105" x14ac:dyDescent="0.2">
      <c r="A245" s="3009">
        <v>28021540</v>
      </c>
      <c r="B245" s="192" t="s">
        <v>1175</v>
      </c>
      <c r="C245" s="164" t="s">
        <v>2777</v>
      </c>
      <c r="BZ245" s="80"/>
      <c r="CA245" s="80"/>
      <c r="CB245" s="80"/>
      <c r="CC245" s="80"/>
      <c r="CD245" s="80"/>
      <c r="CE245" s="80"/>
      <c r="CF245" s="80"/>
      <c r="CG245" s="80"/>
      <c r="CH245" s="80"/>
      <c r="CI245" s="80"/>
      <c r="CJ245" s="80"/>
      <c r="CK245" s="80"/>
      <c r="CL245" s="80"/>
      <c r="CM245" s="80"/>
      <c r="CN245" s="80"/>
      <c r="CO245" s="80"/>
      <c r="CP245" s="80"/>
      <c r="CQ245" s="80"/>
      <c r="CR245" s="80"/>
      <c r="CS245" s="80"/>
      <c r="CT245" s="80"/>
      <c r="CU245" s="80"/>
      <c r="CV245" s="80"/>
      <c r="CW245" s="80"/>
      <c r="CX245" s="80"/>
      <c r="CY245" s="80"/>
      <c r="CZ245" s="80"/>
      <c r="DA245" s="80"/>
    </row>
    <row r="246" spans="1:105" ht="27" customHeight="1" x14ac:dyDescent="0.2">
      <c r="A246" s="3009">
        <v>28021550</v>
      </c>
      <c r="B246" s="2013" t="s">
        <v>1206</v>
      </c>
      <c r="C246" s="164" t="s">
        <v>2777</v>
      </c>
      <c r="BZ246" s="80"/>
      <c r="CA246" s="80"/>
      <c r="CB246" s="80"/>
      <c r="CC246" s="80"/>
      <c r="CD246" s="80"/>
      <c r="CE246" s="80"/>
      <c r="CF246" s="80"/>
      <c r="CG246" s="80"/>
      <c r="CH246" s="80"/>
      <c r="CI246" s="80"/>
      <c r="CJ246" s="80"/>
      <c r="CK246" s="80"/>
      <c r="CL246" s="80"/>
      <c r="CM246" s="80"/>
      <c r="CN246" s="80"/>
      <c r="CO246" s="80"/>
      <c r="CP246" s="80"/>
      <c r="CQ246" s="80"/>
      <c r="CR246" s="80"/>
      <c r="CS246" s="80"/>
      <c r="CT246" s="80"/>
      <c r="CU246" s="80"/>
      <c r="CV246" s="80"/>
      <c r="CW246" s="80"/>
      <c r="CX246" s="80"/>
      <c r="CY246" s="80"/>
      <c r="CZ246" s="80"/>
      <c r="DA246" s="80"/>
    </row>
    <row r="247" spans="1:105" x14ac:dyDescent="0.2">
      <c r="A247" s="3009">
        <v>28021570</v>
      </c>
      <c r="B247" s="192" t="s">
        <v>1207</v>
      </c>
      <c r="C247" s="164" t="s">
        <v>2777</v>
      </c>
      <c r="BZ247" s="80"/>
      <c r="CA247" s="80"/>
      <c r="CB247" s="80"/>
      <c r="CC247" s="80"/>
      <c r="CD247" s="80"/>
      <c r="CE247" s="80"/>
      <c r="CF247" s="80"/>
      <c r="CG247" s="80"/>
      <c r="CH247" s="80"/>
      <c r="CI247" s="80"/>
      <c r="CJ247" s="80"/>
      <c r="CK247" s="80"/>
      <c r="CL247" s="80"/>
      <c r="CM247" s="80"/>
      <c r="CN247" s="80"/>
      <c r="CO247" s="80"/>
      <c r="CP247" s="80"/>
      <c r="CQ247" s="80"/>
      <c r="CR247" s="80"/>
      <c r="CS247" s="80"/>
      <c r="CT247" s="80"/>
      <c r="CU247" s="80"/>
      <c r="CV247" s="80"/>
      <c r="CW247" s="80"/>
      <c r="CX247" s="80"/>
      <c r="CY247" s="80"/>
      <c r="CZ247" s="80"/>
      <c r="DA247" s="80"/>
    </row>
    <row r="248" spans="1:105" x14ac:dyDescent="0.2">
      <c r="A248" s="3009">
        <v>28021580</v>
      </c>
      <c r="B248" s="192" t="s">
        <v>1177</v>
      </c>
      <c r="C248" s="164" t="s">
        <v>2777</v>
      </c>
      <c r="BZ248" s="80"/>
      <c r="CA248" s="80"/>
      <c r="CB248" s="80"/>
      <c r="CC248" s="80"/>
      <c r="CD248" s="80"/>
      <c r="CE248" s="80"/>
      <c r="CF248" s="80"/>
      <c r="CG248" s="80"/>
      <c r="CH248" s="80"/>
      <c r="CI248" s="80"/>
      <c r="CJ248" s="80"/>
      <c r="CK248" s="80"/>
      <c r="CL248" s="80"/>
      <c r="CM248" s="80"/>
      <c r="CN248" s="80"/>
      <c r="CO248" s="80"/>
      <c r="CP248" s="80"/>
      <c r="CQ248" s="80"/>
      <c r="CR248" s="80"/>
      <c r="CS248" s="80"/>
      <c r="CT248" s="80"/>
      <c r="CU248" s="80"/>
      <c r="CV248" s="80"/>
      <c r="CW248" s="80"/>
      <c r="CX248" s="80"/>
      <c r="CY248" s="80"/>
      <c r="CZ248" s="80"/>
      <c r="DA248" s="80"/>
    </row>
    <row r="249" spans="1:105" ht="15" customHeight="1" x14ac:dyDescent="0.2">
      <c r="A249" s="3009">
        <v>28021590</v>
      </c>
      <c r="B249" s="192" t="s">
        <v>1178</v>
      </c>
      <c r="C249" s="164" t="s">
        <v>2777</v>
      </c>
      <c r="BZ249" s="80"/>
      <c r="CA249" s="80"/>
      <c r="CB249" s="80"/>
      <c r="CC249" s="80"/>
      <c r="CD249" s="80"/>
      <c r="CE249" s="80"/>
      <c r="CF249" s="80"/>
      <c r="CG249" s="80"/>
      <c r="CH249" s="80"/>
      <c r="CI249" s="80"/>
      <c r="CJ249" s="80"/>
      <c r="CK249" s="80"/>
      <c r="CL249" s="80"/>
      <c r="CM249" s="80"/>
      <c r="CN249" s="80"/>
      <c r="CO249" s="80"/>
      <c r="CP249" s="80"/>
      <c r="CQ249" s="80"/>
      <c r="CR249" s="80"/>
      <c r="CS249" s="80"/>
      <c r="CT249" s="80"/>
      <c r="CU249" s="80"/>
      <c r="CV249" s="80"/>
      <c r="CW249" s="80"/>
      <c r="CX249" s="80"/>
      <c r="CY249" s="80"/>
      <c r="CZ249" s="80"/>
      <c r="DA249" s="80"/>
    </row>
    <row r="250" spans="1:105" ht="15" customHeight="1" x14ac:dyDescent="0.2">
      <c r="A250" s="3009">
        <v>28021600</v>
      </c>
      <c r="B250" s="192" t="s">
        <v>1208</v>
      </c>
      <c r="C250" s="164" t="s">
        <v>2777</v>
      </c>
      <c r="BZ250" s="80"/>
      <c r="CA250" s="80"/>
      <c r="CB250" s="80"/>
      <c r="CC250" s="80"/>
      <c r="CD250" s="80"/>
      <c r="CE250" s="80"/>
      <c r="CF250" s="80"/>
      <c r="CG250" s="80"/>
      <c r="CH250" s="80"/>
      <c r="CI250" s="80"/>
      <c r="CJ250" s="80"/>
      <c r="CK250" s="80"/>
      <c r="CL250" s="80"/>
      <c r="CM250" s="80"/>
      <c r="CN250" s="80"/>
      <c r="CO250" s="80"/>
      <c r="CP250" s="80"/>
      <c r="CQ250" s="80"/>
      <c r="CR250" s="80"/>
      <c r="CS250" s="80"/>
      <c r="CT250" s="80"/>
      <c r="CU250" s="80"/>
      <c r="CV250" s="80"/>
      <c r="CW250" s="80"/>
      <c r="CX250" s="80"/>
      <c r="CY250" s="80"/>
      <c r="CZ250" s="80"/>
      <c r="DA250" s="80"/>
    </row>
    <row r="251" spans="1:105" ht="15" customHeight="1" x14ac:dyDescent="0.2">
      <c r="A251" s="3009">
        <v>28022500</v>
      </c>
      <c r="B251" s="192" t="s">
        <v>1568</v>
      </c>
      <c r="C251" s="164" t="s">
        <v>2777</v>
      </c>
      <c r="BZ251" s="80"/>
      <c r="CA251" s="80"/>
      <c r="CB251" s="80"/>
      <c r="CC251" s="80"/>
      <c r="CD251" s="80"/>
      <c r="CE251" s="80"/>
      <c r="CF251" s="80"/>
      <c r="CG251" s="80"/>
      <c r="CH251" s="80"/>
      <c r="CI251" s="80"/>
      <c r="CJ251" s="80"/>
      <c r="CK251" s="80"/>
      <c r="CL251" s="80"/>
      <c r="CM251" s="80"/>
      <c r="CN251" s="80"/>
      <c r="CO251" s="80"/>
      <c r="CP251" s="80"/>
      <c r="CQ251" s="80"/>
      <c r="CR251" s="80"/>
      <c r="CS251" s="80"/>
      <c r="CT251" s="80"/>
      <c r="CU251" s="80"/>
      <c r="CV251" s="80"/>
      <c r="CW251" s="80"/>
      <c r="CX251" s="80"/>
      <c r="CY251" s="80"/>
      <c r="CZ251" s="80"/>
      <c r="DA251" s="80"/>
    </row>
    <row r="252" spans="1:105" ht="15" customHeight="1" x14ac:dyDescent="0.2">
      <c r="A252" s="3009">
        <v>28022510</v>
      </c>
      <c r="B252" s="192" t="s">
        <v>1173</v>
      </c>
      <c r="C252" s="164" t="s">
        <v>2777</v>
      </c>
      <c r="CB252" s="80"/>
      <c r="CC252" s="80"/>
      <c r="CD252" s="80"/>
      <c r="CE252" s="80"/>
      <c r="CF252" s="80"/>
      <c r="CG252" s="80"/>
      <c r="CH252" s="80"/>
      <c r="CI252" s="80"/>
      <c r="CJ252" s="80"/>
      <c r="CK252" s="80"/>
      <c r="CL252" s="80"/>
      <c r="CM252" s="80"/>
      <c r="CN252" s="80"/>
      <c r="CO252" s="80"/>
      <c r="CP252" s="80"/>
      <c r="CQ252" s="80"/>
      <c r="CR252" s="80"/>
      <c r="CS252" s="80"/>
      <c r="CT252" s="80"/>
      <c r="CU252" s="80"/>
      <c r="CV252" s="80"/>
      <c r="CW252" s="80"/>
      <c r="CX252" s="80"/>
      <c r="CY252" s="80"/>
      <c r="CZ252" s="80"/>
      <c r="DA252" s="80"/>
    </row>
    <row r="253" spans="1:105" ht="15" customHeight="1" x14ac:dyDescent="0.2">
      <c r="A253" s="3009">
        <v>28022520</v>
      </c>
      <c r="B253" s="192" t="s">
        <v>1176</v>
      </c>
      <c r="C253" s="164" t="s">
        <v>2777</v>
      </c>
      <c r="CB253" s="80"/>
      <c r="CC253" s="80"/>
      <c r="CD253" s="80"/>
      <c r="CE253" s="80"/>
      <c r="CF253" s="80"/>
      <c r="CG253" s="80"/>
      <c r="CH253" s="80"/>
      <c r="CI253" s="80"/>
      <c r="CJ253" s="80"/>
      <c r="CK253" s="80"/>
      <c r="CL253" s="80"/>
      <c r="CM253" s="80"/>
      <c r="CN253" s="80"/>
      <c r="CO253" s="80"/>
      <c r="CP253" s="80"/>
      <c r="CQ253" s="80"/>
      <c r="CR253" s="80"/>
      <c r="CS253" s="80"/>
      <c r="CT253" s="80"/>
      <c r="CU253" s="80"/>
      <c r="CV253" s="80"/>
      <c r="CW253" s="80"/>
      <c r="CX253" s="80"/>
      <c r="CY253" s="80"/>
      <c r="CZ253" s="80"/>
      <c r="DA253" s="80"/>
    </row>
    <row r="254" spans="1:105" ht="15" customHeight="1" x14ac:dyDescent="0.2">
      <c r="A254" s="3009">
        <v>28022530</v>
      </c>
      <c r="B254" s="192" t="s">
        <v>1179</v>
      </c>
      <c r="C254" s="164" t="s">
        <v>2777</v>
      </c>
      <c r="CB254" s="80"/>
      <c r="CC254" s="80"/>
      <c r="CD254" s="80"/>
      <c r="CE254" s="80"/>
      <c r="CF254" s="80"/>
      <c r="CG254" s="80"/>
      <c r="CH254" s="80"/>
      <c r="CI254" s="80"/>
      <c r="CJ254" s="80"/>
      <c r="CK254" s="80"/>
      <c r="CL254" s="80"/>
      <c r="CM254" s="80"/>
      <c r="CN254" s="80"/>
      <c r="CO254" s="80"/>
      <c r="CP254" s="80"/>
      <c r="CQ254" s="80"/>
      <c r="CR254" s="80"/>
      <c r="CS254" s="80"/>
      <c r="CT254" s="80"/>
      <c r="CU254" s="80"/>
      <c r="CV254" s="80"/>
      <c r="CW254" s="80"/>
      <c r="CX254" s="80"/>
      <c r="CY254" s="80"/>
      <c r="CZ254" s="80"/>
      <c r="DA254" s="80"/>
    </row>
    <row r="255" spans="1:105" ht="15" customHeight="1" x14ac:dyDescent="0.2">
      <c r="A255" s="3009">
        <v>28022540</v>
      </c>
      <c r="B255" s="192" t="s">
        <v>1180</v>
      </c>
      <c r="C255" s="164" t="s">
        <v>2777</v>
      </c>
      <c r="CB255" s="80"/>
      <c r="CC255" s="80"/>
      <c r="CD255" s="80"/>
      <c r="CE255" s="80"/>
      <c r="CF255" s="80"/>
      <c r="CG255" s="80"/>
      <c r="CH255" s="80"/>
      <c r="CI255" s="80"/>
      <c r="CJ255" s="80"/>
      <c r="CK255" s="80"/>
      <c r="CL255" s="80"/>
      <c r="CM255" s="80"/>
      <c r="CN255" s="80"/>
      <c r="CO255" s="80"/>
      <c r="CP255" s="80"/>
      <c r="CQ255" s="80"/>
      <c r="CR255" s="80"/>
      <c r="CS255" s="80"/>
      <c r="CT255" s="80"/>
      <c r="CU255" s="80"/>
      <c r="CV255" s="80"/>
      <c r="CW255" s="80"/>
      <c r="CX255" s="80"/>
      <c r="CY255" s="80"/>
      <c r="CZ255" s="80"/>
      <c r="DA255" s="80"/>
    </row>
    <row r="256" spans="1:105" ht="21" x14ac:dyDescent="0.2">
      <c r="A256" s="3009">
        <v>28022550</v>
      </c>
      <c r="B256" s="3613" t="s">
        <v>1181</v>
      </c>
      <c r="C256" s="164" t="s">
        <v>2777</v>
      </c>
      <c r="CB256" s="80"/>
      <c r="CC256" s="80"/>
      <c r="CD256" s="80"/>
      <c r="CE256" s="80"/>
      <c r="CF256" s="80"/>
      <c r="CG256" s="80"/>
      <c r="CH256" s="80"/>
      <c r="CI256" s="80"/>
      <c r="CJ256" s="80"/>
      <c r="CK256" s="80"/>
      <c r="CL256" s="80"/>
      <c r="CM256" s="80"/>
      <c r="CN256" s="80"/>
      <c r="CO256" s="80"/>
      <c r="CP256" s="80"/>
      <c r="CQ256" s="80"/>
      <c r="CR256" s="80"/>
      <c r="CS256" s="80"/>
      <c r="CT256" s="80"/>
      <c r="CU256" s="80"/>
      <c r="CV256" s="80"/>
      <c r="CW256" s="80"/>
      <c r="CX256" s="80"/>
      <c r="CY256" s="80"/>
      <c r="CZ256" s="80"/>
      <c r="DA256" s="80"/>
    </row>
    <row r="257" spans="1:105" ht="15" customHeight="1" x14ac:dyDescent="0.2">
      <c r="A257" s="3009">
        <v>28022560</v>
      </c>
      <c r="B257" s="192" t="s">
        <v>1182</v>
      </c>
      <c r="C257" s="164" t="s">
        <v>2777</v>
      </c>
      <c r="CB257" s="80"/>
      <c r="CC257" s="80"/>
      <c r="CD257" s="80"/>
      <c r="CE257" s="80"/>
      <c r="CF257" s="80"/>
      <c r="CG257" s="80"/>
      <c r="CH257" s="80"/>
      <c r="CI257" s="80"/>
      <c r="CJ257" s="80"/>
      <c r="CK257" s="80"/>
      <c r="CL257" s="80"/>
      <c r="CM257" s="80"/>
      <c r="CN257" s="80"/>
      <c r="CO257" s="80"/>
      <c r="CP257" s="80"/>
      <c r="CQ257" s="80"/>
      <c r="CR257" s="80"/>
      <c r="CS257" s="80"/>
      <c r="CT257" s="80"/>
      <c r="CU257" s="80"/>
      <c r="CV257" s="80"/>
      <c r="CW257" s="80"/>
      <c r="CX257" s="80"/>
      <c r="CY257" s="80"/>
      <c r="CZ257" s="80"/>
      <c r="DA257" s="80"/>
    </row>
    <row r="258" spans="1:105" ht="15" customHeight="1" x14ac:dyDescent="0.2">
      <c r="A258" s="3009">
        <v>28022570</v>
      </c>
      <c r="B258" s="192" t="s">
        <v>1560</v>
      </c>
      <c r="C258" s="164" t="s">
        <v>2777</v>
      </c>
      <c r="CB258" s="80"/>
      <c r="CC258" s="80"/>
      <c r="CD258" s="80"/>
      <c r="CE258" s="80"/>
      <c r="CF258" s="80"/>
      <c r="CG258" s="80"/>
      <c r="CH258" s="80"/>
      <c r="CI258" s="80"/>
      <c r="CJ258" s="80"/>
      <c r="CK258" s="80"/>
      <c r="CL258" s="80"/>
      <c r="CM258" s="80"/>
      <c r="CN258" s="80"/>
      <c r="CO258" s="80"/>
      <c r="CP258" s="80"/>
      <c r="CQ258" s="80"/>
      <c r="CR258" s="80"/>
      <c r="CS258" s="80"/>
      <c r="CT258" s="80"/>
      <c r="CU258" s="80"/>
      <c r="CV258" s="80"/>
      <c r="CW258" s="80"/>
      <c r="CX258" s="80"/>
      <c r="CY258" s="80"/>
      <c r="CZ258" s="80"/>
      <c r="DA258" s="80"/>
    </row>
    <row r="259" spans="1:105" ht="15" customHeight="1" x14ac:dyDescent="0.2">
      <c r="A259" s="3009">
        <v>28022580</v>
      </c>
      <c r="B259" s="192" t="s">
        <v>1561</v>
      </c>
      <c r="C259" s="164" t="s">
        <v>2777</v>
      </c>
      <c r="CB259" s="80"/>
      <c r="CC259" s="80"/>
      <c r="CD259" s="80"/>
      <c r="CE259" s="80"/>
      <c r="CF259" s="80"/>
      <c r="CG259" s="80"/>
      <c r="CH259" s="80"/>
      <c r="CI259" s="80"/>
      <c r="CJ259" s="80"/>
      <c r="CK259" s="80"/>
      <c r="CL259" s="80"/>
      <c r="CM259" s="80"/>
      <c r="CN259" s="80"/>
      <c r="CO259" s="80"/>
      <c r="CP259" s="80"/>
      <c r="CQ259" s="80"/>
      <c r="CR259" s="80"/>
      <c r="CS259" s="80"/>
      <c r="CT259" s="80"/>
      <c r="CU259" s="80"/>
      <c r="CV259" s="80"/>
      <c r="CW259" s="80"/>
      <c r="CX259" s="80"/>
      <c r="CY259" s="80"/>
      <c r="CZ259" s="80"/>
      <c r="DA259" s="80"/>
    </row>
    <row r="260" spans="1:105" ht="15" customHeight="1" x14ac:dyDescent="0.2">
      <c r="A260" s="3009">
        <v>28022590</v>
      </c>
      <c r="B260" s="192" t="s">
        <v>1562</v>
      </c>
      <c r="C260" s="164" t="s">
        <v>2777</v>
      </c>
      <c r="CB260" s="80"/>
      <c r="CC260" s="80"/>
      <c r="CD260" s="80"/>
      <c r="CE260" s="80"/>
      <c r="CF260" s="80"/>
      <c r="CG260" s="80"/>
      <c r="CH260" s="80"/>
      <c r="CI260" s="80"/>
      <c r="CJ260" s="80"/>
      <c r="CK260" s="80"/>
      <c r="CL260" s="80"/>
      <c r="CM260" s="80"/>
      <c r="CN260" s="80"/>
      <c r="CO260" s="80"/>
      <c r="CP260" s="80"/>
      <c r="CQ260" s="80"/>
      <c r="CR260" s="80"/>
      <c r="CS260" s="80"/>
      <c r="CT260" s="80"/>
      <c r="CU260" s="80"/>
      <c r="CV260" s="80"/>
      <c r="CW260" s="80"/>
      <c r="CX260" s="80"/>
      <c r="CY260" s="80"/>
      <c r="CZ260" s="80"/>
      <c r="DA260" s="80"/>
    </row>
    <row r="261" spans="1:105" ht="15" customHeight="1" x14ac:dyDescent="0.2">
      <c r="A261" s="3009">
        <v>28022600</v>
      </c>
      <c r="B261" s="192" t="s">
        <v>1563</v>
      </c>
      <c r="C261" s="164" t="s">
        <v>2777</v>
      </c>
      <c r="CB261" s="80"/>
      <c r="CC261" s="80"/>
      <c r="CD261" s="80"/>
      <c r="CE261" s="80"/>
      <c r="CF261" s="80"/>
      <c r="CG261" s="80"/>
      <c r="CH261" s="80"/>
      <c r="CI261" s="80"/>
      <c r="CJ261" s="80"/>
      <c r="CK261" s="80"/>
      <c r="CL261" s="80"/>
      <c r="CM261" s="80"/>
      <c r="CN261" s="80"/>
      <c r="CO261" s="80"/>
      <c r="CP261" s="80"/>
      <c r="CQ261" s="80"/>
      <c r="CR261" s="80"/>
      <c r="CS261" s="80"/>
      <c r="CT261" s="80"/>
      <c r="CU261" s="80"/>
      <c r="CV261" s="80"/>
      <c r="CW261" s="80"/>
      <c r="CX261" s="80"/>
      <c r="CY261" s="80"/>
      <c r="CZ261" s="80"/>
      <c r="DA261" s="80"/>
    </row>
    <row r="262" spans="1:105" ht="15" customHeight="1" x14ac:dyDescent="0.2">
      <c r="A262" s="3009">
        <v>28022610</v>
      </c>
      <c r="B262" s="192" t="s">
        <v>1606</v>
      </c>
      <c r="C262" s="164" t="s">
        <v>2777</v>
      </c>
      <c r="CB262" s="80"/>
      <c r="CC262" s="80"/>
      <c r="CD262" s="80"/>
      <c r="CE262" s="80"/>
      <c r="CF262" s="80"/>
      <c r="CG262" s="80"/>
      <c r="CH262" s="80"/>
      <c r="CI262" s="80"/>
      <c r="CJ262" s="80"/>
      <c r="CK262" s="80"/>
      <c r="CL262" s="80"/>
      <c r="CM262" s="80"/>
      <c r="CN262" s="80"/>
      <c r="CO262" s="80"/>
      <c r="CP262" s="80"/>
      <c r="CQ262" s="80"/>
      <c r="CR262" s="80"/>
      <c r="CS262" s="80"/>
      <c r="CT262" s="80"/>
      <c r="CU262" s="80"/>
      <c r="CV262" s="80"/>
      <c r="CW262" s="80"/>
      <c r="CX262" s="80"/>
      <c r="CY262" s="80"/>
      <c r="CZ262" s="80"/>
      <c r="DA262" s="80"/>
    </row>
    <row r="263" spans="1:105" ht="15" customHeight="1" x14ac:dyDescent="0.2">
      <c r="A263" s="3009">
        <v>28022620</v>
      </c>
      <c r="B263" s="192" t="s">
        <v>1607</v>
      </c>
      <c r="C263" s="164" t="s">
        <v>2777</v>
      </c>
      <c r="CB263" s="80"/>
      <c r="CC263" s="80"/>
      <c r="CD263" s="80"/>
      <c r="CE263" s="80"/>
      <c r="CF263" s="80"/>
      <c r="CG263" s="80"/>
      <c r="CH263" s="80"/>
      <c r="CI263" s="80"/>
      <c r="CJ263" s="80"/>
      <c r="CK263" s="80"/>
      <c r="CL263" s="80"/>
      <c r="CM263" s="80"/>
      <c r="CN263" s="80"/>
      <c r="CO263" s="80"/>
      <c r="CP263" s="80"/>
      <c r="CQ263" s="80"/>
      <c r="CR263" s="80"/>
      <c r="CS263" s="80"/>
      <c r="CT263" s="80"/>
      <c r="CU263" s="80"/>
      <c r="CV263" s="80"/>
      <c r="CW263" s="80"/>
      <c r="CX263" s="80"/>
      <c r="CY263" s="80"/>
      <c r="CZ263" s="80"/>
      <c r="DA263" s="80"/>
    </row>
    <row r="264" spans="1:105" ht="15" customHeight="1" x14ac:dyDescent="0.2">
      <c r="A264" s="4679">
        <v>28101090</v>
      </c>
      <c r="B264" s="1299" t="s">
        <v>1722</v>
      </c>
      <c r="C264" s="164" t="s">
        <v>2777</v>
      </c>
      <c r="CB264" s="80"/>
      <c r="CC264" s="80"/>
      <c r="CD264" s="80"/>
      <c r="CE264" s="80"/>
      <c r="CF264" s="80"/>
      <c r="CG264" s="80"/>
      <c r="CH264" s="80"/>
      <c r="CI264" s="80"/>
      <c r="CJ264" s="80"/>
      <c r="CK264" s="80"/>
      <c r="CL264" s="80"/>
      <c r="CM264" s="80"/>
      <c r="CN264" s="80"/>
      <c r="CO264" s="80"/>
      <c r="CP264" s="80"/>
      <c r="CQ264" s="80"/>
      <c r="CR264" s="80"/>
      <c r="CS264" s="80"/>
      <c r="CT264" s="80"/>
      <c r="CU264" s="80"/>
      <c r="CV264" s="80"/>
      <c r="CW264" s="80"/>
      <c r="CX264" s="80"/>
      <c r="CY264" s="80"/>
      <c r="CZ264" s="80"/>
      <c r="DA264" s="80"/>
    </row>
    <row r="265" spans="1:105" ht="15" customHeight="1" x14ac:dyDescent="0.2">
      <c r="A265" s="4679">
        <v>28101100</v>
      </c>
      <c r="B265" s="1299" t="s">
        <v>1721</v>
      </c>
      <c r="C265" s="105" t="s">
        <v>2777</v>
      </c>
      <c r="CB265" s="80"/>
      <c r="CC265" s="80"/>
      <c r="CD265" s="80"/>
      <c r="CE265" s="80"/>
      <c r="CF265" s="80"/>
      <c r="CG265" s="80"/>
      <c r="CH265" s="80"/>
      <c r="CI265" s="80"/>
      <c r="CJ265" s="80"/>
      <c r="CK265" s="80"/>
      <c r="CL265" s="80"/>
      <c r="CM265" s="80"/>
      <c r="CN265" s="80"/>
      <c r="CO265" s="80"/>
      <c r="CP265" s="80"/>
      <c r="CQ265" s="80"/>
      <c r="CR265" s="80"/>
      <c r="CS265" s="80"/>
      <c r="CT265" s="80"/>
      <c r="CU265" s="80"/>
      <c r="CV265" s="80"/>
      <c r="CW265" s="80"/>
      <c r="CX265" s="80"/>
      <c r="CY265" s="80"/>
      <c r="CZ265" s="80"/>
      <c r="DA265" s="80"/>
    </row>
    <row r="266" spans="1:105" ht="17.25" customHeight="1" x14ac:dyDescent="0.2">
      <c r="B266" s="1804" t="s">
        <v>42</v>
      </c>
      <c r="C266" s="1803">
        <f>SUM(C232:C263)</f>
        <v>0</v>
      </c>
      <c r="CB266" s="80"/>
      <c r="CC266" s="80"/>
      <c r="CD266" s="80"/>
      <c r="CE266" s="80"/>
      <c r="CF266" s="80"/>
      <c r="CG266" s="80"/>
      <c r="CH266" s="80"/>
      <c r="CI266" s="80"/>
      <c r="CJ266" s="80"/>
      <c r="CK266" s="80"/>
      <c r="CL266" s="80"/>
      <c r="CM266" s="80"/>
      <c r="CN266" s="80"/>
      <c r="CO266" s="80"/>
      <c r="CP266" s="80"/>
      <c r="CQ266" s="80"/>
      <c r="CR266" s="80"/>
      <c r="CS266" s="80"/>
      <c r="CT266" s="80"/>
      <c r="CU266" s="80"/>
      <c r="CV266" s="80"/>
      <c r="CW266" s="80"/>
      <c r="CX266" s="80"/>
      <c r="CY266" s="80"/>
      <c r="CZ266" s="80"/>
      <c r="DA266" s="80"/>
    </row>
    <row r="267" spans="1:105" ht="17.25" customHeight="1" x14ac:dyDescent="0.2">
      <c r="B267" s="485" t="s">
        <v>2717</v>
      </c>
      <c r="C267" s="485"/>
      <c r="D267" s="243"/>
      <c r="E267" s="243"/>
      <c r="F267" s="243"/>
      <c r="G267" s="243"/>
      <c r="H267" s="243"/>
      <c r="I267" s="243"/>
      <c r="J267" s="243"/>
      <c r="K267" s="243"/>
      <c r="L267" s="243"/>
      <c r="M267" s="243"/>
      <c r="N267" s="243"/>
      <c r="O267" s="243"/>
      <c r="P267" s="243"/>
      <c r="Q267" s="243"/>
      <c r="R267" s="243"/>
      <c r="S267" s="243"/>
      <c r="T267" s="243"/>
      <c r="U267" s="243"/>
      <c r="V267" s="243"/>
      <c r="CB267" s="80"/>
      <c r="CC267" s="80"/>
      <c r="CD267" s="80"/>
      <c r="CE267" s="80"/>
      <c r="CF267" s="80"/>
      <c r="CG267" s="80"/>
      <c r="CH267" s="80"/>
      <c r="CI267" s="80"/>
      <c r="CJ267" s="80"/>
      <c r="CK267" s="80"/>
      <c r="CL267" s="80"/>
      <c r="CM267" s="80"/>
      <c r="CN267" s="80"/>
      <c r="CO267" s="80"/>
      <c r="CP267" s="80"/>
      <c r="CQ267" s="80"/>
      <c r="CR267" s="80"/>
      <c r="CS267" s="80"/>
      <c r="CT267" s="80"/>
      <c r="CU267" s="80"/>
      <c r="CV267" s="80"/>
      <c r="CW267" s="80"/>
      <c r="CX267" s="80"/>
      <c r="CY267" s="80"/>
      <c r="CZ267" s="80"/>
      <c r="DA267" s="80"/>
    </row>
    <row r="268" spans="1:105" ht="30.75" customHeight="1" x14ac:dyDescent="0.2">
      <c r="B268" s="485" t="s">
        <v>2718</v>
      </c>
      <c r="C268" s="485"/>
      <c r="D268" s="243"/>
      <c r="E268" s="243"/>
      <c r="F268" s="243"/>
      <c r="G268" s="243"/>
      <c r="H268" s="243"/>
      <c r="I268" s="243"/>
      <c r="J268" s="243"/>
      <c r="K268" s="243"/>
      <c r="L268" s="243"/>
      <c r="M268" s="243"/>
      <c r="N268" s="243"/>
      <c r="O268" s="243"/>
      <c r="P268" s="243"/>
      <c r="Q268" s="243"/>
      <c r="R268" s="243"/>
      <c r="S268" s="243"/>
      <c r="T268" s="243"/>
      <c r="U268" s="243"/>
      <c r="V268" s="243"/>
      <c r="W268" s="643"/>
      <c r="X268" s="643"/>
      <c r="BY268" s="79"/>
      <c r="CA268" s="80"/>
      <c r="CB268" s="80"/>
      <c r="CC268" s="80"/>
      <c r="CD268" s="80"/>
      <c r="CE268" s="80"/>
      <c r="CF268" s="80"/>
      <c r="CG268" s="80"/>
      <c r="CH268" s="80"/>
      <c r="CI268" s="80"/>
      <c r="CJ268" s="80"/>
      <c r="CK268" s="80"/>
      <c r="CL268" s="80"/>
      <c r="CM268" s="80"/>
      <c r="CN268" s="80"/>
      <c r="CO268" s="80"/>
      <c r="CP268" s="80"/>
      <c r="CQ268" s="80"/>
      <c r="CR268" s="80"/>
      <c r="CS268" s="80"/>
      <c r="CT268" s="80"/>
      <c r="CU268" s="80"/>
      <c r="CV268" s="80"/>
      <c r="CW268" s="80"/>
      <c r="CX268" s="80"/>
      <c r="CY268" s="80"/>
      <c r="CZ268" s="80"/>
      <c r="DA268" s="80"/>
    </row>
    <row r="269" spans="1:105" ht="21.75" customHeight="1" x14ac:dyDescent="0.2">
      <c r="B269" s="5787" t="s">
        <v>1531</v>
      </c>
      <c r="C269" s="6779" t="s">
        <v>42</v>
      </c>
      <c r="D269" s="5160" t="s">
        <v>274</v>
      </c>
      <c r="E269" s="6321"/>
      <c r="F269" s="6321"/>
      <c r="G269" s="6321"/>
      <c r="H269" s="6321"/>
      <c r="I269" s="6321"/>
      <c r="J269" s="6321"/>
      <c r="K269" s="6321"/>
      <c r="L269" s="6321"/>
      <c r="M269" s="6321"/>
      <c r="N269" s="6321"/>
      <c r="O269" s="6321"/>
      <c r="P269" s="6321"/>
      <c r="Q269" s="6321"/>
      <c r="R269" s="6321"/>
      <c r="S269" s="6321"/>
      <c r="T269" s="6321"/>
      <c r="U269" s="6321"/>
      <c r="V269" s="5162"/>
      <c r="BZ269" s="80"/>
      <c r="CA269" s="80"/>
      <c r="CB269" s="80"/>
      <c r="CC269" s="80"/>
      <c r="CD269" s="80"/>
      <c r="CE269" s="80"/>
      <c r="CF269" s="80"/>
      <c r="CG269" s="80"/>
      <c r="CH269" s="80"/>
      <c r="CI269" s="80"/>
      <c r="CJ269" s="80"/>
      <c r="CK269" s="80"/>
      <c r="CL269" s="80"/>
      <c r="CM269" s="80"/>
      <c r="CN269" s="80"/>
      <c r="CO269" s="80"/>
      <c r="CP269" s="80"/>
      <c r="CQ269" s="80"/>
      <c r="CR269" s="80"/>
      <c r="CS269" s="80"/>
      <c r="CT269" s="80"/>
      <c r="CU269" s="80"/>
      <c r="CV269" s="80"/>
      <c r="CW269" s="80"/>
      <c r="CX269" s="80"/>
      <c r="CY269" s="80"/>
      <c r="CZ269" s="80"/>
      <c r="DA269" s="80"/>
    </row>
    <row r="270" spans="1:105" ht="23.25" customHeight="1" x14ac:dyDescent="0.2">
      <c r="A270" s="1944"/>
      <c r="B270" s="5159"/>
      <c r="C270" s="6780"/>
      <c r="D270" s="4768" t="s">
        <v>737</v>
      </c>
      <c r="E270" s="4768" t="s">
        <v>738</v>
      </c>
      <c r="F270" s="4893" t="s">
        <v>739</v>
      </c>
      <c r="G270" s="4893" t="s">
        <v>351</v>
      </c>
      <c r="H270" s="4893" t="s">
        <v>352</v>
      </c>
      <c r="I270" s="4768" t="s">
        <v>295</v>
      </c>
      <c r="J270" s="4768" t="s">
        <v>740</v>
      </c>
      <c r="K270" s="4768" t="s">
        <v>741</v>
      </c>
      <c r="L270" s="4768" t="s">
        <v>742</v>
      </c>
      <c r="M270" s="4768" t="s">
        <v>13</v>
      </c>
      <c r="N270" s="4768" t="s">
        <v>14</v>
      </c>
      <c r="O270" s="4768" t="s">
        <v>743</v>
      </c>
      <c r="P270" s="4768" t="s">
        <v>16</v>
      </c>
      <c r="Q270" s="4768" t="s">
        <v>17</v>
      </c>
      <c r="R270" s="4768" t="s">
        <v>18</v>
      </c>
      <c r="S270" s="4768" t="s">
        <v>19</v>
      </c>
      <c r="T270" s="4768" t="s">
        <v>20</v>
      </c>
      <c r="U270" s="4768" t="s">
        <v>21</v>
      </c>
      <c r="V270" s="4767" t="s">
        <v>22</v>
      </c>
      <c r="BZ270" s="80"/>
      <c r="CA270" s="80"/>
      <c r="CB270" s="80"/>
      <c r="CC270" s="80"/>
      <c r="CD270" s="80"/>
      <c r="CE270" s="80"/>
      <c r="CF270" s="80"/>
      <c r="CG270" s="80"/>
      <c r="CH270" s="80"/>
      <c r="CI270" s="80"/>
      <c r="CJ270" s="80"/>
      <c r="CK270" s="80"/>
      <c r="CL270" s="80"/>
      <c r="CM270" s="80"/>
      <c r="CN270" s="80"/>
      <c r="CO270" s="80"/>
      <c r="CP270" s="80"/>
      <c r="CQ270" s="80"/>
      <c r="CR270" s="80"/>
      <c r="CS270" s="80"/>
      <c r="CT270" s="80"/>
      <c r="CU270" s="80"/>
      <c r="CV270" s="80"/>
      <c r="CW270" s="80"/>
      <c r="CX270" s="80"/>
      <c r="CY270" s="80"/>
      <c r="CZ270" s="80"/>
      <c r="DA270" s="80"/>
    </row>
    <row r="271" spans="1:105" s="206" customFormat="1" ht="17.100000000000001" hidden="1" customHeight="1" x14ac:dyDescent="0.2">
      <c r="A271" s="1944"/>
      <c r="B271" s="4894" t="s">
        <v>1530</v>
      </c>
      <c r="C271" s="4768"/>
      <c r="D271" s="4769"/>
      <c r="E271" s="4769"/>
      <c r="F271" s="4769"/>
      <c r="G271" s="4769"/>
      <c r="H271" s="4769"/>
      <c r="I271" s="4769"/>
      <c r="J271" s="4769"/>
      <c r="K271" s="4769"/>
      <c r="L271" s="4769"/>
      <c r="M271" s="4769"/>
      <c r="N271" s="4769"/>
      <c r="O271" s="4769"/>
      <c r="P271" s="4769"/>
      <c r="Q271" s="4769"/>
      <c r="R271" s="4769"/>
      <c r="S271" s="4769"/>
      <c r="T271" s="4769"/>
      <c r="U271" s="4769"/>
      <c r="V271" s="4769"/>
      <c r="W271" s="80"/>
      <c r="X271" s="80"/>
      <c r="Y271" s="80"/>
      <c r="Z271" s="80"/>
      <c r="AA271" s="80"/>
      <c r="AB271" s="80"/>
      <c r="BF271" s="1016"/>
      <c r="BG271" s="1016"/>
      <c r="BH271" s="1016"/>
      <c r="BI271" s="1016"/>
      <c r="BJ271" s="1016"/>
      <c r="BK271" s="1016"/>
      <c r="BL271" s="1016"/>
      <c r="BM271" s="1016"/>
      <c r="BN271" s="1016"/>
      <c r="BO271" s="1016"/>
      <c r="BP271" s="1016"/>
      <c r="BQ271" s="1016"/>
      <c r="BR271" s="1016"/>
      <c r="BS271" s="1016"/>
      <c r="BT271" s="1016"/>
      <c r="BU271" s="1016"/>
      <c r="BV271" s="1016"/>
      <c r="BW271" s="1016"/>
      <c r="BX271" s="1016"/>
      <c r="BY271" s="1016"/>
      <c r="BZ271" s="1016"/>
      <c r="CA271" s="1016"/>
      <c r="CB271" s="1016"/>
      <c r="CC271" s="1016"/>
      <c r="CD271" s="1016"/>
      <c r="CE271" s="1016"/>
    </row>
    <row r="272" spans="1:105" s="206" customFormat="1" ht="31.5" customHeight="1" x14ac:dyDescent="0.2">
      <c r="A272" s="3009">
        <v>28022630</v>
      </c>
      <c r="B272" s="4895" t="s">
        <v>1540</v>
      </c>
      <c r="C272" s="4892" t="s">
        <v>2777</v>
      </c>
      <c r="D272" s="4896" t="s">
        <v>2778</v>
      </c>
      <c r="E272" s="4896" t="s">
        <v>2779</v>
      </c>
      <c r="F272" s="4896" t="s">
        <v>2780</v>
      </c>
      <c r="G272" s="4896" t="s">
        <v>2781</v>
      </c>
      <c r="H272" s="4896" t="s">
        <v>2782</v>
      </c>
      <c r="I272" s="4896" t="s">
        <v>2783</v>
      </c>
      <c r="J272" s="4896" t="s">
        <v>2784</v>
      </c>
      <c r="K272" s="4896" t="s">
        <v>2785</v>
      </c>
      <c r="L272" s="4896" t="s">
        <v>2786</v>
      </c>
      <c r="M272" s="4896" t="s">
        <v>2787</v>
      </c>
      <c r="N272" s="4896" t="s">
        <v>2788</v>
      </c>
      <c r="O272" s="4896" t="s">
        <v>2789</v>
      </c>
      <c r="P272" s="4896" t="s">
        <v>2790</v>
      </c>
      <c r="Q272" s="4896" t="s">
        <v>2791</v>
      </c>
      <c r="R272" s="4896" t="s">
        <v>2792</v>
      </c>
      <c r="S272" s="4896" t="s">
        <v>2793</v>
      </c>
      <c r="T272" s="4896" t="s">
        <v>2794</v>
      </c>
      <c r="U272" s="4896" t="s">
        <v>2795</v>
      </c>
      <c r="V272" s="4896" t="s">
        <v>2796</v>
      </c>
      <c r="W272" s="80"/>
      <c r="X272" s="80"/>
      <c r="Y272" s="80"/>
      <c r="Z272" s="80"/>
      <c r="AA272" s="80"/>
      <c r="AB272" s="80"/>
      <c r="AC272" s="79"/>
      <c r="AD272" s="79"/>
      <c r="AE272" s="79"/>
      <c r="AF272" s="79"/>
      <c r="AG272" s="79"/>
      <c r="AH272" s="79"/>
      <c r="AI272" s="79"/>
      <c r="AJ272" s="79"/>
      <c r="AK272" s="79"/>
      <c r="AL272" s="79"/>
      <c r="AM272" s="79"/>
      <c r="AN272" s="79"/>
      <c r="AO272" s="79"/>
      <c r="AP272" s="79"/>
      <c r="AQ272" s="79"/>
      <c r="AR272" s="79"/>
      <c r="AS272" s="79"/>
      <c r="AT272" s="79"/>
      <c r="AU272" s="79"/>
      <c r="AV272" s="79"/>
      <c r="AW272" s="79"/>
      <c r="AX272" s="79"/>
      <c r="AY272" s="79"/>
      <c r="AZ272" s="79"/>
      <c r="BA272" s="79"/>
      <c r="BB272" s="79"/>
      <c r="BC272" s="79"/>
      <c r="BD272" s="79"/>
      <c r="BE272" s="79"/>
      <c r="BF272" s="889"/>
      <c r="BG272" s="889"/>
      <c r="BH272" s="889"/>
      <c r="BI272" s="889"/>
      <c r="BJ272" s="889"/>
      <c r="BK272" s="889"/>
      <c r="BL272" s="889"/>
      <c r="BM272" s="889"/>
      <c r="BN272" s="889"/>
      <c r="BO272" s="889"/>
      <c r="BP272" s="889"/>
      <c r="BQ272" s="889"/>
      <c r="BR272" s="889"/>
      <c r="BS272" s="889"/>
      <c r="BT272" s="889"/>
      <c r="BU272" s="889"/>
      <c r="BV272" s="889"/>
      <c r="BW272" s="889"/>
      <c r="BX272" s="889"/>
      <c r="BY272" s="889"/>
      <c r="BZ272" s="889"/>
      <c r="CA272" s="889"/>
      <c r="CB272" s="889"/>
      <c r="CC272" s="889"/>
      <c r="CD272" s="889"/>
      <c r="CE272" s="889"/>
    </row>
    <row r="273" spans="1:105" s="206" customFormat="1" ht="31.5" customHeight="1" x14ac:dyDescent="0.2">
      <c r="A273" s="1944"/>
      <c r="B273" s="485" t="s">
        <v>2719</v>
      </c>
      <c r="C273" s="4897"/>
      <c r="D273" s="944"/>
      <c r="E273" s="944"/>
      <c r="F273" s="243"/>
      <c r="G273" s="243"/>
      <c r="H273" s="243"/>
      <c r="I273" s="243"/>
      <c r="J273" s="243"/>
      <c r="K273" s="243"/>
      <c r="L273" s="243"/>
      <c r="M273" s="243"/>
      <c r="N273" s="243"/>
      <c r="O273" s="243"/>
      <c r="P273" s="243"/>
      <c r="Q273" s="243"/>
      <c r="R273" s="243"/>
      <c r="S273" s="243"/>
      <c r="T273" s="243"/>
      <c r="U273" s="243"/>
      <c r="V273" s="243"/>
      <c r="W273" s="80"/>
      <c r="X273" s="80"/>
      <c r="Y273" s="80"/>
      <c r="Z273" s="80"/>
      <c r="AA273" s="80"/>
      <c r="AB273" s="80"/>
      <c r="AC273" s="80"/>
      <c r="AD273" s="80"/>
      <c r="AE273" s="80"/>
      <c r="AF273" s="80"/>
      <c r="AG273" s="80"/>
      <c r="AH273" s="80"/>
      <c r="AI273" s="80"/>
      <c r="AJ273" s="80"/>
      <c r="AK273" s="80"/>
      <c r="AL273" s="80"/>
      <c r="AM273" s="80"/>
      <c r="AN273" s="80"/>
      <c r="AO273" s="80"/>
      <c r="AP273" s="80"/>
      <c r="AQ273" s="80"/>
      <c r="AR273" s="80"/>
      <c r="AS273" s="80"/>
      <c r="AT273" s="80"/>
      <c r="AU273" s="80"/>
      <c r="AV273" s="80"/>
      <c r="AW273" s="80"/>
      <c r="AX273" s="80"/>
      <c r="AY273" s="79"/>
      <c r="AZ273" s="79"/>
      <c r="BA273" s="79"/>
      <c r="BB273" s="79"/>
      <c r="BC273" s="79"/>
      <c r="BD273" s="79"/>
      <c r="BE273" s="79"/>
      <c r="BF273" s="79"/>
      <c r="BG273" s="79"/>
      <c r="BH273" s="79"/>
      <c r="BI273" s="79"/>
      <c r="BJ273" s="79"/>
      <c r="BK273" s="79"/>
      <c r="BL273" s="79"/>
      <c r="BM273" s="79"/>
      <c r="BN273" s="79"/>
      <c r="BO273" s="79"/>
      <c r="BP273" s="79"/>
      <c r="BQ273" s="79"/>
      <c r="BR273" s="79"/>
      <c r="BS273" s="79"/>
      <c r="BT273" s="79"/>
      <c r="BU273" s="79"/>
      <c r="BV273" s="79"/>
      <c r="BW273" s="79"/>
      <c r="BX273" s="79"/>
      <c r="BY273" s="79"/>
      <c r="BZ273" s="79"/>
      <c r="CA273" s="79"/>
      <c r="CB273" s="889"/>
      <c r="CC273" s="889"/>
      <c r="CD273" s="889"/>
      <c r="CE273" s="889"/>
      <c r="CF273" s="889"/>
      <c r="CG273" s="889"/>
      <c r="CH273" s="889"/>
      <c r="CI273" s="889"/>
      <c r="CJ273" s="889"/>
      <c r="CK273" s="889"/>
      <c r="CL273" s="889"/>
      <c r="CM273" s="889"/>
      <c r="CN273" s="889"/>
      <c r="CO273" s="889"/>
      <c r="CP273" s="889"/>
      <c r="CQ273" s="889"/>
      <c r="CR273" s="889"/>
      <c r="CS273" s="889"/>
      <c r="CT273" s="889"/>
      <c r="CU273" s="889"/>
      <c r="CV273" s="889"/>
      <c r="CW273" s="889"/>
      <c r="CX273" s="889"/>
      <c r="CY273" s="889"/>
      <c r="CZ273" s="889"/>
      <c r="DA273" s="889"/>
    </row>
    <row r="274" spans="1:105" s="206" customFormat="1" ht="31.5" customHeight="1" x14ac:dyDescent="0.2">
      <c r="A274" s="80"/>
      <c r="B274" s="6783" t="s">
        <v>2720</v>
      </c>
      <c r="C274" s="4898" t="s">
        <v>149</v>
      </c>
      <c r="D274" s="5160" t="s">
        <v>274</v>
      </c>
      <c r="E274" s="6321"/>
      <c r="F274" s="6321"/>
      <c r="G274" s="6321"/>
      <c r="H274" s="6321"/>
      <c r="I274" s="6321"/>
      <c r="J274" s="6321"/>
      <c r="K274" s="6321"/>
      <c r="L274" s="6321"/>
      <c r="M274" s="6321"/>
      <c r="N274" s="6321"/>
      <c r="O274" s="6321"/>
      <c r="P274" s="6321"/>
      <c r="Q274" s="6321"/>
      <c r="R274" s="6321"/>
      <c r="S274" s="6321"/>
      <c r="T274" s="6321"/>
      <c r="U274" s="6321"/>
      <c r="V274" s="5162"/>
      <c r="W274" s="80"/>
      <c r="X274" s="80"/>
      <c r="Y274" s="80"/>
      <c r="Z274" s="80"/>
      <c r="AA274" s="80"/>
      <c r="AB274" s="80"/>
      <c r="AC274" s="80"/>
      <c r="AD274" s="79"/>
      <c r="AE274" s="79"/>
      <c r="AF274" s="79"/>
      <c r="AG274" s="79"/>
      <c r="AH274" s="79"/>
      <c r="AI274" s="79"/>
      <c r="AJ274" s="79"/>
      <c r="AK274" s="79"/>
      <c r="AL274" s="79"/>
      <c r="AM274" s="79"/>
      <c r="AN274" s="79"/>
      <c r="AO274" s="79"/>
      <c r="AP274" s="79"/>
      <c r="AQ274" s="79"/>
      <c r="AR274" s="79"/>
      <c r="AS274" s="79"/>
      <c r="AT274" s="79"/>
      <c r="AU274" s="79"/>
      <c r="AV274" s="79"/>
      <c r="AW274" s="79"/>
      <c r="AX274" s="79"/>
      <c r="AY274" s="79"/>
      <c r="AZ274" s="79"/>
      <c r="BA274" s="79"/>
      <c r="BB274" s="79"/>
      <c r="BC274" s="79"/>
      <c r="BD274" s="79"/>
      <c r="BE274" s="79"/>
      <c r="BF274" s="79"/>
      <c r="BG274" s="889"/>
      <c r="BH274" s="889"/>
      <c r="BI274" s="889"/>
      <c r="BJ274" s="889"/>
      <c r="BK274" s="889"/>
      <c r="BL274" s="889"/>
      <c r="BM274" s="889"/>
      <c r="BN274" s="889"/>
      <c r="BO274" s="889"/>
      <c r="BP274" s="889"/>
      <c r="BQ274" s="889"/>
      <c r="BR274" s="889"/>
      <c r="BS274" s="889"/>
      <c r="BT274" s="889"/>
      <c r="BU274" s="889"/>
      <c r="BV274" s="889"/>
      <c r="BW274" s="889"/>
      <c r="BX274" s="889"/>
      <c r="BY274" s="889"/>
      <c r="BZ274" s="889"/>
      <c r="CA274" s="889"/>
      <c r="CB274" s="889"/>
      <c r="CC274" s="889"/>
      <c r="CD274" s="889"/>
      <c r="CE274" s="889"/>
      <c r="CF274" s="889"/>
    </row>
    <row r="275" spans="1:105" ht="21" customHeight="1" x14ac:dyDescent="0.2">
      <c r="B275" s="6784"/>
      <c r="C275" s="4899">
        <f>SUM(C276:C297)</f>
        <v>0</v>
      </c>
      <c r="D275" s="4900" t="s">
        <v>737</v>
      </c>
      <c r="E275" s="4900" t="s">
        <v>738</v>
      </c>
      <c r="F275" s="4901" t="s">
        <v>739</v>
      </c>
      <c r="G275" s="4901" t="s">
        <v>351</v>
      </c>
      <c r="H275" s="4901" t="s">
        <v>352</v>
      </c>
      <c r="I275" s="4900" t="s">
        <v>295</v>
      </c>
      <c r="J275" s="4900" t="s">
        <v>740</v>
      </c>
      <c r="K275" s="4900" t="s">
        <v>741</v>
      </c>
      <c r="L275" s="4900" t="s">
        <v>742</v>
      </c>
      <c r="M275" s="4900" t="s">
        <v>13</v>
      </c>
      <c r="N275" s="4900" t="s">
        <v>14</v>
      </c>
      <c r="O275" s="4900" t="s">
        <v>743</v>
      </c>
      <c r="P275" s="4900" t="s">
        <v>16</v>
      </c>
      <c r="Q275" s="4900" t="s">
        <v>17</v>
      </c>
      <c r="R275" s="4900" t="s">
        <v>18</v>
      </c>
      <c r="S275" s="4900" t="s">
        <v>19</v>
      </c>
      <c r="T275" s="4900" t="s">
        <v>20</v>
      </c>
      <c r="U275" s="4900" t="s">
        <v>21</v>
      </c>
      <c r="V275" s="4767" t="s">
        <v>22</v>
      </c>
      <c r="BG275" s="889"/>
      <c r="BH275" s="889"/>
      <c r="BI275" s="889"/>
      <c r="BJ275" s="889"/>
      <c r="BK275" s="889"/>
      <c r="BL275" s="889"/>
      <c r="BM275" s="889"/>
      <c r="BN275" s="889"/>
      <c r="BO275" s="889"/>
      <c r="BP275" s="889"/>
      <c r="BQ275" s="889"/>
      <c r="BR275" s="889"/>
      <c r="BS275" s="889"/>
      <c r="BT275" s="889"/>
      <c r="BU275" s="889"/>
      <c r="BV275" s="889"/>
      <c r="BW275" s="889"/>
      <c r="BX275" s="889"/>
      <c r="BY275" s="889"/>
      <c r="BZ275" s="889"/>
      <c r="CA275" s="889"/>
      <c r="CG275" s="80"/>
      <c r="CH275" s="80"/>
      <c r="CI275" s="80"/>
      <c r="CJ275" s="80"/>
      <c r="CK275" s="80"/>
      <c r="CL275" s="80"/>
      <c r="CM275" s="80"/>
      <c r="CN275" s="80"/>
      <c r="CO275" s="80"/>
      <c r="CP275" s="80"/>
      <c r="CQ275" s="80"/>
      <c r="CR275" s="80"/>
      <c r="CS275" s="80"/>
      <c r="CT275" s="80"/>
      <c r="CU275" s="80"/>
      <c r="CV275" s="80"/>
      <c r="CW275" s="80"/>
      <c r="CX275" s="80"/>
      <c r="CY275" s="80"/>
      <c r="CZ275" s="80"/>
      <c r="DA275" s="80"/>
    </row>
    <row r="276" spans="1:105" x14ac:dyDescent="0.2">
      <c r="A276" s="3009">
        <v>28022640</v>
      </c>
      <c r="B276" s="140" t="s">
        <v>2721</v>
      </c>
      <c r="C276" s="140" t="s">
        <v>2777</v>
      </c>
      <c r="D276" s="137" t="s">
        <v>2778</v>
      </c>
      <c r="E276" s="137" t="s">
        <v>2779</v>
      </c>
      <c r="F276" s="137" t="s">
        <v>2780</v>
      </c>
      <c r="G276" s="137" t="s">
        <v>2781</v>
      </c>
      <c r="H276" s="137" t="s">
        <v>2782</v>
      </c>
      <c r="I276" s="137" t="s">
        <v>2783</v>
      </c>
      <c r="J276" s="137" t="s">
        <v>2784</v>
      </c>
      <c r="K276" s="137" t="s">
        <v>2785</v>
      </c>
      <c r="L276" s="137" t="s">
        <v>2786</v>
      </c>
      <c r="M276" s="137" t="s">
        <v>2787</v>
      </c>
      <c r="N276" s="137" t="s">
        <v>2788</v>
      </c>
      <c r="O276" s="137" t="s">
        <v>2789</v>
      </c>
      <c r="P276" s="137" t="s">
        <v>2790</v>
      </c>
      <c r="Q276" s="137" t="s">
        <v>2791</v>
      </c>
      <c r="R276" s="137" t="s">
        <v>2792</v>
      </c>
      <c r="S276" s="137" t="s">
        <v>2793</v>
      </c>
      <c r="T276" s="137" t="s">
        <v>2794</v>
      </c>
      <c r="U276" s="137" t="s">
        <v>2795</v>
      </c>
      <c r="V276" s="1604" t="s">
        <v>2796</v>
      </c>
      <c r="BG276" s="889"/>
      <c r="BH276" s="889"/>
      <c r="BI276" s="889"/>
      <c r="BJ276" s="889"/>
      <c r="BK276" s="889"/>
      <c r="BL276" s="889"/>
      <c r="BM276" s="889"/>
      <c r="BN276" s="889"/>
      <c r="BO276" s="889"/>
      <c r="BP276" s="889"/>
      <c r="BQ276" s="889"/>
      <c r="BR276" s="889"/>
      <c r="BS276" s="889"/>
      <c r="BT276" s="889"/>
      <c r="BU276" s="889"/>
      <c r="BV276" s="889"/>
      <c r="BW276" s="889"/>
      <c r="BX276" s="889"/>
      <c r="BY276" s="889"/>
      <c r="BZ276" s="889"/>
      <c r="CA276" s="889"/>
      <c r="CG276" s="80"/>
      <c r="CH276" s="80"/>
      <c r="CI276" s="80"/>
      <c r="CJ276" s="80"/>
      <c r="CK276" s="80"/>
      <c r="CL276" s="80"/>
      <c r="CM276" s="80"/>
      <c r="CN276" s="80"/>
      <c r="CO276" s="80"/>
      <c r="CP276" s="80"/>
      <c r="CQ276" s="80"/>
      <c r="CR276" s="80"/>
      <c r="CS276" s="80"/>
      <c r="CT276" s="80"/>
      <c r="CU276" s="80"/>
      <c r="CV276" s="80"/>
      <c r="CW276" s="80"/>
      <c r="CX276" s="80"/>
      <c r="CY276" s="80"/>
      <c r="CZ276" s="80"/>
      <c r="DA276" s="80"/>
    </row>
    <row r="277" spans="1:105" x14ac:dyDescent="0.2">
      <c r="A277" s="3009">
        <v>28022650</v>
      </c>
      <c r="B277" s="140" t="s">
        <v>2722</v>
      </c>
      <c r="C277" s="140" t="s">
        <v>2777</v>
      </c>
      <c r="D277" s="141" t="s">
        <v>2778</v>
      </c>
      <c r="E277" s="141" t="s">
        <v>2779</v>
      </c>
      <c r="F277" s="141" t="s">
        <v>2780</v>
      </c>
      <c r="G277" s="141" t="s">
        <v>2781</v>
      </c>
      <c r="H277" s="141" t="s">
        <v>2782</v>
      </c>
      <c r="I277" s="141" t="s">
        <v>2783</v>
      </c>
      <c r="J277" s="141" t="s">
        <v>2784</v>
      </c>
      <c r="K277" s="141" t="s">
        <v>2785</v>
      </c>
      <c r="L277" s="141" t="s">
        <v>2786</v>
      </c>
      <c r="M277" s="141" t="s">
        <v>2787</v>
      </c>
      <c r="N277" s="141" t="s">
        <v>2788</v>
      </c>
      <c r="O277" s="141" t="s">
        <v>2789</v>
      </c>
      <c r="P277" s="141" t="s">
        <v>2790</v>
      </c>
      <c r="Q277" s="141" t="s">
        <v>2791</v>
      </c>
      <c r="R277" s="141" t="s">
        <v>2792</v>
      </c>
      <c r="S277" s="141" t="s">
        <v>2793</v>
      </c>
      <c r="T277" s="141" t="s">
        <v>2794</v>
      </c>
      <c r="U277" s="141" t="s">
        <v>2795</v>
      </c>
      <c r="V277" s="164" t="s">
        <v>2796</v>
      </c>
      <c r="BG277" s="889"/>
      <c r="BH277" s="889"/>
      <c r="BI277" s="889"/>
      <c r="BJ277" s="889"/>
      <c r="BK277" s="889"/>
      <c r="BL277" s="889"/>
      <c r="BM277" s="889"/>
      <c r="BN277" s="889"/>
      <c r="BO277" s="889"/>
      <c r="BP277" s="889"/>
      <c r="BQ277" s="889"/>
      <c r="BR277" s="889"/>
      <c r="BS277" s="889"/>
      <c r="BT277" s="889"/>
      <c r="BU277" s="889"/>
      <c r="BV277" s="889"/>
      <c r="BW277" s="889"/>
      <c r="BX277" s="889"/>
      <c r="BY277" s="889"/>
      <c r="BZ277" s="889"/>
      <c r="CA277" s="889"/>
      <c r="CG277" s="80"/>
      <c r="CH277" s="80"/>
      <c r="CI277" s="80"/>
      <c r="CJ277" s="80"/>
      <c r="CK277" s="80"/>
      <c r="CL277" s="80"/>
      <c r="CM277" s="80"/>
      <c r="CN277" s="80"/>
      <c r="CO277" s="80"/>
      <c r="CP277" s="80"/>
      <c r="CQ277" s="80"/>
      <c r="CR277" s="80"/>
      <c r="CS277" s="80"/>
      <c r="CT277" s="80"/>
      <c r="CU277" s="80"/>
      <c r="CV277" s="80"/>
      <c r="CW277" s="80"/>
      <c r="CX277" s="80"/>
      <c r="CY277" s="80"/>
      <c r="CZ277" s="80"/>
      <c r="DA277" s="80"/>
    </row>
    <row r="278" spans="1:105" x14ac:dyDescent="0.2">
      <c r="A278" s="3009">
        <v>28022660</v>
      </c>
      <c r="B278" s="140" t="s">
        <v>2723</v>
      </c>
      <c r="C278" s="140" t="s">
        <v>2777</v>
      </c>
      <c r="D278" s="141" t="s">
        <v>2778</v>
      </c>
      <c r="E278" s="141" t="s">
        <v>2779</v>
      </c>
      <c r="F278" s="141" t="s">
        <v>2780</v>
      </c>
      <c r="G278" s="141" t="s">
        <v>2781</v>
      </c>
      <c r="H278" s="141" t="s">
        <v>2782</v>
      </c>
      <c r="I278" s="141" t="s">
        <v>2783</v>
      </c>
      <c r="J278" s="141" t="s">
        <v>2784</v>
      </c>
      <c r="K278" s="141" t="s">
        <v>2785</v>
      </c>
      <c r="L278" s="141" t="s">
        <v>2786</v>
      </c>
      <c r="M278" s="141" t="s">
        <v>2787</v>
      </c>
      <c r="N278" s="141" t="s">
        <v>2788</v>
      </c>
      <c r="O278" s="141" t="s">
        <v>2789</v>
      </c>
      <c r="P278" s="141" t="s">
        <v>2790</v>
      </c>
      <c r="Q278" s="141" t="s">
        <v>2791</v>
      </c>
      <c r="R278" s="141" t="s">
        <v>2792</v>
      </c>
      <c r="S278" s="141" t="s">
        <v>2793</v>
      </c>
      <c r="T278" s="141" t="s">
        <v>2794</v>
      </c>
      <c r="U278" s="141" t="s">
        <v>2795</v>
      </c>
      <c r="V278" s="164" t="s">
        <v>2796</v>
      </c>
      <c r="BG278" s="889"/>
      <c r="BH278" s="889"/>
      <c r="BI278" s="889"/>
      <c r="BJ278" s="889"/>
      <c r="BK278" s="889"/>
      <c r="BL278" s="889"/>
      <c r="BM278" s="889"/>
      <c r="BN278" s="889"/>
      <c r="BO278" s="889"/>
      <c r="BP278" s="889"/>
      <c r="BQ278" s="889"/>
      <c r="BR278" s="889"/>
      <c r="BS278" s="889"/>
      <c r="BT278" s="889"/>
      <c r="BU278" s="889"/>
      <c r="BV278" s="889"/>
      <c r="BW278" s="889"/>
      <c r="BX278" s="889"/>
      <c r="BY278" s="889"/>
      <c r="BZ278" s="889"/>
      <c r="CA278" s="889"/>
      <c r="CG278" s="80"/>
      <c r="CH278" s="80"/>
      <c r="CI278" s="80"/>
      <c r="CJ278" s="80"/>
      <c r="CK278" s="80"/>
      <c r="CL278" s="80"/>
      <c r="CM278" s="80"/>
      <c r="CN278" s="80"/>
      <c r="CO278" s="80"/>
      <c r="CP278" s="80"/>
      <c r="CQ278" s="80"/>
      <c r="CR278" s="80"/>
      <c r="CS278" s="80"/>
      <c r="CT278" s="80"/>
      <c r="CU278" s="80"/>
      <c r="CV278" s="80"/>
      <c r="CW278" s="80"/>
      <c r="CX278" s="80"/>
      <c r="CY278" s="80"/>
      <c r="CZ278" s="80"/>
      <c r="DA278" s="80"/>
    </row>
    <row r="279" spans="1:105" x14ac:dyDescent="0.2">
      <c r="A279" s="3009">
        <v>28022670</v>
      </c>
      <c r="B279" s="140" t="s">
        <v>1532</v>
      </c>
      <c r="C279" s="140" t="s">
        <v>2777</v>
      </c>
      <c r="D279" s="141" t="s">
        <v>2778</v>
      </c>
      <c r="E279" s="141" t="s">
        <v>2779</v>
      </c>
      <c r="F279" s="141" t="s">
        <v>2780</v>
      </c>
      <c r="G279" s="141" t="s">
        <v>2781</v>
      </c>
      <c r="H279" s="141" t="s">
        <v>2782</v>
      </c>
      <c r="I279" s="141" t="s">
        <v>2783</v>
      </c>
      <c r="J279" s="141" t="s">
        <v>2784</v>
      </c>
      <c r="K279" s="141" t="s">
        <v>2785</v>
      </c>
      <c r="L279" s="141" t="s">
        <v>2786</v>
      </c>
      <c r="M279" s="141" t="s">
        <v>2787</v>
      </c>
      <c r="N279" s="141" t="s">
        <v>2788</v>
      </c>
      <c r="O279" s="141" t="s">
        <v>2789</v>
      </c>
      <c r="P279" s="141" t="s">
        <v>2790</v>
      </c>
      <c r="Q279" s="141" t="s">
        <v>2791</v>
      </c>
      <c r="R279" s="141" t="s">
        <v>2792</v>
      </c>
      <c r="S279" s="141" t="s">
        <v>2793</v>
      </c>
      <c r="T279" s="141" t="s">
        <v>2794</v>
      </c>
      <c r="U279" s="141" t="s">
        <v>2795</v>
      </c>
      <c r="V279" s="164" t="s">
        <v>2796</v>
      </c>
      <c r="BG279" s="889"/>
      <c r="BH279" s="889"/>
      <c r="BI279" s="889"/>
      <c r="BJ279" s="889"/>
      <c r="BK279" s="889"/>
      <c r="BL279" s="889"/>
      <c r="BM279" s="889"/>
      <c r="BN279" s="889"/>
      <c r="BO279" s="889"/>
      <c r="BP279" s="889"/>
      <c r="BQ279" s="889"/>
      <c r="BR279" s="889"/>
      <c r="BS279" s="889"/>
      <c r="BT279" s="889"/>
      <c r="BU279" s="889"/>
      <c r="BV279" s="889"/>
      <c r="BW279" s="889"/>
      <c r="BX279" s="889"/>
      <c r="BY279" s="889"/>
      <c r="BZ279" s="889"/>
      <c r="CA279" s="889"/>
      <c r="CG279" s="80"/>
      <c r="CH279" s="80"/>
      <c r="CI279" s="80"/>
      <c r="CJ279" s="80"/>
      <c r="CK279" s="80"/>
      <c r="CL279" s="80"/>
      <c r="CM279" s="80"/>
      <c r="CN279" s="80"/>
      <c r="CO279" s="80"/>
      <c r="CP279" s="80"/>
      <c r="CQ279" s="80"/>
      <c r="CR279" s="80"/>
      <c r="CS279" s="80"/>
      <c r="CT279" s="80"/>
      <c r="CU279" s="80"/>
      <c r="CV279" s="80"/>
      <c r="CW279" s="80"/>
      <c r="CX279" s="80"/>
      <c r="CY279" s="80"/>
      <c r="CZ279" s="80"/>
      <c r="DA279" s="80"/>
    </row>
    <row r="280" spans="1:105" x14ac:dyDescent="0.2">
      <c r="A280" s="3009">
        <v>28022680</v>
      </c>
      <c r="B280" s="140" t="s">
        <v>1533</v>
      </c>
      <c r="C280" s="140" t="s">
        <v>2777</v>
      </c>
      <c r="D280" s="141" t="s">
        <v>2778</v>
      </c>
      <c r="E280" s="141" t="s">
        <v>2779</v>
      </c>
      <c r="F280" s="141" t="s">
        <v>2780</v>
      </c>
      <c r="G280" s="141" t="s">
        <v>2781</v>
      </c>
      <c r="H280" s="141" t="s">
        <v>2782</v>
      </c>
      <c r="I280" s="141" t="s">
        <v>2783</v>
      </c>
      <c r="J280" s="141" t="s">
        <v>2784</v>
      </c>
      <c r="K280" s="141" t="s">
        <v>2785</v>
      </c>
      <c r="L280" s="141" t="s">
        <v>2786</v>
      </c>
      <c r="M280" s="141" t="s">
        <v>2787</v>
      </c>
      <c r="N280" s="141" t="s">
        <v>2788</v>
      </c>
      <c r="O280" s="141" t="s">
        <v>2789</v>
      </c>
      <c r="P280" s="141" t="s">
        <v>2790</v>
      </c>
      <c r="Q280" s="141" t="s">
        <v>2791</v>
      </c>
      <c r="R280" s="141" t="s">
        <v>2792</v>
      </c>
      <c r="S280" s="141" t="s">
        <v>2793</v>
      </c>
      <c r="T280" s="141" t="s">
        <v>2794</v>
      </c>
      <c r="U280" s="141" t="s">
        <v>2795</v>
      </c>
      <c r="V280" s="164" t="s">
        <v>2796</v>
      </c>
      <c r="BG280" s="889"/>
      <c r="BH280" s="889"/>
      <c r="BI280" s="889"/>
      <c r="BJ280" s="889"/>
      <c r="BK280" s="889"/>
      <c r="BL280" s="889"/>
      <c r="BM280" s="889"/>
      <c r="BN280" s="889"/>
      <c r="BO280" s="889"/>
      <c r="BP280" s="889"/>
      <c r="BQ280" s="889"/>
      <c r="BR280" s="889"/>
      <c r="BS280" s="889"/>
      <c r="BT280" s="889"/>
      <c r="BU280" s="889"/>
      <c r="BV280" s="889"/>
      <c r="BW280" s="889"/>
      <c r="BX280" s="889"/>
      <c r="BY280" s="889"/>
      <c r="BZ280" s="889"/>
      <c r="CA280" s="889"/>
      <c r="CG280" s="80"/>
      <c r="CH280" s="80"/>
      <c r="CI280" s="80"/>
      <c r="CJ280" s="80"/>
      <c r="CK280" s="80"/>
      <c r="CL280" s="80"/>
      <c r="CM280" s="80"/>
      <c r="CN280" s="80"/>
      <c r="CO280" s="80"/>
      <c r="CP280" s="80"/>
      <c r="CQ280" s="80"/>
      <c r="CR280" s="80"/>
      <c r="CS280" s="80"/>
      <c r="CT280" s="80"/>
      <c r="CU280" s="80"/>
      <c r="CV280" s="80"/>
      <c r="CW280" s="80"/>
      <c r="CX280" s="80"/>
      <c r="CY280" s="80"/>
      <c r="CZ280" s="80"/>
      <c r="DA280" s="80"/>
    </row>
    <row r="281" spans="1:105" x14ac:dyDescent="0.2">
      <c r="A281" s="3009">
        <v>28022690</v>
      </c>
      <c r="B281" s="140" t="s">
        <v>1534</v>
      </c>
      <c r="C281" s="140" t="s">
        <v>2777</v>
      </c>
      <c r="D281" s="141" t="s">
        <v>2778</v>
      </c>
      <c r="E281" s="141" t="s">
        <v>2779</v>
      </c>
      <c r="F281" s="141" t="s">
        <v>2780</v>
      </c>
      <c r="G281" s="141" t="s">
        <v>2781</v>
      </c>
      <c r="H281" s="141" t="s">
        <v>2782</v>
      </c>
      <c r="I281" s="141" t="s">
        <v>2783</v>
      </c>
      <c r="J281" s="141" t="s">
        <v>2784</v>
      </c>
      <c r="K281" s="141" t="s">
        <v>2785</v>
      </c>
      <c r="L281" s="141" t="s">
        <v>2786</v>
      </c>
      <c r="M281" s="141" t="s">
        <v>2787</v>
      </c>
      <c r="N281" s="141" t="s">
        <v>2788</v>
      </c>
      <c r="O281" s="141" t="s">
        <v>2789</v>
      </c>
      <c r="P281" s="141" t="s">
        <v>2790</v>
      </c>
      <c r="Q281" s="141" t="s">
        <v>2791</v>
      </c>
      <c r="R281" s="141" t="s">
        <v>2792</v>
      </c>
      <c r="S281" s="141" t="s">
        <v>2793</v>
      </c>
      <c r="T281" s="141" t="s">
        <v>2794</v>
      </c>
      <c r="U281" s="141" t="s">
        <v>2795</v>
      </c>
      <c r="V281" s="164" t="s">
        <v>2796</v>
      </c>
      <c r="BG281" s="889"/>
      <c r="BH281" s="889"/>
      <c r="BI281" s="889"/>
      <c r="BJ281" s="889"/>
      <c r="BK281" s="889"/>
      <c r="BL281" s="889"/>
      <c r="BM281" s="889"/>
      <c r="BN281" s="889"/>
      <c r="BO281" s="889"/>
      <c r="BP281" s="889"/>
      <c r="BQ281" s="889"/>
      <c r="BR281" s="889"/>
      <c r="BS281" s="889"/>
      <c r="BT281" s="889"/>
      <c r="BU281" s="889"/>
      <c r="BV281" s="889"/>
      <c r="BW281" s="889"/>
      <c r="BX281" s="889"/>
      <c r="BY281" s="889"/>
      <c r="BZ281" s="889"/>
      <c r="CA281" s="889"/>
      <c r="CG281" s="80"/>
      <c r="CH281" s="80"/>
      <c r="CI281" s="80"/>
      <c r="CJ281" s="80"/>
      <c r="CK281" s="80"/>
      <c r="CL281" s="80"/>
      <c r="CM281" s="80"/>
      <c r="CN281" s="80"/>
      <c r="CO281" s="80"/>
      <c r="CP281" s="80"/>
      <c r="CQ281" s="80"/>
      <c r="CR281" s="80"/>
      <c r="CS281" s="80"/>
      <c r="CT281" s="80"/>
      <c r="CU281" s="80"/>
      <c r="CV281" s="80"/>
      <c r="CW281" s="80"/>
      <c r="CX281" s="80"/>
      <c r="CY281" s="80"/>
      <c r="CZ281" s="80"/>
      <c r="DA281" s="80"/>
    </row>
    <row r="282" spans="1:105" x14ac:dyDescent="0.2">
      <c r="A282" s="3009">
        <v>28022700</v>
      </c>
      <c r="B282" s="140" t="s">
        <v>1535</v>
      </c>
      <c r="C282" s="140" t="s">
        <v>2777</v>
      </c>
      <c r="D282" s="141" t="s">
        <v>2778</v>
      </c>
      <c r="E282" s="141" t="s">
        <v>2779</v>
      </c>
      <c r="F282" s="141" t="s">
        <v>2780</v>
      </c>
      <c r="G282" s="141" t="s">
        <v>2781</v>
      </c>
      <c r="H282" s="141" t="s">
        <v>2782</v>
      </c>
      <c r="I282" s="141" t="s">
        <v>2783</v>
      </c>
      <c r="J282" s="141" t="s">
        <v>2784</v>
      </c>
      <c r="K282" s="141" t="s">
        <v>2785</v>
      </c>
      <c r="L282" s="141" t="s">
        <v>2786</v>
      </c>
      <c r="M282" s="141" t="s">
        <v>2787</v>
      </c>
      <c r="N282" s="141" t="s">
        <v>2788</v>
      </c>
      <c r="O282" s="141" t="s">
        <v>2789</v>
      </c>
      <c r="P282" s="141" t="s">
        <v>2790</v>
      </c>
      <c r="Q282" s="141" t="s">
        <v>2791</v>
      </c>
      <c r="R282" s="141" t="s">
        <v>2792</v>
      </c>
      <c r="S282" s="141" t="s">
        <v>2793</v>
      </c>
      <c r="T282" s="141" t="s">
        <v>2794</v>
      </c>
      <c r="U282" s="141" t="s">
        <v>2795</v>
      </c>
      <c r="V282" s="164" t="s">
        <v>2796</v>
      </c>
      <c r="BG282" s="889"/>
      <c r="BH282" s="889"/>
      <c r="BI282" s="889"/>
      <c r="BJ282" s="889"/>
      <c r="BK282" s="889"/>
      <c r="BL282" s="889"/>
      <c r="BM282" s="889"/>
      <c r="BN282" s="889"/>
      <c r="BO282" s="889"/>
      <c r="BP282" s="889"/>
      <c r="BQ282" s="889"/>
      <c r="BR282" s="889"/>
      <c r="BS282" s="889"/>
      <c r="BT282" s="889"/>
      <c r="BU282" s="889"/>
      <c r="BV282" s="889"/>
      <c r="BW282" s="889"/>
      <c r="BX282" s="889"/>
      <c r="BY282" s="889"/>
      <c r="BZ282" s="889"/>
      <c r="CA282" s="889"/>
      <c r="CG282" s="80"/>
      <c r="CH282" s="80"/>
      <c r="CI282" s="80"/>
      <c r="CJ282" s="80"/>
      <c r="CK282" s="80"/>
      <c r="CL282" s="80"/>
      <c r="CM282" s="80"/>
      <c r="CN282" s="80"/>
      <c r="CO282" s="80"/>
      <c r="CP282" s="80"/>
      <c r="CQ282" s="80"/>
      <c r="CR282" s="80"/>
      <c r="CS282" s="80"/>
      <c r="CT282" s="80"/>
      <c r="CU282" s="80"/>
      <c r="CV282" s="80"/>
      <c r="CW282" s="80"/>
      <c r="CX282" s="80"/>
      <c r="CY282" s="80"/>
      <c r="CZ282" s="80"/>
      <c r="DA282" s="80"/>
    </row>
    <row r="283" spans="1:105" ht="23.25" customHeight="1" x14ac:dyDescent="0.2">
      <c r="A283" s="3009">
        <v>28022710</v>
      </c>
      <c r="B283" s="371" t="s">
        <v>1538</v>
      </c>
      <c r="C283" s="140" t="s">
        <v>2777</v>
      </c>
      <c r="D283" s="141" t="s">
        <v>2778</v>
      </c>
      <c r="E283" s="141" t="s">
        <v>2779</v>
      </c>
      <c r="F283" s="141" t="s">
        <v>2780</v>
      </c>
      <c r="G283" s="141" t="s">
        <v>2781</v>
      </c>
      <c r="H283" s="141" t="s">
        <v>2782</v>
      </c>
      <c r="I283" s="141" t="s">
        <v>2783</v>
      </c>
      <c r="J283" s="141" t="s">
        <v>2784</v>
      </c>
      <c r="K283" s="141" t="s">
        <v>2785</v>
      </c>
      <c r="L283" s="141" t="s">
        <v>2786</v>
      </c>
      <c r="M283" s="141" t="s">
        <v>2787</v>
      </c>
      <c r="N283" s="141" t="s">
        <v>2788</v>
      </c>
      <c r="O283" s="141" t="s">
        <v>2789</v>
      </c>
      <c r="P283" s="141" t="s">
        <v>2790</v>
      </c>
      <c r="Q283" s="141" t="s">
        <v>2791</v>
      </c>
      <c r="R283" s="141" t="s">
        <v>2792</v>
      </c>
      <c r="S283" s="141" t="s">
        <v>2793</v>
      </c>
      <c r="T283" s="141" t="s">
        <v>2794</v>
      </c>
      <c r="U283" s="141" t="s">
        <v>2795</v>
      </c>
      <c r="V283" s="164" t="s">
        <v>2796</v>
      </c>
      <c r="BG283" s="889"/>
      <c r="BH283" s="889"/>
      <c r="BI283" s="889"/>
      <c r="BJ283" s="889"/>
      <c r="BK283" s="889"/>
      <c r="BL283" s="889"/>
      <c r="BM283" s="889"/>
      <c r="BN283" s="889"/>
      <c r="BO283" s="889"/>
      <c r="BP283" s="889"/>
      <c r="BQ283" s="889"/>
      <c r="BR283" s="889"/>
      <c r="BS283" s="889"/>
      <c r="BT283" s="889"/>
      <c r="BU283" s="889"/>
      <c r="BV283" s="889"/>
      <c r="BW283" s="889"/>
      <c r="BX283" s="889"/>
      <c r="BY283" s="889"/>
      <c r="BZ283" s="889"/>
      <c r="CA283" s="889"/>
      <c r="CG283" s="80"/>
      <c r="CH283" s="80"/>
      <c r="CI283" s="80"/>
      <c r="CJ283" s="80"/>
      <c r="CK283" s="80"/>
      <c r="CL283" s="80"/>
      <c r="CM283" s="80"/>
      <c r="CN283" s="80"/>
      <c r="CO283" s="80"/>
      <c r="CP283" s="80"/>
      <c r="CQ283" s="80"/>
      <c r="CR283" s="80"/>
      <c r="CS283" s="80"/>
      <c r="CT283" s="80"/>
      <c r="CU283" s="80"/>
      <c r="CV283" s="80"/>
      <c r="CW283" s="80"/>
      <c r="CX283" s="80"/>
      <c r="CY283" s="80"/>
      <c r="CZ283" s="80"/>
      <c r="DA283" s="80"/>
    </row>
    <row r="284" spans="1:105" ht="25.5" customHeight="1" x14ac:dyDescent="0.2">
      <c r="A284" s="3009">
        <v>28022720</v>
      </c>
      <c r="B284" s="371" t="s">
        <v>1539</v>
      </c>
      <c r="C284" s="140" t="s">
        <v>2777</v>
      </c>
      <c r="D284" s="141" t="s">
        <v>2778</v>
      </c>
      <c r="E284" s="141" t="s">
        <v>2779</v>
      </c>
      <c r="F284" s="141" t="s">
        <v>2780</v>
      </c>
      <c r="G284" s="141" t="s">
        <v>2781</v>
      </c>
      <c r="H284" s="141" t="s">
        <v>2782</v>
      </c>
      <c r="I284" s="141" t="s">
        <v>2783</v>
      </c>
      <c r="J284" s="141" t="s">
        <v>2784</v>
      </c>
      <c r="K284" s="141" t="s">
        <v>2785</v>
      </c>
      <c r="L284" s="141" t="s">
        <v>2786</v>
      </c>
      <c r="M284" s="141" t="s">
        <v>2787</v>
      </c>
      <c r="N284" s="141" t="s">
        <v>2788</v>
      </c>
      <c r="O284" s="141" t="s">
        <v>2789</v>
      </c>
      <c r="P284" s="141" t="s">
        <v>2790</v>
      </c>
      <c r="Q284" s="141" t="s">
        <v>2791</v>
      </c>
      <c r="R284" s="141" t="s">
        <v>2792</v>
      </c>
      <c r="S284" s="141" t="s">
        <v>2793</v>
      </c>
      <c r="T284" s="141" t="s">
        <v>2794</v>
      </c>
      <c r="U284" s="141" t="s">
        <v>2795</v>
      </c>
      <c r="V284" s="164" t="s">
        <v>2796</v>
      </c>
      <c r="BG284" s="889"/>
      <c r="BH284" s="889"/>
      <c r="BI284" s="889"/>
      <c r="BJ284" s="889"/>
      <c r="BK284" s="889"/>
      <c r="BL284" s="889"/>
      <c r="BM284" s="889"/>
      <c r="BN284" s="889"/>
      <c r="BO284" s="889"/>
      <c r="BP284" s="889"/>
      <c r="BQ284" s="889"/>
      <c r="BR284" s="889"/>
      <c r="BS284" s="889"/>
      <c r="BT284" s="889"/>
      <c r="BU284" s="889"/>
      <c r="BV284" s="889"/>
      <c r="BW284" s="889"/>
      <c r="BX284" s="889"/>
      <c r="BY284" s="889"/>
      <c r="BZ284" s="889"/>
      <c r="CA284" s="889"/>
      <c r="CG284" s="80"/>
      <c r="CH284" s="80"/>
      <c r="CI284" s="80"/>
      <c r="CJ284" s="80"/>
      <c r="CK284" s="80"/>
      <c r="CL284" s="80"/>
      <c r="CM284" s="80"/>
      <c r="CN284" s="80"/>
      <c r="CO284" s="80"/>
      <c r="CP284" s="80"/>
      <c r="CQ284" s="80"/>
      <c r="CR284" s="80"/>
      <c r="CS284" s="80"/>
      <c r="CT284" s="80"/>
      <c r="CU284" s="80"/>
      <c r="CV284" s="80"/>
      <c r="CW284" s="80"/>
      <c r="CX284" s="80"/>
      <c r="CY284" s="80"/>
      <c r="CZ284" s="80"/>
      <c r="DA284" s="80"/>
    </row>
    <row r="285" spans="1:105" x14ac:dyDescent="0.2">
      <c r="A285" s="3009">
        <v>28022730</v>
      </c>
      <c r="B285" s="140" t="s">
        <v>1537</v>
      </c>
      <c r="C285" s="140" t="s">
        <v>2777</v>
      </c>
      <c r="D285" s="141" t="s">
        <v>2778</v>
      </c>
      <c r="E285" s="141" t="s">
        <v>2779</v>
      </c>
      <c r="F285" s="141" t="s">
        <v>2780</v>
      </c>
      <c r="G285" s="141" t="s">
        <v>2781</v>
      </c>
      <c r="H285" s="141" t="s">
        <v>2782</v>
      </c>
      <c r="I285" s="141" t="s">
        <v>2783</v>
      </c>
      <c r="J285" s="141" t="s">
        <v>2784</v>
      </c>
      <c r="K285" s="141" t="s">
        <v>2785</v>
      </c>
      <c r="L285" s="141" t="s">
        <v>2786</v>
      </c>
      <c r="M285" s="141" t="s">
        <v>2787</v>
      </c>
      <c r="N285" s="141" t="s">
        <v>2788</v>
      </c>
      <c r="O285" s="141" t="s">
        <v>2789</v>
      </c>
      <c r="P285" s="141" t="s">
        <v>2790</v>
      </c>
      <c r="Q285" s="141" t="s">
        <v>2791</v>
      </c>
      <c r="R285" s="141" t="s">
        <v>2792</v>
      </c>
      <c r="S285" s="141" t="s">
        <v>2793</v>
      </c>
      <c r="T285" s="141" t="s">
        <v>2794</v>
      </c>
      <c r="U285" s="141" t="s">
        <v>2795</v>
      </c>
      <c r="V285" s="164" t="s">
        <v>2796</v>
      </c>
      <c r="BG285" s="889"/>
      <c r="BH285" s="889"/>
      <c r="BI285" s="889"/>
      <c r="BJ285" s="889"/>
      <c r="BK285" s="889"/>
      <c r="BL285" s="889"/>
      <c r="BM285" s="889"/>
      <c r="BN285" s="889"/>
      <c r="BO285" s="889"/>
      <c r="BP285" s="889"/>
      <c r="BQ285" s="889"/>
      <c r="BR285" s="889"/>
      <c r="BS285" s="889"/>
      <c r="BT285" s="889"/>
      <c r="BU285" s="889"/>
      <c r="BV285" s="889"/>
      <c r="BW285" s="889"/>
      <c r="BX285" s="889"/>
      <c r="BY285" s="889"/>
      <c r="BZ285" s="889"/>
      <c r="CA285" s="889"/>
      <c r="CG285" s="80"/>
      <c r="CH285" s="80"/>
      <c r="CI285" s="80"/>
      <c r="CJ285" s="80"/>
      <c r="CK285" s="80"/>
      <c r="CL285" s="80"/>
      <c r="CM285" s="80"/>
      <c r="CN285" s="80"/>
      <c r="CO285" s="80"/>
      <c r="CP285" s="80"/>
      <c r="CQ285" s="80"/>
      <c r="CR285" s="80"/>
      <c r="CS285" s="80"/>
      <c r="CT285" s="80"/>
      <c r="CU285" s="80"/>
      <c r="CV285" s="80"/>
      <c r="CW285" s="80"/>
      <c r="CX285" s="80"/>
      <c r="CY285" s="80"/>
      <c r="CZ285" s="80"/>
      <c r="DA285" s="80"/>
    </row>
    <row r="286" spans="1:105" x14ac:dyDescent="0.2">
      <c r="A286" s="3009">
        <v>28022740</v>
      </c>
      <c r="B286" s="140" t="s">
        <v>2724</v>
      </c>
      <c r="C286" s="140" t="s">
        <v>2777</v>
      </c>
      <c r="D286" s="141" t="s">
        <v>2778</v>
      </c>
      <c r="E286" s="141" t="s">
        <v>2779</v>
      </c>
      <c r="F286" s="141" t="s">
        <v>2780</v>
      </c>
      <c r="G286" s="141" t="s">
        <v>2781</v>
      </c>
      <c r="H286" s="141" t="s">
        <v>2782</v>
      </c>
      <c r="I286" s="141" t="s">
        <v>2783</v>
      </c>
      <c r="J286" s="141" t="s">
        <v>2784</v>
      </c>
      <c r="K286" s="141" t="s">
        <v>2785</v>
      </c>
      <c r="L286" s="141" t="s">
        <v>2786</v>
      </c>
      <c r="M286" s="141" t="s">
        <v>2787</v>
      </c>
      <c r="N286" s="141" t="s">
        <v>2788</v>
      </c>
      <c r="O286" s="141" t="s">
        <v>2789</v>
      </c>
      <c r="P286" s="141" t="s">
        <v>2790</v>
      </c>
      <c r="Q286" s="141" t="s">
        <v>2791</v>
      </c>
      <c r="R286" s="141" t="s">
        <v>2792</v>
      </c>
      <c r="S286" s="141" t="s">
        <v>2793</v>
      </c>
      <c r="T286" s="141" t="s">
        <v>2794</v>
      </c>
      <c r="U286" s="141" t="s">
        <v>2795</v>
      </c>
      <c r="V286" s="164" t="s">
        <v>2796</v>
      </c>
      <c r="BG286" s="889"/>
      <c r="BH286" s="889"/>
      <c r="BI286" s="889"/>
      <c r="BJ286" s="889"/>
      <c r="BK286" s="889"/>
      <c r="BL286" s="889"/>
      <c r="BM286" s="889"/>
      <c r="BN286" s="889"/>
      <c r="BO286" s="889"/>
      <c r="BP286" s="889"/>
      <c r="BQ286" s="889"/>
      <c r="BR286" s="889"/>
      <c r="BS286" s="889"/>
      <c r="BT286" s="889"/>
      <c r="BU286" s="889"/>
      <c r="BV286" s="889"/>
      <c r="BW286" s="889"/>
      <c r="BX286" s="889"/>
      <c r="BY286" s="889"/>
      <c r="BZ286" s="889"/>
      <c r="CA286" s="889"/>
      <c r="CG286" s="80"/>
      <c r="CH286" s="80"/>
      <c r="CI286" s="80"/>
      <c r="CJ286" s="80"/>
      <c r="CK286" s="80"/>
      <c r="CL286" s="80"/>
      <c r="CM286" s="80"/>
      <c r="CN286" s="80"/>
      <c r="CO286" s="80"/>
      <c r="CP286" s="80"/>
      <c r="CQ286" s="80"/>
      <c r="CR286" s="80"/>
      <c r="CS286" s="80"/>
      <c r="CT286" s="80"/>
      <c r="CU286" s="80"/>
      <c r="CV286" s="80"/>
      <c r="CW286" s="80"/>
      <c r="CX286" s="80"/>
      <c r="CY286" s="80"/>
      <c r="CZ286" s="80"/>
      <c r="DA286" s="80"/>
    </row>
    <row r="287" spans="1:105" x14ac:dyDescent="0.2">
      <c r="A287" s="3009">
        <v>28022750</v>
      </c>
      <c r="B287" s="140" t="s">
        <v>2725</v>
      </c>
      <c r="C287" s="140" t="s">
        <v>2777</v>
      </c>
      <c r="D287" s="141" t="s">
        <v>2778</v>
      </c>
      <c r="E287" s="141" t="s">
        <v>2779</v>
      </c>
      <c r="F287" s="141" t="s">
        <v>2780</v>
      </c>
      <c r="G287" s="141" t="s">
        <v>2781</v>
      </c>
      <c r="H287" s="141" t="s">
        <v>2782</v>
      </c>
      <c r="I287" s="141" t="s">
        <v>2783</v>
      </c>
      <c r="J287" s="141" t="s">
        <v>2784</v>
      </c>
      <c r="K287" s="141" t="s">
        <v>2785</v>
      </c>
      <c r="L287" s="141" t="s">
        <v>2786</v>
      </c>
      <c r="M287" s="141" t="s">
        <v>2787</v>
      </c>
      <c r="N287" s="141" t="s">
        <v>2788</v>
      </c>
      <c r="O287" s="141" t="s">
        <v>2789</v>
      </c>
      <c r="P287" s="141" t="s">
        <v>2790</v>
      </c>
      <c r="Q287" s="141" t="s">
        <v>2791</v>
      </c>
      <c r="R287" s="141" t="s">
        <v>2792</v>
      </c>
      <c r="S287" s="141" t="s">
        <v>2793</v>
      </c>
      <c r="T287" s="141" t="s">
        <v>2794</v>
      </c>
      <c r="U287" s="141" t="s">
        <v>2795</v>
      </c>
      <c r="V287" s="164" t="s">
        <v>2796</v>
      </c>
      <c r="BG287" s="889"/>
      <c r="BH287" s="889"/>
      <c r="BI287" s="889"/>
      <c r="BJ287" s="889"/>
      <c r="BK287" s="889"/>
      <c r="BL287" s="889"/>
      <c r="BM287" s="889"/>
      <c r="BN287" s="889"/>
      <c r="BO287" s="889"/>
      <c r="BP287" s="889"/>
      <c r="BQ287" s="889"/>
      <c r="BR287" s="889"/>
      <c r="BS287" s="889"/>
      <c r="BT287" s="889"/>
      <c r="BU287" s="889"/>
      <c r="BV287" s="889"/>
      <c r="BW287" s="889"/>
      <c r="BX287" s="889"/>
      <c r="BY287" s="889"/>
      <c r="BZ287" s="889"/>
      <c r="CA287" s="889"/>
      <c r="CG287" s="80"/>
      <c r="CH287" s="80"/>
      <c r="CI287" s="80"/>
      <c r="CJ287" s="80"/>
      <c r="CK287" s="80"/>
      <c r="CL287" s="80"/>
      <c r="CM287" s="80"/>
      <c r="CN287" s="80"/>
      <c r="CO287" s="80"/>
      <c r="CP287" s="80"/>
      <c r="CQ287" s="80"/>
      <c r="CR287" s="80"/>
      <c r="CS287" s="80"/>
      <c r="CT287" s="80"/>
      <c r="CU287" s="80"/>
      <c r="CV287" s="80"/>
      <c r="CW287" s="80"/>
      <c r="CX287" s="80"/>
      <c r="CY287" s="80"/>
      <c r="CZ287" s="80"/>
      <c r="DA287" s="80"/>
    </row>
    <row r="288" spans="1:105" x14ac:dyDescent="0.2">
      <c r="A288" s="3009">
        <v>28022760</v>
      </c>
      <c r="B288" s="140" t="s">
        <v>2726</v>
      </c>
      <c r="C288" s="140" t="s">
        <v>2777</v>
      </c>
      <c r="D288" s="141" t="s">
        <v>2778</v>
      </c>
      <c r="E288" s="141" t="s">
        <v>2779</v>
      </c>
      <c r="F288" s="141" t="s">
        <v>2780</v>
      </c>
      <c r="G288" s="141" t="s">
        <v>2781</v>
      </c>
      <c r="H288" s="141" t="s">
        <v>2782</v>
      </c>
      <c r="I288" s="141" t="s">
        <v>2783</v>
      </c>
      <c r="J288" s="141" t="s">
        <v>2784</v>
      </c>
      <c r="K288" s="141" t="s">
        <v>2785</v>
      </c>
      <c r="L288" s="141" t="s">
        <v>2786</v>
      </c>
      <c r="M288" s="141" t="s">
        <v>2787</v>
      </c>
      <c r="N288" s="141" t="s">
        <v>2788</v>
      </c>
      <c r="O288" s="141" t="s">
        <v>2789</v>
      </c>
      <c r="P288" s="141" t="s">
        <v>2790</v>
      </c>
      <c r="Q288" s="141" t="s">
        <v>2791</v>
      </c>
      <c r="R288" s="141" t="s">
        <v>2792</v>
      </c>
      <c r="S288" s="141" t="s">
        <v>2793</v>
      </c>
      <c r="T288" s="141" t="s">
        <v>2794</v>
      </c>
      <c r="U288" s="141" t="s">
        <v>2795</v>
      </c>
      <c r="V288" s="164" t="s">
        <v>2796</v>
      </c>
      <c r="BG288" s="889"/>
      <c r="BH288" s="889"/>
      <c r="BI288" s="889"/>
      <c r="BJ288" s="889"/>
      <c r="BK288" s="889"/>
      <c r="BL288" s="889"/>
      <c r="BM288" s="889"/>
      <c r="BN288" s="889"/>
      <c r="BO288" s="889"/>
      <c r="BP288" s="889"/>
      <c r="BQ288" s="889"/>
      <c r="BR288" s="889"/>
      <c r="BS288" s="889"/>
      <c r="BT288" s="889"/>
      <c r="BU288" s="889"/>
      <c r="BV288" s="889"/>
      <c r="BW288" s="889"/>
      <c r="BX288" s="889"/>
      <c r="BY288" s="889"/>
      <c r="BZ288" s="889"/>
      <c r="CA288" s="889"/>
      <c r="CG288" s="80"/>
      <c r="CH288" s="80"/>
      <c r="CI288" s="80"/>
      <c r="CJ288" s="80"/>
      <c r="CK288" s="80"/>
      <c r="CL288" s="80"/>
      <c r="CM288" s="80"/>
      <c r="CN288" s="80"/>
      <c r="CO288" s="80"/>
      <c r="CP288" s="80"/>
      <c r="CQ288" s="80"/>
      <c r="CR288" s="80"/>
      <c r="CS288" s="80"/>
      <c r="CT288" s="80"/>
      <c r="CU288" s="80"/>
      <c r="CV288" s="80"/>
      <c r="CW288" s="80"/>
      <c r="CX288" s="80"/>
      <c r="CY288" s="80"/>
      <c r="CZ288" s="80"/>
      <c r="DA288" s="80"/>
    </row>
    <row r="289" spans="1:105" x14ac:dyDescent="0.2">
      <c r="A289" s="3009">
        <v>28022770</v>
      </c>
      <c r="B289" s="140" t="s">
        <v>1536</v>
      </c>
      <c r="C289" s="140" t="s">
        <v>2777</v>
      </c>
      <c r="D289" s="141" t="s">
        <v>2778</v>
      </c>
      <c r="E289" s="141" t="s">
        <v>2779</v>
      </c>
      <c r="F289" s="141" t="s">
        <v>2780</v>
      </c>
      <c r="G289" s="141" t="s">
        <v>2781</v>
      </c>
      <c r="H289" s="141" t="s">
        <v>2782</v>
      </c>
      <c r="I289" s="141" t="s">
        <v>2783</v>
      </c>
      <c r="J289" s="141" t="s">
        <v>2784</v>
      </c>
      <c r="K289" s="141" t="s">
        <v>2785</v>
      </c>
      <c r="L289" s="141" t="s">
        <v>2786</v>
      </c>
      <c r="M289" s="141" t="s">
        <v>2787</v>
      </c>
      <c r="N289" s="141" t="s">
        <v>2788</v>
      </c>
      <c r="O289" s="141" t="s">
        <v>2789</v>
      </c>
      <c r="P289" s="141" t="s">
        <v>2790</v>
      </c>
      <c r="Q289" s="141" t="s">
        <v>2791</v>
      </c>
      <c r="R289" s="141" t="s">
        <v>2792</v>
      </c>
      <c r="S289" s="141" t="s">
        <v>2793</v>
      </c>
      <c r="T289" s="141" t="s">
        <v>2794</v>
      </c>
      <c r="U289" s="141" t="s">
        <v>2795</v>
      </c>
      <c r="V289" s="164" t="s">
        <v>2796</v>
      </c>
      <c r="BZ289" s="80"/>
      <c r="CA289" s="80"/>
      <c r="CB289" s="80"/>
      <c r="CC289" s="80"/>
      <c r="CD289" s="80"/>
      <c r="CE289" s="80"/>
      <c r="CF289" s="80"/>
      <c r="CG289" s="80"/>
      <c r="CH289" s="80"/>
      <c r="CI289" s="80"/>
      <c r="CJ289" s="80"/>
      <c r="CK289" s="80"/>
      <c r="CL289" s="80"/>
      <c r="CM289" s="80"/>
      <c r="CN289" s="80"/>
      <c r="CO289" s="80"/>
      <c r="CP289" s="80"/>
      <c r="CQ289" s="80"/>
      <c r="CR289" s="80"/>
      <c r="CS289" s="80"/>
      <c r="CT289" s="80"/>
      <c r="CU289" s="80"/>
      <c r="CV289" s="80"/>
      <c r="CW289" s="80"/>
      <c r="CX289" s="80"/>
      <c r="CY289" s="80"/>
      <c r="CZ289" s="80"/>
      <c r="DA289" s="80"/>
    </row>
    <row r="290" spans="1:105" x14ac:dyDescent="0.2">
      <c r="A290" s="3009">
        <v>28023020</v>
      </c>
      <c r="B290" s="140" t="s">
        <v>2727</v>
      </c>
      <c r="C290" s="140" t="s">
        <v>2777</v>
      </c>
      <c r="D290" s="141" t="s">
        <v>2778</v>
      </c>
      <c r="E290" s="141" t="s">
        <v>2779</v>
      </c>
      <c r="F290" s="141" t="s">
        <v>2780</v>
      </c>
      <c r="G290" s="141" t="s">
        <v>2781</v>
      </c>
      <c r="H290" s="141" t="s">
        <v>2782</v>
      </c>
      <c r="I290" s="141" t="s">
        <v>2783</v>
      </c>
      <c r="J290" s="141" t="s">
        <v>2784</v>
      </c>
      <c r="K290" s="141" t="s">
        <v>2785</v>
      </c>
      <c r="L290" s="141" t="s">
        <v>2786</v>
      </c>
      <c r="M290" s="141" t="s">
        <v>2787</v>
      </c>
      <c r="N290" s="141" t="s">
        <v>2788</v>
      </c>
      <c r="O290" s="141" t="s">
        <v>2789</v>
      </c>
      <c r="P290" s="141" t="s">
        <v>2790</v>
      </c>
      <c r="Q290" s="141" t="s">
        <v>2791</v>
      </c>
      <c r="R290" s="141" t="s">
        <v>2792</v>
      </c>
      <c r="S290" s="141" t="s">
        <v>2793</v>
      </c>
      <c r="T290" s="141" t="s">
        <v>2794</v>
      </c>
      <c r="U290" s="141" t="s">
        <v>2795</v>
      </c>
      <c r="V290" s="164" t="s">
        <v>2796</v>
      </c>
      <c r="BZ290" s="80"/>
      <c r="CA290" s="80"/>
      <c r="CB290" s="80"/>
      <c r="CC290" s="80"/>
      <c r="CD290" s="80"/>
      <c r="CE290" s="80"/>
      <c r="CF290" s="80"/>
      <c r="CG290" s="80"/>
      <c r="CH290" s="80"/>
      <c r="CI290" s="80"/>
      <c r="CJ290" s="80"/>
      <c r="CK290" s="80"/>
      <c r="CL290" s="80"/>
      <c r="CM290" s="80"/>
      <c r="CN290" s="80"/>
      <c r="CO290" s="80"/>
      <c r="CP290" s="80"/>
      <c r="CQ290" s="80"/>
      <c r="CR290" s="80"/>
      <c r="CS290" s="80"/>
      <c r="CT290" s="80"/>
      <c r="CU290" s="80"/>
      <c r="CV290" s="80"/>
      <c r="CW290" s="80"/>
      <c r="CX290" s="80"/>
      <c r="CY290" s="80"/>
      <c r="CZ290" s="80"/>
      <c r="DA290" s="80"/>
    </row>
    <row r="291" spans="1:105" x14ac:dyDescent="0.2">
      <c r="A291" s="3009">
        <v>28023030</v>
      </c>
      <c r="B291" s="1004" t="s">
        <v>2728</v>
      </c>
      <c r="C291" s="1004" t="s">
        <v>2777</v>
      </c>
      <c r="D291" s="166" t="s">
        <v>2778</v>
      </c>
      <c r="E291" s="166" t="s">
        <v>2779</v>
      </c>
      <c r="F291" s="166" t="s">
        <v>2780</v>
      </c>
      <c r="G291" s="166" t="s">
        <v>2781</v>
      </c>
      <c r="H291" s="166" t="s">
        <v>2782</v>
      </c>
      <c r="I291" s="166" t="s">
        <v>2783</v>
      </c>
      <c r="J291" s="166" t="s">
        <v>2784</v>
      </c>
      <c r="K291" s="166" t="s">
        <v>2785</v>
      </c>
      <c r="L291" s="166" t="s">
        <v>2786</v>
      </c>
      <c r="M291" s="166" t="s">
        <v>2787</v>
      </c>
      <c r="N291" s="166" t="s">
        <v>2788</v>
      </c>
      <c r="O291" s="166" t="s">
        <v>2789</v>
      </c>
      <c r="P291" s="166" t="s">
        <v>2790</v>
      </c>
      <c r="Q291" s="166" t="s">
        <v>2791</v>
      </c>
      <c r="R291" s="166" t="s">
        <v>2792</v>
      </c>
      <c r="S291" s="166" t="s">
        <v>2793</v>
      </c>
      <c r="T291" s="166" t="s">
        <v>2794</v>
      </c>
      <c r="U291" s="166" t="s">
        <v>2795</v>
      </c>
      <c r="V291" s="105" t="s">
        <v>2796</v>
      </c>
      <c r="BZ291" s="80"/>
      <c r="CA291" s="80"/>
      <c r="CB291" s="80"/>
      <c r="CC291" s="80"/>
      <c r="CD291" s="80"/>
      <c r="CE291" s="80"/>
      <c r="CF291" s="80"/>
      <c r="CG291" s="80"/>
      <c r="CH291" s="80"/>
      <c r="CI291" s="80"/>
      <c r="CJ291" s="80"/>
      <c r="CK291" s="80"/>
      <c r="CL291" s="80"/>
      <c r="CM291" s="80"/>
      <c r="CN291" s="80"/>
      <c r="CO291" s="80"/>
      <c r="CP291" s="80"/>
      <c r="CQ291" s="80"/>
      <c r="CR291" s="80"/>
      <c r="CS291" s="80"/>
      <c r="CT291" s="80"/>
      <c r="CU291" s="80"/>
      <c r="CV291" s="80"/>
      <c r="CW291" s="80"/>
      <c r="CX291" s="80"/>
      <c r="CY291" s="80"/>
      <c r="CZ291" s="80"/>
      <c r="DA291" s="80"/>
    </row>
    <row r="292" spans="1:105" x14ac:dyDescent="0.2">
      <c r="A292" s="4679">
        <v>28101200</v>
      </c>
      <c r="B292" s="3614" t="s">
        <v>1705</v>
      </c>
      <c r="C292" s="1004" t="s">
        <v>2777</v>
      </c>
      <c r="D292" s="141" t="s">
        <v>2778</v>
      </c>
      <c r="E292" s="141" t="s">
        <v>2779</v>
      </c>
      <c r="F292" s="141" t="s">
        <v>2780</v>
      </c>
      <c r="G292" s="141" t="s">
        <v>2781</v>
      </c>
      <c r="H292" s="141" t="s">
        <v>2782</v>
      </c>
      <c r="I292" s="141" t="s">
        <v>2783</v>
      </c>
      <c r="J292" s="141" t="s">
        <v>2784</v>
      </c>
      <c r="K292" s="141" t="s">
        <v>2785</v>
      </c>
      <c r="L292" s="141" t="s">
        <v>2786</v>
      </c>
      <c r="M292" s="141" t="s">
        <v>2787</v>
      </c>
      <c r="N292" s="141" t="s">
        <v>2788</v>
      </c>
      <c r="O292" s="141" t="s">
        <v>2789</v>
      </c>
      <c r="P292" s="141" t="s">
        <v>2790</v>
      </c>
      <c r="Q292" s="141" t="s">
        <v>2791</v>
      </c>
      <c r="R292" s="141" t="s">
        <v>2792</v>
      </c>
      <c r="S292" s="141" t="s">
        <v>2793</v>
      </c>
      <c r="T292" s="141" t="s">
        <v>2794</v>
      </c>
      <c r="U292" s="141" t="s">
        <v>2795</v>
      </c>
      <c r="V292" s="164" t="s">
        <v>2796</v>
      </c>
      <c r="BZ292" s="80"/>
      <c r="CA292" s="80"/>
      <c r="CB292" s="80"/>
      <c r="CC292" s="80"/>
      <c r="CD292" s="80"/>
      <c r="CE292" s="80"/>
      <c r="CF292" s="80"/>
      <c r="CG292" s="80"/>
      <c r="CH292" s="80"/>
      <c r="CI292" s="80"/>
      <c r="CJ292" s="80"/>
      <c r="CK292" s="80"/>
      <c r="CL292" s="80"/>
      <c r="CM292" s="80"/>
      <c r="CN292" s="80"/>
      <c r="CO292" s="80"/>
      <c r="CP292" s="80"/>
      <c r="CQ292" s="80"/>
      <c r="CR292" s="80"/>
      <c r="CS292" s="80"/>
      <c r="CT292" s="80"/>
      <c r="CU292" s="80"/>
      <c r="CV292" s="80"/>
      <c r="CW292" s="80"/>
      <c r="CX292" s="80"/>
      <c r="CY292" s="80"/>
      <c r="CZ292" s="80"/>
      <c r="DA292" s="80"/>
    </row>
    <row r="293" spans="1:105" x14ac:dyDescent="0.2">
      <c r="A293" s="4679">
        <v>28101300</v>
      </c>
      <c r="B293" s="3614" t="s">
        <v>1706</v>
      </c>
      <c r="C293" s="1004" t="s">
        <v>2777</v>
      </c>
      <c r="D293" s="141" t="s">
        <v>2778</v>
      </c>
      <c r="E293" s="141" t="s">
        <v>2779</v>
      </c>
      <c r="F293" s="141" t="s">
        <v>2780</v>
      </c>
      <c r="G293" s="141" t="s">
        <v>2781</v>
      </c>
      <c r="H293" s="141" t="s">
        <v>2782</v>
      </c>
      <c r="I293" s="141" t="s">
        <v>2783</v>
      </c>
      <c r="J293" s="141" t="s">
        <v>2784</v>
      </c>
      <c r="K293" s="141" t="s">
        <v>2785</v>
      </c>
      <c r="L293" s="141" t="s">
        <v>2786</v>
      </c>
      <c r="M293" s="141" t="s">
        <v>2787</v>
      </c>
      <c r="N293" s="141" t="s">
        <v>2788</v>
      </c>
      <c r="O293" s="141" t="s">
        <v>2789</v>
      </c>
      <c r="P293" s="141" t="s">
        <v>2790</v>
      </c>
      <c r="Q293" s="141" t="s">
        <v>2791</v>
      </c>
      <c r="R293" s="141" t="s">
        <v>2792</v>
      </c>
      <c r="S293" s="141" t="s">
        <v>2793</v>
      </c>
      <c r="T293" s="141" t="s">
        <v>2794</v>
      </c>
      <c r="U293" s="141" t="s">
        <v>2795</v>
      </c>
      <c r="V293" s="164" t="s">
        <v>2796</v>
      </c>
      <c r="BZ293" s="80"/>
      <c r="CA293" s="80"/>
      <c r="CB293" s="80"/>
      <c r="CC293" s="80"/>
      <c r="CD293" s="80"/>
      <c r="CE293" s="80"/>
      <c r="CF293" s="80"/>
      <c r="CG293" s="80"/>
      <c r="CH293" s="80"/>
      <c r="CI293" s="80"/>
      <c r="CJ293" s="80"/>
      <c r="CK293" s="80"/>
      <c r="CL293" s="80"/>
      <c r="CM293" s="80"/>
      <c r="CN293" s="80"/>
      <c r="CO293" s="80"/>
      <c r="CP293" s="80"/>
      <c r="CQ293" s="80"/>
      <c r="CR293" s="80"/>
      <c r="CS293" s="80"/>
      <c r="CT293" s="80"/>
      <c r="CU293" s="80"/>
      <c r="CV293" s="80"/>
      <c r="CW293" s="80"/>
      <c r="CX293" s="80"/>
      <c r="CY293" s="80"/>
      <c r="CZ293" s="80"/>
      <c r="DA293" s="80"/>
    </row>
    <row r="294" spans="1:105" ht="26.25" customHeight="1" x14ac:dyDescent="0.2">
      <c r="A294" s="4679">
        <v>28101400</v>
      </c>
      <c r="B294" s="3615" t="s">
        <v>2729</v>
      </c>
      <c r="C294" s="1004" t="s">
        <v>2777</v>
      </c>
      <c r="D294" s="141" t="s">
        <v>2778</v>
      </c>
      <c r="E294" s="141" t="s">
        <v>2779</v>
      </c>
      <c r="F294" s="141" t="s">
        <v>2780</v>
      </c>
      <c r="G294" s="141" t="s">
        <v>2781</v>
      </c>
      <c r="H294" s="141" t="s">
        <v>2782</v>
      </c>
      <c r="I294" s="141" t="s">
        <v>2783</v>
      </c>
      <c r="J294" s="141" t="s">
        <v>2784</v>
      </c>
      <c r="K294" s="141" t="s">
        <v>2785</v>
      </c>
      <c r="L294" s="141" t="s">
        <v>2786</v>
      </c>
      <c r="M294" s="141" t="s">
        <v>2787</v>
      </c>
      <c r="N294" s="141" t="s">
        <v>2788</v>
      </c>
      <c r="O294" s="141" t="s">
        <v>2789</v>
      </c>
      <c r="P294" s="141" t="s">
        <v>2790</v>
      </c>
      <c r="Q294" s="141" t="s">
        <v>2791</v>
      </c>
      <c r="R294" s="141" t="s">
        <v>2792</v>
      </c>
      <c r="S294" s="141" t="s">
        <v>2793</v>
      </c>
      <c r="T294" s="141" t="s">
        <v>2794</v>
      </c>
      <c r="U294" s="141" t="s">
        <v>2795</v>
      </c>
      <c r="V294" s="164" t="s">
        <v>2796</v>
      </c>
      <c r="BZ294" s="80"/>
      <c r="CA294" s="80"/>
      <c r="CB294" s="80"/>
      <c r="CC294" s="80"/>
      <c r="CD294" s="80"/>
      <c r="CE294" s="80"/>
      <c r="CF294" s="80"/>
      <c r="CG294" s="80"/>
      <c r="CH294" s="80"/>
      <c r="CI294" s="80"/>
      <c r="CJ294" s="80"/>
      <c r="CK294" s="80"/>
      <c r="CL294" s="80"/>
      <c r="CM294" s="80"/>
      <c r="CN294" s="80"/>
      <c r="CO294" s="80"/>
      <c r="CP294" s="80"/>
      <c r="CQ294" s="80"/>
      <c r="CR294" s="80"/>
      <c r="CS294" s="80"/>
      <c r="CT294" s="80"/>
      <c r="CU294" s="80"/>
      <c r="CV294" s="80"/>
      <c r="CW294" s="80"/>
      <c r="CX294" s="80"/>
      <c r="CY294" s="80"/>
      <c r="CZ294" s="80"/>
      <c r="DA294" s="80"/>
    </row>
    <row r="295" spans="1:105" x14ac:dyDescent="0.2">
      <c r="A295" s="4679">
        <v>28101500</v>
      </c>
      <c r="B295" s="3614" t="s">
        <v>1707</v>
      </c>
      <c r="C295" s="1004" t="s">
        <v>2777</v>
      </c>
      <c r="D295" s="141" t="s">
        <v>2778</v>
      </c>
      <c r="E295" s="141" t="s">
        <v>2779</v>
      </c>
      <c r="F295" s="141" t="s">
        <v>2780</v>
      </c>
      <c r="G295" s="141" t="s">
        <v>2781</v>
      </c>
      <c r="H295" s="141" t="s">
        <v>2782</v>
      </c>
      <c r="I295" s="141" t="s">
        <v>2783</v>
      </c>
      <c r="J295" s="141" t="s">
        <v>2784</v>
      </c>
      <c r="K295" s="141" t="s">
        <v>2785</v>
      </c>
      <c r="L295" s="141" t="s">
        <v>2786</v>
      </c>
      <c r="M295" s="141" t="s">
        <v>2787</v>
      </c>
      <c r="N295" s="141" t="s">
        <v>2788</v>
      </c>
      <c r="O295" s="141" t="s">
        <v>2789</v>
      </c>
      <c r="P295" s="141" t="s">
        <v>2790</v>
      </c>
      <c r="Q295" s="141" t="s">
        <v>2791</v>
      </c>
      <c r="R295" s="141" t="s">
        <v>2792</v>
      </c>
      <c r="S295" s="141" t="s">
        <v>2793</v>
      </c>
      <c r="T295" s="141" t="s">
        <v>2794</v>
      </c>
      <c r="U295" s="141" t="s">
        <v>2795</v>
      </c>
      <c r="V295" s="164" t="s">
        <v>2796</v>
      </c>
      <c r="BZ295" s="80"/>
      <c r="CA295" s="80"/>
      <c r="CB295" s="80"/>
      <c r="CC295" s="80"/>
      <c r="CD295" s="80"/>
      <c r="CE295" s="80"/>
      <c r="CF295" s="80"/>
      <c r="CG295" s="80"/>
      <c r="CH295" s="80"/>
      <c r="CI295" s="80"/>
      <c r="CJ295" s="80"/>
      <c r="CK295" s="80"/>
      <c r="CL295" s="80"/>
      <c r="CM295" s="80"/>
      <c r="CN295" s="80"/>
      <c r="CO295" s="80"/>
      <c r="CP295" s="80"/>
      <c r="CQ295" s="80"/>
      <c r="CR295" s="80"/>
      <c r="CS295" s="80"/>
      <c r="CT295" s="80"/>
      <c r="CU295" s="80"/>
      <c r="CV295" s="80"/>
      <c r="CW295" s="80"/>
      <c r="CX295" s="80"/>
      <c r="CY295" s="80"/>
      <c r="CZ295" s="80"/>
      <c r="DA295" s="80"/>
    </row>
    <row r="296" spans="1:105" x14ac:dyDescent="0.2">
      <c r="A296" s="4679">
        <v>28101600</v>
      </c>
      <c r="B296" s="3614" t="s">
        <v>1708</v>
      </c>
      <c r="C296" s="1004" t="s">
        <v>2777</v>
      </c>
      <c r="D296" s="141" t="s">
        <v>2778</v>
      </c>
      <c r="E296" s="141" t="s">
        <v>2779</v>
      </c>
      <c r="F296" s="141" t="s">
        <v>2780</v>
      </c>
      <c r="G296" s="141" t="s">
        <v>2781</v>
      </c>
      <c r="H296" s="141" t="s">
        <v>2782</v>
      </c>
      <c r="I296" s="141" t="s">
        <v>2783</v>
      </c>
      <c r="J296" s="141" t="s">
        <v>2784</v>
      </c>
      <c r="K296" s="141" t="s">
        <v>2785</v>
      </c>
      <c r="L296" s="141" t="s">
        <v>2786</v>
      </c>
      <c r="M296" s="141" t="s">
        <v>2787</v>
      </c>
      <c r="N296" s="141" t="s">
        <v>2788</v>
      </c>
      <c r="O296" s="141" t="s">
        <v>2789</v>
      </c>
      <c r="P296" s="141" t="s">
        <v>2790</v>
      </c>
      <c r="Q296" s="141" t="s">
        <v>2791</v>
      </c>
      <c r="R296" s="141" t="s">
        <v>2792</v>
      </c>
      <c r="S296" s="141" t="s">
        <v>2793</v>
      </c>
      <c r="T296" s="141" t="s">
        <v>2794</v>
      </c>
      <c r="U296" s="141" t="s">
        <v>2795</v>
      </c>
      <c r="V296" s="164" t="s">
        <v>2796</v>
      </c>
      <c r="BZ296" s="80"/>
      <c r="CA296" s="80"/>
      <c r="CB296" s="80"/>
      <c r="CC296" s="80"/>
      <c r="CD296" s="80"/>
      <c r="CE296" s="80"/>
      <c r="CF296" s="80"/>
      <c r="CG296" s="80"/>
      <c r="CH296" s="80"/>
      <c r="CI296" s="80"/>
      <c r="CJ296" s="80"/>
      <c r="CK296" s="80"/>
      <c r="CL296" s="80"/>
      <c r="CM296" s="80"/>
      <c r="CN296" s="80"/>
      <c r="CO296" s="80"/>
      <c r="CP296" s="80"/>
      <c r="CQ296" s="80"/>
      <c r="CR296" s="80"/>
      <c r="CS296" s="80"/>
      <c r="CT296" s="80"/>
      <c r="CU296" s="80"/>
      <c r="CV296" s="80"/>
      <c r="CW296" s="80"/>
      <c r="CX296" s="80"/>
      <c r="CY296" s="80"/>
      <c r="CZ296" s="80"/>
      <c r="DA296" s="80"/>
    </row>
    <row r="297" spans="1:105" x14ac:dyDescent="0.2">
      <c r="A297" s="4679">
        <v>28101700</v>
      </c>
      <c r="B297" s="3616" t="s">
        <v>109</v>
      </c>
      <c r="C297" s="1005" t="s">
        <v>2777</v>
      </c>
      <c r="D297" s="166" t="s">
        <v>2778</v>
      </c>
      <c r="E297" s="166" t="s">
        <v>2779</v>
      </c>
      <c r="F297" s="166" t="s">
        <v>2780</v>
      </c>
      <c r="G297" s="166" t="s">
        <v>2781</v>
      </c>
      <c r="H297" s="166" t="s">
        <v>2782</v>
      </c>
      <c r="I297" s="166" t="s">
        <v>2783</v>
      </c>
      <c r="J297" s="166" t="s">
        <v>2784</v>
      </c>
      <c r="K297" s="166" t="s">
        <v>2785</v>
      </c>
      <c r="L297" s="166" t="s">
        <v>2786</v>
      </c>
      <c r="M297" s="166" t="s">
        <v>2787</v>
      </c>
      <c r="N297" s="166" t="s">
        <v>2788</v>
      </c>
      <c r="O297" s="166" t="s">
        <v>2789</v>
      </c>
      <c r="P297" s="166" t="s">
        <v>2790</v>
      </c>
      <c r="Q297" s="166" t="s">
        <v>2791</v>
      </c>
      <c r="R297" s="166" t="s">
        <v>2792</v>
      </c>
      <c r="S297" s="166" t="s">
        <v>2793</v>
      </c>
      <c r="T297" s="166" t="s">
        <v>2794</v>
      </c>
      <c r="U297" s="166" t="s">
        <v>2795</v>
      </c>
      <c r="V297" s="105" t="s">
        <v>2796</v>
      </c>
      <c r="BZ297" s="80"/>
      <c r="CA297" s="80"/>
      <c r="CB297" s="80"/>
      <c r="CC297" s="80"/>
      <c r="CD297" s="80"/>
      <c r="CE297" s="80"/>
      <c r="CF297" s="80"/>
      <c r="CG297" s="80"/>
      <c r="CH297" s="80"/>
      <c r="CI297" s="80"/>
      <c r="CJ297" s="80"/>
      <c r="CK297" s="80"/>
      <c r="CL297" s="80"/>
      <c r="CM297" s="80"/>
      <c r="CN297" s="80"/>
      <c r="CO297" s="80"/>
      <c r="CP297" s="80"/>
      <c r="CQ297" s="80"/>
      <c r="CR297" s="80"/>
      <c r="CS297" s="80"/>
      <c r="CT297" s="80"/>
      <c r="CU297" s="80"/>
      <c r="CV297" s="80"/>
      <c r="CW297" s="80"/>
      <c r="CX297" s="80"/>
      <c r="CY297" s="80"/>
      <c r="CZ297" s="80"/>
      <c r="DA297" s="80"/>
    </row>
    <row r="298" spans="1:105" ht="27.75" customHeight="1" x14ac:dyDescent="0.2">
      <c r="B298" s="485" t="s">
        <v>2730</v>
      </c>
      <c r="C298" s="485"/>
      <c r="CB298" s="80"/>
      <c r="CC298" s="80"/>
      <c r="CD298" s="80"/>
      <c r="CE298" s="80"/>
      <c r="CF298" s="80"/>
      <c r="CG298" s="80"/>
      <c r="CH298" s="80"/>
      <c r="CI298" s="80"/>
      <c r="CJ298" s="80"/>
      <c r="CK298" s="80"/>
      <c r="CL298" s="80"/>
      <c r="CM298" s="80"/>
      <c r="CN298" s="80"/>
      <c r="CO298" s="80"/>
      <c r="CP298" s="80"/>
      <c r="CQ298" s="80"/>
      <c r="CR298" s="80"/>
      <c r="CS298" s="80"/>
      <c r="CT298" s="80"/>
      <c r="CU298" s="80"/>
      <c r="CV298" s="80"/>
      <c r="CW298" s="80"/>
      <c r="CX298" s="80"/>
      <c r="CY298" s="80"/>
      <c r="CZ298" s="80"/>
      <c r="DA298" s="80"/>
    </row>
    <row r="299" spans="1:105" ht="27.75" customHeight="1" x14ac:dyDescent="0.2">
      <c r="B299" s="6775" t="s">
        <v>2215</v>
      </c>
      <c r="C299" s="6781" t="s">
        <v>42</v>
      </c>
      <c r="D299" s="6234" t="s">
        <v>274</v>
      </c>
      <c r="E299" s="6776"/>
      <c r="F299" s="6776"/>
      <c r="G299" s="6776"/>
      <c r="H299" s="6776"/>
      <c r="I299" s="6776"/>
      <c r="J299" s="6776"/>
      <c r="K299" s="6776"/>
      <c r="L299" s="6776"/>
      <c r="M299" s="6776"/>
      <c r="N299" s="6776"/>
      <c r="O299" s="6776"/>
      <c r="P299" s="6776"/>
      <c r="Q299" s="6776"/>
      <c r="R299" s="6776"/>
      <c r="S299" s="6776"/>
      <c r="T299" s="6776"/>
      <c r="U299" s="6776"/>
      <c r="V299" s="6237"/>
      <c r="CB299" s="80"/>
      <c r="CC299" s="80"/>
      <c r="CD299" s="80"/>
      <c r="CE299" s="80"/>
      <c r="CF299" s="80"/>
      <c r="CG299" s="80"/>
      <c r="CH299" s="80"/>
      <c r="CI299" s="80"/>
      <c r="CJ299" s="80"/>
      <c r="CK299" s="80"/>
      <c r="CL299" s="80"/>
      <c r="CM299" s="80"/>
      <c r="CN299" s="80"/>
      <c r="CO299" s="80"/>
      <c r="CP299" s="80"/>
      <c r="CQ299" s="80"/>
      <c r="CR299" s="80"/>
      <c r="CS299" s="80"/>
      <c r="CT299" s="80"/>
      <c r="CU299" s="80"/>
      <c r="CV299" s="80"/>
      <c r="CW299" s="80"/>
      <c r="CX299" s="80"/>
      <c r="CY299" s="80"/>
      <c r="CZ299" s="80"/>
      <c r="DA299" s="80"/>
    </row>
    <row r="300" spans="1:105" ht="29.1" customHeight="1" x14ac:dyDescent="0.2">
      <c r="B300" s="6775"/>
      <c r="C300" s="6782"/>
      <c r="D300" s="1761" t="s">
        <v>737</v>
      </c>
      <c r="E300" s="1761" t="s">
        <v>738</v>
      </c>
      <c r="F300" s="1802" t="s">
        <v>739</v>
      </c>
      <c r="G300" s="1802" t="s">
        <v>351</v>
      </c>
      <c r="H300" s="1802" t="s">
        <v>352</v>
      </c>
      <c r="I300" s="1761" t="s">
        <v>295</v>
      </c>
      <c r="J300" s="1761" t="s">
        <v>740</v>
      </c>
      <c r="K300" s="1761" t="s">
        <v>741</v>
      </c>
      <c r="L300" s="1761" t="s">
        <v>742</v>
      </c>
      <c r="M300" s="1761" t="s">
        <v>13</v>
      </c>
      <c r="N300" s="1761" t="s">
        <v>14</v>
      </c>
      <c r="O300" s="1761" t="s">
        <v>743</v>
      </c>
      <c r="P300" s="1761" t="s">
        <v>16</v>
      </c>
      <c r="Q300" s="1761" t="s">
        <v>17</v>
      </c>
      <c r="R300" s="1761" t="s">
        <v>18</v>
      </c>
      <c r="S300" s="1761" t="s">
        <v>19</v>
      </c>
      <c r="T300" s="1761" t="s">
        <v>20</v>
      </c>
      <c r="U300" s="1761" t="s">
        <v>21</v>
      </c>
      <c r="V300" s="1801" t="s">
        <v>22</v>
      </c>
      <c r="BE300" s="79"/>
      <c r="BF300" s="79"/>
      <c r="BZ300" s="80"/>
      <c r="CA300" s="80"/>
      <c r="CB300" s="80"/>
      <c r="CC300" s="80"/>
      <c r="CD300" s="80"/>
      <c r="CE300" s="80"/>
      <c r="CF300" s="80"/>
      <c r="CG300" s="80"/>
      <c r="CH300" s="80"/>
      <c r="CI300" s="80"/>
      <c r="CJ300" s="80"/>
      <c r="CK300" s="80"/>
      <c r="CL300" s="80"/>
      <c r="CM300" s="80"/>
      <c r="CN300" s="80"/>
      <c r="CO300" s="80"/>
      <c r="CP300" s="80"/>
      <c r="CQ300" s="80"/>
      <c r="CR300" s="80"/>
      <c r="CS300" s="80"/>
      <c r="CT300" s="80"/>
      <c r="CU300" s="80"/>
      <c r="CV300" s="80"/>
      <c r="CW300" s="80"/>
      <c r="CX300" s="80"/>
      <c r="CY300" s="80"/>
      <c r="CZ300" s="80"/>
      <c r="DA300" s="80"/>
    </row>
    <row r="301" spans="1:105" ht="18.75" customHeight="1" x14ac:dyDescent="0.2">
      <c r="A301" s="3009">
        <v>28022790</v>
      </c>
      <c r="B301" s="1004" t="s">
        <v>1599</v>
      </c>
      <c r="C301" s="3483" t="s">
        <v>2777</v>
      </c>
      <c r="D301" s="3580" t="s">
        <v>2778</v>
      </c>
      <c r="E301" s="3580" t="s">
        <v>2779</v>
      </c>
      <c r="F301" s="3580" t="s">
        <v>2780</v>
      </c>
      <c r="G301" s="3580" t="s">
        <v>2781</v>
      </c>
      <c r="H301" s="3580" t="s">
        <v>2782</v>
      </c>
      <c r="I301" s="3580" t="s">
        <v>2783</v>
      </c>
      <c r="J301" s="3580" t="s">
        <v>2784</v>
      </c>
      <c r="K301" s="3580" t="s">
        <v>2785</v>
      </c>
      <c r="L301" s="3580" t="s">
        <v>2786</v>
      </c>
      <c r="M301" s="3580" t="s">
        <v>2787</v>
      </c>
      <c r="N301" s="3580" t="s">
        <v>2788</v>
      </c>
      <c r="O301" s="3580" t="s">
        <v>2789</v>
      </c>
      <c r="P301" s="3580" t="s">
        <v>2790</v>
      </c>
      <c r="Q301" s="3580" t="s">
        <v>2791</v>
      </c>
      <c r="R301" s="3580" t="s">
        <v>2792</v>
      </c>
      <c r="S301" s="3580" t="s">
        <v>2793</v>
      </c>
      <c r="T301" s="3580" t="s">
        <v>2794</v>
      </c>
      <c r="U301" s="3580" t="s">
        <v>2795</v>
      </c>
      <c r="V301" s="3617" t="s">
        <v>2796</v>
      </c>
      <c r="BE301" s="79"/>
      <c r="BF301" s="79"/>
      <c r="BZ301" s="80"/>
      <c r="CA301" s="80"/>
      <c r="CB301" s="80"/>
      <c r="CC301" s="80"/>
      <c r="CD301" s="80"/>
      <c r="CE301" s="80"/>
      <c r="CF301" s="80"/>
      <c r="CG301" s="80"/>
      <c r="CH301" s="80"/>
      <c r="CI301" s="80"/>
      <c r="CJ301" s="80"/>
      <c r="CK301" s="80"/>
      <c r="CL301" s="80"/>
      <c r="CM301" s="80"/>
      <c r="CN301" s="80"/>
      <c r="CO301" s="80"/>
      <c r="CP301" s="80"/>
      <c r="CQ301" s="80"/>
      <c r="CR301" s="80"/>
      <c r="CS301" s="80"/>
      <c r="CT301" s="80"/>
      <c r="CU301" s="80"/>
      <c r="CV301" s="80"/>
      <c r="CW301" s="80"/>
      <c r="CX301" s="80"/>
      <c r="CY301" s="80"/>
      <c r="CZ301" s="80"/>
      <c r="DA301" s="80"/>
    </row>
    <row r="302" spans="1:105" ht="18.75" customHeight="1" x14ac:dyDescent="0.2">
      <c r="A302" s="3009">
        <v>28022800</v>
      </c>
      <c r="B302" s="1004" t="s">
        <v>1523</v>
      </c>
      <c r="C302" s="3483" t="s">
        <v>2777</v>
      </c>
      <c r="D302" s="2901" t="s">
        <v>2778</v>
      </c>
      <c r="E302" s="2901" t="s">
        <v>2779</v>
      </c>
      <c r="F302" s="2901" t="s">
        <v>2780</v>
      </c>
      <c r="G302" s="2901" t="s">
        <v>2781</v>
      </c>
      <c r="H302" s="2901" t="s">
        <v>2782</v>
      </c>
      <c r="I302" s="2901" t="s">
        <v>2783</v>
      </c>
      <c r="J302" s="2901" t="s">
        <v>2784</v>
      </c>
      <c r="K302" s="2901" t="s">
        <v>2785</v>
      </c>
      <c r="L302" s="2901" t="s">
        <v>2786</v>
      </c>
      <c r="M302" s="2901" t="s">
        <v>2787</v>
      </c>
      <c r="N302" s="2901" t="s">
        <v>2788</v>
      </c>
      <c r="O302" s="2901" t="s">
        <v>2789</v>
      </c>
      <c r="P302" s="2901" t="s">
        <v>2790</v>
      </c>
      <c r="Q302" s="2901" t="s">
        <v>2791</v>
      </c>
      <c r="R302" s="2901" t="s">
        <v>2792</v>
      </c>
      <c r="S302" s="2901" t="s">
        <v>2793</v>
      </c>
      <c r="T302" s="2901" t="s">
        <v>2794</v>
      </c>
      <c r="U302" s="2901" t="s">
        <v>2795</v>
      </c>
      <c r="V302" s="3395" t="s">
        <v>2796</v>
      </c>
      <c r="BE302" s="79"/>
      <c r="BF302" s="79"/>
      <c r="BZ302" s="80"/>
      <c r="CA302" s="80"/>
      <c r="CB302" s="80"/>
      <c r="CC302" s="80"/>
      <c r="CD302" s="80"/>
      <c r="CE302" s="80"/>
      <c r="CF302" s="80"/>
      <c r="CG302" s="80"/>
      <c r="CH302" s="80"/>
      <c r="CI302" s="80"/>
      <c r="CJ302" s="80"/>
      <c r="CK302" s="80"/>
      <c r="CL302" s="80"/>
      <c r="CM302" s="80"/>
      <c r="CN302" s="80"/>
      <c r="CO302" s="80"/>
      <c r="CP302" s="80"/>
      <c r="CQ302" s="80"/>
      <c r="CR302" s="80"/>
      <c r="CS302" s="80"/>
      <c r="CT302" s="80"/>
      <c r="CU302" s="80"/>
      <c r="CV302" s="80"/>
      <c r="CW302" s="80"/>
      <c r="CX302" s="80"/>
      <c r="CY302" s="80"/>
      <c r="CZ302" s="80"/>
      <c r="DA302" s="80"/>
    </row>
    <row r="303" spans="1:105" ht="18.75" customHeight="1" x14ac:dyDescent="0.2">
      <c r="A303" s="3009">
        <v>28022810</v>
      </c>
      <c r="B303" s="1004" t="s">
        <v>1541</v>
      </c>
      <c r="C303" s="3483" t="s">
        <v>2777</v>
      </c>
      <c r="D303" s="2901" t="s">
        <v>2778</v>
      </c>
      <c r="E303" s="2901" t="s">
        <v>2779</v>
      </c>
      <c r="F303" s="2901" t="s">
        <v>2780</v>
      </c>
      <c r="G303" s="2901" t="s">
        <v>2781</v>
      </c>
      <c r="H303" s="2901" t="s">
        <v>2782</v>
      </c>
      <c r="I303" s="2901" t="s">
        <v>2783</v>
      </c>
      <c r="J303" s="2901" t="s">
        <v>2784</v>
      </c>
      <c r="K303" s="2901" t="s">
        <v>2785</v>
      </c>
      <c r="L303" s="2901" t="s">
        <v>2786</v>
      </c>
      <c r="M303" s="2901" t="s">
        <v>2787</v>
      </c>
      <c r="N303" s="2901" t="s">
        <v>2788</v>
      </c>
      <c r="O303" s="2901" t="s">
        <v>2789</v>
      </c>
      <c r="P303" s="2901" t="s">
        <v>2790</v>
      </c>
      <c r="Q303" s="2901" t="s">
        <v>2791</v>
      </c>
      <c r="R303" s="2901" t="s">
        <v>2792</v>
      </c>
      <c r="S303" s="2901" t="s">
        <v>2793</v>
      </c>
      <c r="T303" s="2901" t="s">
        <v>2794</v>
      </c>
      <c r="U303" s="2901" t="s">
        <v>2795</v>
      </c>
      <c r="V303" s="3395" t="s">
        <v>2796</v>
      </c>
      <c r="BE303" s="79"/>
      <c r="BF303" s="79"/>
      <c r="BZ303" s="80"/>
      <c r="CA303" s="80"/>
      <c r="CB303" s="80"/>
      <c r="CC303" s="80"/>
      <c r="CD303" s="80"/>
      <c r="CE303" s="80"/>
      <c r="CF303" s="80"/>
      <c r="CG303" s="80"/>
      <c r="CH303" s="80"/>
      <c r="CI303" s="80"/>
      <c r="CJ303" s="80"/>
      <c r="CK303" s="80"/>
      <c r="CL303" s="80"/>
      <c r="CM303" s="80"/>
      <c r="CN303" s="80"/>
      <c r="CO303" s="80"/>
      <c r="CP303" s="80"/>
      <c r="CQ303" s="80"/>
      <c r="CR303" s="80"/>
      <c r="CS303" s="80"/>
      <c r="CT303" s="80"/>
      <c r="CU303" s="80"/>
      <c r="CV303" s="80"/>
      <c r="CW303" s="80"/>
      <c r="CX303" s="80"/>
      <c r="CY303" s="80"/>
      <c r="CZ303" s="80"/>
      <c r="DA303" s="80"/>
    </row>
    <row r="304" spans="1:105" ht="23.25" customHeight="1" x14ac:dyDescent="0.2">
      <c r="A304" s="3009">
        <v>28022820</v>
      </c>
      <c r="B304" s="1192" t="s">
        <v>2731</v>
      </c>
      <c r="C304" s="3483" t="s">
        <v>2777</v>
      </c>
      <c r="D304" s="2901" t="s">
        <v>2778</v>
      </c>
      <c r="E304" s="2901" t="s">
        <v>2779</v>
      </c>
      <c r="F304" s="2901" t="s">
        <v>2780</v>
      </c>
      <c r="G304" s="2901" t="s">
        <v>2781</v>
      </c>
      <c r="H304" s="2901" t="s">
        <v>2782</v>
      </c>
      <c r="I304" s="2901" t="s">
        <v>2783</v>
      </c>
      <c r="J304" s="2901" t="s">
        <v>2784</v>
      </c>
      <c r="K304" s="2901" t="s">
        <v>2785</v>
      </c>
      <c r="L304" s="2901" t="s">
        <v>2786</v>
      </c>
      <c r="M304" s="2901" t="s">
        <v>2787</v>
      </c>
      <c r="N304" s="2901" t="s">
        <v>2788</v>
      </c>
      <c r="O304" s="2901" t="s">
        <v>2789</v>
      </c>
      <c r="P304" s="2901" t="s">
        <v>2790</v>
      </c>
      <c r="Q304" s="2901" t="s">
        <v>2791</v>
      </c>
      <c r="R304" s="2901" t="s">
        <v>2792</v>
      </c>
      <c r="S304" s="2901" t="s">
        <v>2793</v>
      </c>
      <c r="T304" s="2901" t="s">
        <v>2794</v>
      </c>
      <c r="U304" s="2901" t="s">
        <v>2795</v>
      </c>
      <c r="V304" s="3395" t="s">
        <v>2796</v>
      </c>
      <c r="BE304" s="79"/>
      <c r="BF304" s="79"/>
      <c r="BZ304" s="80"/>
      <c r="CA304" s="80"/>
      <c r="CB304" s="80"/>
      <c r="CC304" s="80"/>
      <c r="CD304" s="80"/>
      <c r="CE304" s="80"/>
      <c r="CF304" s="80"/>
      <c r="CG304" s="80"/>
      <c r="CH304" s="80"/>
      <c r="CI304" s="80"/>
      <c r="CJ304" s="80"/>
      <c r="CK304" s="80"/>
      <c r="CL304" s="80"/>
      <c r="CM304" s="80"/>
      <c r="CN304" s="80"/>
      <c r="CO304" s="80"/>
      <c r="CP304" s="80"/>
      <c r="CQ304" s="80"/>
      <c r="CR304" s="80"/>
      <c r="CS304" s="80"/>
      <c r="CT304" s="80"/>
      <c r="CU304" s="80"/>
      <c r="CV304" s="80"/>
      <c r="CW304" s="80"/>
      <c r="CX304" s="80"/>
      <c r="CY304" s="80"/>
      <c r="CZ304" s="80"/>
      <c r="DA304" s="80"/>
    </row>
    <row r="305" spans="1:105" ht="26.25" customHeight="1" x14ac:dyDescent="0.2">
      <c r="A305" s="3009">
        <v>28022830</v>
      </c>
      <c r="B305" s="1192" t="s">
        <v>1598</v>
      </c>
      <c r="C305" s="3483" t="s">
        <v>2777</v>
      </c>
      <c r="D305" s="2901" t="s">
        <v>2778</v>
      </c>
      <c r="E305" s="2901" t="s">
        <v>2779</v>
      </c>
      <c r="F305" s="2901" t="s">
        <v>2780</v>
      </c>
      <c r="G305" s="2901" t="s">
        <v>2781</v>
      </c>
      <c r="H305" s="2901" t="s">
        <v>2782</v>
      </c>
      <c r="I305" s="2901" t="s">
        <v>2783</v>
      </c>
      <c r="J305" s="2901" t="s">
        <v>2784</v>
      </c>
      <c r="K305" s="2901" t="s">
        <v>2785</v>
      </c>
      <c r="L305" s="2901" t="s">
        <v>2786</v>
      </c>
      <c r="M305" s="2901" t="s">
        <v>2787</v>
      </c>
      <c r="N305" s="2901" t="s">
        <v>2788</v>
      </c>
      <c r="O305" s="2901" t="s">
        <v>2789</v>
      </c>
      <c r="P305" s="2901" t="s">
        <v>2790</v>
      </c>
      <c r="Q305" s="2901" t="s">
        <v>2791</v>
      </c>
      <c r="R305" s="2901" t="s">
        <v>2792</v>
      </c>
      <c r="S305" s="2901" t="s">
        <v>2793</v>
      </c>
      <c r="T305" s="2901" t="s">
        <v>2794</v>
      </c>
      <c r="U305" s="2901" t="s">
        <v>2795</v>
      </c>
      <c r="V305" s="3395" t="s">
        <v>2796</v>
      </c>
      <c r="BE305" s="79"/>
      <c r="BF305" s="79"/>
      <c r="BZ305" s="80"/>
      <c r="CA305" s="80"/>
      <c r="CB305" s="80"/>
      <c r="CC305" s="80"/>
      <c r="CD305" s="80"/>
      <c r="CE305" s="80"/>
      <c r="CF305" s="80"/>
      <c r="CG305" s="80"/>
      <c r="CH305" s="80"/>
      <c r="CI305" s="80"/>
      <c r="CJ305" s="80"/>
      <c r="CK305" s="80"/>
      <c r="CL305" s="80"/>
      <c r="CM305" s="80"/>
      <c r="CN305" s="80"/>
      <c r="CO305" s="80"/>
      <c r="CP305" s="80"/>
      <c r="CQ305" s="80"/>
      <c r="CR305" s="80"/>
      <c r="CS305" s="80"/>
      <c r="CT305" s="80"/>
      <c r="CU305" s="80"/>
      <c r="CV305" s="80"/>
      <c r="CW305" s="80"/>
      <c r="CX305" s="80"/>
      <c r="CY305" s="80"/>
      <c r="CZ305" s="80"/>
      <c r="DA305" s="80"/>
    </row>
    <row r="306" spans="1:105" ht="18.75" customHeight="1" x14ac:dyDescent="0.2">
      <c r="A306" s="3009">
        <v>28022840</v>
      </c>
      <c r="B306" s="1004" t="s">
        <v>1542</v>
      </c>
      <c r="C306" s="3483" t="s">
        <v>2777</v>
      </c>
      <c r="D306" s="2901" t="s">
        <v>2778</v>
      </c>
      <c r="E306" s="2901" t="s">
        <v>2779</v>
      </c>
      <c r="F306" s="2901" t="s">
        <v>2780</v>
      </c>
      <c r="G306" s="2901" t="s">
        <v>2781</v>
      </c>
      <c r="H306" s="2901" t="s">
        <v>2782</v>
      </c>
      <c r="I306" s="2901" t="s">
        <v>2783</v>
      </c>
      <c r="J306" s="2901" t="s">
        <v>2784</v>
      </c>
      <c r="K306" s="2901" t="s">
        <v>2785</v>
      </c>
      <c r="L306" s="2901" t="s">
        <v>2786</v>
      </c>
      <c r="M306" s="2901" t="s">
        <v>2787</v>
      </c>
      <c r="N306" s="2901" t="s">
        <v>2788</v>
      </c>
      <c r="O306" s="2901" t="s">
        <v>2789</v>
      </c>
      <c r="P306" s="2901" t="s">
        <v>2790</v>
      </c>
      <c r="Q306" s="2901" t="s">
        <v>2791</v>
      </c>
      <c r="R306" s="2901" t="s">
        <v>2792</v>
      </c>
      <c r="S306" s="2901" t="s">
        <v>2793</v>
      </c>
      <c r="T306" s="2901" t="s">
        <v>2794</v>
      </c>
      <c r="U306" s="2901" t="s">
        <v>2795</v>
      </c>
      <c r="V306" s="3395" t="s">
        <v>2796</v>
      </c>
      <c r="BE306" s="79"/>
      <c r="BF306" s="79"/>
      <c r="BZ306" s="80"/>
      <c r="CA306" s="80"/>
      <c r="CB306" s="80"/>
      <c r="CC306" s="80"/>
      <c r="CD306" s="80"/>
      <c r="CE306" s="80"/>
      <c r="CF306" s="80"/>
      <c r="CG306" s="80"/>
      <c r="CH306" s="80"/>
      <c r="CI306" s="80"/>
      <c r="CJ306" s="80"/>
      <c r="CK306" s="80"/>
      <c r="CL306" s="80"/>
      <c r="CM306" s="80"/>
      <c r="CN306" s="80"/>
      <c r="CO306" s="80"/>
      <c r="CP306" s="80"/>
      <c r="CQ306" s="80"/>
      <c r="CR306" s="80"/>
      <c r="CS306" s="80"/>
      <c r="CT306" s="80"/>
      <c r="CU306" s="80"/>
      <c r="CV306" s="80"/>
      <c r="CW306" s="80"/>
      <c r="CX306" s="80"/>
      <c r="CY306" s="80"/>
      <c r="CZ306" s="80"/>
      <c r="DA306" s="80"/>
    </row>
    <row r="307" spans="1:105" ht="18.75" customHeight="1" x14ac:dyDescent="0.2">
      <c r="A307" s="3009">
        <v>28022850</v>
      </c>
      <c r="B307" s="1004" t="s">
        <v>2732</v>
      </c>
      <c r="C307" s="3483" t="s">
        <v>2777</v>
      </c>
      <c r="D307" s="2901" t="s">
        <v>2778</v>
      </c>
      <c r="E307" s="2901" t="s">
        <v>2779</v>
      </c>
      <c r="F307" s="2901" t="s">
        <v>2780</v>
      </c>
      <c r="G307" s="2901" t="s">
        <v>2781</v>
      </c>
      <c r="H307" s="2901" t="s">
        <v>2782</v>
      </c>
      <c r="I307" s="2901" t="s">
        <v>2783</v>
      </c>
      <c r="J307" s="2901" t="s">
        <v>2784</v>
      </c>
      <c r="K307" s="2901" t="s">
        <v>2785</v>
      </c>
      <c r="L307" s="2901" t="s">
        <v>2786</v>
      </c>
      <c r="M307" s="2901" t="s">
        <v>2787</v>
      </c>
      <c r="N307" s="2901" t="s">
        <v>2788</v>
      </c>
      <c r="O307" s="2901" t="s">
        <v>2789</v>
      </c>
      <c r="P307" s="2901" t="s">
        <v>2790</v>
      </c>
      <c r="Q307" s="2901" t="s">
        <v>2791</v>
      </c>
      <c r="R307" s="2901" t="s">
        <v>2792</v>
      </c>
      <c r="S307" s="2901" t="s">
        <v>2793</v>
      </c>
      <c r="T307" s="2901" t="s">
        <v>2794</v>
      </c>
      <c r="U307" s="2901" t="s">
        <v>2795</v>
      </c>
      <c r="V307" s="3395" t="s">
        <v>2796</v>
      </c>
      <c r="BZ307" s="80"/>
      <c r="CA307" s="80"/>
      <c r="CB307" s="80"/>
      <c r="CC307" s="80"/>
      <c r="CD307" s="80"/>
      <c r="CE307" s="80"/>
      <c r="CF307" s="80"/>
      <c r="CG307" s="80"/>
      <c r="CH307" s="80"/>
      <c r="CI307" s="80"/>
      <c r="CJ307" s="80"/>
      <c r="CK307" s="80"/>
      <c r="CL307" s="80"/>
      <c r="CM307" s="80"/>
      <c r="CN307" s="80"/>
      <c r="CO307" s="80"/>
      <c r="CP307" s="80"/>
      <c r="CQ307" s="80"/>
      <c r="CR307" s="80"/>
      <c r="CS307" s="80"/>
      <c r="CT307" s="80"/>
      <c r="CU307" s="80"/>
      <c r="CV307" s="80"/>
      <c r="CW307" s="80"/>
      <c r="CX307" s="80"/>
      <c r="CY307" s="80"/>
      <c r="CZ307" s="80"/>
      <c r="DA307" s="80"/>
    </row>
    <row r="308" spans="1:105" ht="18.75" customHeight="1" x14ac:dyDescent="0.2">
      <c r="A308" s="3009">
        <v>28022860</v>
      </c>
      <c r="B308" s="1004" t="s">
        <v>1543</v>
      </c>
      <c r="C308" s="3483" t="s">
        <v>2777</v>
      </c>
      <c r="D308" s="2901" t="s">
        <v>2778</v>
      </c>
      <c r="E308" s="2901" t="s">
        <v>2779</v>
      </c>
      <c r="F308" s="2901" t="s">
        <v>2780</v>
      </c>
      <c r="G308" s="2901" t="s">
        <v>2781</v>
      </c>
      <c r="H308" s="2901" t="s">
        <v>2782</v>
      </c>
      <c r="I308" s="2901" t="s">
        <v>2783</v>
      </c>
      <c r="J308" s="2901" t="s">
        <v>2784</v>
      </c>
      <c r="K308" s="2901" t="s">
        <v>2785</v>
      </c>
      <c r="L308" s="2901" t="s">
        <v>2786</v>
      </c>
      <c r="M308" s="2901" t="s">
        <v>2787</v>
      </c>
      <c r="N308" s="2901" t="s">
        <v>2788</v>
      </c>
      <c r="O308" s="2901" t="s">
        <v>2789</v>
      </c>
      <c r="P308" s="2901" t="s">
        <v>2790</v>
      </c>
      <c r="Q308" s="2901" t="s">
        <v>2791</v>
      </c>
      <c r="R308" s="2901" t="s">
        <v>2792</v>
      </c>
      <c r="S308" s="2901" t="s">
        <v>2793</v>
      </c>
      <c r="T308" s="2901" t="s">
        <v>2794</v>
      </c>
      <c r="U308" s="2901" t="s">
        <v>2795</v>
      </c>
      <c r="V308" s="3395" t="s">
        <v>2796</v>
      </c>
      <c r="BZ308" s="80"/>
      <c r="CA308" s="80"/>
      <c r="CB308" s="80"/>
      <c r="CC308" s="80"/>
      <c r="CD308" s="80"/>
      <c r="CE308" s="80"/>
      <c r="CF308" s="80"/>
      <c r="CG308" s="80"/>
      <c r="CH308" s="80"/>
      <c r="CI308" s="80"/>
      <c r="CJ308" s="80"/>
      <c r="CK308" s="80"/>
      <c r="CL308" s="80"/>
      <c r="CM308" s="80"/>
      <c r="CN308" s="80"/>
      <c r="CO308" s="80"/>
      <c r="CP308" s="80"/>
      <c r="CQ308" s="80"/>
      <c r="CR308" s="80"/>
      <c r="CS308" s="80"/>
      <c r="CT308" s="80"/>
      <c r="CU308" s="80"/>
      <c r="CV308" s="80"/>
      <c r="CW308" s="80"/>
      <c r="CX308" s="80"/>
      <c r="CY308" s="80"/>
      <c r="CZ308" s="80"/>
      <c r="DA308" s="80"/>
    </row>
    <row r="309" spans="1:105" ht="18.75" customHeight="1" x14ac:dyDescent="0.2">
      <c r="A309" s="3009">
        <v>28022870</v>
      </c>
      <c r="B309" s="1004" t="s">
        <v>1597</v>
      </c>
      <c r="C309" s="3483" t="s">
        <v>2777</v>
      </c>
      <c r="D309" s="2901" t="s">
        <v>2778</v>
      </c>
      <c r="E309" s="2901" t="s">
        <v>2779</v>
      </c>
      <c r="F309" s="2901" t="s">
        <v>2780</v>
      </c>
      <c r="G309" s="2901" t="s">
        <v>2781</v>
      </c>
      <c r="H309" s="2901" t="s">
        <v>2782</v>
      </c>
      <c r="I309" s="2901" t="s">
        <v>2783</v>
      </c>
      <c r="J309" s="2901" t="s">
        <v>2784</v>
      </c>
      <c r="K309" s="2901" t="s">
        <v>2785</v>
      </c>
      <c r="L309" s="2901" t="s">
        <v>2786</v>
      </c>
      <c r="M309" s="2901" t="s">
        <v>2787</v>
      </c>
      <c r="N309" s="2901" t="s">
        <v>2788</v>
      </c>
      <c r="O309" s="2901" t="s">
        <v>2789</v>
      </c>
      <c r="P309" s="2901" t="s">
        <v>2790</v>
      </c>
      <c r="Q309" s="2901" t="s">
        <v>2791</v>
      </c>
      <c r="R309" s="2901" t="s">
        <v>2792</v>
      </c>
      <c r="S309" s="2901" t="s">
        <v>2793</v>
      </c>
      <c r="T309" s="2901" t="s">
        <v>2794</v>
      </c>
      <c r="U309" s="2901" t="s">
        <v>2795</v>
      </c>
      <c r="V309" s="3395" t="s">
        <v>2796</v>
      </c>
      <c r="BZ309" s="80"/>
      <c r="CA309" s="80"/>
      <c r="CB309" s="80"/>
      <c r="CC309" s="80"/>
      <c r="CD309" s="80"/>
      <c r="CE309" s="80"/>
      <c r="CF309" s="80"/>
      <c r="CG309" s="80"/>
      <c r="CH309" s="80"/>
      <c r="CI309" s="80"/>
      <c r="CJ309" s="80"/>
      <c r="CK309" s="80"/>
      <c r="CL309" s="80"/>
      <c r="CM309" s="80"/>
      <c r="CN309" s="80"/>
      <c r="CO309" s="80"/>
      <c r="CP309" s="80"/>
      <c r="CQ309" s="80"/>
      <c r="CR309" s="80"/>
      <c r="CS309" s="80"/>
      <c r="CT309" s="80"/>
      <c r="CU309" s="80"/>
      <c r="CV309" s="80"/>
      <c r="CW309" s="80"/>
      <c r="CX309" s="80"/>
      <c r="CY309" s="80"/>
      <c r="CZ309" s="80"/>
      <c r="DA309" s="80"/>
    </row>
    <row r="310" spans="1:105" ht="18.75" customHeight="1" x14ac:dyDescent="0.2">
      <c r="A310" s="3009">
        <v>28022880</v>
      </c>
      <c r="B310" s="1004" t="s">
        <v>1544</v>
      </c>
      <c r="C310" s="3483" t="s">
        <v>2777</v>
      </c>
      <c r="D310" s="2901" t="s">
        <v>2778</v>
      </c>
      <c r="E310" s="2901" t="s">
        <v>2779</v>
      </c>
      <c r="F310" s="2901" t="s">
        <v>2780</v>
      </c>
      <c r="G310" s="2901" t="s">
        <v>2781</v>
      </c>
      <c r="H310" s="2901" t="s">
        <v>2782</v>
      </c>
      <c r="I310" s="2901" t="s">
        <v>2783</v>
      </c>
      <c r="J310" s="2901" t="s">
        <v>2784</v>
      </c>
      <c r="K310" s="2901" t="s">
        <v>2785</v>
      </c>
      <c r="L310" s="2901" t="s">
        <v>2786</v>
      </c>
      <c r="M310" s="2901" t="s">
        <v>2787</v>
      </c>
      <c r="N310" s="2901" t="s">
        <v>2788</v>
      </c>
      <c r="O310" s="2901" t="s">
        <v>2789</v>
      </c>
      <c r="P310" s="2901" t="s">
        <v>2790</v>
      </c>
      <c r="Q310" s="2901" t="s">
        <v>2791</v>
      </c>
      <c r="R310" s="2901" t="s">
        <v>2792</v>
      </c>
      <c r="S310" s="2901" t="s">
        <v>2793</v>
      </c>
      <c r="T310" s="2901" t="s">
        <v>2794</v>
      </c>
      <c r="U310" s="2901" t="s">
        <v>2795</v>
      </c>
      <c r="V310" s="3395" t="s">
        <v>2796</v>
      </c>
      <c r="BZ310" s="80"/>
      <c r="CA310" s="80"/>
      <c r="CB310" s="80"/>
      <c r="CC310" s="80"/>
      <c r="CD310" s="80"/>
      <c r="CE310" s="80"/>
      <c r="CF310" s="80"/>
      <c r="CG310" s="80"/>
      <c r="CH310" s="80"/>
      <c r="CI310" s="80"/>
      <c r="CJ310" s="80"/>
      <c r="CK310" s="80"/>
      <c r="CL310" s="80"/>
      <c r="CM310" s="80"/>
      <c r="CN310" s="80"/>
      <c r="CO310" s="80"/>
      <c r="CP310" s="80"/>
      <c r="CQ310" s="80"/>
      <c r="CR310" s="80"/>
      <c r="CS310" s="80"/>
      <c r="CT310" s="80"/>
      <c r="CU310" s="80"/>
      <c r="CV310" s="80"/>
      <c r="CW310" s="80"/>
      <c r="CX310" s="80"/>
      <c r="CY310" s="80"/>
      <c r="CZ310" s="80"/>
      <c r="DA310" s="80"/>
    </row>
    <row r="311" spans="1:105" ht="18.75" customHeight="1" x14ac:dyDescent="0.2">
      <c r="A311" s="3009">
        <v>28022890</v>
      </c>
      <c r="B311" s="1004" t="s">
        <v>1545</v>
      </c>
      <c r="C311" s="3483" t="s">
        <v>2777</v>
      </c>
      <c r="D311" s="2901" t="s">
        <v>2778</v>
      </c>
      <c r="E311" s="2901" t="s">
        <v>2779</v>
      </c>
      <c r="F311" s="2901" t="s">
        <v>2780</v>
      </c>
      <c r="G311" s="2901" t="s">
        <v>2781</v>
      </c>
      <c r="H311" s="2901" t="s">
        <v>2782</v>
      </c>
      <c r="I311" s="2901" t="s">
        <v>2783</v>
      </c>
      <c r="J311" s="2901" t="s">
        <v>2784</v>
      </c>
      <c r="K311" s="2901" t="s">
        <v>2785</v>
      </c>
      <c r="L311" s="2901" t="s">
        <v>2786</v>
      </c>
      <c r="M311" s="2901" t="s">
        <v>2787</v>
      </c>
      <c r="N311" s="2901" t="s">
        <v>2788</v>
      </c>
      <c r="O311" s="2901" t="s">
        <v>2789</v>
      </c>
      <c r="P311" s="2901" t="s">
        <v>2790</v>
      </c>
      <c r="Q311" s="2901" t="s">
        <v>2791</v>
      </c>
      <c r="R311" s="2901" t="s">
        <v>2792</v>
      </c>
      <c r="S311" s="2901" t="s">
        <v>2793</v>
      </c>
      <c r="T311" s="2901" t="s">
        <v>2794</v>
      </c>
      <c r="U311" s="2901" t="s">
        <v>2795</v>
      </c>
      <c r="V311" s="3395" t="s">
        <v>2796</v>
      </c>
      <c r="BZ311" s="80"/>
      <c r="CA311" s="80"/>
      <c r="CB311" s="80"/>
      <c r="CC311" s="80"/>
      <c r="CD311" s="80"/>
      <c r="CE311" s="80"/>
      <c r="CF311" s="80"/>
      <c r="CG311" s="80"/>
      <c r="CH311" s="80"/>
      <c r="CI311" s="80"/>
      <c r="CJ311" s="80"/>
      <c r="CK311" s="80"/>
      <c r="CL311" s="80"/>
      <c r="CM311" s="80"/>
      <c r="CN311" s="80"/>
      <c r="CO311" s="80"/>
      <c r="CP311" s="80"/>
      <c r="CQ311" s="80"/>
      <c r="CR311" s="80"/>
      <c r="CS311" s="80"/>
      <c r="CT311" s="80"/>
      <c r="CU311" s="80"/>
      <c r="CV311" s="80"/>
      <c r="CW311" s="80"/>
      <c r="CX311" s="80"/>
      <c r="CY311" s="80"/>
      <c r="CZ311" s="80"/>
      <c r="DA311" s="80"/>
    </row>
    <row r="312" spans="1:105" ht="18.75" customHeight="1" x14ac:dyDescent="0.2">
      <c r="A312" s="3009">
        <v>28022900</v>
      </c>
      <c r="B312" s="1004" t="s">
        <v>1546</v>
      </c>
      <c r="C312" s="3483" t="s">
        <v>2777</v>
      </c>
      <c r="D312" s="2901" t="s">
        <v>2778</v>
      </c>
      <c r="E312" s="2901" t="s">
        <v>2779</v>
      </c>
      <c r="F312" s="2901" t="s">
        <v>2780</v>
      </c>
      <c r="G312" s="2901" t="s">
        <v>2781</v>
      </c>
      <c r="H312" s="2901" t="s">
        <v>2782</v>
      </c>
      <c r="I312" s="2901" t="s">
        <v>2783</v>
      </c>
      <c r="J312" s="2901" t="s">
        <v>2784</v>
      </c>
      <c r="K312" s="2901" t="s">
        <v>2785</v>
      </c>
      <c r="L312" s="2901" t="s">
        <v>2786</v>
      </c>
      <c r="M312" s="2901" t="s">
        <v>2787</v>
      </c>
      <c r="N312" s="2901" t="s">
        <v>2788</v>
      </c>
      <c r="O312" s="2901" t="s">
        <v>2789</v>
      </c>
      <c r="P312" s="2901" t="s">
        <v>2790</v>
      </c>
      <c r="Q312" s="2901" t="s">
        <v>2791</v>
      </c>
      <c r="R312" s="2901" t="s">
        <v>2792</v>
      </c>
      <c r="S312" s="2901" t="s">
        <v>2793</v>
      </c>
      <c r="T312" s="2901" t="s">
        <v>2794</v>
      </c>
      <c r="U312" s="2901" t="s">
        <v>2795</v>
      </c>
      <c r="V312" s="3395" t="s">
        <v>2796</v>
      </c>
      <c r="BZ312" s="80"/>
      <c r="CA312" s="80"/>
      <c r="CB312" s="80"/>
      <c r="CC312" s="80"/>
      <c r="CD312" s="80"/>
      <c r="CE312" s="80"/>
      <c r="CF312" s="80"/>
      <c r="CG312" s="80"/>
      <c r="CH312" s="80"/>
      <c r="CI312" s="80"/>
      <c r="CJ312" s="80"/>
      <c r="CK312" s="80"/>
      <c r="CL312" s="80"/>
      <c r="CM312" s="80"/>
      <c r="CN312" s="80"/>
      <c r="CO312" s="80"/>
      <c r="CP312" s="80"/>
      <c r="CQ312" s="80"/>
      <c r="CR312" s="80"/>
      <c r="CS312" s="80"/>
      <c r="CT312" s="80"/>
      <c r="CU312" s="80"/>
      <c r="CV312" s="80"/>
      <c r="CW312" s="80"/>
      <c r="CX312" s="80"/>
      <c r="CY312" s="80"/>
      <c r="CZ312" s="80"/>
      <c r="DA312" s="80"/>
    </row>
    <row r="313" spans="1:105" ht="18.75" customHeight="1" x14ac:dyDescent="0.2">
      <c r="A313" s="3009">
        <v>28022910</v>
      </c>
      <c r="B313" s="1004" t="s">
        <v>1547</v>
      </c>
      <c r="C313" s="3483" t="s">
        <v>2777</v>
      </c>
      <c r="D313" s="2901" t="s">
        <v>2778</v>
      </c>
      <c r="E313" s="2901" t="s">
        <v>2779</v>
      </c>
      <c r="F313" s="2901" t="s">
        <v>2780</v>
      </c>
      <c r="G313" s="2901" t="s">
        <v>2781</v>
      </c>
      <c r="H313" s="2901" t="s">
        <v>2782</v>
      </c>
      <c r="I313" s="2901" t="s">
        <v>2783</v>
      </c>
      <c r="J313" s="2901" t="s">
        <v>2784</v>
      </c>
      <c r="K313" s="2901" t="s">
        <v>2785</v>
      </c>
      <c r="L313" s="2901" t="s">
        <v>2786</v>
      </c>
      <c r="M313" s="2901" t="s">
        <v>2787</v>
      </c>
      <c r="N313" s="2901" t="s">
        <v>2788</v>
      </c>
      <c r="O313" s="2901" t="s">
        <v>2789</v>
      </c>
      <c r="P313" s="2901" t="s">
        <v>2790</v>
      </c>
      <c r="Q313" s="2901" t="s">
        <v>2791</v>
      </c>
      <c r="R313" s="2901" t="s">
        <v>2792</v>
      </c>
      <c r="S313" s="2901" t="s">
        <v>2793</v>
      </c>
      <c r="T313" s="2901" t="s">
        <v>2794</v>
      </c>
      <c r="U313" s="2901" t="s">
        <v>2795</v>
      </c>
      <c r="V313" s="3395" t="s">
        <v>2796</v>
      </c>
      <c r="BZ313" s="80"/>
      <c r="CA313" s="80"/>
      <c r="CB313" s="80"/>
      <c r="CC313" s="80"/>
      <c r="CD313" s="80"/>
      <c r="CE313" s="80"/>
      <c r="CF313" s="80"/>
      <c r="CG313" s="80"/>
      <c r="CH313" s="80"/>
      <c r="CI313" s="80"/>
      <c r="CJ313" s="80"/>
      <c r="CK313" s="80"/>
      <c r="CL313" s="80"/>
      <c r="CM313" s="80"/>
      <c r="CN313" s="80"/>
      <c r="CO313" s="80"/>
      <c r="CP313" s="80"/>
      <c r="CQ313" s="80"/>
      <c r="CR313" s="80"/>
      <c r="CS313" s="80"/>
      <c r="CT313" s="80"/>
      <c r="CU313" s="80"/>
      <c r="CV313" s="80"/>
      <c r="CW313" s="80"/>
      <c r="CX313" s="80"/>
      <c r="CY313" s="80"/>
      <c r="CZ313" s="80"/>
      <c r="DA313" s="80"/>
    </row>
    <row r="314" spans="1:105" ht="18.75" customHeight="1" x14ac:dyDescent="0.2">
      <c r="A314" s="4679">
        <v>28101800</v>
      </c>
      <c r="B314" s="1293" t="s">
        <v>324</v>
      </c>
      <c r="C314" s="4735" t="s">
        <v>2777</v>
      </c>
      <c r="D314" s="3287" t="s">
        <v>2778</v>
      </c>
      <c r="E314" s="3287" t="s">
        <v>2779</v>
      </c>
      <c r="F314" s="3287" t="s">
        <v>2780</v>
      </c>
      <c r="G314" s="3287" t="s">
        <v>2781</v>
      </c>
      <c r="H314" s="3287" t="s">
        <v>2782</v>
      </c>
      <c r="I314" s="3287" t="s">
        <v>2783</v>
      </c>
      <c r="J314" s="3287" t="s">
        <v>2784</v>
      </c>
      <c r="K314" s="3287" t="s">
        <v>2785</v>
      </c>
      <c r="L314" s="3287" t="s">
        <v>2786</v>
      </c>
      <c r="M314" s="3287" t="s">
        <v>2787</v>
      </c>
      <c r="N314" s="3287" t="s">
        <v>2788</v>
      </c>
      <c r="O314" s="3287" t="s">
        <v>2789</v>
      </c>
      <c r="P314" s="3287" t="s">
        <v>2790</v>
      </c>
      <c r="Q314" s="3287" t="s">
        <v>2791</v>
      </c>
      <c r="R314" s="3287" t="s">
        <v>2792</v>
      </c>
      <c r="S314" s="3287" t="s">
        <v>2793</v>
      </c>
      <c r="T314" s="3287" t="s">
        <v>2794</v>
      </c>
      <c r="U314" s="3287" t="s">
        <v>2795</v>
      </c>
      <c r="V314" s="3406" t="s">
        <v>2796</v>
      </c>
      <c r="BZ314" s="80"/>
      <c r="CA314" s="80"/>
      <c r="CB314" s="80"/>
      <c r="CC314" s="80"/>
      <c r="CD314" s="80"/>
      <c r="CE314" s="80"/>
      <c r="CF314" s="80"/>
      <c r="CG314" s="80"/>
      <c r="CH314" s="80"/>
      <c r="CI314" s="80"/>
      <c r="CJ314" s="80"/>
      <c r="CK314" s="80"/>
      <c r="CL314" s="80"/>
      <c r="CM314" s="80"/>
      <c r="CN314" s="80"/>
      <c r="CO314" s="80"/>
      <c r="CP314" s="80"/>
      <c r="CQ314" s="80"/>
      <c r="CR314" s="80"/>
      <c r="CS314" s="80"/>
      <c r="CT314" s="80"/>
      <c r="CU314" s="80"/>
      <c r="CV314" s="80"/>
      <c r="CW314" s="80"/>
      <c r="CX314" s="80"/>
      <c r="CY314" s="80"/>
      <c r="CZ314" s="80"/>
      <c r="DA314" s="80"/>
    </row>
    <row r="315" spans="1:105" ht="18.75" customHeight="1" x14ac:dyDescent="0.2">
      <c r="A315" s="3009">
        <v>28022920</v>
      </c>
      <c r="B315" s="1008" t="s">
        <v>1497</v>
      </c>
      <c r="C315" s="4735" t="s">
        <v>2777</v>
      </c>
      <c r="D315" s="3287" t="s">
        <v>2778</v>
      </c>
      <c r="E315" s="3287" t="s">
        <v>2779</v>
      </c>
      <c r="F315" s="3287" t="s">
        <v>2780</v>
      </c>
      <c r="G315" s="3287" t="s">
        <v>2781</v>
      </c>
      <c r="H315" s="3287" t="s">
        <v>2782</v>
      </c>
      <c r="I315" s="3287" t="s">
        <v>2783</v>
      </c>
      <c r="J315" s="3287" t="s">
        <v>2784</v>
      </c>
      <c r="K315" s="3287" t="s">
        <v>2785</v>
      </c>
      <c r="L315" s="3287" t="s">
        <v>2786</v>
      </c>
      <c r="M315" s="3287" t="s">
        <v>2787</v>
      </c>
      <c r="N315" s="3287" t="s">
        <v>2788</v>
      </c>
      <c r="O315" s="3287" t="s">
        <v>2789</v>
      </c>
      <c r="P315" s="3287" t="s">
        <v>2790</v>
      </c>
      <c r="Q315" s="3287" t="s">
        <v>2791</v>
      </c>
      <c r="R315" s="3287" t="s">
        <v>2792</v>
      </c>
      <c r="S315" s="3287" t="s">
        <v>2793</v>
      </c>
      <c r="T315" s="3287" t="s">
        <v>2794</v>
      </c>
      <c r="U315" s="3287" t="s">
        <v>2795</v>
      </c>
      <c r="V315" s="3406" t="s">
        <v>2796</v>
      </c>
      <c r="BZ315" s="80"/>
      <c r="CA315" s="80"/>
      <c r="CB315" s="80"/>
      <c r="CC315" s="80"/>
      <c r="CD315" s="80"/>
      <c r="CE315" s="80"/>
      <c r="CF315" s="80"/>
      <c r="CG315" s="80"/>
      <c r="CH315" s="80"/>
      <c r="CI315" s="80"/>
      <c r="CJ315" s="80"/>
      <c r="CK315" s="80"/>
      <c r="CL315" s="80"/>
      <c r="CM315" s="80"/>
      <c r="CN315" s="80"/>
      <c r="CO315" s="80"/>
      <c r="CP315" s="80"/>
      <c r="CQ315" s="80"/>
      <c r="CR315" s="80"/>
      <c r="CS315" s="80"/>
      <c r="CT315" s="80"/>
      <c r="CU315" s="80"/>
      <c r="CV315" s="80"/>
      <c r="CW315" s="80"/>
      <c r="CX315" s="80"/>
      <c r="CY315" s="80"/>
      <c r="CZ315" s="80"/>
      <c r="DA315" s="80"/>
    </row>
    <row r="316" spans="1:105" ht="18.75" customHeight="1" x14ac:dyDescent="0.2">
      <c r="A316" s="3009">
        <v>28022930</v>
      </c>
      <c r="B316" s="1004" t="s">
        <v>1498</v>
      </c>
      <c r="C316" s="4735" t="s">
        <v>2777</v>
      </c>
      <c r="D316" s="2901" t="s">
        <v>2778</v>
      </c>
      <c r="E316" s="2901" t="s">
        <v>2779</v>
      </c>
      <c r="F316" s="2901" t="s">
        <v>2780</v>
      </c>
      <c r="G316" s="2901" t="s">
        <v>2781</v>
      </c>
      <c r="H316" s="2901" t="s">
        <v>2782</v>
      </c>
      <c r="I316" s="2901" t="s">
        <v>2783</v>
      </c>
      <c r="J316" s="2901" t="s">
        <v>2784</v>
      </c>
      <c r="K316" s="2901" t="s">
        <v>2785</v>
      </c>
      <c r="L316" s="2901" t="s">
        <v>2786</v>
      </c>
      <c r="M316" s="2901" t="s">
        <v>2787</v>
      </c>
      <c r="N316" s="2901" t="s">
        <v>2788</v>
      </c>
      <c r="O316" s="2901" t="s">
        <v>2789</v>
      </c>
      <c r="P316" s="2901" t="s">
        <v>2790</v>
      </c>
      <c r="Q316" s="2901" t="s">
        <v>2791</v>
      </c>
      <c r="R316" s="2901" t="s">
        <v>2792</v>
      </c>
      <c r="S316" s="2901" t="s">
        <v>2793</v>
      </c>
      <c r="T316" s="2901" t="s">
        <v>2794</v>
      </c>
      <c r="U316" s="2901" t="s">
        <v>2795</v>
      </c>
      <c r="V316" s="3395" t="s">
        <v>2796</v>
      </c>
      <c r="BZ316" s="80"/>
      <c r="CA316" s="80"/>
      <c r="CB316" s="80"/>
      <c r="CC316" s="80"/>
      <c r="CD316" s="80"/>
      <c r="CE316" s="80"/>
      <c r="CF316" s="80"/>
      <c r="CG316" s="80"/>
      <c r="CH316" s="80"/>
      <c r="CI316" s="80"/>
      <c r="CJ316" s="80"/>
      <c r="CK316" s="80"/>
      <c r="CL316" s="80"/>
      <c r="CM316" s="80"/>
      <c r="CN316" s="80"/>
      <c r="CO316" s="80"/>
      <c r="CP316" s="80"/>
      <c r="CQ316" s="80"/>
      <c r="CR316" s="80"/>
      <c r="CS316" s="80"/>
      <c r="CT316" s="80"/>
      <c r="CU316" s="80"/>
      <c r="CV316" s="80"/>
      <c r="CW316" s="80"/>
      <c r="CX316" s="80"/>
      <c r="CY316" s="80"/>
      <c r="CZ316" s="80"/>
      <c r="DA316" s="80"/>
    </row>
    <row r="317" spans="1:105" ht="18.75" customHeight="1" x14ac:dyDescent="0.2">
      <c r="A317" s="3009">
        <v>28022940</v>
      </c>
      <c r="B317" s="1004" t="s">
        <v>728</v>
      </c>
      <c r="C317" s="4735" t="s">
        <v>2777</v>
      </c>
      <c r="D317" s="2901" t="s">
        <v>2778</v>
      </c>
      <c r="E317" s="2901" t="s">
        <v>2779</v>
      </c>
      <c r="F317" s="2901" t="s">
        <v>2780</v>
      </c>
      <c r="G317" s="2901" t="s">
        <v>2781</v>
      </c>
      <c r="H317" s="2901" t="s">
        <v>2782</v>
      </c>
      <c r="I317" s="2901" t="s">
        <v>2783</v>
      </c>
      <c r="J317" s="2901" t="s">
        <v>2784</v>
      </c>
      <c r="K317" s="2901" t="s">
        <v>2785</v>
      </c>
      <c r="L317" s="2901" t="s">
        <v>2786</v>
      </c>
      <c r="M317" s="2901" t="s">
        <v>2787</v>
      </c>
      <c r="N317" s="2901" t="s">
        <v>2788</v>
      </c>
      <c r="O317" s="2901" t="s">
        <v>2789</v>
      </c>
      <c r="P317" s="2901" t="s">
        <v>2790</v>
      </c>
      <c r="Q317" s="2901" t="s">
        <v>2791</v>
      </c>
      <c r="R317" s="2901" t="s">
        <v>2792</v>
      </c>
      <c r="S317" s="2901" t="s">
        <v>2793</v>
      </c>
      <c r="T317" s="2901" t="s">
        <v>2794</v>
      </c>
      <c r="U317" s="2901" t="s">
        <v>2795</v>
      </c>
      <c r="V317" s="3395" t="s">
        <v>2796</v>
      </c>
      <c r="BZ317" s="80"/>
      <c r="CA317" s="80"/>
      <c r="CB317" s="80"/>
      <c r="CC317" s="80"/>
      <c r="CD317" s="80"/>
      <c r="CE317" s="80"/>
      <c r="CF317" s="80"/>
      <c r="CG317" s="80"/>
      <c r="CH317" s="80"/>
      <c r="CI317" s="80"/>
      <c r="CJ317" s="80"/>
      <c r="CK317" s="80"/>
      <c r="CL317" s="80"/>
      <c r="CM317" s="80"/>
      <c r="CN317" s="80"/>
      <c r="CO317" s="80"/>
      <c r="CP317" s="80"/>
      <c r="CQ317" s="80"/>
      <c r="CR317" s="80"/>
      <c r="CS317" s="80"/>
      <c r="CT317" s="80"/>
      <c r="CU317" s="80"/>
      <c r="CV317" s="80"/>
      <c r="CW317" s="80"/>
      <c r="CX317" s="80"/>
      <c r="CY317" s="80"/>
      <c r="CZ317" s="80"/>
      <c r="DA317" s="80"/>
    </row>
    <row r="318" spans="1:105" ht="18.75" customHeight="1" x14ac:dyDescent="0.2">
      <c r="A318" s="3009">
        <v>28022950</v>
      </c>
      <c r="B318" s="1004" t="s">
        <v>1030</v>
      </c>
      <c r="C318" s="4735" t="s">
        <v>2777</v>
      </c>
      <c r="D318" s="2901" t="s">
        <v>2778</v>
      </c>
      <c r="E318" s="2901" t="s">
        <v>2779</v>
      </c>
      <c r="F318" s="2901" t="s">
        <v>2780</v>
      </c>
      <c r="G318" s="2901" t="s">
        <v>2781</v>
      </c>
      <c r="H318" s="2901" t="s">
        <v>2782</v>
      </c>
      <c r="I318" s="2901" t="s">
        <v>2783</v>
      </c>
      <c r="J318" s="2901" t="s">
        <v>2784</v>
      </c>
      <c r="K318" s="2901" t="s">
        <v>2785</v>
      </c>
      <c r="L318" s="2901" t="s">
        <v>2786</v>
      </c>
      <c r="M318" s="2901" t="s">
        <v>2787</v>
      </c>
      <c r="N318" s="2901" t="s">
        <v>2788</v>
      </c>
      <c r="O318" s="2901" t="s">
        <v>2789</v>
      </c>
      <c r="P318" s="2901" t="s">
        <v>2790</v>
      </c>
      <c r="Q318" s="2901" t="s">
        <v>2791</v>
      </c>
      <c r="R318" s="2901" t="s">
        <v>2792</v>
      </c>
      <c r="S318" s="2901" t="s">
        <v>2793</v>
      </c>
      <c r="T318" s="2901" t="s">
        <v>2794</v>
      </c>
      <c r="U318" s="2901" t="s">
        <v>2795</v>
      </c>
      <c r="V318" s="3395" t="s">
        <v>2796</v>
      </c>
      <c r="BZ318" s="80"/>
      <c r="CA318" s="80"/>
      <c r="CB318" s="80"/>
      <c r="CC318" s="80"/>
      <c r="CD318" s="80"/>
      <c r="CE318" s="80"/>
      <c r="CF318" s="80"/>
      <c r="CG318" s="80"/>
      <c r="CH318" s="80"/>
      <c r="CI318" s="80"/>
      <c r="CJ318" s="80"/>
      <c r="CK318" s="80"/>
      <c r="CL318" s="80"/>
      <c r="CM318" s="80"/>
      <c r="CN318" s="80"/>
      <c r="CO318" s="80"/>
      <c r="CP318" s="80"/>
      <c r="CQ318" s="80"/>
      <c r="CR318" s="80"/>
      <c r="CS318" s="80"/>
      <c r="CT318" s="80"/>
      <c r="CU318" s="80"/>
      <c r="CV318" s="80"/>
      <c r="CW318" s="80"/>
      <c r="CX318" s="80"/>
      <c r="CY318" s="80"/>
      <c r="CZ318" s="80"/>
      <c r="DA318" s="80"/>
    </row>
    <row r="319" spans="1:105" ht="18.75" customHeight="1" x14ac:dyDescent="0.2">
      <c r="A319" s="3009">
        <v>28022960</v>
      </c>
      <c r="B319" s="1300" t="s">
        <v>1716</v>
      </c>
      <c r="C319" s="4735" t="s">
        <v>2777</v>
      </c>
      <c r="D319" s="2901" t="s">
        <v>2778</v>
      </c>
      <c r="E319" s="2901" t="s">
        <v>2779</v>
      </c>
      <c r="F319" s="2901" t="s">
        <v>2780</v>
      </c>
      <c r="G319" s="2901" t="s">
        <v>2781</v>
      </c>
      <c r="H319" s="2901" t="s">
        <v>2782</v>
      </c>
      <c r="I319" s="2901" t="s">
        <v>2783</v>
      </c>
      <c r="J319" s="2901" t="s">
        <v>2784</v>
      </c>
      <c r="K319" s="2901" t="s">
        <v>2785</v>
      </c>
      <c r="L319" s="2901" t="s">
        <v>2786</v>
      </c>
      <c r="M319" s="2901" t="s">
        <v>2787</v>
      </c>
      <c r="N319" s="2901" t="s">
        <v>2788</v>
      </c>
      <c r="O319" s="2901" t="s">
        <v>2789</v>
      </c>
      <c r="P319" s="2901" t="s">
        <v>2790</v>
      </c>
      <c r="Q319" s="2901" t="s">
        <v>2791</v>
      </c>
      <c r="R319" s="2901" t="s">
        <v>2792</v>
      </c>
      <c r="S319" s="2901" t="s">
        <v>2793</v>
      </c>
      <c r="T319" s="2901" t="s">
        <v>2794</v>
      </c>
      <c r="U319" s="2901" t="s">
        <v>2795</v>
      </c>
      <c r="V319" s="3395" t="s">
        <v>2796</v>
      </c>
      <c r="BZ319" s="80"/>
      <c r="CA319" s="80"/>
      <c r="CB319" s="80"/>
      <c r="CC319" s="80"/>
      <c r="CD319" s="80"/>
      <c r="CE319" s="80"/>
      <c r="CF319" s="80"/>
      <c r="CG319" s="80"/>
      <c r="CH319" s="80"/>
      <c r="CI319" s="80"/>
      <c r="CJ319" s="80"/>
      <c r="CK319" s="80"/>
      <c r="CL319" s="80"/>
      <c r="CM319" s="80"/>
      <c r="CN319" s="80"/>
      <c r="CO319" s="80"/>
      <c r="CP319" s="80"/>
      <c r="CQ319" s="80"/>
      <c r="CR319" s="80"/>
      <c r="CS319" s="80"/>
      <c r="CT319" s="80"/>
      <c r="CU319" s="80"/>
      <c r="CV319" s="80"/>
      <c r="CW319" s="80"/>
      <c r="CX319" s="80"/>
      <c r="CY319" s="80"/>
      <c r="CZ319" s="80"/>
      <c r="DA319" s="80"/>
    </row>
    <row r="320" spans="1:105" ht="18.75" customHeight="1" x14ac:dyDescent="0.2">
      <c r="A320" s="4679">
        <v>28101900</v>
      </c>
      <c r="B320" s="1300" t="s">
        <v>1709</v>
      </c>
      <c r="C320" s="4735" t="s">
        <v>2777</v>
      </c>
      <c r="D320" s="2901" t="s">
        <v>2778</v>
      </c>
      <c r="E320" s="2901" t="s">
        <v>2779</v>
      </c>
      <c r="F320" s="2901" t="s">
        <v>2780</v>
      </c>
      <c r="G320" s="2901" t="s">
        <v>2781</v>
      </c>
      <c r="H320" s="2901" t="s">
        <v>2782</v>
      </c>
      <c r="I320" s="2901" t="s">
        <v>2783</v>
      </c>
      <c r="J320" s="2901" t="s">
        <v>2784</v>
      </c>
      <c r="K320" s="2901" t="s">
        <v>2785</v>
      </c>
      <c r="L320" s="2901" t="s">
        <v>2786</v>
      </c>
      <c r="M320" s="2901" t="s">
        <v>2787</v>
      </c>
      <c r="N320" s="2901" t="s">
        <v>2788</v>
      </c>
      <c r="O320" s="2901" t="s">
        <v>2789</v>
      </c>
      <c r="P320" s="2901" t="s">
        <v>2790</v>
      </c>
      <c r="Q320" s="2901" t="s">
        <v>2791</v>
      </c>
      <c r="R320" s="2901" t="s">
        <v>2792</v>
      </c>
      <c r="S320" s="2901" t="s">
        <v>2793</v>
      </c>
      <c r="T320" s="2901" t="s">
        <v>2794</v>
      </c>
      <c r="U320" s="2901" t="s">
        <v>2795</v>
      </c>
      <c r="V320" s="3395" t="s">
        <v>2796</v>
      </c>
      <c r="BZ320" s="80"/>
      <c r="CA320" s="80"/>
      <c r="CB320" s="80"/>
      <c r="CC320" s="80"/>
      <c r="CD320" s="80"/>
      <c r="CE320" s="80"/>
      <c r="CF320" s="80"/>
      <c r="CG320" s="80"/>
      <c r="CH320" s="80"/>
      <c r="CI320" s="80"/>
      <c r="CJ320" s="80"/>
      <c r="CK320" s="80"/>
      <c r="CL320" s="80"/>
      <c r="CM320" s="80"/>
      <c r="CN320" s="80"/>
      <c r="CO320" s="80"/>
      <c r="CP320" s="80"/>
      <c r="CQ320" s="80"/>
      <c r="CR320" s="80"/>
      <c r="CS320" s="80"/>
      <c r="CT320" s="80"/>
      <c r="CU320" s="80"/>
      <c r="CV320" s="80"/>
      <c r="CW320" s="80"/>
      <c r="CX320" s="80"/>
      <c r="CY320" s="80"/>
      <c r="CZ320" s="80"/>
      <c r="DA320" s="80"/>
    </row>
    <row r="321" spans="1:105" ht="18.75" customHeight="1" x14ac:dyDescent="0.2">
      <c r="A321" s="3009">
        <v>28022970</v>
      </c>
      <c r="B321" s="1004" t="s">
        <v>1548</v>
      </c>
      <c r="C321" s="4735" t="s">
        <v>2777</v>
      </c>
      <c r="D321" s="2901" t="s">
        <v>2778</v>
      </c>
      <c r="E321" s="2901" t="s">
        <v>2779</v>
      </c>
      <c r="F321" s="2901" t="s">
        <v>2780</v>
      </c>
      <c r="G321" s="2901" t="s">
        <v>2781</v>
      </c>
      <c r="H321" s="2901" t="s">
        <v>2782</v>
      </c>
      <c r="I321" s="2901" t="s">
        <v>2783</v>
      </c>
      <c r="J321" s="2901" t="s">
        <v>2784</v>
      </c>
      <c r="K321" s="2901" t="s">
        <v>2785</v>
      </c>
      <c r="L321" s="2901" t="s">
        <v>2786</v>
      </c>
      <c r="M321" s="2901" t="s">
        <v>2787</v>
      </c>
      <c r="N321" s="2901" t="s">
        <v>2788</v>
      </c>
      <c r="O321" s="2901" t="s">
        <v>2789</v>
      </c>
      <c r="P321" s="2901" t="s">
        <v>2790</v>
      </c>
      <c r="Q321" s="2901" t="s">
        <v>2791</v>
      </c>
      <c r="R321" s="2901" t="s">
        <v>2792</v>
      </c>
      <c r="S321" s="2901" t="s">
        <v>2793</v>
      </c>
      <c r="T321" s="2901" t="s">
        <v>2794</v>
      </c>
      <c r="U321" s="2901" t="s">
        <v>2795</v>
      </c>
      <c r="V321" s="3395" t="s">
        <v>2796</v>
      </c>
      <c r="BZ321" s="80"/>
      <c r="CA321" s="80"/>
      <c r="CB321" s="80"/>
      <c r="CC321" s="80"/>
      <c r="CD321" s="80"/>
      <c r="CE321" s="80"/>
      <c r="CF321" s="80"/>
      <c r="CG321" s="80"/>
      <c r="CH321" s="80"/>
      <c r="CI321" s="80"/>
      <c r="CJ321" s="80"/>
      <c r="CK321" s="80"/>
      <c r="CL321" s="80"/>
      <c r="CM321" s="80"/>
      <c r="CN321" s="80"/>
      <c r="CO321" s="80"/>
      <c r="CP321" s="80"/>
      <c r="CQ321" s="80"/>
      <c r="CR321" s="80"/>
      <c r="CS321" s="80"/>
      <c r="CT321" s="80"/>
      <c r="CU321" s="80"/>
      <c r="CV321" s="80"/>
      <c r="CW321" s="80"/>
      <c r="CX321" s="80"/>
      <c r="CY321" s="80"/>
      <c r="CZ321" s="80"/>
      <c r="DA321" s="80"/>
    </row>
    <row r="322" spans="1:105" ht="18.75" customHeight="1" x14ac:dyDescent="0.2">
      <c r="A322" s="3009">
        <v>28022980</v>
      </c>
      <c r="B322" s="1004" t="s">
        <v>1549</v>
      </c>
      <c r="C322" s="4735" t="s">
        <v>2777</v>
      </c>
      <c r="D322" s="2901" t="s">
        <v>2778</v>
      </c>
      <c r="E322" s="2901" t="s">
        <v>2779</v>
      </c>
      <c r="F322" s="2901" t="s">
        <v>2780</v>
      </c>
      <c r="G322" s="2901" t="s">
        <v>2781</v>
      </c>
      <c r="H322" s="2901" t="s">
        <v>2782</v>
      </c>
      <c r="I322" s="2901" t="s">
        <v>2783</v>
      </c>
      <c r="J322" s="2901" t="s">
        <v>2784</v>
      </c>
      <c r="K322" s="2901" t="s">
        <v>2785</v>
      </c>
      <c r="L322" s="2901" t="s">
        <v>2786</v>
      </c>
      <c r="M322" s="2901" t="s">
        <v>2787</v>
      </c>
      <c r="N322" s="2901" t="s">
        <v>2788</v>
      </c>
      <c r="O322" s="2901" t="s">
        <v>2789</v>
      </c>
      <c r="P322" s="2901" t="s">
        <v>2790</v>
      </c>
      <c r="Q322" s="2901" t="s">
        <v>2791</v>
      </c>
      <c r="R322" s="2901" t="s">
        <v>2792</v>
      </c>
      <c r="S322" s="2901" t="s">
        <v>2793</v>
      </c>
      <c r="T322" s="2901" t="s">
        <v>2794</v>
      </c>
      <c r="U322" s="2901" t="s">
        <v>2795</v>
      </c>
      <c r="V322" s="3395" t="s">
        <v>2796</v>
      </c>
      <c r="BZ322" s="80"/>
      <c r="CA322" s="80"/>
      <c r="CB322" s="80"/>
      <c r="CC322" s="80"/>
      <c r="CD322" s="80"/>
      <c r="CE322" s="80"/>
      <c r="CF322" s="80"/>
      <c r="CG322" s="80"/>
      <c r="CH322" s="80"/>
      <c r="CI322" s="80"/>
      <c r="CJ322" s="80"/>
      <c r="CK322" s="80"/>
      <c r="CL322" s="80"/>
      <c r="CM322" s="80"/>
      <c r="CN322" s="80"/>
      <c r="CO322" s="80"/>
      <c r="CP322" s="80"/>
      <c r="CQ322" s="80"/>
      <c r="CR322" s="80"/>
      <c r="CS322" s="80"/>
      <c r="CT322" s="80"/>
      <c r="CU322" s="80"/>
      <c r="CV322" s="80"/>
      <c r="CW322" s="80"/>
      <c r="CX322" s="80"/>
      <c r="CY322" s="80"/>
      <c r="CZ322" s="80"/>
      <c r="DA322" s="80"/>
    </row>
    <row r="323" spans="1:105" ht="18.75" customHeight="1" x14ac:dyDescent="0.2">
      <c r="A323" s="3009">
        <v>28022990</v>
      </c>
      <c r="B323" s="1005" t="s">
        <v>1550</v>
      </c>
      <c r="C323" s="3493" t="s">
        <v>2777</v>
      </c>
      <c r="D323" s="2905" t="s">
        <v>2778</v>
      </c>
      <c r="E323" s="2905" t="s">
        <v>2779</v>
      </c>
      <c r="F323" s="2905" t="s">
        <v>2780</v>
      </c>
      <c r="G323" s="2905" t="s">
        <v>2781</v>
      </c>
      <c r="H323" s="2905" t="s">
        <v>2782</v>
      </c>
      <c r="I323" s="2905" t="s">
        <v>2783</v>
      </c>
      <c r="J323" s="2905" t="s">
        <v>2784</v>
      </c>
      <c r="K323" s="2905" t="s">
        <v>2785</v>
      </c>
      <c r="L323" s="2905" t="s">
        <v>2786</v>
      </c>
      <c r="M323" s="2905" t="s">
        <v>2787</v>
      </c>
      <c r="N323" s="2905" t="s">
        <v>2788</v>
      </c>
      <c r="O323" s="2905" t="s">
        <v>2789</v>
      </c>
      <c r="P323" s="2905" t="s">
        <v>2790</v>
      </c>
      <c r="Q323" s="2905" t="s">
        <v>2791</v>
      </c>
      <c r="R323" s="2905" t="s">
        <v>2792</v>
      </c>
      <c r="S323" s="2905" t="s">
        <v>2793</v>
      </c>
      <c r="T323" s="2905" t="s">
        <v>2794</v>
      </c>
      <c r="U323" s="2905" t="s">
        <v>2795</v>
      </c>
      <c r="V323" s="3421" t="s">
        <v>2796</v>
      </c>
      <c r="BZ323" s="80"/>
      <c r="CA323" s="80"/>
      <c r="CB323" s="80"/>
      <c r="CC323" s="80"/>
      <c r="CD323" s="80"/>
      <c r="CE323" s="80"/>
      <c r="CF323" s="80"/>
      <c r="CG323" s="80"/>
      <c r="CH323" s="80"/>
      <c r="CI323" s="80"/>
      <c r="CJ323" s="80"/>
      <c r="CK323" s="80"/>
      <c r="CL323" s="80"/>
      <c r="CM323" s="80"/>
      <c r="CN323" s="80"/>
      <c r="CO323" s="80"/>
      <c r="CP323" s="80"/>
      <c r="CQ323" s="80"/>
      <c r="CR323" s="80"/>
      <c r="CS323" s="80"/>
      <c r="CT323" s="80"/>
      <c r="CU323" s="80"/>
      <c r="CV323" s="80"/>
      <c r="CW323" s="80"/>
      <c r="CX323" s="80"/>
      <c r="CY323" s="80"/>
      <c r="CZ323" s="80"/>
      <c r="DA323" s="80"/>
    </row>
    <row r="324" spans="1:105" x14ac:dyDescent="0.2">
      <c r="BY324" s="79"/>
      <c r="CA324" s="889"/>
      <c r="DA324" s="80"/>
    </row>
    <row r="327" spans="1:105" x14ac:dyDescent="0.2">
      <c r="A327" s="80" t="s">
        <v>3740</v>
      </c>
    </row>
    <row r="328" spans="1:105" x14ac:dyDescent="0.2">
      <c r="A328" s="4677">
        <v>28022230</v>
      </c>
    </row>
    <row r="329" spans="1:105" x14ac:dyDescent="0.2">
      <c r="A329" s="4677">
        <v>28021623</v>
      </c>
    </row>
    <row r="330" spans="1:105" x14ac:dyDescent="0.2">
      <c r="A330" s="4677">
        <v>28022260</v>
      </c>
    </row>
    <row r="331" spans="1:105" x14ac:dyDescent="0.2">
      <c r="A331" s="4677">
        <v>28022270</v>
      </c>
    </row>
    <row r="332" spans="1:105" x14ac:dyDescent="0.2">
      <c r="A332" s="4677">
        <v>28022320</v>
      </c>
    </row>
    <row r="333" spans="1:105" x14ac:dyDescent="0.2">
      <c r="A333" s="4677">
        <v>28022330</v>
      </c>
    </row>
    <row r="334" spans="1:105" x14ac:dyDescent="0.2">
      <c r="A334" s="4677">
        <v>28020910</v>
      </c>
    </row>
    <row r="335" spans="1:105" x14ac:dyDescent="0.2">
      <c r="A335" s="4677">
        <v>28020920</v>
      </c>
    </row>
    <row r="336" spans="1:105" x14ac:dyDescent="0.2">
      <c r="A336" s="4677">
        <v>28021140</v>
      </c>
    </row>
    <row r="337" spans="1:1" x14ac:dyDescent="0.2">
      <c r="A337" s="4677">
        <v>28021450</v>
      </c>
    </row>
    <row r="338" spans="1:1" x14ac:dyDescent="0.2">
      <c r="A338" s="4677">
        <v>28022470</v>
      </c>
    </row>
    <row r="339" spans="1:1" x14ac:dyDescent="0.2">
      <c r="A339" s="4677">
        <v>28022480</v>
      </c>
    </row>
    <row r="340" spans="1:1" x14ac:dyDescent="0.2">
      <c r="A340" s="4677">
        <v>28022490</v>
      </c>
    </row>
    <row r="341" spans="1:1" x14ac:dyDescent="0.2">
      <c r="A341" s="4677">
        <v>28023000</v>
      </c>
    </row>
    <row r="342" spans="1:1" x14ac:dyDescent="0.2">
      <c r="A342" s="4677">
        <v>28023010</v>
      </c>
    </row>
    <row r="343" spans="1:1" x14ac:dyDescent="0.2">
      <c r="A343" s="4677">
        <v>28022780</v>
      </c>
    </row>
    <row r="345" spans="1:1" x14ac:dyDescent="0.2">
      <c r="A345" s="80" t="s">
        <v>3742</v>
      </c>
    </row>
    <row r="346" spans="1:1" x14ac:dyDescent="0.2">
      <c r="A346" s="4678">
        <v>28101010</v>
      </c>
    </row>
    <row r="347" spans="1:1" x14ac:dyDescent="0.2">
      <c r="A347" s="4678">
        <v>28101020</v>
      </c>
    </row>
    <row r="348" spans="1:1" x14ac:dyDescent="0.2">
      <c r="A348" s="4679">
        <v>28101030</v>
      </c>
    </row>
    <row r="349" spans="1:1" x14ac:dyDescent="0.2">
      <c r="A349" s="4679">
        <v>28101040</v>
      </c>
    </row>
    <row r="350" spans="1:1" x14ac:dyDescent="0.2">
      <c r="A350" s="4678">
        <v>28101050</v>
      </c>
    </row>
    <row r="351" spans="1:1" x14ac:dyDescent="0.2">
      <c r="A351" s="4678">
        <v>28101060</v>
      </c>
    </row>
    <row r="352" spans="1:1" x14ac:dyDescent="0.2">
      <c r="A352" s="4679">
        <v>28101070</v>
      </c>
    </row>
    <row r="353" spans="1:1" x14ac:dyDescent="0.2">
      <c r="A353" s="4679">
        <v>28101080</v>
      </c>
    </row>
    <row r="354" spans="1:1" x14ac:dyDescent="0.2">
      <c r="A354" s="4679">
        <v>28101090</v>
      </c>
    </row>
    <row r="355" spans="1:1" x14ac:dyDescent="0.2">
      <c r="A355" s="4679">
        <v>28101100</v>
      </c>
    </row>
    <row r="356" spans="1:1" x14ac:dyDescent="0.2">
      <c r="A356" s="4679">
        <v>28101200</v>
      </c>
    </row>
    <row r="357" spans="1:1" x14ac:dyDescent="0.2">
      <c r="A357" s="4679">
        <v>28101300</v>
      </c>
    </row>
    <row r="358" spans="1:1" x14ac:dyDescent="0.2">
      <c r="A358" s="4679">
        <v>28101400</v>
      </c>
    </row>
    <row r="359" spans="1:1" x14ac:dyDescent="0.2">
      <c r="A359" s="4679">
        <v>28101500</v>
      </c>
    </row>
    <row r="360" spans="1:1" x14ac:dyDescent="0.2">
      <c r="A360" s="4679">
        <v>28101600</v>
      </c>
    </row>
    <row r="361" spans="1:1" x14ac:dyDescent="0.2">
      <c r="A361" s="4679">
        <v>28101700</v>
      </c>
    </row>
    <row r="362" spans="1:1" x14ac:dyDescent="0.2">
      <c r="A362" s="4679">
        <v>28101800</v>
      </c>
    </row>
    <row r="363" spans="1:1" x14ac:dyDescent="0.2">
      <c r="A363" s="4679">
        <v>28101900</v>
      </c>
    </row>
    <row r="399" spans="1:105" ht="15" x14ac:dyDescent="0.25">
      <c r="A399" s="2388"/>
    </row>
    <row r="400" spans="1:105" s="2388" customFormat="1" ht="15" hidden="1" x14ac:dyDescent="0.25">
      <c r="A400" s="80"/>
      <c r="B400" s="2388" t="e">
        <f>SUM(C13:C26,E31:E56,C61:C65,C69:C72,C76:C79,C109:G109,C117:G117,C125:G125,D129:D130,E134:E135,C139:C141,D145:K160,C166:C198,C203:C208,C217,C224,C227:C229,C266,C272,C275,C300)</f>
        <v>#VALUE!</v>
      </c>
      <c r="C400" s="2388" t="e">
        <f>SUM(CH6:CU395)</f>
        <v>#VALUE!</v>
      </c>
      <c r="BZ400" s="2387"/>
      <c r="CA400" s="2387"/>
      <c r="CB400" s="2387"/>
      <c r="CC400" s="2387"/>
      <c r="CD400" s="2387"/>
      <c r="CE400" s="2387"/>
      <c r="CF400" s="2387"/>
      <c r="CG400" s="2387"/>
      <c r="CH400" s="2387"/>
      <c r="CI400" s="2387"/>
      <c r="CJ400" s="2387"/>
      <c r="CK400" s="2387"/>
      <c r="CL400" s="2387"/>
      <c r="CM400" s="2387"/>
      <c r="CN400" s="2387"/>
      <c r="CO400" s="2387"/>
      <c r="CP400" s="2387"/>
      <c r="CQ400" s="2387"/>
      <c r="CR400" s="2387"/>
      <c r="CS400" s="2387"/>
      <c r="CT400" s="2387"/>
      <c r="CU400" s="2387"/>
      <c r="CV400" s="2387"/>
      <c r="CW400" s="2387"/>
      <c r="CX400" s="2387"/>
      <c r="CY400" s="2387"/>
      <c r="CZ400" s="2387"/>
      <c r="DA400" s="2387"/>
    </row>
  </sheetData>
  <mergeCells count="151">
    <mergeCell ref="D274:V274"/>
    <mergeCell ref="D58:H58"/>
    <mergeCell ref="F163:AQ163"/>
    <mergeCell ref="J29:K29"/>
    <mergeCell ref="L29:M29"/>
    <mergeCell ref="N29:O29"/>
    <mergeCell ref="G59:G60"/>
    <mergeCell ref="L164:M164"/>
    <mergeCell ref="N164:O164"/>
    <mergeCell ref="X29:Y29"/>
    <mergeCell ref="C32:D32"/>
    <mergeCell ref="E28:E30"/>
    <mergeCell ref="AP29:AQ29"/>
    <mergeCell ref="AD29:AE29"/>
    <mergeCell ref="AF29:AG29"/>
    <mergeCell ref="AH29:AI29"/>
    <mergeCell ref="F29:G29"/>
    <mergeCell ref="H29:I29"/>
    <mergeCell ref="C53:D53"/>
    <mergeCell ref="C54:D54"/>
    <mergeCell ref="B55:D55"/>
    <mergeCell ref="B56:D56"/>
    <mergeCell ref="C33:D33"/>
    <mergeCell ref="J164:K164"/>
    <mergeCell ref="A11:A12"/>
    <mergeCell ref="B32:B54"/>
    <mergeCell ref="B299:B300"/>
    <mergeCell ref="D299:V299"/>
    <mergeCell ref="C58:C60"/>
    <mergeCell ref="B200:B202"/>
    <mergeCell ref="F164:G164"/>
    <mergeCell ref="H164:I164"/>
    <mergeCell ref="B269:B270"/>
    <mergeCell ref="C200:E201"/>
    <mergeCell ref="B163:B165"/>
    <mergeCell ref="C163:E164"/>
    <mergeCell ref="D127:D128"/>
    <mergeCell ref="B127:C128"/>
    <mergeCell ref="B130:C130"/>
    <mergeCell ref="D269:V269"/>
    <mergeCell ref="C269:C270"/>
    <mergeCell ref="E59:E60"/>
    <mergeCell ref="R29:S29"/>
    <mergeCell ref="T29:U29"/>
    <mergeCell ref="V29:W29"/>
    <mergeCell ref="P29:Q29"/>
    <mergeCell ref="C299:C300"/>
    <mergeCell ref="B274:B275"/>
    <mergeCell ref="AR10:AV10"/>
    <mergeCell ref="AU11:AU12"/>
    <mergeCell ref="AV11:AV12"/>
    <mergeCell ref="AB11:AC11"/>
    <mergeCell ref="AT11:AT12"/>
    <mergeCell ref="AS11:AS12"/>
    <mergeCell ref="AJ11:AK11"/>
    <mergeCell ref="B31:D31"/>
    <mergeCell ref="B28:B30"/>
    <mergeCell ref="AN29:AO29"/>
    <mergeCell ref="AJ29:AK29"/>
    <mergeCell ref="AL29:AM29"/>
    <mergeCell ref="AR28:AV28"/>
    <mergeCell ref="AU29:AU30"/>
    <mergeCell ref="AV29:AV30"/>
    <mergeCell ref="F28:AQ28"/>
    <mergeCell ref="Z29:AA29"/>
    <mergeCell ref="AB29:AC29"/>
    <mergeCell ref="AT29:AT30"/>
    <mergeCell ref="AR29:AR30"/>
    <mergeCell ref="AS29:AS30"/>
    <mergeCell ref="AR11:AR12"/>
    <mergeCell ref="AF11:AG11"/>
    <mergeCell ref="AH11:AI11"/>
    <mergeCell ref="AH164:AI164"/>
    <mergeCell ref="AR163:AT163"/>
    <mergeCell ref="AS164:AT164"/>
    <mergeCell ref="AR164:AR165"/>
    <mergeCell ref="AP164:AQ164"/>
    <mergeCell ref="AJ164:AK164"/>
    <mergeCell ref="AL164:AM164"/>
    <mergeCell ref="AN164:AO164"/>
    <mergeCell ref="B143:B144"/>
    <mergeCell ref="C143:C144"/>
    <mergeCell ref="D143:E143"/>
    <mergeCell ref="P164:Q164"/>
    <mergeCell ref="T164:U164"/>
    <mergeCell ref="AB164:AC164"/>
    <mergeCell ref="Z164:AA164"/>
    <mergeCell ref="V164:W164"/>
    <mergeCell ref="X164:Y164"/>
    <mergeCell ref="R164:S164"/>
    <mergeCell ref="B137:B138"/>
    <mergeCell ref="AD164:AE164"/>
    <mergeCell ref="AF164:AG164"/>
    <mergeCell ref="C52:D52"/>
    <mergeCell ref="C45:D45"/>
    <mergeCell ref="C39:D39"/>
    <mergeCell ref="C40:D40"/>
    <mergeCell ref="C41:D41"/>
    <mergeCell ref="C42:D42"/>
    <mergeCell ref="B154:B159"/>
    <mergeCell ref="F143:G143"/>
    <mergeCell ref="H143:I143"/>
    <mergeCell ref="L143:L144"/>
    <mergeCell ref="B149:B153"/>
    <mergeCell ref="B58:B60"/>
    <mergeCell ref="B145:B148"/>
    <mergeCell ref="J143:K143"/>
    <mergeCell ref="G137:G138"/>
    <mergeCell ref="I137:M137"/>
    <mergeCell ref="H137:H138"/>
    <mergeCell ref="C49:D49"/>
    <mergeCell ref="B132:D133"/>
    <mergeCell ref="C38:D38"/>
    <mergeCell ref="D59:D60"/>
    <mergeCell ref="C137:C138"/>
    <mergeCell ref="C44:D44"/>
    <mergeCell ref="C46:D46"/>
    <mergeCell ref="C47:D47"/>
    <mergeCell ref="C34:D34"/>
    <mergeCell ref="C35:D35"/>
    <mergeCell ref="C36:D36"/>
    <mergeCell ref="D137:F137"/>
    <mergeCell ref="E132:E133"/>
    <mergeCell ref="C50:D50"/>
    <mergeCell ref="C51:D51"/>
    <mergeCell ref="C48:D48"/>
    <mergeCell ref="E127:I127"/>
    <mergeCell ref="F59:F60"/>
    <mergeCell ref="H59:H60"/>
    <mergeCell ref="C37:D37"/>
    <mergeCell ref="C43:D43"/>
    <mergeCell ref="C28:D30"/>
    <mergeCell ref="AD11:AE11"/>
    <mergeCell ref="B6:O6"/>
    <mergeCell ref="B10:B12"/>
    <mergeCell ref="C10:E11"/>
    <mergeCell ref="F10:AQ10"/>
    <mergeCell ref="AL11:AM11"/>
    <mergeCell ref="AN11:AO11"/>
    <mergeCell ref="AP11:AQ11"/>
    <mergeCell ref="F11:G11"/>
    <mergeCell ref="H11:I11"/>
    <mergeCell ref="J11:K11"/>
    <mergeCell ref="L11:M11"/>
    <mergeCell ref="N11:O11"/>
    <mergeCell ref="X11:Y11"/>
    <mergeCell ref="Z11:AA11"/>
    <mergeCell ref="R11:S11"/>
    <mergeCell ref="T11:U11"/>
    <mergeCell ref="V11:W11"/>
    <mergeCell ref="P11:Q11"/>
  </mergeCells>
  <phoneticPr fontId="87" type="noConversion"/>
  <dataValidations count="1">
    <dataValidation operator="greaterThanOrEqual" allowBlank="1" showInputMessage="1" showErrorMessage="1" error="Valor no Permitido" sqref="B292:B296 B314 B265 B1:B5 A32:A37 A61:A65 A69:A73 A76:A80 A112:A117 A120:A125 A129:A130 A134:A135 D149:L159 A203:A209 A212:A216 A220:A223 A145:A160 A272 A328:A343 A315:A319 A321:A323 A301:A313 A276:A289 A232:A243 A349 A176:A180 A166:A174 A94:A108 A83:A92 A46:A56 A39:A44 A245:A263 A227:A229 A194:A198 A139:A141 A13:A26 A182:A190 A192" xr:uid="{00000000-0002-0000-1300-000000000000}"/>
  </dataValidations>
  <pageMargins left="0.7" right="0.7" top="0.75" bottom="0.75" header="0.3" footer="0.3"/>
  <pageSetup orientation="portrait" r:id="rId1"/>
  <extLst>
    <ext xmlns:mx="http://schemas.microsoft.com/office/mac/excel/2008/main" uri="{64002731-A6B0-56B0-2670-7721B7C09600}">
      <mx:PLV Mode="0" OnePage="0" WScale="0"/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Hoja21">
    <tabColor theme="0"/>
  </sheetPr>
  <dimension ref="A1:DA291"/>
  <sheetViews>
    <sheetView zoomScaleNormal="100" workbookViewId="0"/>
  </sheetViews>
  <sheetFormatPr baseColWidth="10" defaultColWidth="11.42578125" defaultRowHeight="15" x14ac:dyDescent="0.2"/>
  <cols>
    <col min="1" max="1" width="21.5703125" style="4712" customWidth="1"/>
    <col min="2" max="2" width="53.85546875" style="80" customWidth="1"/>
    <col min="3" max="3" width="40.42578125" style="80" customWidth="1"/>
    <col min="4" max="4" width="19.42578125" style="80" customWidth="1"/>
    <col min="5" max="5" width="14.42578125" style="80" customWidth="1"/>
    <col min="6" max="7" width="11.42578125" style="80"/>
    <col min="8" max="8" width="12.42578125" style="80" customWidth="1"/>
    <col min="9" max="13" width="11.42578125" style="80"/>
    <col min="14" max="14" width="12.28515625" style="80" customWidth="1"/>
    <col min="15" max="15" width="15" style="80" customWidth="1"/>
    <col min="16" max="16" width="13.85546875" style="80" customWidth="1"/>
    <col min="17" max="73" width="11.42578125" style="80"/>
    <col min="74" max="78" width="13.28515625" style="80" customWidth="1"/>
    <col min="79" max="79" width="12" style="79" customWidth="1"/>
    <col min="80" max="105" width="12" style="889" customWidth="1"/>
    <col min="106" max="106" width="12" style="80" customWidth="1"/>
    <col min="107" max="16384" width="11.42578125" style="80"/>
  </cols>
  <sheetData>
    <row r="1" spans="1:79" ht="16.350000000000001" customHeight="1" x14ac:dyDescent="0.2">
      <c r="B1" s="78" t="s">
        <v>910</v>
      </c>
      <c r="CA1" s="80"/>
    </row>
    <row r="2" spans="1:79" ht="16.350000000000001" customHeight="1" x14ac:dyDescent="0.2">
      <c r="B2" s="78" t="str">
        <f>CONCATENATE("COMUNA: ",NOMBRE!B2," - ","( ",NOMBRE!C2,NOMBRE!D2,NOMBRE!E2,NOMBRE!F2,NOMBRE!G2," )")</f>
        <v>COMUNA:  - (  )</v>
      </c>
      <c r="CA2" s="80"/>
    </row>
    <row r="3" spans="1:79" ht="16.350000000000001" customHeight="1" x14ac:dyDescent="0.2">
      <c r="B3" s="78" t="str">
        <f>CONCATENATE("ESTABLECIMIENTO/ESTRATEGIA: ",NOMBRE!B3," - ","( ",NOMBRE!C3,NOMBRE!D3,NOMBRE!E3,NOMBRE!F3,NOMBRE!G3,NOMBRE!H3," )")</f>
        <v>ESTABLECIMIENTO/ESTRATEGIA:  - (  )</v>
      </c>
      <c r="CA3" s="80"/>
    </row>
    <row r="4" spans="1:79" ht="16.350000000000001" customHeight="1" x14ac:dyDescent="0.2">
      <c r="B4" s="78" t="str">
        <f>CONCATENATE("MES: ",NOMBRE!B6," - ","( ",NOMBRE!C6,NOMBRE!D6," )")</f>
        <v>MES:  - (  )</v>
      </c>
      <c r="CA4" s="80"/>
    </row>
    <row r="5" spans="1:79" ht="16.350000000000001" customHeight="1" x14ac:dyDescent="0.2">
      <c r="B5" s="78" t="str">
        <f>CONCATENATE("AÑO: ",NOMBRE!B7)</f>
        <v>AÑO: 2020</v>
      </c>
      <c r="CA5" s="80"/>
    </row>
    <row r="6" spans="1:79" x14ac:dyDescent="0.2">
      <c r="B6" s="5148" t="s">
        <v>2742</v>
      </c>
      <c r="C6" s="5148"/>
      <c r="D6" s="5148"/>
      <c r="E6" s="5148"/>
      <c r="F6" s="5148"/>
      <c r="G6" s="5148"/>
      <c r="H6" s="5148"/>
      <c r="I6" s="5148"/>
      <c r="J6" s="5148"/>
      <c r="K6" s="5148"/>
      <c r="L6" s="5148"/>
      <c r="M6" s="5148"/>
      <c r="N6" s="5148"/>
      <c r="O6" s="5148"/>
      <c r="P6" s="5148"/>
      <c r="Q6" s="5148"/>
      <c r="R6" s="5148"/>
      <c r="S6" s="5148"/>
      <c r="T6" s="5148"/>
      <c r="U6" s="5148"/>
      <c r="CA6" s="80"/>
    </row>
    <row r="7" spans="1:79" x14ac:dyDescent="0.2">
      <c r="B7" s="85"/>
      <c r="C7" s="81"/>
      <c r="D7" s="81"/>
      <c r="E7" s="81"/>
      <c r="F7" s="81"/>
      <c r="G7" s="81"/>
      <c r="CA7" s="80"/>
    </row>
    <row r="8" spans="1:79" ht="32.1" customHeight="1" x14ac:dyDescent="0.2">
      <c r="B8" s="1497" t="s">
        <v>798</v>
      </c>
      <c r="C8" s="243"/>
      <c r="D8" s="327"/>
      <c r="E8" s="243"/>
      <c r="F8" s="243"/>
      <c r="G8" s="243"/>
      <c r="H8" s="243"/>
      <c r="I8" s="243"/>
      <c r="J8" s="243"/>
      <c r="K8" s="243"/>
      <c r="L8" s="243"/>
      <c r="M8" s="243"/>
      <c r="N8" s="243"/>
      <c r="O8" s="243"/>
      <c r="P8" s="243"/>
      <c r="Q8" s="243"/>
      <c r="R8" s="243"/>
      <c r="CA8" s="80"/>
    </row>
    <row r="9" spans="1:79" ht="52.5" customHeight="1" x14ac:dyDescent="0.2">
      <c r="A9" s="6790" t="s">
        <v>2775</v>
      </c>
      <c r="B9" s="6064" t="s">
        <v>646</v>
      </c>
      <c r="C9" s="5967"/>
      <c r="D9" s="5160" t="s">
        <v>42</v>
      </c>
      <c r="E9" s="6817"/>
      <c r="F9" s="6818"/>
      <c r="G9" s="6226" t="s">
        <v>854</v>
      </c>
      <c r="H9" s="6226"/>
      <c r="I9" s="6226" t="s">
        <v>319</v>
      </c>
      <c r="J9" s="6226"/>
      <c r="K9" s="6226" t="s">
        <v>855</v>
      </c>
      <c r="L9" s="6226"/>
      <c r="M9" s="6226" t="s">
        <v>730</v>
      </c>
      <c r="N9" s="5160"/>
      <c r="O9" s="6271" t="s">
        <v>3968</v>
      </c>
      <c r="P9" s="6271"/>
      <c r="Q9" s="6271" t="s">
        <v>3969</v>
      </c>
      <c r="R9" s="6271"/>
    </row>
    <row r="10" spans="1:79" ht="21" x14ac:dyDescent="0.2">
      <c r="A10" s="6790"/>
      <c r="B10" s="5856"/>
      <c r="C10" s="5878"/>
      <c r="D10" s="4756" t="s">
        <v>184</v>
      </c>
      <c r="E10" s="4754" t="s">
        <v>24</v>
      </c>
      <c r="F10" s="4754" t="s">
        <v>25</v>
      </c>
      <c r="G10" s="1598" t="s">
        <v>24</v>
      </c>
      <c r="H10" s="4775" t="s">
        <v>25</v>
      </c>
      <c r="I10" s="1598" t="s">
        <v>24</v>
      </c>
      <c r="J10" s="4775" t="s">
        <v>25</v>
      </c>
      <c r="K10" s="1598" t="s">
        <v>24</v>
      </c>
      <c r="L10" s="4775" t="s">
        <v>25</v>
      </c>
      <c r="M10" s="1598" t="s">
        <v>24</v>
      </c>
      <c r="N10" s="4740" t="s">
        <v>25</v>
      </c>
      <c r="O10" s="4768" t="s">
        <v>484</v>
      </c>
      <c r="P10" s="4768" t="s">
        <v>493</v>
      </c>
      <c r="Q10" s="4768" t="s">
        <v>484</v>
      </c>
      <c r="R10" s="4768" t="s">
        <v>493</v>
      </c>
    </row>
    <row r="11" spans="1:79" x14ac:dyDescent="0.2">
      <c r="A11" s="4717"/>
      <c r="B11" s="6800" t="s">
        <v>1226</v>
      </c>
      <c r="C11" s="6801"/>
      <c r="D11" s="2011"/>
      <c r="E11" s="2011"/>
      <c r="F11" s="2007"/>
      <c r="G11" s="2008"/>
      <c r="H11" s="2007"/>
      <c r="I11" s="2008"/>
      <c r="J11" s="2007"/>
      <c r="K11" s="2008"/>
      <c r="L11" s="2007"/>
      <c r="M11" s="2008"/>
      <c r="N11" s="2015"/>
      <c r="O11" s="4873"/>
      <c r="P11" s="4873"/>
      <c r="Q11" s="4874"/>
      <c r="R11" s="4874"/>
    </row>
    <row r="12" spans="1:79" x14ac:dyDescent="0.2">
      <c r="A12" s="4713">
        <v>29000000</v>
      </c>
      <c r="B12" s="6802" t="s">
        <v>3970</v>
      </c>
      <c r="C12" s="6803"/>
      <c r="D12" s="1945" t="s">
        <v>2777</v>
      </c>
      <c r="E12" s="1945" t="s">
        <v>2778</v>
      </c>
      <c r="F12" s="1945" t="s">
        <v>2779</v>
      </c>
      <c r="G12" s="137" t="s">
        <v>2780</v>
      </c>
      <c r="H12" s="1603" t="s">
        <v>2781</v>
      </c>
      <c r="I12" s="137" t="s">
        <v>2782</v>
      </c>
      <c r="J12" s="1603" t="s">
        <v>2783</v>
      </c>
      <c r="K12" s="137" t="s">
        <v>2784</v>
      </c>
      <c r="L12" s="1603" t="s">
        <v>2785</v>
      </c>
      <c r="M12" s="137" t="s">
        <v>2786</v>
      </c>
      <c r="N12" s="1603" t="s">
        <v>2787</v>
      </c>
      <c r="O12" s="112" t="s">
        <v>2788</v>
      </c>
      <c r="P12" s="112" t="s">
        <v>2789</v>
      </c>
      <c r="Q12" s="112" t="s">
        <v>2790</v>
      </c>
      <c r="R12" s="112" t="s">
        <v>2791</v>
      </c>
    </row>
    <row r="13" spans="1:79" x14ac:dyDescent="0.2">
      <c r="A13" s="4713">
        <v>29000001</v>
      </c>
      <c r="B13" s="5267" t="s">
        <v>1678</v>
      </c>
      <c r="C13" s="5268"/>
      <c r="D13" s="1945" t="s">
        <v>2777</v>
      </c>
      <c r="E13" s="1945" t="s">
        <v>2778</v>
      </c>
      <c r="F13" s="1945" t="s">
        <v>2779</v>
      </c>
      <c r="G13" s="137" t="s">
        <v>2780</v>
      </c>
      <c r="H13" s="1603" t="s">
        <v>2781</v>
      </c>
      <c r="I13" s="137" t="s">
        <v>2782</v>
      </c>
      <c r="J13" s="1603" t="s">
        <v>2783</v>
      </c>
      <c r="K13" s="137" t="s">
        <v>2784</v>
      </c>
      <c r="L13" s="1603" t="s">
        <v>2785</v>
      </c>
      <c r="M13" s="137" t="s">
        <v>2786</v>
      </c>
      <c r="N13" s="1603" t="s">
        <v>2787</v>
      </c>
      <c r="O13" s="112" t="s">
        <v>2788</v>
      </c>
      <c r="P13" s="112" t="s">
        <v>2789</v>
      </c>
      <c r="Q13" s="112" t="s">
        <v>2790</v>
      </c>
      <c r="R13" s="112" t="s">
        <v>2791</v>
      </c>
    </row>
    <row r="14" spans="1:79" x14ac:dyDescent="0.2">
      <c r="A14" s="4717"/>
      <c r="B14" s="6800" t="s">
        <v>1227</v>
      </c>
      <c r="C14" s="6801"/>
      <c r="D14" s="2008"/>
      <c r="E14" s="2010"/>
      <c r="F14" s="522"/>
      <c r="G14" s="2008"/>
      <c r="H14" s="2007"/>
      <c r="I14" s="2008"/>
      <c r="J14" s="2007"/>
      <c r="K14" s="2008"/>
      <c r="L14" s="2007"/>
      <c r="M14" s="3618"/>
      <c r="N14" s="3619"/>
      <c r="O14" s="3620"/>
      <c r="P14" s="3620"/>
      <c r="Q14" s="3620"/>
      <c r="R14" s="3621"/>
    </row>
    <row r="15" spans="1:79" x14ac:dyDescent="0.2">
      <c r="A15" s="4714" t="s">
        <v>3706</v>
      </c>
      <c r="B15" s="6180" t="s">
        <v>1348</v>
      </c>
      <c r="C15" s="6819"/>
      <c r="D15" s="1945" t="s">
        <v>2777</v>
      </c>
      <c r="E15" s="1945" t="s">
        <v>2778</v>
      </c>
      <c r="F15" s="1945" t="s">
        <v>2779</v>
      </c>
      <c r="G15" s="137" t="s">
        <v>2780</v>
      </c>
      <c r="H15" s="1603" t="s">
        <v>2781</v>
      </c>
      <c r="I15" s="137" t="s">
        <v>2782</v>
      </c>
      <c r="J15" s="1603" t="s">
        <v>2783</v>
      </c>
      <c r="K15" s="137" t="s">
        <v>2784</v>
      </c>
      <c r="L15" s="1603" t="s">
        <v>2785</v>
      </c>
      <c r="M15" s="2577" t="s">
        <v>2786</v>
      </c>
      <c r="N15" s="2975" t="s">
        <v>2787</v>
      </c>
      <c r="O15" s="4875" t="s">
        <v>2788</v>
      </c>
      <c r="P15" s="4875" t="s">
        <v>2789</v>
      </c>
      <c r="Q15" s="4875" t="s">
        <v>2790</v>
      </c>
      <c r="R15" s="4875" t="s">
        <v>2791</v>
      </c>
    </row>
    <row r="16" spans="1:79" x14ac:dyDescent="0.2">
      <c r="A16" s="4715" t="s">
        <v>3707</v>
      </c>
      <c r="B16" s="1747" t="s">
        <v>3971</v>
      </c>
      <c r="C16" s="316"/>
      <c r="D16" s="1945" t="s">
        <v>2777</v>
      </c>
      <c r="E16" s="1945" t="s">
        <v>2778</v>
      </c>
      <c r="F16" s="1945" t="s">
        <v>2779</v>
      </c>
      <c r="G16" s="137" t="s">
        <v>2780</v>
      </c>
      <c r="H16" s="1603" t="s">
        <v>2781</v>
      </c>
      <c r="I16" s="137" t="s">
        <v>2782</v>
      </c>
      <c r="J16" s="1603" t="s">
        <v>2783</v>
      </c>
      <c r="K16" s="137" t="s">
        <v>2784</v>
      </c>
      <c r="L16" s="1603" t="s">
        <v>2785</v>
      </c>
      <c r="M16" s="137" t="s">
        <v>2786</v>
      </c>
      <c r="N16" s="1603" t="s">
        <v>2787</v>
      </c>
      <c r="O16" s="4876" t="s">
        <v>2788</v>
      </c>
      <c r="P16" s="4876" t="s">
        <v>2789</v>
      </c>
      <c r="Q16" s="4876" t="s">
        <v>2790</v>
      </c>
      <c r="R16" s="4876" t="s">
        <v>2791</v>
      </c>
    </row>
    <row r="17" spans="1:84" x14ac:dyDescent="0.2">
      <c r="A17" s="4715">
        <v>29000070</v>
      </c>
      <c r="B17" s="4877" t="s">
        <v>2240</v>
      </c>
      <c r="C17" s="316"/>
      <c r="D17" s="1945" t="s">
        <v>2777</v>
      </c>
      <c r="E17" s="1945" t="s">
        <v>2778</v>
      </c>
      <c r="F17" s="1945" t="s">
        <v>2779</v>
      </c>
      <c r="G17" s="137" t="s">
        <v>2780</v>
      </c>
      <c r="H17" s="1603" t="s">
        <v>2781</v>
      </c>
      <c r="I17" s="137" t="s">
        <v>2782</v>
      </c>
      <c r="J17" s="1603" t="s">
        <v>2783</v>
      </c>
      <c r="K17" s="137" t="s">
        <v>2784</v>
      </c>
      <c r="L17" s="1603" t="s">
        <v>2785</v>
      </c>
      <c r="M17" s="137" t="s">
        <v>2786</v>
      </c>
      <c r="N17" s="1603" t="s">
        <v>2787</v>
      </c>
      <c r="O17" s="4876" t="s">
        <v>2788</v>
      </c>
      <c r="P17" s="4876" t="s">
        <v>2789</v>
      </c>
      <c r="Q17" s="4876" t="s">
        <v>2790</v>
      </c>
      <c r="R17" s="4876" t="s">
        <v>2791</v>
      </c>
    </row>
    <row r="18" spans="1:84" x14ac:dyDescent="0.2">
      <c r="A18" s="4715">
        <v>29000071</v>
      </c>
      <c r="B18" s="4877" t="s">
        <v>2747</v>
      </c>
      <c r="C18" s="316"/>
      <c r="D18" s="1945" t="s">
        <v>2777</v>
      </c>
      <c r="E18" s="1945" t="s">
        <v>2778</v>
      </c>
      <c r="F18" s="1945" t="s">
        <v>2779</v>
      </c>
      <c r="G18" s="137" t="s">
        <v>2780</v>
      </c>
      <c r="H18" s="1603" t="s">
        <v>2781</v>
      </c>
      <c r="I18" s="137" t="s">
        <v>2782</v>
      </c>
      <c r="J18" s="1603" t="s">
        <v>2783</v>
      </c>
      <c r="K18" s="137" t="s">
        <v>2784</v>
      </c>
      <c r="L18" s="1603" t="s">
        <v>2785</v>
      </c>
      <c r="M18" s="137" t="s">
        <v>2786</v>
      </c>
      <c r="N18" s="1603" t="s">
        <v>2787</v>
      </c>
      <c r="O18" s="4876" t="s">
        <v>2788</v>
      </c>
      <c r="P18" s="4876" t="s">
        <v>2789</v>
      </c>
      <c r="Q18" s="4876" t="s">
        <v>2790</v>
      </c>
      <c r="R18" s="4876" t="s">
        <v>2791</v>
      </c>
    </row>
    <row r="19" spans="1:84" x14ac:dyDescent="0.2">
      <c r="A19" s="4716">
        <v>29101010</v>
      </c>
      <c r="B19" s="4878" t="s">
        <v>1736</v>
      </c>
      <c r="C19" s="316"/>
      <c r="D19" s="1945" t="s">
        <v>2777</v>
      </c>
      <c r="E19" s="1945" t="s">
        <v>2778</v>
      </c>
      <c r="F19" s="1945" t="s">
        <v>2779</v>
      </c>
      <c r="G19" s="137" t="s">
        <v>2780</v>
      </c>
      <c r="H19" s="1603" t="s">
        <v>2781</v>
      </c>
      <c r="I19" s="137" t="s">
        <v>2782</v>
      </c>
      <c r="J19" s="1603" t="s">
        <v>2783</v>
      </c>
      <c r="K19" s="137" t="s">
        <v>2784</v>
      </c>
      <c r="L19" s="1603" t="s">
        <v>2785</v>
      </c>
      <c r="M19" s="137" t="s">
        <v>2786</v>
      </c>
      <c r="N19" s="1603" t="s">
        <v>2787</v>
      </c>
      <c r="O19" s="4876" t="s">
        <v>2788</v>
      </c>
      <c r="P19" s="4876" t="s">
        <v>2789</v>
      </c>
      <c r="Q19" s="4876" t="s">
        <v>2790</v>
      </c>
      <c r="R19" s="4876" t="s">
        <v>2791</v>
      </c>
    </row>
    <row r="20" spans="1:84" x14ac:dyDescent="0.2">
      <c r="A20" s="4716">
        <v>29101020</v>
      </c>
      <c r="B20" s="4879" t="s">
        <v>1737</v>
      </c>
      <c r="C20" s="1577"/>
      <c r="D20" s="1945" t="s">
        <v>2777</v>
      </c>
      <c r="E20" s="1945" t="s">
        <v>2778</v>
      </c>
      <c r="F20" s="1945" t="s">
        <v>2779</v>
      </c>
      <c r="G20" s="137" t="s">
        <v>2780</v>
      </c>
      <c r="H20" s="1603" t="s">
        <v>2781</v>
      </c>
      <c r="I20" s="137" t="s">
        <v>2782</v>
      </c>
      <c r="J20" s="1603" t="s">
        <v>2783</v>
      </c>
      <c r="K20" s="137" t="s">
        <v>2784</v>
      </c>
      <c r="L20" s="1603" t="s">
        <v>2785</v>
      </c>
      <c r="M20" s="137" t="s">
        <v>2786</v>
      </c>
      <c r="N20" s="1603" t="s">
        <v>2787</v>
      </c>
      <c r="O20" s="4880" t="s">
        <v>2788</v>
      </c>
      <c r="P20" s="4880" t="s">
        <v>2789</v>
      </c>
      <c r="Q20" s="4880" t="s">
        <v>2790</v>
      </c>
      <c r="R20" s="4880" t="s">
        <v>2791</v>
      </c>
    </row>
    <row r="21" spans="1:84" x14ac:dyDescent="0.2">
      <c r="A21" s="4717"/>
      <c r="B21" s="6820" t="s">
        <v>1228</v>
      </c>
      <c r="C21" s="6821"/>
      <c r="D21" s="2008"/>
      <c r="E21" s="2008"/>
      <c r="F21" s="2008"/>
      <c r="G21" s="2008"/>
      <c r="H21" s="2009"/>
      <c r="I21" s="2008"/>
      <c r="J21" s="2009"/>
      <c r="K21" s="2008"/>
      <c r="L21" s="2009"/>
      <c r="M21" s="2008"/>
      <c r="N21" s="2007"/>
      <c r="O21" s="3623"/>
      <c r="P21" s="3623"/>
      <c r="Q21" s="3623"/>
      <c r="R21" s="3624"/>
    </row>
    <row r="22" spans="1:84" x14ac:dyDescent="0.2">
      <c r="A22" s="4715" t="s">
        <v>3708</v>
      </c>
      <c r="B22" s="4881" t="s">
        <v>852</v>
      </c>
      <c r="C22" s="3979"/>
      <c r="D22" s="1945" t="s">
        <v>2777</v>
      </c>
      <c r="E22" s="1945" t="s">
        <v>2778</v>
      </c>
      <c r="F22" s="1945" t="s">
        <v>2779</v>
      </c>
      <c r="G22" s="137" t="s">
        <v>2780</v>
      </c>
      <c r="H22" s="1603" t="s">
        <v>2781</v>
      </c>
      <c r="I22" s="137" t="s">
        <v>2782</v>
      </c>
      <c r="J22" s="1603" t="s">
        <v>2783</v>
      </c>
      <c r="K22" s="137" t="s">
        <v>2784</v>
      </c>
      <c r="L22" s="1603" t="s">
        <v>2785</v>
      </c>
      <c r="M22" s="137" t="s">
        <v>2786</v>
      </c>
      <c r="N22" s="1603" t="s">
        <v>2787</v>
      </c>
      <c r="O22" s="4876" t="s">
        <v>2788</v>
      </c>
      <c r="P22" s="4876" t="s">
        <v>2789</v>
      </c>
      <c r="Q22" s="4876" t="s">
        <v>2790</v>
      </c>
      <c r="R22" s="4876" t="s">
        <v>2791</v>
      </c>
    </row>
    <row r="23" spans="1:84" x14ac:dyDescent="0.2">
      <c r="A23" s="4715" t="s">
        <v>3709</v>
      </c>
      <c r="B23" s="195" t="s">
        <v>853</v>
      </c>
      <c r="C23" s="4882"/>
      <c r="D23" s="1945" t="s">
        <v>2777</v>
      </c>
      <c r="E23" s="1945" t="s">
        <v>2778</v>
      </c>
      <c r="F23" s="1945" t="s">
        <v>2779</v>
      </c>
      <c r="G23" s="137" t="s">
        <v>2780</v>
      </c>
      <c r="H23" s="1603" t="s">
        <v>2781</v>
      </c>
      <c r="I23" s="137" t="s">
        <v>2782</v>
      </c>
      <c r="J23" s="1603" t="s">
        <v>2783</v>
      </c>
      <c r="K23" s="137" t="s">
        <v>2784</v>
      </c>
      <c r="L23" s="1603" t="s">
        <v>2785</v>
      </c>
      <c r="M23" s="137" t="s">
        <v>2786</v>
      </c>
      <c r="N23" s="1603" t="s">
        <v>2787</v>
      </c>
      <c r="O23" s="4876" t="s">
        <v>2788</v>
      </c>
      <c r="P23" s="4876" t="s">
        <v>2789</v>
      </c>
      <c r="Q23" s="4876" t="s">
        <v>2790</v>
      </c>
      <c r="R23" s="4876" t="s">
        <v>2791</v>
      </c>
    </row>
    <row r="24" spans="1:84" x14ac:dyDescent="0.2">
      <c r="A24" s="4717"/>
      <c r="B24" s="6822" t="s">
        <v>2239</v>
      </c>
      <c r="C24" s="6823"/>
      <c r="D24" s="3618"/>
      <c r="E24" s="3618"/>
      <c r="F24" s="3618"/>
      <c r="G24" s="3618"/>
      <c r="H24" s="3622"/>
      <c r="I24" s="3618"/>
      <c r="J24" s="3622"/>
      <c r="K24" s="3618"/>
      <c r="L24" s="3622"/>
      <c r="M24" s="3618"/>
      <c r="N24" s="3619"/>
      <c r="O24" s="3625"/>
      <c r="P24" s="3625"/>
      <c r="Q24" s="3625"/>
      <c r="R24" s="3626"/>
      <c r="S24" s="94"/>
      <c r="T24" s="94"/>
      <c r="U24" s="94"/>
      <c r="V24" s="94"/>
      <c r="W24" s="94"/>
      <c r="X24" s="94"/>
      <c r="Y24" s="94"/>
      <c r="Z24" s="94"/>
      <c r="AA24" s="94"/>
      <c r="AB24" s="94"/>
    </row>
    <row r="25" spans="1:84" ht="15" customHeight="1" x14ac:dyDescent="0.2">
      <c r="A25" s="4716">
        <v>29101030</v>
      </c>
      <c r="B25" s="6824" t="s">
        <v>2238</v>
      </c>
      <c r="C25" s="6825"/>
      <c r="D25" s="1945" t="s">
        <v>2777</v>
      </c>
      <c r="E25" s="1945" t="s">
        <v>2778</v>
      </c>
      <c r="F25" s="1945" t="s">
        <v>2779</v>
      </c>
      <c r="G25" s="137" t="s">
        <v>2780</v>
      </c>
      <c r="H25" s="1603" t="s">
        <v>2781</v>
      </c>
      <c r="I25" s="137" t="s">
        <v>2782</v>
      </c>
      <c r="J25" s="1603" t="s">
        <v>2783</v>
      </c>
      <c r="K25" s="137" t="s">
        <v>2784</v>
      </c>
      <c r="L25" s="1603" t="s">
        <v>2785</v>
      </c>
      <c r="M25" s="137" t="s">
        <v>2786</v>
      </c>
      <c r="N25" s="1603" t="s">
        <v>2787</v>
      </c>
      <c r="O25" s="4876" t="s">
        <v>2788</v>
      </c>
      <c r="P25" s="4876" t="s">
        <v>2789</v>
      </c>
      <c r="Q25" s="4876" t="s">
        <v>2790</v>
      </c>
      <c r="R25" s="4876" t="s">
        <v>2791</v>
      </c>
      <c r="S25" s="94"/>
      <c r="T25" s="94"/>
      <c r="U25" s="94"/>
      <c r="V25" s="94"/>
      <c r="W25" s="94"/>
      <c r="X25" s="94"/>
      <c r="Y25" s="94"/>
      <c r="Z25" s="94"/>
      <c r="AA25" s="94"/>
      <c r="AB25" s="94"/>
    </row>
    <row r="26" spans="1:84" ht="15" customHeight="1" x14ac:dyDescent="0.2">
      <c r="A26" s="4716">
        <v>29101040</v>
      </c>
      <c r="B26" s="6826" t="s">
        <v>1738</v>
      </c>
      <c r="C26" s="6827"/>
      <c r="D26" s="4883" t="s">
        <v>2777</v>
      </c>
      <c r="E26" s="4883" t="s">
        <v>2778</v>
      </c>
      <c r="F26" s="4883" t="s">
        <v>2779</v>
      </c>
      <c r="G26" s="4884" t="s">
        <v>2780</v>
      </c>
      <c r="H26" s="4885" t="s">
        <v>2781</v>
      </c>
      <c r="I26" s="4884" t="s">
        <v>2782</v>
      </c>
      <c r="J26" s="4885" t="s">
        <v>2783</v>
      </c>
      <c r="K26" s="4884" t="s">
        <v>2784</v>
      </c>
      <c r="L26" s="4885" t="s">
        <v>2785</v>
      </c>
      <c r="M26" s="4884" t="s">
        <v>2786</v>
      </c>
      <c r="N26" s="4885" t="s">
        <v>2787</v>
      </c>
      <c r="O26" s="4886" t="s">
        <v>2788</v>
      </c>
      <c r="P26" s="4886" t="s">
        <v>2789</v>
      </c>
      <c r="Q26" s="4886" t="s">
        <v>2790</v>
      </c>
      <c r="R26" s="4886" t="s">
        <v>2791</v>
      </c>
      <c r="S26" s="94"/>
      <c r="T26" s="94"/>
      <c r="U26" s="94"/>
      <c r="V26" s="94"/>
      <c r="W26" s="94"/>
      <c r="X26" s="94"/>
      <c r="Y26" s="94"/>
      <c r="Z26" s="94"/>
      <c r="AA26" s="94"/>
      <c r="AB26" s="94"/>
    </row>
    <row r="27" spans="1:84" ht="32.1" customHeight="1" x14ac:dyDescent="0.2">
      <c r="B27" s="1337" t="s">
        <v>1244</v>
      </c>
      <c r="C27" s="2006"/>
      <c r="D27" s="154"/>
      <c r="E27" s="94"/>
      <c r="F27" s="94"/>
      <c r="G27" s="2005"/>
      <c r="H27" s="2005"/>
      <c r="I27" s="2005"/>
      <c r="J27" s="2005"/>
      <c r="K27" s="2005"/>
      <c r="L27" s="2005"/>
      <c r="M27" s="2005"/>
      <c r="N27" s="94"/>
      <c r="Q27" s="94"/>
      <c r="R27" s="94"/>
      <c r="S27" s="94"/>
      <c r="T27" s="94"/>
      <c r="U27" s="94"/>
      <c r="V27" s="94"/>
      <c r="W27" s="94"/>
      <c r="X27" s="94"/>
      <c r="Y27" s="94"/>
      <c r="Z27" s="94"/>
      <c r="AA27" s="94"/>
      <c r="AB27" s="94"/>
      <c r="AC27" s="94"/>
      <c r="AD27" s="94"/>
      <c r="CA27" s="80"/>
    </row>
    <row r="28" spans="1:84" ht="15" customHeight="1" x14ac:dyDescent="0.2">
      <c r="B28" s="6811" t="s">
        <v>857</v>
      </c>
      <c r="C28" s="6812"/>
      <c r="D28" s="6816" t="s">
        <v>42</v>
      </c>
      <c r="E28" s="6813" t="s">
        <v>1225</v>
      </c>
      <c r="F28" s="6814"/>
      <c r="G28" s="6814"/>
      <c r="H28" s="6814"/>
      <c r="I28" s="6814"/>
      <c r="J28" s="6814"/>
      <c r="K28" s="6814"/>
      <c r="L28" s="6814"/>
      <c r="M28" s="6815"/>
      <c r="N28" s="6804" t="s">
        <v>816</v>
      </c>
      <c r="O28" s="6805"/>
      <c r="P28" s="6806"/>
      <c r="Q28" s="94"/>
      <c r="R28" s="94"/>
      <c r="S28" s="94"/>
      <c r="T28" s="94"/>
      <c r="U28" s="94"/>
      <c r="V28" s="94"/>
      <c r="W28" s="94"/>
      <c r="X28" s="94"/>
      <c r="Y28" s="94"/>
      <c r="Z28" s="94"/>
      <c r="AA28" s="94"/>
      <c r="AB28" s="94"/>
      <c r="AC28" s="94"/>
      <c r="AD28" s="94"/>
      <c r="CA28" s="80"/>
    </row>
    <row r="29" spans="1:84" ht="23.25" customHeight="1" x14ac:dyDescent="0.2">
      <c r="B29" s="5501"/>
      <c r="C29" s="5502"/>
      <c r="D29" s="6667"/>
      <c r="E29" s="1598" t="s">
        <v>874</v>
      </c>
      <c r="F29" s="2004" t="s">
        <v>873</v>
      </c>
      <c r="G29" s="1695" t="s">
        <v>156</v>
      </c>
      <c r="H29" s="1695" t="s">
        <v>157</v>
      </c>
      <c r="I29" s="1695" t="s">
        <v>158</v>
      </c>
      <c r="J29" s="1695" t="s">
        <v>159</v>
      </c>
      <c r="K29" s="1695" t="s">
        <v>160</v>
      </c>
      <c r="L29" s="1695" t="s">
        <v>161</v>
      </c>
      <c r="M29" s="1872" t="s">
        <v>162</v>
      </c>
      <c r="N29" s="2003" t="s">
        <v>1349</v>
      </c>
      <c r="O29" s="2003" t="s">
        <v>1391</v>
      </c>
      <c r="P29" s="2003" t="s">
        <v>1392</v>
      </c>
      <c r="Q29" s="94"/>
      <c r="R29" s="94"/>
      <c r="S29" s="94"/>
      <c r="T29" s="94"/>
      <c r="U29" s="94"/>
      <c r="V29" s="94"/>
      <c r="W29" s="94"/>
      <c r="X29" s="94"/>
      <c r="Y29" s="94"/>
      <c r="Z29" s="94"/>
      <c r="AA29" s="94"/>
      <c r="AB29" s="94"/>
      <c r="AC29" s="94"/>
      <c r="AD29" s="94"/>
      <c r="CA29" s="80"/>
    </row>
    <row r="30" spans="1:84" x14ac:dyDescent="0.2">
      <c r="A30" s="4713">
        <v>29000007</v>
      </c>
      <c r="B30" s="6807" t="s">
        <v>799</v>
      </c>
      <c r="C30" s="1811" t="s">
        <v>800</v>
      </c>
      <c r="D30" s="2002" t="s">
        <v>2777</v>
      </c>
      <c r="E30" s="2001" t="s">
        <v>2778</v>
      </c>
      <c r="F30" s="2000" t="s">
        <v>2779</v>
      </c>
      <c r="G30" s="2000" t="s">
        <v>2780</v>
      </c>
      <c r="H30" s="2000" t="s">
        <v>2781</v>
      </c>
      <c r="I30" s="2000" t="s">
        <v>2782</v>
      </c>
      <c r="J30" s="2000" t="s">
        <v>2783</v>
      </c>
      <c r="K30" s="2000" t="s">
        <v>2784</v>
      </c>
      <c r="L30" s="2000" t="s">
        <v>2785</v>
      </c>
      <c r="M30" s="1999" t="s">
        <v>2786</v>
      </c>
      <c r="N30" s="1998" t="s">
        <v>2787</v>
      </c>
      <c r="O30" s="1998" t="s">
        <v>2788</v>
      </c>
      <c r="P30" s="1998" t="s">
        <v>2789</v>
      </c>
      <c r="Q30" s="94"/>
      <c r="R30" s="94"/>
      <c r="S30" s="94"/>
      <c r="T30" s="94"/>
      <c r="U30" s="94"/>
      <c r="V30" s="94"/>
      <c r="W30" s="94"/>
      <c r="X30" s="94"/>
      <c r="Y30" s="94"/>
      <c r="Z30" s="94"/>
      <c r="AA30" s="94"/>
      <c r="AB30" s="94"/>
      <c r="AC30" s="94"/>
      <c r="AD30" s="94"/>
      <c r="CA30" s="80"/>
      <c r="CE30" s="1020"/>
      <c r="CF30" s="1020"/>
    </row>
    <row r="31" spans="1:84" x14ac:dyDescent="0.2">
      <c r="A31" s="4713">
        <v>29000008</v>
      </c>
      <c r="B31" s="6808"/>
      <c r="C31" s="1997" t="s">
        <v>801</v>
      </c>
      <c r="D31" s="1997" t="s">
        <v>2777</v>
      </c>
      <c r="E31" s="1967" t="s">
        <v>2778</v>
      </c>
      <c r="F31" s="1966" t="s">
        <v>2779</v>
      </c>
      <c r="G31" s="1966" t="s">
        <v>2780</v>
      </c>
      <c r="H31" s="1966" t="s">
        <v>2781</v>
      </c>
      <c r="I31" s="1966" t="s">
        <v>2782</v>
      </c>
      <c r="J31" s="1966" t="s">
        <v>2783</v>
      </c>
      <c r="K31" s="1966" t="s">
        <v>2784</v>
      </c>
      <c r="L31" s="1966" t="s">
        <v>2785</v>
      </c>
      <c r="M31" s="1965" t="s">
        <v>2786</v>
      </c>
      <c r="N31" s="1977" t="s">
        <v>2787</v>
      </c>
      <c r="O31" s="1977" t="s">
        <v>2788</v>
      </c>
      <c r="P31" s="1977" t="s">
        <v>2789</v>
      </c>
      <c r="Q31" s="1165" t="str">
        <f>CB31</f>
        <v/>
      </c>
      <c r="R31" s="1085"/>
      <c r="S31" s="1085"/>
      <c r="T31" s="1085"/>
      <c r="U31" s="1085"/>
      <c r="V31" s="1085"/>
      <c r="W31" s="1085"/>
      <c r="X31" s="1085"/>
      <c r="Y31" s="1085"/>
      <c r="Z31" s="1085"/>
      <c r="AA31" s="1085"/>
      <c r="AB31" s="1085"/>
      <c r="AC31" s="94"/>
      <c r="AD31" s="94"/>
      <c r="CA31" s="80"/>
      <c r="CB31" s="1031" t="str">
        <f>IF(CE31=1,"* La Suma de Institucional, Compra al Sistema y Compra Extrasistema NO DEBE ser mayor al Total. ","")</f>
        <v/>
      </c>
      <c r="CE31" s="1163">
        <f>IF(D31&lt;SUM(N31:P31),1,0)</f>
        <v>0</v>
      </c>
      <c r="CF31" s="1020"/>
    </row>
    <row r="32" spans="1:84" x14ac:dyDescent="0.2">
      <c r="A32" s="4713">
        <v>29000009</v>
      </c>
      <c r="B32" s="6808"/>
      <c r="C32" s="615" t="s">
        <v>802</v>
      </c>
      <c r="D32" s="370" t="s">
        <v>2777</v>
      </c>
      <c r="E32" s="1976" t="s">
        <v>2778</v>
      </c>
      <c r="F32" s="1975" t="s">
        <v>2779</v>
      </c>
      <c r="G32" s="1975" t="s">
        <v>2780</v>
      </c>
      <c r="H32" s="1975" t="s">
        <v>2781</v>
      </c>
      <c r="I32" s="1975" t="s">
        <v>2782</v>
      </c>
      <c r="J32" s="1975" t="s">
        <v>2783</v>
      </c>
      <c r="K32" s="1975" t="s">
        <v>2784</v>
      </c>
      <c r="L32" s="1975" t="s">
        <v>2785</v>
      </c>
      <c r="M32" s="1974" t="s">
        <v>2786</v>
      </c>
      <c r="N32" s="1973" t="s">
        <v>2787</v>
      </c>
      <c r="O32" s="1973" t="s">
        <v>2788</v>
      </c>
      <c r="P32" s="1973" t="s">
        <v>2789</v>
      </c>
      <c r="Q32" s="94"/>
      <c r="R32" s="94"/>
      <c r="S32" s="94"/>
      <c r="T32" s="94"/>
      <c r="U32" s="94"/>
      <c r="V32" s="94"/>
      <c r="W32" s="94"/>
      <c r="X32" s="94"/>
      <c r="Y32" s="94"/>
      <c r="Z32" s="94"/>
      <c r="AA32" s="94"/>
      <c r="AB32" s="94"/>
      <c r="AC32" s="94"/>
      <c r="AD32" s="94"/>
      <c r="CA32" s="80"/>
      <c r="CB32" s="1031"/>
      <c r="CE32" s="1020"/>
      <c r="CF32" s="1020"/>
    </row>
    <row r="33" spans="1:84" x14ac:dyDescent="0.2">
      <c r="A33" s="4713">
        <v>29000010</v>
      </c>
      <c r="B33" s="6808"/>
      <c r="C33" s="310" t="s">
        <v>803</v>
      </c>
      <c r="D33" s="371" t="s">
        <v>2777</v>
      </c>
      <c r="E33" s="1956" t="s">
        <v>2778</v>
      </c>
      <c r="F33" s="1963" t="s">
        <v>2779</v>
      </c>
      <c r="G33" s="1963" t="s">
        <v>2780</v>
      </c>
      <c r="H33" s="1963" t="s">
        <v>2781</v>
      </c>
      <c r="I33" s="1963" t="s">
        <v>2782</v>
      </c>
      <c r="J33" s="1963" t="s">
        <v>2783</v>
      </c>
      <c r="K33" s="1963" t="s">
        <v>2784</v>
      </c>
      <c r="L33" s="1963" t="s">
        <v>2785</v>
      </c>
      <c r="M33" s="1962" t="s">
        <v>2786</v>
      </c>
      <c r="N33" s="1961" t="s">
        <v>2787</v>
      </c>
      <c r="O33" s="1961" t="s">
        <v>2788</v>
      </c>
      <c r="P33" s="1961" t="s">
        <v>2789</v>
      </c>
      <c r="Q33" s="94"/>
      <c r="R33" s="94"/>
      <c r="S33" s="94"/>
      <c r="T33" s="94"/>
      <c r="U33" s="94"/>
      <c r="V33" s="94"/>
      <c r="W33" s="94"/>
      <c r="X33" s="94"/>
      <c r="Y33" s="94"/>
      <c r="Z33" s="94"/>
      <c r="AA33" s="94"/>
      <c r="AB33" s="94"/>
      <c r="AC33" s="94"/>
      <c r="AD33" s="94"/>
      <c r="CA33" s="80"/>
      <c r="CB33" s="1031"/>
      <c r="CE33" s="1020"/>
      <c r="CF33" s="1020"/>
    </row>
    <row r="34" spans="1:84" x14ac:dyDescent="0.2">
      <c r="A34" s="4713">
        <v>29000011</v>
      </c>
      <c r="B34" s="6808"/>
      <c r="C34" s="310" t="s">
        <v>804</v>
      </c>
      <c r="D34" s="371" t="s">
        <v>2777</v>
      </c>
      <c r="E34" s="1996" t="s">
        <v>2778</v>
      </c>
      <c r="F34" s="1995" t="s">
        <v>2779</v>
      </c>
      <c r="G34" s="1995" t="s">
        <v>2780</v>
      </c>
      <c r="H34" s="1995" t="s">
        <v>2781</v>
      </c>
      <c r="I34" s="1995" t="s">
        <v>2782</v>
      </c>
      <c r="J34" s="1995" t="s">
        <v>2783</v>
      </c>
      <c r="K34" s="1995" t="s">
        <v>2784</v>
      </c>
      <c r="L34" s="1995" t="s">
        <v>2785</v>
      </c>
      <c r="M34" s="1994" t="s">
        <v>2786</v>
      </c>
      <c r="N34" s="1993" t="s">
        <v>2787</v>
      </c>
      <c r="O34" s="1993" t="s">
        <v>2788</v>
      </c>
      <c r="P34" s="1993" t="s">
        <v>2789</v>
      </c>
      <c r="Q34" s="94"/>
      <c r="R34" s="94"/>
      <c r="S34" s="94"/>
      <c r="T34" s="94"/>
      <c r="U34" s="94"/>
      <c r="V34" s="94"/>
      <c r="W34" s="94"/>
      <c r="X34" s="94"/>
      <c r="Y34" s="94"/>
      <c r="Z34" s="94"/>
      <c r="AA34" s="94"/>
      <c r="AB34" s="94"/>
      <c r="AC34" s="94"/>
      <c r="AD34" s="94"/>
      <c r="CA34" s="80"/>
      <c r="CB34" s="1031"/>
      <c r="CE34" s="1020"/>
      <c r="CF34" s="1020"/>
    </row>
    <row r="35" spans="1:84" x14ac:dyDescent="0.2">
      <c r="A35" s="4713">
        <v>29000012</v>
      </c>
      <c r="B35" s="6808"/>
      <c r="C35" s="310" t="s">
        <v>805</v>
      </c>
      <c r="D35" s="371" t="s">
        <v>2777</v>
      </c>
      <c r="E35" s="1984" t="s">
        <v>2778</v>
      </c>
      <c r="F35" s="1983" t="s">
        <v>2779</v>
      </c>
      <c r="G35" s="1983" t="s">
        <v>2780</v>
      </c>
      <c r="H35" s="1983" t="s">
        <v>2781</v>
      </c>
      <c r="I35" s="1983" t="s">
        <v>2782</v>
      </c>
      <c r="J35" s="1983" t="s">
        <v>2783</v>
      </c>
      <c r="K35" s="1983" t="s">
        <v>2784</v>
      </c>
      <c r="L35" s="1983" t="s">
        <v>2785</v>
      </c>
      <c r="M35" s="1982" t="s">
        <v>2786</v>
      </c>
      <c r="N35" s="1992" t="s">
        <v>2787</v>
      </c>
      <c r="O35" s="1992" t="s">
        <v>2788</v>
      </c>
      <c r="P35" s="1992" t="s">
        <v>2789</v>
      </c>
      <c r="Q35" s="94"/>
      <c r="R35" s="94"/>
      <c r="S35" s="94"/>
      <c r="T35" s="94"/>
      <c r="U35" s="94"/>
      <c r="V35" s="94"/>
      <c r="W35" s="94"/>
      <c r="X35" s="94"/>
      <c r="Y35" s="94"/>
      <c r="Z35" s="94"/>
      <c r="AA35" s="94"/>
      <c r="AB35" s="94"/>
      <c r="AC35" s="94"/>
      <c r="AD35" s="94"/>
      <c r="CA35" s="80"/>
      <c r="CB35" s="1031"/>
      <c r="CE35" s="1020"/>
      <c r="CF35" s="1020"/>
    </row>
    <row r="36" spans="1:84" x14ac:dyDescent="0.2">
      <c r="A36" s="4713">
        <v>29000013</v>
      </c>
      <c r="B36" s="6808"/>
      <c r="C36" s="310" t="s">
        <v>806</v>
      </c>
      <c r="D36" s="371" t="s">
        <v>2777</v>
      </c>
      <c r="E36" s="1956" t="s">
        <v>2778</v>
      </c>
      <c r="F36" s="1963" t="s">
        <v>2779</v>
      </c>
      <c r="G36" s="1963" t="s">
        <v>2780</v>
      </c>
      <c r="H36" s="1963" t="s">
        <v>2781</v>
      </c>
      <c r="I36" s="1963" t="s">
        <v>2782</v>
      </c>
      <c r="J36" s="1963" t="s">
        <v>2783</v>
      </c>
      <c r="K36" s="1963" t="s">
        <v>2784</v>
      </c>
      <c r="L36" s="1963" t="s">
        <v>2785</v>
      </c>
      <c r="M36" s="1962" t="s">
        <v>2786</v>
      </c>
      <c r="N36" s="1961" t="s">
        <v>2787</v>
      </c>
      <c r="O36" s="1961" t="s">
        <v>2788</v>
      </c>
      <c r="P36" s="1961" t="s">
        <v>2789</v>
      </c>
      <c r="Q36" s="94"/>
      <c r="R36" s="94"/>
      <c r="S36" s="94"/>
      <c r="T36" s="94"/>
      <c r="U36" s="94"/>
      <c r="V36" s="94"/>
      <c r="W36" s="94"/>
      <c r="X36" s="94"/>
      <c r="Y36" s="94"/>
      <c r="Z36" s="94"/>
      <c r="AA36" s="94"/>
      <c r="AB36" s="94"/>
      <c r="AC36" s="94"/>
      <c r="AD36" s="94"/>
      <c r="CA36" s="80"/>
      <c r="CB36" s="1031"/>
      <c r="CE36" s="1020"/>
      <c r="CF36" s="1020"/>
    </row>
    <row r="37" spans="1:84" x14ac:dyDescent="0.2">
      <c r="A37" s="4714">
        <v>29000048</v>
      </c>
      <c r="B37" s="6809"/>
      <c r="C37" s="310" t="s">
        <v>1388</v>
      </c>
      <c r="D37" s="371" t="s">
        <v>2777</v>
      </c>
      <c r="E37" s="1991" t="s">
        <v>2778</v>
      </c>
      <c r="F37" s="1970" t="s">
        <v>2779</v>
      </c>
      <c r="G37" s="1970" t="s">
        <v>2780</v>
      </c>
      <c r="H37" s="1970" t="s">
        <v>2781</v>
      </c>
      <c r="I37" s="1970" t="s">
        <v>2782</v>
      </c>
      <c r="J37" s="1970" t="s">
        <v>2783</v>
      </c>
      <c r="K37" s="1970" t="s">
        <v>2784</v>
      </c>
      <c r="L37" s="1970" t="s">
        <v>2785</v>
      </c>
      <c r="M37" s="1969" t="s">
        <v>2786</v>
      </c>
      <c r="N37" s="1968" t="s">
        <v>2787</v>
      </c>
      <c r="O37" s="1968" t="s">
        <v>2788</v>
      </c>
      <c r="P37" s="1968" t="s">
        <v>2789</v>
      </c>
      <c r="Q37" s="94"/>
      <c r="R37" s="94"/>
      <c r="S37" s="94"/>
      <c r="T37" s="94"/>
      <c r="U37" s="94"/>
      <c r="V37" s="94"/>
      <c r="W37" s="94"/>
      <c r="X37" s="94"/>
      <c r="Y37" s="94"/>
      <c r="Z37" s="94"/>
      <c r="AA37" s="94"/>
      <c r="AB37" s="94"/>
      <c r="AC37" s="94"/>
      <c r="AD37" s="94"/>
      <c r="CA37" s="80"/>
      <c r="CB37" s="1031"/>
      <c r="CE37" s="1020"/>
      <c r="CF37" s="1020"/>
    </row>
    <row r="38" spans="1:84" x14ac:dyDescent="0.2">
      <c r="A38" s="4713">
        <v>29000014</v>
      </c>
      <c r="B38" s="6792" t="s">
        <v>1209</v>
      </c>
      <c r="C38" s="1989" t="s">
        <v>800</v>
      </c>
      <c r="D38" s="1945" t="s">
        <v>2777</v>
      </c>
      <c r="E38" s="1976" t="s">
        <v>2778</v>
      </c>
      <c r="F38" s="1979" t="s">
        <v>2779</v>
      </c>
      <c r="G38" s="1979" t="s">
        <v>2780</v>
      </c>
      <c r="H38" s="1979" t="s">
        <v>2781</v>
      </c>
      <c r="I38" s="1979" t="s">
        <v>2782</v>
      </c>
      <c r="J38" s="1979" t="s">
        <v>2783</v>
      </c>
      <c r="K38" s="1979" t="s">
        <v>2784</v>
      </c>
      <c r="L38" s="1979" t="s">
        <v>2785</v>
      </c>
      <c r="M38" s="1978" t="s">
        <v>2786</v>
      </c>
      <c r="N38" s="1952" t="s">
        <v>2787</v>
      </c>
      <c r="O38" s="1952" t="s">
        <v>2788</v>
      </c>
      <c r="P38" s="1952" t="s">
        <v>2789</v>
      </c>
      <c r="Q38" s="94"/>
      <c r="R38" s="94"/>
      <c r="S38" s="94"/>
      <c r="T38" s="94"/>
      <c r="U38" s="94"/>
      <c r="V38" s="94"/>
      <c r="W38" s="94"/>
      <c r="X38" s="94"/>
      <c r="Y38" s="94"/>
      <c r="Z38" s="94"/>
      <c r="AA38" s="94"/>
      <c r="AB38" s="94"/>
      <c r="AC38" s="94"/>
      <c r="AD38" s="94"/>
      <c r="CA38" s="80"/>
      <c r="CB38" s="1031"/>
      <c r="CE38" s="1020"/>
      <c r="CF38" s="1020"/>
    </row>
    <row r="39" spans="1:84" x14ac:dyDescent="0.2">
      <c r="A39" s="4713">
        <v>29000015</v>
      </c>
      <c r="B39" s="6810"/>
      <c r="C39" s="615" t="s">
        <v>801</v>
      </c>
      <c r="D39" s="370" t="s">
        <v>2777</v>
      </c>
      <c r="E39" s="1956" t="s">
        <v>2778</v>
      </c>
      <c r="F39" s="1963" t="s">
        <v>2779</v>
      </c>
      <c r="G39" s="1963" t="s">
        <v>2780</v>
      </c>
      <c r="H39" s="1963" t="s">
        <v>2781</v>
      </c>
      <c r="I39" s="1963" t="s">
        <v>2782</v>
      </c>
      <c r="J39" s="1963" t="s">
        <v>2783</v>
      </c>
      <c r="K39" s="1963" t="s">
        <v>2784</v>
      </c>
      <c r="L39" s="1963" t="s">
        <v>2785</v>
      </c>
      <c r="M39" s="1962" t="s">
        <v>2786</v>
      </c>
      <c r="N39" s="1977" t="s">
        <v>2787</v>
      </c>
      <c r="O39" s="1977" t="s">
        <v>2788</v>
      </c>
      <c r="P39" s="1977" t="s">
        <v>2789</v>
      </c>
      <c r="Q39" s="1165" t="str">
        <f>CB39</f>
        <v/>
      </c>
      <c r="R39" s="1085"/>
      <c r="S39" s="1085"/>
      <c r="T39" s="1085"/>
      <c r="U39" s="1085"/>
      <c r="V39" s="1085"/>
      <c r="W39" s="1085"/>
      <c r="X39" s="1085"/>
      <c r="Y39" s="1085"/>
      <c r="Z39" s="1085"/>
      <c r="AA39" s="1085"/>
      <c r="AB39" s="1085"/>
      <c r="AC39" s="94"/>
      <c r="AD39" s="94"/>
      <c r="CA39" s="80"/>
      <c r="CB39" s="1031" t="str">
        <f>IF(CE39=1,"* La Suma de Institucional, Compra al Sistema y Compra Extrasistema NO DEBE ser mayor al Total. ","")</f>
        <v/>
      </c>
      <c r="CE39" s="1163">
        <f>IF(D39&lt;SUM(N39:P39),1,0)</f>
        <v>0</v>
      </c>
      <c r="CF39" s="1020"/>
    </row>
    <row r="40" spans="1:84" x14ac:dyDescent="0.2">
      <c r="A40" s="4713">
        <v>29000016</v>
      </c>
      <c r="B40" s="6793"/>
      <c r="C40" s="1990" t="s">
        <v>807</v>
      </c>
      <c r="D40" s="282" t="s">
        <v>2777</v>
      </c>
      <c r="E40" s="1951" t="s">
        <v>2778</v>
      </c>
      <c r="F40" s="1960" t="s">
        <v>2779</v>
      </c>
      <c r="G40" s="1960" t="s">
        <v>2780</v>
      </c>
      <c r="H40" s="1960" t="s">
        <v>2781</v>
      </c>
      <c r="I40" s="1960" t="s">
        <v>2782</v>
      </c>
      <c r="J40" s="1960" t="s">
        <v>2783</v>
      </c>
      <c r="K40" s="1960" t="s">
        <v>2784</v>
      </c>
      <c r="L40" s="1960" t="s">
        <v>2785</v>
      </c>
      <c r="M40" s="1959" t="s">
        <v>2786</v>
      </c>
      <c r="N40" s="1958" t="s">
        <v>2787</v>
      </c>
      <c r="O40" s="1958" t="s">
        <v>2788</v>
      </c>
      <c r="P40" s="1958" t="s">
        <v>2789</v>
      </c>
      <c r="Q40" s="94"/>
      <c r="R40" s="94"/>
      <c r="S40" s="94"/>
      <c r="T40" s="94"/>
      <c r="U40" s="94"/>
      <c r="V40" s="94"/>
      <c r="W40" s="94"/>
      <c r="X40" s="94"/>
      <c r="Y40" s="94"/>
      <c r="Z40" s="94"/>
      <c r="AA40" s="94"/>
      <c r="AB40" s="94"/>
      <c r="AC40" s="94"/>
      <c r="AD40" s="94"/>
      <c r="CA40" s="80"/>
      <c r="CB40" s="1031"/>
      <c r="CE40" s="1020"/>
      <c r="CF40" s="1020"/>
    </row>
    <row r="41" spans="1:84" x14ac:dyDescent="0.2">
      <c r="A41" s="4713">
        <v>29000017</v>
      </c>
      <c r="B41" s="6792" t="s">
        <v>1210</v>
      </c>
      <c r="C41" s="1989" t="s">
        <v>800</v>
      </c>
      <c r="D41" s="370" t="s">
        <v>2777</v>
      </c>
      <c r="E41" s="1980" t="s">
        <v>2778</v>
      </c>
      <c r="F41" s="1979" t="s">
        <v>2779</v>
      </c>
      <c r="G41" s="1979" t="s">
        <v>2780</v>
      </c>
      <c r="H41" s="1979" t="s">
        <v>2781</v>
      </c>
      <c r="I41" s="1979" t="s">
        <v>2782</v>
      </c>
      <c r="J41" s="1979" t="s">
        <v>2783</v>
      </c>
      <c r="K41" s="1979" t="s">
        <v>2784</v>
      </c>
      <c r="L41" s="1979" t="s">
        <v>2785</v>
      </c>
      <c r="M41" s="1978" t="s">
        <v>2786</v>
      </c>
      <c r="N41" s="1952" t="s">
        <v>2787</v>
      </c>
      <c r="O41" s="1952" t="s">
        <v>2788</v>
      </c>
      <c r="P41" s="1952" t="s">
        <v>2789</v>
      </c>
      <c r="Q41" s="94"/>
      <c r="R41" s="94"/>
      <c r="S41" s="94"/>
      <c r="T41" s="94"/>
      <c r="U41" s="94"/>
      <c r="V41" s="94"/>
      <c r="W41" s="94"/>
      <c r="X41" s="94"/>
      <c r="Y41" s="94"/>
      <c r="Z41" s="94"/>
      <c r="AA41" s="94"/>
      <c r="AB41" s="94"/>
      <c r="AC41" s="94"/>
      <c r="AD41" s="94"/>
      <c r="CA41" s="80"/>
      <c r="CB41" s="1031"/>
      <c r="CE41" s="1020"/>
      <c r="CF41" s="1020"/>
    </row>
    <row r="42" spans="1:84" x14ac:dyDescent="0.2">
      <c r="A42" s="4713">
        <v>29000018</v>
      </c>
      <c r="B42" s="6810"/>
      <c r="C42" s="320" t="s">
        <v>801</v>
      </c>
      <c r="D42" s="371" t="s">
        <v>2777</v>
      </c>
      <c r="E42" s="1956" t="s">
        <v>2778</v>
      </c>
      <c r="F42" s="1963" t="s">
        <v>2779</v>
      </c>
      <c r="G42" s="1963" t="s">
        <v>2780</v>
      </c>
      <c r="H42" s="1963" t="s">
        <v>2781</v>
      </c>
      <c r="I42" s="1963" t="s">
        <v>2782</v>
      </c>
      <c r="J42" s="1963" t="s">
        <v>2783</v>
      </c>
      <c r="K42" s="1963" t="s">
        <v>2784</v>
      </c>
      <c r="L42" s="1963" t="s">
        <v>2785</v>
      </c>
      <c r="M42" s="1962" t="s">
        <v>2786</v>
      </c>
      <c r="N42" s="1977" t="s">
        <v>2787</v>
      </c>
      <c r="O42" s="1977" t="s">
        <v>2788</v>
      </c>
      <c r="P42" s="1977" t="s">
        <v>2789</v>
      </c>
      <c r="Q42" s="1165" t="str">
        <f>CB42</f>
        <v/>
      </c>
      <c r="R42" s="1085"/>
      <c r="S42" s="1085"/>
      <c r="T42" s="1085"/>
      <c r="U42" s="1085"/>
      <c r="V42" s="1085"/>
      <c r="W42" s="1085"/>
      <c r="X42" s="1085"/>
      <c r="Y42" s="1085"/>
      <c r="Z42" s="1085"/>
      <c r="AA42" s="1085"/>
      <c r="AB42" s="1085"/>
      <c r="AC42" s="94"/>
      <c r="AD42" s="94"/>
      <c r="CA42" s="80"/>
      <c r="CB42" s="1031" t="str">
        <f>IF(CE42=1,"* La Suma de Institucional, Compra al Sistema y Compra Extrasistema NO DEBE ser mayor al Total. ","")</f>
        <v/>
      </c>
      <c r="CE42" s="1163">
        <f>IF(D42&lt;SUM(N42:P42),1,0)</f>
        <v>0</v>
      </c>
      <c r="CF42" s="1020"/>
    </row>
    <row r="43" spans="1:84" x14ac:dyDescent="0.2">
      <c r="A43" s="4713">
        <v>29000019</v>
      </c>
      <c r="B43" s="6793"/>
      <c r="C43" s="311" t="s">
        <v>808</v>
      </c>
      <c r="D43" s="1972" t="s">
        <v>2777</v>
      </c>
      <c r="E43" s="1951" t="s">
        <v>2778</v>
      </c>
      <c r="F43" s="1960" t="s">
        <v>2779</v>
      </c>
      <c r="G43" s="1960" t="s">
        <v>2780</v>
      </c>
      <c r="H43" s="1960" t="s">
        <v>2781</v>
      </c>
      <c r="I43" s="1960" t="s">
        <v>2782</v>
      </c>
      <c r="J43" s="1960" t="s">
        <v>2783</v>
      </c>
      <c r="K43" s="1960" t="s">
        <v>2784</v>
      </c>
      <c r="L43" s="1960" t="s">
        <v>2785</v>
      </c>
      <c r="M43" s="1959" t="s">
        <v>2786</v>
      </c>
      <c r="N43" s="1958" t="s">
        <v>2787</v>
      </c>
      <c r="O43" s="1958" t="s">
        <v>2788</v>
      </c>
      <c r="P43" s="1958" t="s">
        <v>2789</v>
      </c>
      <c r="Q43" s="94"/>
      <c r="R43" s="94"/>
      <c r="S43" s="94"/>
      <c r="T43" s="94"/>
      <c r="U43" s="94"/>
      <c r="V43" s="94"/>
      <c r="W43" s="94"/>
      <c r="X43" s="94"/>
      <c r="Y43" s="94"/>
      <c r="Z43" s="94"/>
      <c r="AA43" s="94"/>
      <c r="AB43" s="94"/>
      <c r="AC43" s="94"/>
      <c r="AD43" s="94"/>
      <c r="CA43" s="80"/>
      <c r="CB43" s="1031"/>
      <c r="CE43" s="1020"/>
      <c r="CF43" s="1020"/>
    </row>
    <row r="44" spans="1:84" x14ac:dyDescent="0.2">
      <c r="A44" s="4713">
        <v>29000020</v>
      </c>
      <c r="B44" s="6792" t="s">
        <v>809</v>
      </c>
      <c r="C44" s="1989" t="s">
        <v>800</v>
      </c>
      <c r="D44" s="1945" t="s">
        <v>2777</v>
      </c>
      <c r="E44" s="1988" t="s">
        <v>2778</v>
      </c>
      <c r="F44" s="1987" t="s">
        <v>2779</v>
      </c>
      <c r="G44" s="1987" t="s">
        <v>2780</v>
      </c>
      <c r="H44" s="1987" t="s">
        <v>2781</v>
      </c>
      <c r="I44" s="1987" t="s">
        <v>2782</v>
      </c>
      <c r="J44" s="1987" t="s">
        <v>2783</v>
      </c>
      <c r="K44" s="1987" t="s">
        <v>2784</v>
      </c>
      <c r="L44" s="1987" t="s">
        <v>2785</v>
      </c>
      <c r="M44" s="1986" t="s">
        <v>2786</v>
      </c>
      <c r="N44" s="1985" t="s">
        <v>2787</v>
      </c>
      <c r="O44" s="1985" t="s">
        <v>2788</v>
      </c>
      <c r="P44" s="1985" t="s">
        <v>2789</v>
      </c>
      <c r="Q44" s="94"/>
      <c r="R44" s="94"/>
      <c r="S44" s="94"/>
      <c r="T44" s="94"/>
      <c r="U44" s="94"/>
      <c r="V44" s="94"/>
      <c r="W44" s="94"/>
      <c r="X44" s="94"/>
      <c r="Y44" s="94"/>
      <c r="Z44" s="94"/>
      <c r="AA44" s="94"/>
      <c r="AB44" s="94"/>
      <c r="AC44" s="94"/>
      <c r="AD44" s="94"/>
      <c r="CA44" s="80"/>
      <c r="CB44" s="1031"/>
      <c r="CE44" s="1020"/>
      <c r="CF44" s="1020"/>
    </row>
    <row r="45" spans="1:84" x14ac:dyDescent="0.2">
      <c r="A45" s="4713">
        <v>29000021</v>
      </c>
      <c r="B45" s="6810"/>
      <c r="C45" s="615" t="s">
        <v>801</v>
      </c>
      <c r="D45" s="370" t="s">
        <v>2777</v>
      </c>
      <c r="E45" s="1984" t="s">
        <v>2778</v>
      </c>
      <c r="F45" s="1983" t="s">
        <v>2779</v>
      </c>
      <c r="G45" s="1983" t="s">
        <v>2780</v>
      </c>
      <c r="H45" s="1983" t="s">
        <v>2781</v>
      </c>
      <c r="I45" s="1983" t="s">
        <v>2782</v>
      </c>
      <c r="J45" s="1983" t="s">
        <v>2783</v>
      </c>
      <c r="K45" s="1983" t="s">
        <v>2784</v>
      </c>
      <c r="L45" s="1983" t="s">
        <v>2785</v>
      </c>
      <c r="M45" s="1982" t="s">
        <v>2786</v>
      </c>
      <c r="N45" s="1981" t="s">
        <v>2787</v>
      </c>
      <c r="O45" s="1981" t="s">
        <v>2788</v>
      </c>
      <c r="P45" s="1981" t="s">
        <v>2789</v>
      </c>
      <c r="Q45" s="1165" t="str">
        <f>CB45</f>
        <v/>
      </c>
      <c r="R45" s="1085"/>
      <c r="S45" s="1085"/>
      <c r="T45" s="1085"/>
      <c r="U45" s="1085"/>
      <c r="V45" s="1085"/>
      <c r="W45" s="1085"/>
      <c r="X45" s="1085"/>
      <c r="Y45" s="1085"/>
      <c r="Z45" s="1085"/>
      <c r="AA45" s="1085"/>
      <c r="AB45" s="1085"/>
      <c r="AC45" s="94"/>
      <c r="AD45" s="94"/>
      <c r="CA45" s="80"/>
      <c r="CB45" s="1031" t="str">
        <f>IF(CE45=1,"* La Suma de Institucional, Compra al Sistema y Compra Extrasistema NO DEBE ser mayor al Total. ","")</f>
        <v/>
      </c>
      <c r="CE45" s="1163">
        <f>IF(D45&lt;SUM(N45:P45),1,0)</f>
        <v>0</v>
      </c>
      <c r="CF45" s="1020"/>
    </row>
    <row r="46" spans="1:84" x14ac:dyDescent="0.2">
      <c r="A46" s="4713">
        <v>29000022</v>
      </c>
      <c r="B46" s="6810"/>
      <c r="C46" s="320" t="s">
        <v>810</v>
      </c>
      <c r="D46" s="371" t="s">
        <v>2777</v>
      </c>
      <c r="E46" s="1956" t="s">
        <v>2778</v>
      </c>
      <c r="F46" s="1963" t="s">
        <v>2779</v>
      </c>
      <c r="G46" s="1963" t="s">
        <v>2780</v>
      </c>
      <c r="H46" s="1963" t="s">
        <v>2781</v>
      </c>
      <c r="I46" s="1963" t="s">
        <v>2782</v>
      </c>
      <c r="J46" s="1963" t="s">
        <v>2783</v>
      </c>
      <c r="K46" s="1963" t="s">
        <v>2784</v>
      </c>
      <c r="L46" s="1963" t="s">
        <v>2785</v>
      </c>
      <c r="M46" s="1962" t="s">
        <v>2786</v>
      </c>
      <c r="N46" s="1961" t="s">
        <v>2787</v>
      </c>
      <c r="O46" s="1961" t="s">
        <v>2788</v>
      </c>
      <c r="P46" s="1961" t="s">
        <v>2789</v>
      </c>
      <c r="Q46" s="94"/>
      <c r="R46" s="94"/>
      <c r="S46" s="94"/>
      <c r="T46" s="94"/>
      <c r="U46" s="94"/>
      <c r="V46" s="94"/>
      <c r="W46" s="94"/>
      <c r="X46" s="94"/>
      <c r="Y46" s="94"/>
      <c r="Z46" s="94"/>
      <c r="AA46" s="94"/>
      <c r="AB46" s="94"/>
      <c r="AC46" s="94"/>
      <c r="AD46" s="94"/>
      <c r="CA46" s="80"/>
      <c r="CB46" s="1031"/>
      <c r="CE46" s="1020"/>
      <c r="CF46" s="1020"/>
    </row>
    <row r="47" spans="1:84" x14ac:dyDescent="0.2">
      <c r="A47" s="4713">
        <v>29000023</v>
      </c>
      <c r="B47" s="6810"/>
      <c r="C47" s="761" t="s">
        <v>807</v>
      </c>
      <c r="D47" s="371" t="s">
        <v>2777</v>
      </c>
      <c r="E47" s="1956" t="s">
        <v>2778</v>
      </c>
      <c r="F47" s="1963" t="s">
        <v>2779</v>
      </c>
      <c r="G47" s="1963" t="s">
        <v>2780</v>
      </c>
      <c r="H47" s="1963" t="s">
        <v>2781</v>
      </c>
      <c r="I47" s="1963" t="s">
        <v>2782</v>
      </c>
      <c r="J47" s="1963" t="s">
        <v>2783</v>
      </c>
      <c r="K47" s="1963" t="s">
        <v>2784</v>
      </c>
      <c r="L47" s="1963" t="s">
        <v>2785</v>
      </c>
      <c r="M47" s="1962" t="s">
        <v>2786</v>
      </c>
      <c r="N47" s="1961" t="s">
        <v>2787</v>
      </c>
      <c r="O47" s="1961" t="s">
        <v>2788</v>
      </c>
      <c r="P47" s="1961" t="s">
        <v>2789</v>
      </c>
      <c r="Q47" s="94"/>
      <c r="R47" s="94"/>
      <c r="S47" s="94"/>
      <c r="T47" s="94"/>
      <c r="U47" s="94"/>
      <c r="V47" s="94"/>
      <c r="W47" s="94"/>
      <c r="X47" s="94"/>
      <c r="Y47" s="94"/>
      <c r="Z47" s="94"/>
      <c r="AA47" s="94"/>
      <c r="AB47" s="94"/>
      <c r="AC47" s="94"/>
      <c r="AD47" s="94"/>
      <c r="CA47" s="80"/>
      <c r="CB47" s="1031"/>
      <c r="CE47" s="1020"/>
      <c r="CF47" s="1020"/>
    </row>
    <row r="48" spans="1:84" x14ac:dyDescent="0.2">
      <c r="A48" s="4713">
        <v>29000024</v>
      </c>
      <c r="B48" s="6810"/>
      <c r="C48" s="1874" t="s">
        <v>876</v>
      </c>
      <c r="D48" s="370" t="s">
        <v>2777</v>
      </c>
      <c r="E48" s="1976" t="s">
        <v>2778</v>
      </c>
      <c r="F48" s="1975" t="s">
        <v>2779</v>
      </c>
      <c r="G48" s="1975" t="s">
        <v>2780</v>
      </c>
      <c r="H48" s="1975" t="s">
        <v>2781</v>
      </c>
      <c r="I48" s="1975" t="s">
        <v>2782</v>
      </c>
      <c r="J48" s="1975" t="s">
        <v>2783</v>
      </c>
      <c r="K48" s="1975" t="s">
        <v>2784</v>
      </c>
      <c r="L48" s="1975" t="s">
        <v>2785</v>
      </c>
      <c r="M48" s="1974" t="s">
        <v>2786</v>
      </c>
      <c r="N48" s="1973" t="s">
        <v>2787</v>
      </c>
      <c r="O48" s="1973" t="s">
        <v>2788</v>
      </c>
      <c r="P48" s="1973" t="s">
        <v>2789</v>
      </c>
      <c r="Q48" s="94"/>
      <c r="R48" s="94"/>
      <c r="S48" s="94"/>
      <c r="T48" s="94"/>
      <c r="U48" s="94"/>
      <c r="V48" s="94"/>
      <c r="W48" s="94"/>
      <c r="X48" s="94"/>
      <c r="Y48" s="94"/>
      <c r="Z48" s="94"/>
      <c r="AA48" s="94"/>
      <c r="AB48" s="94"/>
      <c r="AC48" s="94"/>
      <c r="AD48" s="94"/>
      <c r="CA48" s="80"/>
      <c r="CB48" s="1031"/>
      <c r="CE48" s="1020"/>
      <c r="CF48" s="1020"/>
    </row>
    <row r="49" spans="1:84" x14ac:dyDescent="0.2">
      <c r="A49" s="4713">
        <v>29000025</v>
      </c>
      <c r="B49" s="6793"/>
      <c r="C49" s="311" t="s">
        <v>877</v>
      </c>
      <c r="D49" s="282" t="s">
        <v>2777</v>
      </c>
      <c r="E49" s="1951" t="s">
        <v>2778</v>
      </c>
      <c r="F49" s="1960" t="s">
        <v>2779</v>
      </c>
      <c r="G49" s="1960" t="s">
        <v>2780</v>
      </c>
      <c r="H49" s="1960" t="s">
        <v>2781</v>
      </c>
      <c r="I49" s="1960" t="s">
        <v>2782</v>
      </c>
      <c r="J49" s="1960" t="s">
        <v>2783</v>
      </c>
      <c r="K49" s="1960" t="s">
        <v>2784</v>
      </c>
      <c r="L49" s="1960" t="s">
        <v>2785</v>
      </c>
      <c r="M49" s="1959" t="s">
        <v>2786</v>
      </c>
      <c r="N49" s="1958" t="s">
        <v>2787</v>
      </c>
      <c r="O49" s="1958" t="s">
        <v>2788</v>
      </c>
      <c r="P49" s="1958" t="s">
        <v>2789</v>
      </c>
      <c r="Q49" s="94"/>
      <c r="R49" s="94"/>
      <c r="S49" s="94"/>
      <c r="T49" s="94"/>
      <c r="U49" s="94"/>
      <c r="V49" s="94"/>
      <c r="W49" s="94"/>
      <c r="X49" s="94"/>
      <c r="Y49" s="94"/>
      <c r="Z49" s="94"/>
      <c r="AA49" s="94"/>
      <c r="AB49" s="94"/>
      <c r="AC49" s="94"/>
      <c r="AD49" s="94"/>
      <c r="CA49" s="80"/>
      <c r="CB49" s="1031"/>
      <c r="CE49" s="1020"/>
      <c r="CF49" s="1020"/>
    </row>
    <row r="50" spans="1:84" x14ac:dyDescent="0.2">
      <c r="A50" s="4713">
        <v>29000026</v>
      </c>
      <c r="B50" s="6792" t="s">
        <v>812</v>
      </c>
      <c r="C50" s="1957" t="s">
        <v>800</v>
      </c>
      <c r="D50" s="1945" t="s">
        <v>2777</v>
      </c>
      <c r="E50" s="1980" t="s">
        <v>2778</v>
      </c>
      <c r="F50" s="1979" t="s">
        <v>2779</v>
      </c>
      <c r="G50" s="1979" t="s">
        <v>2780</v>
      </c>
      <c r="H50" s="1979" t="s">
        <v>2781</v>
      </c>
      <c r="I50" s="1979" t="s">
        <v>2782</v>
      </c>
      <c r="J50" s="1979" t="s">
        <v>2783</v>
      </c>
      <c r="K50" s="1979" t="s">
        <v>2784</v>
      </c>
      <c r="L50" s="1979" t="s">
        <v>2785</v>
      </c>
      <c r="M50" s="1978" t="s">
        <v>2786</v>
      </c>
      <c r="N50" s="1952" t="s">
        <v>2787</v>
      </c>
      <c r="O50" s="1952" t="s">
        <v>2788</v>
      </c>
      <c r="P50" s="1952" t="s">
        <v>2789</v>
      </c>
      <c r="Q50" s="94"/>
      <c r="R50" s="94"/>
      <c r="S50" s="94"/>
      <c r="T50" s="94"/>
      <c r="U50" s="94"/>
      <c r="V50" s="94"/>
      <c r="W50" s="94"/>
      <c r="X50" s="94"/>
      <c r="Y50" s="94"/>
      <c r="Z50" s="94"/>
      <c r="AA50" s="94"/>
      <c r="AB50" s="94"/>
      <c r="AC50" s="94"/>
      <c r="AD50" s="94"/>
      <c r="CA50" s="80"/>
      <c r="CB50" s="1031"/>
      <c r="CE50" s="1020"/>
      <c r="CF50" s="1020"/>
    </row>
    <row r="51" spans="1:84" x14ac:dyDescent="0.2">
      <c r="A51" s="4713">
        <v>29000027</v>
      </c>
      <c r="B51" s="6810"/>
      <c r="C51" s="320" t="s">
        <v>811</v>
      </c>
      <c r="D51" s="371" t="s">
        <v>2777</v>
      </c>
      <c r="E51" s="1956" t="s">
        <v>2778</v>
      </c>
      <c r="F51" s="1963" t="s">
        <v>2779</v>
      </c>
      <c r="G51" s="1963" t="s">
        <v>2780</v>
      </c>
      <c r="H51" s="1963" t="s">
        <v>2781</v>
      </c>
      <c r="I51" s="1963" t="s">
        <v>2782</v>
      </c>
      <c r="J51" s="1963" t="s">
        <v>2783</v>
      </c>
      <c r="K51" s="1963" t="s">
        <v>2784</v>
      </c>
      <c r="L51" s="1963" t="s">
        <v>2785</v>
      </c>
      <c r="M51" s="1962" t="s">
        <v>2786</v>
      </c>
      <c r="N51" s="1977" t="s">
        <v>2787</v>
      </c>
      <c r="O51" s="1977" t="s">
        <v>2788</v>
      </c>
      <c r="P51" s="1977" t="s">
        <v>2789</v>
      </c>
      <c r="Q51" s="1165" t="str">
        <f>CB51</f>
        <v/>
      </c>
      <c r="R51" s="1085"/>
      <c r="S51" s="1085"/>
      <c r="T51" s="1085"/>
      <c r="U51" s="1085"/>
      <c r="V51" s="1085"/>
      <c r="W51" s="1085"/>
      <c r="X51" s="1085"/>
      <c r="Y51" s="1085"/>
      <c r="Z51" s="1085"/>
      <c r="AA51" s="1085"/>
      <c r="AB51" s="1085"/>
      <c r="AC51" s="94"/>
      <c r="AD51" s="94"/>
      <c r="CA51" s="80"/>
      <c r="CB51" s="1031" t="str">
        <f>IF(CE51=1,"* La Suma de Institucional, Compra al Sistema y Compra Extrasistema NO DEBE ser mayor al Total. ","")</f>
        <v/>
      </c>
      <c r="CE51" s="1163">
        <f>IF(D51&lt;SUM(N51:P51),1,0)</f>
        <v>0</v>
      </c>
      <c r="CF51" s="1020"/>
    </row>
    <row r="52" spans="1:84" ht="21" x14ac:dyDescent="0.2">
      <c r="A52" s="4713">
        <v>29000028</v>
      </c>
      <c r="B52" s="6810"/>
      <c r="C52" s="616" t="s">
        <v>813</v>
      </c>
      <c r="D52" s="371" t="s">
        <v>2777</v>
      </c>
      <c r="E52" s="1976" t="s">
        <v>2778</v>
      </c>
      <c r="F52" s="1975" t="s">
        <v>2779</v>
      </c>
      <c r="G52" s="1975" t="s">
        <v>2780</v>
      </c>
      <c r="H52" s="1975" t="s">
        <v>2781</v>
      </c>
      <c r="I52" s="1975" t="s">
        <v>2782</v>
      </c>
      <c r="J52" s="1975" t="s">
        <v>2783</v>
      </c>
      <c r="K52" s="1975" t="s">
        <v>2784</v>
      </c>
      <c r="L52" s="1975" t="s">
        <v>2785</v>
      </c>
      <c r="M52" s="1974" t="s">
        <v>2786</v>
      </c>
      <c r="N52" s="1973" t="s">
        <v>2787</v>
      </c>
      <c r="O52" s="1973" t="s">
        <v>2788</v>
      </c>
      <c r="P52" s="1973" t="s">
        <v>2789</v>
      </c>
      <c r="Q52" s="94"/>
      <c r="R52" s="94"/>
      <c r="S52" s="94"/>
      <c r="T52" s="94"/>
      <c r="U52" s="94"/>
      <c r="V52" s="94"/>
      <c r="W52" s="94"/>
      <c r="X52" s="94"/>
      <c r="Y52" s="94"/>
      <c r="Z52" s="94"/>
      <c r="AA52" s="94"/>
      <c r="AB52" s="94"/>
      <c r="AC52" s="94"/>
      <c r="AD52" s="94"/>
      <c r="CA52" s="80"/>
      <c r="CB52" s="1031"/>
      <c r="CE52" s="1020"/>
      <c r="CF52" s="1020"/>
    </row>
    <row r="53" spans="1:84" ht="21.75" x14ac:dyDescent="0.2">
      <c r="A53" s="4713">
        <v>29000029</v>
      </c>
      <c r="B53" s="6793"/>
      <c r="C53" s="617" t="s">
        <v>856</v>
      </c>
      <c r="D53" s="1972" t="s">
        <v>2777</v>
      </c>
      <c r="E53" s="1971" t="s">
        <v>2778</v>
      </c>
      <c r="F53" s="1970" t="s">
        <v>2779</v>
      </c>
      <c r="G53" s="1970" t="s">
        <v>2780</v>
      </c>
      <c r="H53" s="1970" t="s">
        <v>2781</v>
      </c>
      <c r="I53" s="1970" t="s">
        <v>2782</v>
      </c>
      <c r="J53" s="1970" t="s">
        <v>2783</v>
      </c>
      <c r="K53" s="1970" t="s">
        <v>2784</v>
      </c>
      <c r="L53" s="1970" t="s">
        <v>2785</v>
      </c>
      <c r="M53" s="1969" t="s">
        <v>2786</v>
      </c>
      <c r="N53" s="1968" t="s">
        <v>2787</v>
      </c>
      <c r="O53" s="1968" t="s">
        <v>2788</v>
      </c>
      <c r="P53" s="1968" t="s">
        <v>2789</v>
      </c>
      <c r="Q53" s="94"/>
      <c r="R53" s="94"/>
      <c r="S53" s="94"/>
      <c r="T53" s="94"/>
      <c r="U53" s="94"/>
      <c r="V53" s="94"/>
      <c r="W53" s="94"/>
      <c r="X53" s="94"/>
      <c r="Y53" s="94"/>
      <c r="Z53" s="94"/>
      <c r="AA53" s="94"/>
      <c r="AB53" s="94"/>
      <c r="AC53" s="94"/>
      <c r="AD53" s="94"/>
      <c r="CA53" s="80"/>
      <c r="CB53" s="1031"/>
      <c r="CE53" s="1020"/>
      <c r="CF53" s="1020"/>
    </row>
    <row r="54" spans="1:84" ht="14.25" customHeight="1" x14ac:dyDescent="0.2">
      <c r="A54" s="4714">
        <v>29000049</v>
      </c>
      <c r="B54" s="6792" t="s">
        <v>2743</v>
      </c>
      <c r="C54" s="1957" t="s">
        <v>800</v>
      </c>
      <c r="D54" s="1956" t="s">
        <v>2777</v>
      </c>
      <c r="E54" s="1955" t="s">
        <v>2778</v>
      </c>
      <c r="F54" s="1954" t="s">
        <v>2779</v>
      </c>
      <c r="G54" s="1954" t="s">
        <v>2780</v>
      </c>
      <c r="H54" s="1954" t="s">
        <v>2781</v>
      </c>
      <c r="I54" s="1954" t="s">
        <v>2782</v>
      </c>
      <c r="J54" s="1954" t="s">
        <v>2783</v>
      </c>
      <c r="K54" s="1954" t="s">
        <v>2784</v>
      </c>
      <c r="L54" s="1954" t="s">
        <v>2785</v>
      </c>
      <c r="M54" s="1953" t="s">
        <v>2786</v>
      </c>
      <c r="N54" s="1952" t="s">
        <v>2787</v>
      </c>
      <c r="O54" s="1952" t="s">
        <v>2788</v>
      </c>
      <c r="P54" s="1952" t="s">
        <v>2789</v>
      </c>
      <c r="Q54" s="94"/>
      <c r="R54" s="94"/>
      <c r="S54" s="94"/>
      <c r="T54" s="94"/>
      <c r="U54" s="94"/>
      <c r="V54" s="94"/>
      <c r="W54" s="94"/>
      <c r="X54" s="94"/>
      <c r="Y54" s="94"/>
      <c r="Z54" s="94"/>
      <c r="AA54" s="94"/>
      <c r="AB54" s="94"/>
      <c r="AC54" s="94"/>
      <c r="AD54" s="94"/>
      <c r="CB54" s="1031"/>
      <c r="CE54" s="1020"/>
      <c r="CF54" s="1020"/>
    </row>
    <row r="55" spans="1:84" x14ac:dyDescent="0.2">
      <c r="A55" s="4714">
        <v>29000050</v>
      </c>
      <c r="B55" s="6810"/>
      <c r="C55" s="320" t="s">
        <v>811</v>
      </c>
      <c r="D55" s="315" t="s">
        <v>2777</v>
      </c>
      <c r="E55" s="1967" t="s">
        <v>2778</v>
      </c>
      <c r="F55" s="1966" t="s">
        <v>2779</v>
      </c>
      <c r="G55" s="1966" t="s">
        <v>2780</v>
      </c>
      <c r="H55" s="1966" t="s">
        <v>2781</v>
      </c>
      <c r="I55" s="1966" t="s">
        <v>2782</v>
      </c>
      <c r="J55" s="1966" t="s">
        <v>2783</v>
      </c>
      <c r="K55" s="1966" t="s">
        <v>2784</v>
      </c>
      <c r="L55" s="1966" t="s">
        <v>2785</v>
      </c>
      <c r="M55" s="1965" t="s">
        <v>2786</v>
      </c>
      <c r="N55" s="1964" t="s">
        <v>2787</v>
      </c>
      <c r="O55" s="1964" t="s">
        <v>2788</v>
      </c>
      <c r="P55" s="1964" t="s">
        <v>2789</v>
      </c>
      <c r="Q55" s="1165" t="str">
        <f>CB55</f>
        <v/>
      </c>
      <c r="R55" s="1085"/>
      <c r="S55" s="1085"/>
      <c r="T55" s="1085"/>
      <c r="U55" s="1085"/>
      <c r="V55" s="1085"/>
      <c r="W55" s="1085"/>
      <c r="X55" s="1085"/>
      <c r="Y55" s="1085"/>
      <c r="Z55" s="1085"/>
      <c r="AA55" s="1085"/>
      <c r="AB55" s="1085"/>
      <c r="AC55" s="94"/>
      <c r="AD55" s="94"/>
      <c r="CB55" s="1031" t="str">
        <f>IF(CE55=1,"* La Suma de Institucional, Compra al Sistema y Compra Extrasistema NO DEBE ser mayor al Total. ","")</f>
        <v/>
      </c>
      <c r="CE55" s="1163">
        <f>IF(D55&lt;SUM(N55:P55),1,0)</f>
        <v>0</v>
      </c>
      <c r="CF55" s="1020"/>
    </row>
    <row r="56" spans="1:84" ht="18.75" customHeight="1" x14ac:dyDescent="0.2">
      <c r="A56" s="4714">
        <v>29000051</v>
      </c>
      <c r="B56" s="6810"/>
      <c r="C56" s="616" t="s">
        <v>1389</v>
      </c>
      <c r="D56" s="315" t="s">
        <v>2777</v>
      </c>
      <c r="E56" s="1956" t="s">
        <v>2778</v>
      </c>
      <c r="F56" s="1963" t="s">
        <v>2779</v>
      </c>
      <c r="G56" s="1963" t="s">
        <v>2780</v>
      </c>
      <c r="H56" s="1963" t="s">
        <v>2781</v>
      </c>
      <c r="I56" s="1963" t="s">
        <v>2782</v>
      </c>
      <c r="J56" s="1963" t="s">
        <v>2783</v>
      </c>
      <c r="K56" s="1963" t="s">
        <v>2784</v>
      </c>
      <c r="L56" s="1963" t="s">
        <v>2785</v>
      </c>
      <c r="M56" s="1962" t="s">
        <v>2786</v>
      </c>
      <c r="N56" s="1961" t="s">
        <v>2787</v>
      </c>
      <c r="O56" s="1961" t="s">
        <v>2788</v>
      </c>
      <c r="P56" s="1961" t="s">
        <v>2789</v>
      </c>
      <c r="Q56" s="94"/>
      <c r="R56" s="94"/>
      <c r="S56" s="94"/>
      <c r="T56" s="94"/>
      <c r="U56" s="94"/>
      <c r="V56" s="94"/>
      <c r="W56" s="94"/>
      <c r="X56" s="94"/>
      <c r="Y56" s="94"/>
      <c r="Z56" s="94"/>
      <c r="AA56" s="94"/>
      <c r="AB56" s="94"/>
      <c r="AC56" s="94"/>
      <c r="AD56" s="94"/>
      <c r="CB56" s="1031"/>
      <c r="CE56" s="1020"/>
      <c r="CF56" s="1020"/>
    </row>
    <row r="57" spans="1:84" ht="16.5" customHeight="1" x14ac:dyDescent="0.2">
      <c r="A57" s="4714">
        <v>29000052</v>
      </c>
      <c r="B57" s="6793"/>
      <c r="C57" s="776" t="s">
        <v>1390</v>
      </c>
      <c r="D57" s="618" t="s">
        <v>2777</v>
      </c>
      <c r="E57" s="1951" t="s">
        <v>2778</v>
      </c>
      <c r="F57" s="1960" t="s">
        <v>2779</v>
      </c>
      <c r="G57" s="1960" t="s">
        <v>2780</v>
      </c>
      <c r="H57" s="1960" t="s">
        <v>2781</v>
      </c>
      <c r="I57" s="1960" t="s">
        <v>2782</v>
      </c>
      <c r="J57" s="1960" t="s">
        <v>2783</v>
      </c>
      <c r="K57" s="1960" t="s">
        <v>2784</v>
      </c>
      <c r="L57" s="1960" t="s">
        <v>2785</v>
      </c>
      <c r="M57" s="1959" t="s">
        <v>2786</v>
      </c>
      <c r="N57" s="1958" t="s">
        <v>2787</v>
      </c>
      <c r="O57" s="1958" t="s">
        <v>2788</v>
      </c>
      <c r="P57" s="1958" t="s">
        <v>2789</v>
      </c>
      <c r="Q57" s="94"/>
      <c r="R57" s="94"/>
      <c r="S57" s="94"/>
      <c r="T57" s="94"/>
      <c r="U57" s="94"/>
      <c r="V57" s="94"/>
      <c r="W57" s="94"/>
      <c r="X57" s="94"/>
      <c r="Y57" s="94"/>
      <c r="Z57" s="94"/>
      <c r="AA57" s="94"/>
      <c r="AB57" s="94"/>
      <c r="AC57" s="94"/>
      <c r="AD57" s="94"/>
      <c r="CB57" s="1031"/>
      <c r="CE57" s="1020"/>
      <c r="CF57" s="1020"/>
    </row>
    <row r="58" spans="1:84" ht="15" customHeight="1" x14ac:dyDescent="0.2">
      <c r="A58" s="4713">
        <v>29000030</v>
      </c>
      <c r="B58" s="6792" t="s">
        <v>1211</v>
      </c>
      <c r="C58" s="1957" t="s">
        <v>800</v>
      </c>
      <c r="D58" s="1956" t="s">
        <v>2777</v>
      </c>
      <c r="E58" s="1955" t="s">
        <v>2778</v>
      </c>
      <c r="F58" s="1954" t="s">
        <v>2779</v>
      </c>
      <c r="G58" s="1954" t="s">
        <v>2780</v>
      </c>
      <c r="H58" s="1954" t="s">
        <v>2781</v>
      </c>
      <c r="I58" s="1954" t="s">
        <v>2782</v>
      </c>
      <c r="J58" s="1954" t="s">
        <v>2783</v>
      </c>
      <c r="K58" s="1954" t="s">
        <v>2784</v>
      </c>
      <c r="L58" s="1954" t="s">
        <v>2785</v>
      </c>
      <c r="M58" s="1953" t="s">
        <v>2786</v>
      </c>
      <c r="N58" s="1952" t="s">
        <v>2787</v>
      </c>
      <c r="O58" s="1952" t="s">
        <v>2788</v>
      </c>
      <c r="P58" s="1952" t="s">
        <v>2789</v>
      </c>
      <c r="Q58" s="94"/>
      <c r="R58" s="94"/>
      <c r="S58" s="94"/>
      <c r="T58" s="94"/>
      <c r="U58" s="94"/>
      <c r="V58" s="94"/>
      <c r="W58" s="94"/>
      <c r="X58" s="94"/>
      <c r="Y58" s="94"/>
      <c r="Z58" s="94"/>
      <c r="AA58" s="94"/>
      <c r="AB58" s="94"/>
      <c r="AC58" s="94"/>
      <c r="AD58" s="94"/>
      <c r="CB58" s="1031"/>
      <c r="CE58" s="1020"/>
      <c r="CF58" s="1020"/>
    </row>
    <row r="59" spans="1:84" ht="14.25" customHeight="1" x14ac:dyDescent="0.2">
      <c r="A59" s="4713">
        <v>29000031</v>
      </c>
      <c r="B59" s="6793"/>
      <c r="C59" s="311" t="s">
        <v>801</v>
      </c>
      <c r="D59" s="1951" t="s">
        <v>2777</v>
      </c>
      <c r="E59" s="1950" t="s">
        <v>2778</v>
      </c>
      <c r="F59" s="1949" t="s">
        <v>2779</v>
      </c>
      <c r="G59" s="1949" t="s">
        <v>2780</v>
      </c>
      <c r="H59" s="1949" t="s">
        <v>2781</v>
      </c>
      <c r="I59" s="1949" t="s">
        <v>2782</v>
      </c>
      <c r="J59" s="1949" t="s">
        <v>2783</v>
      </c>
      <c r="K59" s="1949" t="s">
        <v>2784</v>
      </c>
      <c r="L59" s="1949" t="s">
        <v>2785</v>
      </c>
      <c r="M59" s="1948" t="s">
        <v>2786</v>
      </c>
      <c r="N59" s="1947" t="s">
        <v>2787</v>
      </c>
      <c r="O59" s="1947" t="s">
        <v>2788</v>
      </c>
      <c r="P59" s="1947" t="s">
        <v>2789</v>
      </c>
      <c r="Q59" s="1165" t="str">
        <f>CB59</f>
        <v/>
      </c>
      <c r="R59" s="1085"/>
      <c r="S59" s="1085"/>
      <c r="T59" s="1085"/>
      <c r="U59" s="1085"/>
      <c r="V59" s="1085"/>
      <c r="W59" s="1085"/>
      <c r="X59" s="1085"/>
      <c r="Y59" s="1085"/>
      <c r="Z59" s="1085"/>
      <c r="AA59" s="1085"/>
      <c r="AB59" s="1085"/>
      <c r="AC59" s="94"/>
      <c r="AD59" s="94"/>
      <c r="CB59" s="1031" t="str">
        <f>IF(CE59=1,"* La Suma de Institucional, Compra al Sistema y Compra Extrasistema NO DEBE ser mayor al Total. ","")</f>
        <v/>
      </c>
      <c r="CE59" s="1163">
        <f>IF(D59&lt;SUM(N59:P59),1,0)</f>
        <v>0</v>
      </c>
      <c r="CF59" s="1020"/>
    </row>
    <row r="60" spans="1:84" ht="32.1" customHeight="1" x14ac:dyDescent="0.2">
      <c r="B60" s="961" t="s">
        <v>1651</v>
      </c>
    </row>
    <row r="61" spans="1:84" ht="21.75" customHeight="1" x14ac:dyDescent="0.2">
      <c r="B61" s="6226" t="s">
        <v>130</v>
      </c>
      <c r="C61" s="5818" t="s">
        <v>875</v>
      </c>
      <c r="D61" s="5818"/>
      <c r="E61" s="5787" t="s">
        <v>42</v>
      </c>
    </row>
    <row r="62" spans="1:84" ht="15.75" customHeight="1" x14ac:dyDescent="0.2">
      <c r="B62" s="6226"/>
      <c r="C62" s="5818"/>
      <c r="D62" s="5818"/>
      <c r="E62" s="5159"/>
    </row>
    <row r="63" spans="1:84" ht="24" customHeight="1" x14ac:dyDescent="0.2">
      <c r="A63" s="4713">
        <v>29000034</v>
      </c>
      <c r="B63" s="6306" t="s">
        <v>139</v>
      </c>
      <c r="C63" s="6334" t="s">
        <v>1212</v>
      </c>
      <c r="D63" s="6335"/>
      <c r="E63" s="3627" t="s">
        <v>2777</v>
      </c>
    </row>
    <row r="64" spans="1:84" ht="16.350000000000001" customHeight="1" x14ac:dyDescent="0.2">
      <c r="A64" s="4713">
        <v>29000035</v>
      </c>
      <c r="B64" s="5135"/>
      <c r="C64" s="5556" t="s">
        <v>1213</v>
      </c>
      <c r="D64" s="5557"/>
      <c r="E64" s="3628" t="s">
        <v>2777</v>
      </c>
      <c r="CA64" s="80"/>
    </row>
    <row r="65" spans="1:79" ht="16.350000000000001" customHeight="1" x14ac:dyDescent="0.2">
      <c r="A65" s="4713">
        <v>29000036</v>
      </c>
      <c r="B65" s="5135"/>
      <c r="C65" s="5313" t="s">
        <v>1214</v>
      </c>
      <c r="D65" s="5303"/>
      <c r="E65" s="3628" t="s">
        <v>2777</v>
      </c>
      <c r="CA65" s="80"/>
    </row>
    <row r="66" spans="1:79" ht="24" customHeight="1" x14ac:dyDescent="0.2">
      <c r="A66" s="4713">
        <v>29000037</v>
      </c>
      <c r="B66" s="5135"/>
      <c r="C66" s="5556" t="s">
        <v>1215</v>
      </c>
      <c r="D66" s="5557"/>
      <c r="E66" s="3628" t="s">
        <v>2777</v>
      </c>
      <c r="CA66" s="80"/>
    </row>
    <row r="67" spans="1:79" ht="16.350000000000001" customHeight="1" x14ac:dyDescent="0.2">
      <c r="A67" s="4713">
        <v>29000038</v>
      </c>
      <c r="B67" s="5135"/>
      <c r="C67" s="5556" t="s">
        <v>1216</v>
      </c>
      <c r="D67" s="5557"/>
      <c r="E67" s="3628" t="s">
        <v>2777</v>
      </c>
      <c r="CA67" s="80"/>
    </row>
    <row r="68" spans="1:79" ht="16.350000000000001" customHeight="1" x14ac:dyDescent="0.2">
      <c r="A68" s="4713">
        <v>29000039</v>
      </c>
      <c r="B68" s="5135"/>
      <c r="C68" s="5556" t="s">
        <v>1217</v>
      </c>
      <c r="D68" s="5557"/>
      <c r="E68" s="3628" t="s">
        <v>2777</v>
      </c>
      <c r="CA68" s="80"/>
    </row>
    <row r="69" spans="1:79" ht="24" customHeight="1" x14ac:dyDescent="0.2">
      <c r="A69" s="4713">
        <v>29000040</v>
      </c>
      <c r="B69" s="5135"/>
      <c r="C69" s="5556" t="s">
        <v>1218</v>
      </c>
      <c r="D69" s="5557"/>
      <c r="E69" s="3628" t="s">
        <v>2777</v>
      </c>
      <c r="CA69" s="80"/>
    </row>
    <row r="70" spans="1:79" ht="16.350000000000001" customHeight="1" x14ac:dyDescent="0.2">
      <c r="A70" s="4713">
        <v>29000041</v>
      </c>
      <c r="B70" s="5135"/>
      <c r="C70" s="5556" t="s">
        <v>1219</v>
      </c>
      <c r="D70" s="5557"/>
      <c r="E70" s="3628" t="s">
        <v>2777</v>
      </c>
      <c r="CA70" s="80"/>
    </row>
    <row r="71" spans="1:79" ht="16.350000000000001" customHeight="1" x14ac:dyDescent="0.2">
      <c r="A71" s="4713">
        <v>29000042</v>
      </c>
      <c r="B71" s="5135"/>
      <c r="C71" s="5556" t="s">
        <v>1220</v>
      </c>
      <c r="D71" s="5557"/>
      <c r="E71" s="3628" t="s">
        <v>2777</v>
      </c>
      <c r="CA71" s="80"/>
    </row>
    <row r="72" spans="1:79" ht="16.350000000000001" customHeight="1" x14ac:dyDescent="0.2">
      <c r="A72" s="4713">
        <v>29000043</v>
      </c>
      <c r="B72" s="5135"/>
      <c r="C72" s="5556" t="s">
        <v>1221</v>
      </c>
      <c r="D72" s="5557"/>
      <c r="E72" s="3628" t="s">
        <v>2777</v>
      </c>
      <c r="CA72" s="80"/>
    </row>
    <row r="73" spans="1:79" ht="16.350000000000001" customHeight="1" x14ac:dyDescent="0.2">
      <c r="A73" s="4716">
        <v>29101050</v>
      </c>
      <c r="B73" s="5135"/>
      <c r="C73" s="5556" t="s">
        <v>1739</v>
      </c>
      <c r="D73" s="5557"/>
      <c r="E73" s="3629" t="s">
        <v>2777</v>
      </c>
      <c r="CA73" s="80"/>
    </row>
    <row r="74" spans="1:79" ht="16.350000000000001" customHeight="1" x14ac:dyDescent="0.2">
      <c r="A74" s="4716">
        <v>29101060</v>
      </c>
      <c r="B74" s="5135"/>
      <c r="C74" s="5556" t="s">
        <v>1740</v>
      </c>
      <c r="D74" s="5557"/>
      <c r="E74" s="3629" t="s">
        <v>2777</v>
      </c>
      <c r="CA74" s="80"/>
    </row>
    <row r="75" spans="1:79" ht="16.350000000000001" customHeight="1" x14ac:dyDescent="0.2">
      <c r="A75" s="4714">
        <v>29000053</v>
      </c>
      <c r="B75" s="5135"/>
      <c r="C75" s="5556" t="s">
        <v>2744</v>
      </c>
      <c r="D75" s="5557"/>
      <c r="E75" s="3628" t="s">
        <v>2777</v>
      </c>
      <c r="CA75" s="80"/>
    </row>
    <row r="76" spans="1:79" ht="16.350000000000001" customHeight="1" x14ac:dyDescent="0.2">
      <c r="A76" s="4714">
        <v>29000054</v>
      </c>
      <c r="B76" s="5135"/>
      <c r="C76" s="5556" t="s">
        <v>2745</v>
      </c>
      <c r="D76" s="5557"/>
      <c r="E76" s="3628" t="s">
        <v>2777</v>
      </c>
      <c r="CA76" s="80"/>
    </row>
    <row r="77" spans="1:79" ht="16.350000000000001" customHeight="1" x14ac:dyDescent="0.2">
      <c r="A77" s="4714">
        <v>29000055</v>
      </c>
      <c r="B77" s="5135"/>
      <c r="C77" s="5556" t="s">
        <v>1385</v>
      </c>
      <c r="D77" s="5557"/>
      <c r="E77" s="3628" t="s">
        <v>2777</v>
      </c>
      <c r="CA77" s="80"/>
    </row>
    <row r="78" spans="1:79" ht="16.350000000000001" customHeight="1" x14ac:dyDescent="0.2">
      <c r="A78" s="4714">
        <v>29000056</v>
      </c>
      <c r="B78" s="5135"/>
      <c r="C78" s="5556" t="s">
        <v>1386</v>
      </c>
      <c r="D78" s="5557"/>
      <c r="E78" s="3628" t="s">
        <v>2777</v>
      </c>
      <c r="CA78" s="80"/>
    </row>
    <row r="79" spans="1:79" ht="23.25" customHeight="1" x14ac:dyDescent="0.2">
      <c r="A79" s="4716">
        <v>29101070</v>
      </c>
      <c r="B79" s="5135"/>
      <c r="C79" s="6798" t="s">
        <v>2237</v>
      </c>
      <c r="D79" s="6799"/>
      <c r="E79" s="3628" t="s">
        <v>2777</v>
      </c>
      <c r="CA79" s="80"/>
    </row>
    <row r="80" spans="1:79" ht="22.5" customHeight="1" x14ac:dyDescent="0.2">
      <c r="A80" s="4716">
        <v>29101080</v>
      </c>
      <c r="B80" s="5135"/>
      <c r="C80" s="6798" t="s">
        <v>1741</v>
      </c>
      <c r="D80" s="6799"/>
      <c r="E80" s="3628" t="s">
        <v>2777</v>
      </c>
      <c r="CA80" s="80"/>
    </row>
    <row r="81" spans="1:105" ht="16.350000000000001" customHeight="1" x14ac:dyDescent="0.2">
      <c r="A81" s="4716">
        <v>29101090</v>
      </c>
      <c r="B81" s="5135"/>
      <c r="C81" s="5556" t="s">
        <v>1742</v>
      </c>
      <c r="D81" s="5557"/>
      <c r="E81" s="3628" t="s">
        <v>2777</v>
      </c>
      <c r="CA81" s="80"/>
    </row>
    <row r="82" spans="1:105" ht="16.350000000000001" customHeight="1" x14ac:dyDescent="0.2">
      <c r="A82" s="4716">
        <v>29101100</v>
      </c>
      <c r="B82" s="5135"/>
      <c r="C82" s="5556" t="s">
        <v>1743</v>
      </c>
      <c r="D82" s="5557"/>
      <c r="E82" s="3628" t="s">
        <v>2777</v>
      </c>
      <c r="CA82" s="80"/>
    </row>
    <row r="83" spans="1:105" ht="16.350000000000001" customHeight="1" x14ac:dyDescent="0.2">
      <c r="A83" s="4716">
        <v>29101110</v>
      </c>
      <c r="B83" s="6307"/>
      <c r="C83" s="5538" t="s">
        <v>1744</v>
      </c>
      <c r="D83" s="5539"/>
      <c r="E83" s="4887" t="s">
        <v>2777</v>
      </c>
      <c r="CA83" s="80"/>
    </row>
    <row r="84" spans="1:105" x14ac:dyDescent="0.2">
      <c r="A84" s="4713">
        <v>29000045</v>
      </c>
      <c r="B84" s="6796" t="s">
        <v>882</v>
      </c>
      <c r="C84" s="6334" t="s">
        <v>1222</v>
      </c>
      <c r="D84" s="6335"/>
      <c r="E84" s="3630" t="s">
        <v>2777</v>
      </c>
      <c r="CA84" s="80"/>
    </row>
    <row r="85" spans="1:105" x14ac:dyDescent="0.2">
      <c r="A85" s="4713">
        <v>29000046</v>
      </c>
      <c r="B85" s="5725"/>
      <c r="C85" s="5556" t="s">
        <v>1223</v>
      </c>
      <c r="D85" s="5557"/>
      <c r="E85" s="3631" t="s">
        <v>2777</v>
      </c>
      <c r="CA85" s="80"/>
    </row>
    <row r="86" spans="1:105" x14ac:dyDescent="0.2">
      <c r="A86" s="4714">
        <v>29000060</v>
      </c>
      <c r="B86" s="5725"/>
      <c r="C86" s="5556" t="s">
        <v>1387</v>
      </c>
      <c r="D86" s="5557"/>
      <c r="E86" s="3632" t="s">
        <v>2777</v>
      </c>
      <c r="CA86" s="80"/>
    </row>
    <row r="87" spans="1:105" x14ac:dyDescent="0.2">
      <c r="A87" s="4714">
        <v>29000061</v>
      </c>
      <c r="B87" s="5725"/>
      <c r="C87" s="5556" t="s">
        <v>2746</v>
      </c>
      <c r="D87" s="5557"/>
      <c r="E87" s="3632" t="s">
        <v>2777</v>
      </c>
      <c r="CA87" s="80"/>
    </row>
    <row r="88" spans="1:105" x14ac:dyDescent="0.2">
      <c r="A88" s="4713">
        <v>29000047</v>
      </c>
      <c r="B88" s="6797"/>
      <c r="C88" s="5538" t="s">
        <v>1224</v>
      </c>
      <c r="D88" s="5539"/>
      <c r="E88" s="3633" t="s">
        <v>2777</v>
      </c>
      <c r="CA88" s="80"/>
    </row>
    <row r="89" spans="1:105" s="94" customFormat="1" ht="23.25" customHeight="1" x14ac:dyDescent="0.2">
      <c r="A89" s="4718"/>
      <c r="B89" s="2027" t="s">
        <v>1745</v>
      </c>
      <c r="C89" s="2186"/>
      <c r="D89" s="2027"/>
      <c r="E89" s="2186"/>
      <c r="F89" s="2027"/>
      <c r="G89" s="2186"/>
      <c r="H89" s="2186"/>
      <c r="CA89" s="891"/>
      <c r="CB89" s="889"/>
      <c r="CC89" s="889"/>
      <c r="CD89" s="889"/>
      <c r="CE89" s="889"/>
      <c r="CF89" s="889"/>
      <c r="CG89" s="889"/>
      <c r="CH89" s="889"/>
      <c r="CI89" s="889"/>
      <c r="CJ89" s="889"/>
      <c r="CK89" s="889"/>
      <c r="CL89" s="889"/>
      <c r="CM89" s="889"/>
      <c r="CN89" s="889"/>
      <c r="CO89" s="889"/>
      <c r="CP89" s="889"/>
      <c r="CQ89" s="889"/>
      <c r="CR89" s="889"/>
      <c r="CS89" s="889"/>
      <c r="CT89" s="889"/>
      <c r="CU89" s="889"/>
      <c r="CV89" s="889"/>
      <c r="CW89" s="889"/>
      <c r="CX89" s="889"/>
      <c r="CY89" s="889"/>
      <c r="CZ89" s="889"/>
      <c r="DA89" s="889"/>
    </row>
    <row r="90" spans="1:105" s="94" customFormat="1" x14ac:dyDescent="0.2">
      <c r="A90" s="4718"/>
      <c r="B90" s="6310" t="s">
        <v>120</v>
      </c>
      <c r="C90" s="6762"/>
      <c r="D90" s="6306" t="s">
        <v>184</v>
      </c>
      <c r="E90" s="6310" t="s">
        <v>1746</v>
      </c>
      <c r="F90" s="6762"/>
      <c r="G90" s="6310" t="s">
        <v>1747</v>
      </c>
      <c r="H90" s="6762"/>
      <c r="BZ90" s="891"/>
      <c r="CA90" s="891"/>
      <c r="CB90" s="889"/>
      <c r="CC90" s="889"/>
      <c r="CD90" s="889"/>
      <c r="CE90" s="889"/>
      <c r="CF90" s="889"/>
      <c r="CG90" s="889"/>
      <c r="CH90" s="889"/>
      <c r="CI90" s="889"/>
      <c r="CJ90" s="889"/>
      <c r="CK90" s="889"/>
      <c r="CL90" s="889"/>
      <c r="CM90" s="889"/>
      <c r="CN90" s="889"/>
      <c r="CO90" s="889"/>
      <c r="CP90" s="889"/>
      <c r="CQ90" s="889"/>
      <c r="CR90" s="889"/>
      <c r="CS90" s="889"/>
      <c r="CT90" s="889"/>
      <c r="CU90" s="889"/>
      <c r="CV90" s="889"/>
      <c r="CW90" s="889"/>
      <c r="CX90" s="889"/>
      <c r="CY90" s="889"/>
      <c r="CZ90" s="889"/>
      <c r="DA90" s="889"/>
    </row>
    <row r="91" spans="1:105" s="94" customFormat="1" x14ac:dyDescent="0.2">
      <c r="A91" s="4718"/>
      <c r="B91" s="5547"/>
      <c r="C91" s="5548"/>
      <c r="D91" s="5135"/>
      <c r="E91" s="6313"/>
      <c r="F91" s="6791"/>
      <c r="G91" s="6313"/>
      <c r="H91" s="6791"/>
      <c r="BZ91" s="891"/>
      <c r="CA91" s="891"/>
      <c r="CB91" s="889"/>
      <c r="CC91" s="889"/>
      <c r="CD91" s="889"/>
      <c r="CE91" s="889"/>
      <c r="CF91" s="889"/>
      <c r="CG91" s="889"/>
      <c r="CH91" s="889"/>
      <c r="CI91" s="889"/>
      <c r="CJ91" s="889"/>
      <c r="CK91" s="889"/>
      <c r="CL91" s="889"/>
      <c r="CM91" s="889"/>
      <c r="CN91" s="889"/>
      <c r="CO91" s="889"/>
      <c r="CP91" s="889"/>
      <c r="CQ91" s="889"/>
      <c r="CR91" s="889"/>
      <c r="CS91" s="889"/>
      <c r="CT91" s="889"/>
      <c r="CU91" s="889"/>
      <c r="CV91" s="889"/>
      <c r="CW91" s="889"/>
      <c r="CX91" s="889"/>
      <c r="CY91" s="889"/>
      <c r="CZ91" s="889"/>
      <c r="DA91" s="889"/>
    </row>
    <row r="92" spans="1:105" s="94" customFormat="1" x14ac:dyDescent="0.2">
      <c r="A92" s="4718"/>
      <c r="B92" s="5547"/>
      <c r="C92" s="5548"/>
      <c r="D92" s="6307"/>
      <c r="E92" s="4741" t="s">
        <v>24</v>
      </c>
      <c r="F92" s="4792" t="s">
        <v>25</v>
      </c>
      <c r="G92" s="4741" t="s">
        <v>24</v>
      </c>
      <c r="H92" s="4792" t="s">
        <v>25</v>
      </c>
      <c r="CA92" s="891"/>
      <c r="CB92" s="889"/>
      <c r="CC92" s="889"/>
      <c r="CD92" s="889"/>
      <c r="CE92" s="889"/>
      <c r="CF92" s="889"/>
      <c r="CG92" s="889"/>
      <c r="CH92" s="889"/>
      <c r="CI92" s="889"/>
      <c r="CJ92" s="889"/>
      <c r="CK92" s="889"/>
      <c r="CL92" s="889"/>
      <c r="CM92" s="889"/>
      <c r="CN92" s="889"/>
      <c r="CO92" s="889"/>
      <c r="CP92" s="889"/>
      <c r="CQ92" s="889"/>
      <c r="CR92" s="889"/>
      <c r="CS92" s="889"/>
      <c r="CT92" s="889"/>
      <c r="CU92" s="889"/>
      <c r="CV92" s="889"/>
      <c r="CW92" s="889"/>
      <c r="CX92" s="889"/>
      <c r="CY92" s="889"/>
      <c r="CZ92" s="889"/>
      <c r="DA92" s="889"/>
    </row>
    <row r="93" spans="1:105" s="94" customFormat="1" x14ac:dyDescent="0.2">
      <c r="A93" s="4716">
        <v>29101120</v>
      </c>
      <c r="B93" s="6336" t="s">
        <v>1748</v>
      </c>
      <c r="C93" s="6337"/>
      <c r="D93" s="1945" t="s">
        <v>2777</v>
      </c>
      <c r="E93" s="4888" t="s">
        <v>2778</v>
      </c>
      <c r="F93" s="4888" t="s">
        <v>2779</v>
      </c>
      <c r="G93" s="4888" t="s">
        <v>2780</v>
      </c>
      <c r="H93" s="4888" t="s">
        <v>2781</v>
      </c>
      <c r="CA93" s="891"/>
      <c r="CB93" s="889"/>
      <c r="CC93" s="889"/>
      <c r="CD93" s="889"/>
      <c r="CE93" s="889"/>
      <c r="CF93" s="889"/>
      <c r="CG93" s="889"/>
      <c r="CH93" s="889"/>
      <c r="CI93" s="889"/>
      <c r="CJ93" s="889"/>
      <c r="CK93" s="889"/>
      <c r="CL93" s="889"/>
      <c r="CM93" s="889"/>
      <c r="CN93" s="889"/>
      <c r="CO93" s="889"/>
      <c r="CP93" s="889"/>
      <c r="CQ93" s="889"/>
      <c r="CR93" s="889"/>
      <c r="CS93" s="889"/>
      <c r="CT93" s="889"/>
      <c r="CU93" s="889"/>
      <c r="CV93" s="889"/>
      <c r="CW93" s="889"/>
      <c r="CX93" s="889"/>
      <c r="CY93" s="889"/>
      <c r="CZ93" s="889"/>
      <c r="DA93" s="889"/>
    </row>
    <row r="94" spans="1:105" x14ac:dyDescent="0.2">
      <c r="A94" s="4716">
        <v>29101130</v>
      </c>
      <c r="B94" s="6794" t="s">
        <v>2741</v>
      </c>
      <c r="C94" s="6795"/>
      <c r="D94" s="282" t="s">
        <v>2777</v>
      </c>
      <c r="E94" s="4889" t="s">
        <v>2778</v>
      </c>
      <c r="F94" s="4889" t="s">
        <v>2779</v>
      </c>
      <c r="G94" s="4889" t="s">
        <v>2780</v>
      </c>
      <c r="H94" s="4889" t="s">
        <v>2781</v>
      </c>
    </row>
    <row r="98" spans="1:1" x14ac:dyDescent="0.2">
      <c r="A98" s="4712" t="s">
        <v>3740</v>
      </c>
    </row>
    <row r="99" spans="1:1" x14ac:dyDescent="0.2">
      <c r="A99" s="4719" t="s">
        <v>3940</v>
      </c>
    </row>
    <row r="100" spans="1:1" x14ac:dyDescent="0.2">
      <c r="A100" s="4720" t="s">
        <v>3941</v>
      </c>
    </row>
    <row r="102" spans="1:1" x14ac:dyDescent="0.2">
      <c r="A102" s="4712" t="s">
        <v>3742</v>
      </c>
    </row>
    <row r="103" spans="1:1" x14ac:dyDescent="0.2">
      <c r="A103" s="4716">
        <v>29101010</v>
      </c>
    </row>
    <row r="104" spans="1:1" x14ac:dyDescent="0.2">
      <c r="A104" s="4716">
        <v>29101020</v>
      </c>
    </row>
    <row r="105" spans="1:1" x14ac:dyDescent="0.2">
      <c r="A105" s="4716">
        <v>29101030</v>
      </c>
    </row>
    <row r="106" spans="1:1" x14ac:dyDescent="0.2">
      <c r="A106" s="4716">
        <v>29101040</v>
      </c>
    </row>
    <row r="107" spans="1:1" x14ac:dyDescent="0.2">
      <c r="A107" s="4716">
        <v>29101050</v>
      </c>
    </row>
    <row r="108" spans="1:1" x14ac:dyDescent="0.2">
      <c r="A108" s="4716">
        <v>29101060</v>
      </c>
    </row>
    <row r="109" spans="1:1" x14ac:dyDescent="0.2">
      <c r="A109" s="4716">
        <v>29101070</v>
      </c>
    </row>
    <row r="110" spans="1:1" x14ac:dyDescent="0.2">
      <c r="A110" s="4716">
        <v>29101080</v>
      </c>
    </row>
    <row r="111" spans="1:1" x14ac:dyDescent="0.2">
      <c r="A111" s="4716">
        <v>29101090</v>
      </c>
    </row>
    <row r="112" spans="1:1" x14ac:dyDescent="0.2">
      <c r="A112" s="4716">
        <v>29101100</v>
      </c>
    </row>
    <row r="113" spans="1:1" x14ac:dyDescent="0.2">
      <c r="A113" s="4716">
        <v>29101110</v>
      </c>
    </row>
    <row r="114" spans="1:1" x14ac:dyDescent="0.2">
      <c r="A114" s="4716">
        <v>29101120</v>
      </c>
    </row>
    <row r="115" spans="1:1" x14ac:dyDescent="0.2">
      <c r="A115" s="4716">
        <v>29101130</v>
      </c>
    </row>
    <row r="226" spans="1:105" x14ac:dyDescent="0.2">
      <c r="CA226" s="80"/>
    </row>
    <row r="227" spans="1:105" x14ac:dyDescent="0.2">
      <c r="CA227" s="80"/>
    </row>
    <row r="228" spans="1:105" s="1029" customFormat="1" hidden="1" x14ac:dyDescent="0.2">
      <c r="A228" s="4721"/>
      <c r="B228" s="1029">
        <f>SUM(D12:D13,D15:D18,D22:D23,D25,D30:D59,E63:E88)</f>
        <v>0</v>
      </c>
      <c r="C228" s="1029">
        <f>SUM(CE30:CF59)</f>
        <v>0</v>
      </c>
      <c r="CB228" s="1030"/>
      <c r="CC228" s="1030"/>
      <c r="CD228" s="1030"/>
      <c r="CE228" s="1030"/>
      <c r="CF228" s="1030"/>
      <c r="CG228" s="1030"/>
      <c r="CH228" s="1030"/>
      <c r="CI228" s="1030"/>
      <c r="CJ228" s="1030"/>
      <c r="CK228" s="1030"/>
      <c r="CL228" s="1030"/>
      <c r="CM228" s="1030"/>
      <c r="CN228" s="1030"/>
      <c r="CO228" s="1030"/>
      <c r="CP228" s="1030"/>
      <c r="CQ228" s="1030"/>
      <c r="CR228" s="1030"/>
      <c r="CS228" s="1030"/>
      <c r="CT228" s="1030"/>
      <c r="CU228" s="1030"/>
      <c r="CV228" s="1030"/>
      <c r="CW228" s="1030"/>
      <c r="CX228" s="1030"/>
      <c r="CY228" s="1030"/>
      <c r="CZ228" s="1030"/>
      <c r="DA228" s="1030"/>
    </row>
    <row r="291" spans="1:105" s="94" customFormat="1" x14ac:dyDescent="0.2">
      <c r="A291" s="4718"/>
      <c r="CA291" s="891"/>
      <c r="CB291" s="889"/>
      <c r="CC291" s="889"/>
      <c r="CD291" s="889"/>
      <c r="CE291" s="889"/>
      <c r="CF291" s="889"/>
      <c r="CG291" s="889"/>
      <c r="CH291" s="889"/>
      <c r="CI291" s="889"/>
      <c r="CJ291" s="889"/>
      <c r="CK291" s="889"/>
      <c r="CL291" s="889"/>
      <c r="CM291" s="889"/>
      <c r="CN291" s="889"/>
      <c r="CO291" s="889"/>
      <c r="CP291" s="889"/>
      <c r="CQ291" s="889"/>
      <c r="CR291" s="889"/>
      <c r="CS291" s="889"/>
      <c r="CT291" s="889"/>
      <c r="CU291" s="889"/>
      <c r="CV291" s="889"/>
      <c r="CW291" s="889"/>
      <c r="CX291" s="889"/>
      <c r="CY291" s="889"/>
      <c r="CZ291" s="889"/>
      <c r="DA291" s="889"/>
    </row>
  </sheetData>
  <mergeCells count="67">
    <mergeCell ref="B50:B53"/>
    <mergeCell ref="B54:B57"/>
    <mergeCell ref="B13:C13"/>
    <mergeCell ref="B14:C14"/>
    <mergeCell ref="B15:C15"/>
    <mergeCell ref="B44:B49"/>
    <mergeCell ref="B21:C21"/>
    <mergeCell ref="B24:C24"/>
    <mergeCell ref="B25:C25"/>
    <mergeCell ref="B26:C26"/>
    <mergeCell ref="B6:U6"/>
    <mergeCell ref="B9:C10"/>
    <mergeCell ref="D9:F9"/>
    <mergeCell ref="G9:H9"/>
    <mergeCell ref="I9:J9"/>
    <mergeCell ref="K9:L9"/>
    <mergeCell ref="M9:N9"/>
    <mergeCell ref="O9:P9"/>
    <mergeCell ref="Q9:R9"/>
    <mergeCell ref="B11:C11"/>
    <mergeCell ref="B12:C12"/>
    <mergeCell ref="N28:P28"/>
    <mergeCell ref="B30:B37"/>
    <mergeCell ref="B41:B43"/>
    <mergeCell ref="B38:B40"/>
    <mergeCell ref="B28:C29"/>
    <mergeCell ref="E28:M28"/>
    <mergeCell ref="D28:D29"/>
    <mergeCell ref="C63:D63"/>
    <mergeCell ref="C71:D71"/>
    <mergeCell ref="C72:D72"/>
    <mergeCell ref="C73:D73"/>
    <mergeCell ref="C64:D64"/>
    <mergeCell ref="C65:D65"/>
    <mergeCell ref="C66:D66"/>
    <mergeCell ref="B94:C94"/>
    <mergeCell ref="B90:C92"/>
    <mergeCell ref="D90:D92"/>
    <mergeCell ref="C75:D75"/>
    <mergeCell ref="C76:D76"/>
    <mergeCell ref="B84:B88"/>
    <mergeCell ref="C84:D84"/>
    <mergeCell ref="C85:D85"/>
    <mergeCell ref="C86:D86"/>
    <mergeCell ref="C87:D87"/>
    <mergeCell ref="C88:D88"/>
    <mergeCell ref="C79:D79"/>
    <mergeCell ref="C77:D77"/>
    <mergeCell ref="B63:B83"/>
    <mergeCell ref="C80:D80"/>
    <mergeCell ref="C81:D81"/>
    <mergeCell ref="A9:A10"/>
    <mergeCell ref="C70:D70"/>
    <mergeCell ref="E90:F91"/>
    <mergeCell ref="G90:H91"/>
    <mergeCell ref="B93:C93"/>
    <mergeCell ref="C78:D78"/>
    <mergeCell ref="C74:D74"/>
    <mergeCell ref="C67:D67"/>
    <mergeCell ref="C69:D69"/>
    <mergeCell ref="C68:D68"/>
    <mergeCell ref="B61:B62"/>
    <mergeCell ref="C61:D62"/>
    <mergeCell ref="B58:B59"/>
    <mergeCell ref="E61:E62"/>
    <mergeCell ref="C82:D82"/>
    <mergeCell ref="C83:D83"/>
  </mergeCells>
  <phoneticPr fontId="87" type="noConversion"/>
  <dataValidations count="2">
    <dataValidation operator="greaterThanOrEqual" allowBlank="1" showInputMessage="1" showErrorMessage="1" error="Valor no Permitido" sqref="B1:B5" xr:uid="{00000000-0002-0000-1400-000000000000}"/>
    <dataValidation type="whole" allowBlank="1" showInputMessage="1" showErrorMessage="1" errorTitle="ERROR" error="Por favor ingrese solo Números." sqref="A56:A57 A75:A77" xr:uid="{00000000-0002-0000-1400-000001000000}">
      <formula1>0</formula1>
      <formula2>100000000000</formula2>
    </dataValidation>
  </dataValidations>
  <pageMargins left="0.7" right="0.7" top="0.75" bottom="0.75" header="0.3" footer="0.3"/>
  <pageSetup orientation="portrait" r:id="rId1"/>
  <extLst>
    <ext xmlns:mx="http://schemas.microsoft.com/office/mac/excel/2008/main" uri="{64002731-A6B0-56B0-2670-7721B7C09600}">
      <mx:PLV Mode="0" OnePage="0" WScale="0"/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Hoja23">
    <tabColor theme="0"/>
  </sheetPr>
  <dimension ref="A1:AH181"/>
  <sheetViews>
    <sheetView zoomScaleNormal="100" workbookViewId="0">
      <selection activeCell="A18" sqref="A18"/>
    </sheetView>
  </sheetViews>
  <sheetFormatPr baseColWidth="10" defaultColWidth="11.42578125" defaultRowHeight="14.25" x14ac:dyDescent="0.2"/>
  <cols>
    <col min="1" max="1" width="14.28515625" style="80" customWidth="1"/>
    <col min="2" max="2" width="66.42578125" style="80" customWidth="1"/>
    <col min="3" max="6" width="11.42578125" style="80"/>
    <col min="7" max="7" width="17.7109375" style="80" customWidth="1"/>
    <col min="8" max="8" width="13.42578125" style="80" customWidth="1"/>
    <col min="9" max="9" width="13.28515625" style="80" bestFit="1" customWidth="1"/>
    <col min="10" max="14" width="11.42578125" style="80"/>
    <col min="15" max="15" width="15.42578125" style="80" customWidth="1"/>
    <col min="16" max="22" width="11.42578125" style="80"/>
    <col min="23" max="23" width="11.28515625" style="80" customWidth="1"/>
    <col min="24" max="24" width="12" style="80" customWidth="1"/>
    <col min="25" max="16384" width="11.42578125" style="80"/>
  </cols>
  <sheetData>
    <row r="1" spans="1:32" ht="16.350000000000001" customHeight="1" x14ac:dyDescent="0.2">
      <c r="B1" s="78" t="s">
        <v>910</v>
      </c>
    </row>
    <row r="2" spans="1:32" ht="16.350000000000001" customHeight="1" x14ac:dyDescent="0.2">
      <c r="B2" s="78" t="str">
        <f>CONCATENATE("COMUNA: ",NOMBRE!B2," - ","( ",NOMBRE!C2,NOMBRE!D2,NOMBRE!E2,NOMBRE!F2,NOMBRE!G2," )")</f>
        <v>COMUNA:  - (  )</v>
      </c>
      <c r="E2" s="1891"/>
      <c r="F2" s="1891"/>
    </row>
    <row r="3" spans="1:32" ht="16.350000000000001" customHeight="1" x14ac:dyDescent="0.2">
      <c r="B3" s="78" t="str">
        <f>CONCATENATE("ESTABLECIMIENTO/ESTRATEGIA: ",NOMBRE!B3," - ","( ",NOMBRE!C3,NOMBRE!D3,NOMBRE!E3,NOMBRE!F3,NOMBRE!G3,NOMBRE!H3," )")</f>
        <v>ESTABLECIMIENTO/ESTRATEGIA:  - (  )</v>
      </c>
      <c r="F3" s="1890"/>
      <c r="G3" s="1889"/>
    </row>
    <row r="4" spans="1:32" ht="16.350000000000001" customHeight="1" x14ac:dyDescent="0.2">
      <c r="B4" s="78" t="str">
        <f>CONCATENATE("MES: ",NOMBRE!B6," - ","( ",NOMBRE!C6,NOMBRE!D6," )")</f>
        <v>MES:  - (  )</v>
      </c>
    </row>
    <row r="5" spans="1:32" ht="16.350000000000001" customHeight="1" x14ac:dyDescent="0.2">
      <c r="B5" s="78" t="str">
        <f>CONCATENATE("AÑO: ",NOMBRE!B7)</f>
        <v>AÑO: 2020</v>
      </c>
    </row>
    <row r="6" spans="1:32" ht="15" x14ac:dyDescent="0.2">
      <c r="C6" s="190"/>
      <c r="D6" s="190"/>
      <c r="E6" s="190"/>
      <c r="F6" s="397" t="s">
        <v>906</v>
      </c>
      <c r="G6" s="190"/>
      <c r="H6" s="190"/>
      <c r="I6" s="190"/>
      <c r="J6" s="190"/>
      <c r="K6" s="190"/>
      <c r="L6" s="190"/>
      <c r="M6" s="190"/>
      <c r="N6" s="190"/>
      <c r="O6" s="190"/>
      <c r="P6" s="190"/>
      <c r="Q6" s="190"/>
      <c r="R6" s="190"/>
      <c r="S6" s="190"/>
      <c r="T6" s="190"/>
      <c r="U6" s="190"/>
      <c r="V6" s="190"/>
      <c r="W6" s="190"/>
      <c r="X6" s="190"/>
      <c r="Y6" s="190"/>
      <c r="Z6" s="190"/>
      <c r="AA6" s="190"/>
      <c r="AB6" s="190"/>
      <c r="AC6" s="190"/>
      <c r="AD6" s="190"/>
      <c r="AE6" s="190"/>
      <c r="AF6" s="190"/>
    </row>
    <row r="7" spans="1:32" ht="15" x14ac:dyDescent="0.2">
      <c r="B7" s="397"/>
      <c r="C7" s="190"/>
      <c r="D7" s="190"/>
      <c r="E7" s="190"/>
      <c r="F7" s="190"/>
      <c r="G7" s="190"/>
      <c r="H7" s="190"/>
      <c r="I7" s="190"/>
      <c r="J7" s="190"/>
      <c r="K7" s="190"/>
      <c r="L7" s="190"/>
      <c r="M7" s="190"/>
      <c r="N7" s="190"/>
      <c r="O7" s="190"/>
      <c r="P7" s="190"/>
      <c r="Q7" s="190"/>
      <c r="R7" s="190"/>
      <c r="S7" s="190"/>
      <c r="T7" s="190"/>
      <c r="U7" s="190"/>
      <c r="V7" s="190"/>
      <c r="W7" s="190"/>
      <c r="X7" s="190"/>
      <c r="Y7" s="190"/>
      <c r="Z7" s="190"/>
      <c r="AA7" s="190"/>
      <c r="AB7" s="190"/>
      <c r="AC7" s="190"/>
      <c r="AD7" s="190"/>
      <c r="AE7" s="190"/>
      <c r="AF7" s="190"/>
    </row>
    <row r="8" spans="1:32" ht="15" x14ac:dyDescent="0.2">
      <c r="B8" s="397"/>
      <c r="C8" s="190"/>
      <c r="D8" s="190"/>
      <c r="E8" s="190"/>
      <c r="F8" s="190"/>
      <c r="G8" s="190"/>
      <c r="H8" s="190"/>
      <c r="I8" s="190"/>
      <c r="J8" s="190"/>
      <c r="K8" s="190"/>
      <c r="L8" s="190"/>
      <c r="M8" s="190"/>
      <c r="N8" s="190"/>
      <c r="O8" s="190"/>
      <c r="P8" s="190"/>
      <c r="Q8" s="190"/>
      <c r="R8" s="190"/>
      <c r="S8" s="190"/>
      <c r="T8" s="190"/>
      <c r="U8" s="190"/>
      <c r="V8" s="190"/>
      <c r="W8" s="190"/>
      <c r="X8" s="190"/>
      <c r="Y8" s="190"/>
      <c r="Z8" s="190"/>
      <c r="AA8" s="190"/>
      <c r="AB8" s="190"/>
      <c r="AC8" s="190"/>
      <c r="AD8" s="190"/>
      <c r="AE8" s="190"/>
      <c r="AF8" s="190"/>
    </row>
    <row r="9" spans="1:32" x14ac:dyDescent="0.2">
      <c r="B9" s="470"/>
      <c r="C9" s="190"/>
      <c r="D9" s="190"/>
      <c r="E9" s="190"/>
      <c r="F9" s="190"/>
      <c r="G9" s="190"/>
      <c r="H9" s="190"/>
      <c r="I9" s="190"/>
      <c r="J9" s="190"/>
      <c r="K9" s="190"/>
      <c r="L9" s="190"/>
      <c r="M9" s="190"/>
      <c r="N9" s="190"/>
      <c r="O9" s="190"/>
      <c r="P9" s="190"/>
      <c r="Q9" s="190"/>
      <c r="R9" s="190"/>
      <c r="S9" s="190"/>
      <c r="T9" s="190"/>
      <c r="U9" s="190"/>
      <c r="V9" s="190"/>
      <c r="W9" s="190"/>
      <c r="X9" s="190"/>
      <c r="Y9" s="190"/>
      <c r="Z9" s="190"/>
      <c r="AA9" s="190"/>
      <c r="AB9" s="190"/>
      <c r="AC9" s="190"/>
      <c r="AD9" s="190"/>
      <c r="AE9" s="190"/>
      <c r="AF9" s="190"/>
    </row>
    <row r="10" spans="1:32" ht="32.1" customHeight="1" x14ac:dyDescent="0.2">
      <c r="B10" s="767" t="s">
        <v>2748</v>
      </c>
      <c r="C10" s="767"/>
      <c r="D10" s="767"/>
      <c r="E10" s="767"/>
      <c r="F10" s="767"/>
      <c r="G10" s="190"/>
      <c r="H10" s="190"/>
      <c r="I10" s="190"/>
      <c r="J10" s="190"/>
      <c r="K10" s="190"/>
      <c r="L10" s="190"/>
      <c r="M10" s="190"/>
      <c r="N10" s="190"/>
      <c r="O10" s="190"/>
      <c r="P10" s="190"/>
      <c r="Q10" s="190"/>
      <c r="R10" s="190"/>
      <c r="S10" s="190"/>
      <c r="T10" s="190"/>
      <c r="U10" s="190"/>
      <c r="V10" s="190"/>
      <c r="W10" s="190"/>
      <c r="X10" s="190"/>
      <c r="Y10" s="190"/>
      <c r="Z10" s="190"/>
      <c r="AA10" s="190"/>
      <c r="AB10" s="190"/>
      <c r="AC10" s="190"/>
      <c r="AD10" s="190"/>
      <c r="AE10" s="190"/>
      <c r="AF10" s="190"/>
    </row>
    <row r="11" spans="1:32" hidden="1" x14ac:dyDescent="0.2">
      <c r="B11" s="470"/>
      <c r="C11" s="190"/>
      <c r="D11" s="190"/>
      <c r="E11" s="190"/>
      <c r="F11" s="190"/>
      <c r="G11" s="190"/>
      <c r="H11" s="190"/>
      <c r="I11" s="190"/>
      <c r="J11" s="190"/>
      <c r="K11" s="190"/>
      <c r="L11" s="190"/>
      <c r="M11" s="190"/>
      <c r="N11" s="190"/>
      <c r="O11" s="190"/>
      <c r="P11" s="190"/>
      <c r="Q11" s="190"/>
      <c r="R11" s="190"/>
      <c r="S11" s="190"/>
      <c r="T11" s="190"/>
      <c r="U11" s="190"/>
      <c r="V11" s="190"/>
      <c r="W11" s="190"/>
      <c r="X11" s="190"/>
      <c r="Y11" s="190"/>
      <c r="Z11" s="190"/>
      <c r="AA11" s="190"/>
      <c r="AB11" s="190"/>
      <c r="AC11" s="190"/>
      <c r="AD11" s="190"/>
      <c r="AE11" s="190"/>
      <c r="AF11" s="190"/>
    </row>
    <row r="12" spans="1:32" hidden="1" x14ac:dyDescent="0.2">
      <c r="B12" s="470"/>
      <c r="C12" s="190"/>
      <c r="D12" s="190"/>
      <c r="E12" s="190"/>
      <c r="F12" s="190"/>
      <c r="G12" s="190"/>
      <c r="H12" s="190"/>
      <c r="I12" s="190"/>
      <c r="J12" s="190"/>
      <c r="K12" s="190"/>
      <c r="L12" s="190"/>
      <c r="M12" s="190"/>
      <c r="N12" s="190"/>
      <c r="O12" s="190"/>
      <c r="P12" s="190"/>
      <c r="Q12" s="190"/>
      <c r="R12" s="190"/>
      <c r="S12" s="190"/>
      <c r="T12" s="190"/>
      <c r="U12" s="190"/>
      <c r="V12" s="190"/>
      <c r="W12" s="190"/>
      <c r="X12" s="190"/>
      <c r="Y12" s="190"/>
      <c r="Z12" s="190"/>
      <c r="AA12" s="190"/>
      <c r="AB12" s="190"/>
      <c r="AC12" s="190"/>
      <c r="AD12" s="190"/>
      <c r="AE12" s="190"/>
      <c r="AF12" s="190"/>
    </row>
    <row r="13" spans="1:32" hidden="1" x14ac:dyDescent="0.2">
      <c r="B13" s="470"/>
      <c r="C13" s="190"/>
      <c r="D13" s="190"/>
      <c r="E13" s="190"/>
      <c r="F13" s="190"/>
      <c r="G13" s="190"/>
      <c r="H13" s="190"/>
      <c r="I13" s="190"/>
      <c r="J13" s="190"/>
      <c r="K13" s="190"/>
      <c r="L13" s="190"/>
      <c r="M13" s="190"/>
      <c r="N13" s="190"/>
      <c r="O13" s="190"/>
      <c r="P13" s="190"/>
      <c r="Q13" s="190"/>
      <c r="R13" s="190"/>
      <c r="S13" s="190"/>
      <c r="T13" s="190"/>
      <c r="U13" s="190"/>
      <c r="V13" s="190"/>
      <c r="W13" s="190"/>
      <c r="X13" s="190"/>
      <c r="Y13" s="190"/>
      <c r="Z13" s="190"/>
      <c r="AA13" s="190"/>
      <c r="AB13" s="190"/>
      <c r="AC13" s="190"/>
      <c r="AD13" s="190"/>
      <c r="AE13" s="190"/>
      <c r="AF13" s="190"/>
    </row>
    <row r="14" spans="1:32" ht="53.25" customHeight="1" x14ac:dyDescent="0.2">
      <c r="A14" s="5168" t="s">
        <v>2775</v>
      </c>
      <c r="B14" s="6106" t="s">
        <v>850</v>
      </c>
      <c r="C14" s="6869" t="s">
        <v>1398</v>
      </c>
      <c r="D14" s="6848"/>
      <c r="E14" s="6848"/>
      <c r="F14" s="6329"/>
      <c r="G14" s="6251" t="s">
        <v>1399</v>
      </c>
      <c r="H14" s="6848"/>
      <c r="I14" s="6848"/>
      <c r="J14" s="6329"/>
      <c r="K14" s="6848" t="s">
        <v>1400</v>
      </c>
      <c r="L14" s="6848"/>
      <c r="M14" s="6848"/>
      <c r="N14" s="6848"/>
      <c r="O14" s="6234" t="s">
        <v>816</v>
      </c>
      <c r="P14" s="6776"/>
      <c r="Q14" s="6236"/>
      <c r="R14" s="6850" t="s">
        <v>1404</v>
      </c>
      <c r="S14" s="6848"/>
      <c r="T14" s="6848"/>
      <c r="U14" s="6849"/>
      <c r="V14" s="6828" t="s">
        <v>816</v>
      </c>
      <c r="W14" s="6776"/>
      <c r="X14" s="6236"/>
      <c r="Y14" s="6850" t="s">
        <v>1406</v>
      </c>
      <c r="Z14" s="6776"/>
      <c r="AA14" s="6776"/>
      <c r="AB14" s="6237"/>
    </row>
    <row r="15" spans="1:32" ht="14.25" customHeight="1" x14ac:dyDescent="0.2">
      <c r="A15" s="5168"/>
      <c r="B15" s="5103"/>
      <c r="C15" s="6135" t="s">
        <v>814</v>
      </c>
      <c r="D15" s="5162"/>
      <c r="E15" s="5160" t="s">
        <v>815</v>
      </c>
      <c r="F15" s="5162"/>
      <c r="G15" s="5160" t="s">
        <v>814</v>
      </c>
      <c r="H15" s="5162"/>
      <c r="I15" s="5160" t="s">
        <v>815</v>
      </c>
      <c r="J15" s="5162"/>
      <c r="K15" s="6321" t="s">
        <v>814</v>
      </c>
      <c r="L15" s="5162"/>
      <c r="M15" s="5160" t="s">
        <v>815</v>
      </c>
      <c r="N15" s="6321"/>
      <c r="O15" s="6859" t="s">
        <v>1229</v>
      </c>
      <c r="P15" s="6861" t="s">
        <v>1403</v>
      </c>
      <c r="Q15" s="6849"/>
      <c r="R15" s="6758" t="s">
        <v>814</v>
      </c>
      <c r="S15" s="5162"/>
      <c r="T15" s="5160" t="s">
        <v>815</v>
      </c>
      <c r="U15" s="6212"/>
      <c r="V15" s="6859" t="s">
        <v>1229</v>
      </c>
      <c r="W15" s="6861" t="s">
        <v>1403</v>
      </c>
      <c r="X15" s="6849"/>
      <c r="Y15" s="6758" t="s">
        <v>814</v>
      </c>
      <c r="Z15" s="5162"/>
      <c r="AA15" s="5160" t="s">
        <v>815</v>
      </c>
      <c r="AB15" s="5162"/>
    </row>
    <row r="16" spans="1:32" ht="14.25" customHeight="1" x14ac:dyDescent="0.2">
      <c r="B16" s="5343"/>
      <c r="C16" s="3634" t="s">
        <v>24</v>
      </c>
      <c r="D16" s="1861" t="s">
        <v>25</v>
      </c>
      <c r="E16" s="1598" t="s">
        <v>24</v>
      </c>
      <c r="F16" s="1861" t="s">
        <v>25</v>
      </c>
      <c r="G16" s="1598" t="s">
        <v>24</v>
      </c>
      <c r="H16" s="1861" t="s">
        <v>25</v>
      </c>
      <c r="I16" s="1598" t="s">
        <v>24</v>
      </c>
      <c r="J16" s="1861" t="s">
        <v>25</v>
      </c>
      <c r="K16" s="1600" t="s">
        <v>24</v>
      </c>
      <c r="L16" s="1861" t="s">
        <v>25</v>
      </c>
      <c r="M16" s="1598" t="s">
        <v>24</v>
      </c>
      <c r="N16" s="1887" t="s">
        <v>25</v>
      </c>
      <c r="O16" s="6860"/>
      <c r="P16" s="1733" t="s">
        <v>1402</v>
      </c>
      <c r="Q16" s="777" t="s">
        <v>1401</v>
      </c>
      <c r="R16" s="619" t="s">
        <v>24</v>
      </c>
      <c r="S16" s="1861" t="s">
        <v>25</v>
      </c>
      <c r="T16" s="1598" t="s">
        <v>24</v>
      </c>
      <c r="U16" s="620" t="s">
        <v>25</v>
      </c>
      <c r="V16" s="6860"/>
      <c r="W16" s="1733" t="s">
        <v>1402</v>
      </c>
      <c r="X16" s="777" t="s">
        <v>1401</v>
      </c>
      <c r="Y16" s="619" t="s">
        <v>24</v>
      </c>
      <c r="Z16" s="1861" t="s">
        <v>25</v>
      </c>
      <c r="AA16" s="1598" t="s">
        <v>24</v>
      </c>
      <c r="AB16" s="1861" t="s">
        <v>25</v>
      </c>
    </row>
    <row r="17" spans="1:32" s="3157" customFormat="1" ht="16.5" customHeight="1" x14ac:dyDescent="0.25">
      <c r="A17" s="3168"/>
      <c r="B17" s="3636" t="s">
        <v>42</v>
      </c>
      <c r="C17" s="3641">
        <f t="shared" ref="C17:AB17" si="0">SUM(C18:C77)</f>
        <v>0</v>
      </c>
      <c r="D17" s="2961">
        <f t="shared" si="0"/>
        <v>0</v>
      </c>
      <c r="E17" s="3642">
        <f t="shared" si="0"/>
        <v>0</v>
      </c>
      <c r="F17" s="2961">
        <f t="shared" si="0"/>
        <v>0</v>
      </c>
      <c r="G17" s="3642">
        <f t="shared" si="0"/>
        <v>0</v>
      </c>
      <c r="H17" s="2961">
        <f t="shared" si="0"/>
        <v>0</v>
      </c>
      <c r="I17" s="3642">
        <f t="shared" si="0"/>
        <v>0</v>
      </c>
      <c r="J17" s="2961">
        <f t="shared" si="0"/>
        <v>0</v>
      </c>
      <c r="K17" s="3641">
        <f t="shared" si="0"/>
        <v>0</v>
      </c>
      <c r="L17" s="2961">
        <f t="shared" si="0"/>
        <v>0</v>
      </c>
      <c r="M17" s="3642">
        <f t="shared" si="0"/>
        <v>0</v>
      </c>
      <c r="N17" s="3643">
        <f t="shared" si="0"/>
        <v>0</v>
      </c>
      <c r="O17" s="3644">
        <f t="shared" si="0"/>
        <v>0</v>
      </c>
      <c r="P17" s="3641">
        <f t="shared" si="0"/>
        <v>0</v>
      </c>
      <c r="Q17" s="3645">
        <f t="shared" si="0"/>
        <v>0</v>
      </c>
      <c r="R17" s="3646">
        <f t="shared" si="0"/>
        <v>0</v>
      </c>
      <c r="S17" s="2961">
        <f t="shared" si="0"/>
        <v>0</v>
      </c>
      <c r="T17" s="3642">
        <f t="shared" si="0"/>
        <v>0</v>
      </c>
      <c r="U17" s="3647">
        <f t="shared" si="0"/>
        <v>0</v>
      </c>
      <c r="V17" s="3644">
        <f t="shared" si="0"/>
        <v>0</v>
      </c>
      <c r="W17" s="3641">
        <f t="shared" si="0"/>
        <v>0</v>
      </c>
      <c r="X17" s="3645">
        <f t="shared" si="0"/>
        <v>0</v>
      </c>
      <c r="Y17" s="3646">
        <f t="shared" si="0"/>
        <v>0</v>
      </c>
      <c r="Z17" s="2961">
        <f t="shared" si="0"/>
        <v>0</v>
      </c>
      <c r="AA17" s="3642">
        <f t="shared" si="0"/>
        <v>0</v>
      </c>
      <c r="AB17" s="2961">
        <f t="shared" si="0"/>
        <v>0</v>
      </c>
    </row>
    <row r="18" spans="1:32" x14ac:dyDescent="0.2">
      <c r="A18" s="3097">
        <v>30000000</v>
      </c>
      <c r="B18" s="3639" t="s">
        <v>531</v>
      </c>
      <c r="C18" s="3635" t="s">
        <v>2777</v>
      </c>
      <c r="D18" s="123" t="s">
        <v>2778</v>
      </c>
      <c r="E18" s="137" t="s">
        <v>2779</v>
      </c>
      <c r="F18" s="123" t="s">
        <v>2780</v>
      </c>
      <c r="G18" s="137" t="s">
        <v>2781</v>
      </c>
      <c r="H18" s="123" t="s">
        <v>2782</v>
      </c>
      <c r="I18" s="137" t="s">
        <v>2783</v>
      </c>
      <c r="J18" s="123" t="s">
        <v>2784</v>
      </c>
      <c r="K18" s="1888" t="s">
        <v>2785</v>
      </c>
      <c r="L18" s="1863" t="s">
        <v>2786</v>
      </c>
      <c r="M18" s="1862" t="s">
        <v>2787</v>
      </c>
      <c r="N18" s="589" t="s">
        <v>2788</v>
      </c>
      <c r="O18" s="624" t="s">
        <v>2789</v>
      </c>
      <c r="P18" s="1616" t="s">
        <v>2790</v>
      </c>
      <c r="Q18" s="123" t="s">
        <v>2791</v>
      </c>
      <c r="R18" s="624" t="s">
        <v>2792</v>
      </c>
      <c r="S18" s="123" t="s">
        <v>2793</v>
      </c>
      <c r="T18" s="137" t="s">
        <v>2794</v>
      </c>
      <c r="U18" s="517" t="s">
        <v>2795</v>
      </c>
      <c r="V18" s="624" t="s">
        <v>2796</v>
      </c>
      <c r="W18" s="1616" t="s">
        <v>2797</v>
      </c>
      <c r="X18" s="123" t="s">
        <v>2798</v>
      </c>
      <c r="Y18" s="625" t="s">
        <v>2799</v>
      </c>
      <c r="Z18" s="626" t="s">
        <v>2800</v>
      </c>
      <c r="AA18" s="627" t="s">
        <v>2801</v>
      </c>
      <c r="AB18" s="626" t="s">
        <v>2817</v>
      </c>
    </row>
    <row r="19" spans="1:32" x14ac:dyDescent="0.2">
      <c r="A19" s="3097">
        <v>30000001</v>
      </c>
      <c r="B19" s="1004" t="s">
        <v>529</v>
      </c>
      <c r="C19" s="144" t="s">
        <v>2777</v>
      </c>
      <c r="D19" s="183" t="s">
        <v>2778</v>
      </c>
      <c r="E19" s="182" t="s">
        <v>2779</v>
      </c>
      <c r="F19" s="183" t="s">
        <v>2780</v>
      </c>
      <c r="G19" s="182" t="s">
        <v>2781</v>
      </c>
      <c r="H19" s="183" t="s">
        <v>2782</v>
      </c>
      <c r="I19" s="182" t="s">
        <v>2783</v>
      </c>
      <c r="J19" s="183" t="s">
        <v>2784</v>
      </c>
      <c r="K19" s="628" t="s">
        <v>2785</v>
      </c>
      <c r="L19" s="629" t="s">
        <v>2786</v>
      </c>
      <c r="M19" s="630" t="s">
        <v>2787</v>
      </c>
      <c r="N19" s="631" t="s">
        <v>2788</v>
      </c>
      <c r="O19" s="598" t="s">
        <v>2789</v>
      </c>
      <c r="P19" s="148" t="s">
        <v>2790</v>
      </c>
      <c r="Q19" s="183" t="s">
        <v>2791</v>
      </c>
      <c r="R19" s="598" t="s">
        <v>2792</v>
      </c>
      <c r="S19" s="183" t="s">
        <v>2793</v>
      </c>
      <c r="T19" s="182" t="s">
        <v>2794</v>
      </c>
      <c r="U19" s="593" t="s">
        <v>2795</v>
      </c>
      <c r="V19" s="598" t="s">
        <v>2796</v>
      </c>
      <c r="W19" s="148" t="s">
        <v>2797</v>
      </c>
      <c r="X19" s="183" t="s">
        <v>2798</v>
      </c>
      <c r="Y19" s="632" t="s">
        <v>2799</v>
      </c>
      <c r="Z19" s="633" t="s">
        <v>2800</v>
      </c>
      <c r="AA19" s="634" t="s">
        <v>2801</v>
      </c>
      <c r="AB19" s="633" t="s">
        <v>2817</v>
      </c>
    </row>
    <row r="20" spans="1:32" x14ac:dyDescent="0.2">
      <c r="A20" s="3097">
        <v>30000002</v>
      </c>
      <c r="B20" s="140" t="s">
        <v>723</v>
      </c>
      <c r="C20" s="144" t="s">
        <v>2777</v>
      </c>
      <c r="D20" s="183" t="s">
        <v>2778</v>
      </c>
      <c r="E20" s="182" t="s">
        <v>2779</v>
      </c>
      <c r="F20" s="183" t="s">
        <v>2780</v>
      </c>
      <c r="G20" s="182" t="s">
        <v>2781</v>
      </c>
      <c r="H20" s="183" t="s">
        <v>2782</v>
      </c>
      <c r="I20" s="182" t="s">
        <v>2783</v>
      </c>
      <c r="J20" s="183" t="s">
        <v>2784</v>
      </c>
      <c r="K20" s="628" t="s">
        <v>2785</v>
      </c>
      <c r="L20" s="629" t="s">
        <v>2786</v>
      </c>
      <c r="M20" s="630" t="s">
        <v>2787</v>
      </c>
      <c r="N20" s="631" t="s">
        <v>2788</v>
      </c>
      <c r="O20" s="598" t="s">
        <v>2789</v>
      </c>
      <c r="P20" s="148" t="s">
        <v>2790</v>
      </c>
      <c r="Q20" s="183" t="s">
        <v>2791</v>
      </c>
      <c r="R20" s="598" t="s">
        <v>2792</v>
      </c>
      <c r="S20" s="183" t="s">
        <v>2793</v>
      </c>
      <c r="T20" s="182" t="s">
        <v>2794</v>
      </c>
      <c r="U20" s="593" t="s">
        <v>2795</v>
      </c>
      <c r="V20" s="598" t="s">
        <v>2796</v>
      </c>
      <c r="W20" s="148" t="s">
        <v>2797</v>
      </c>
      <c r="X20" s="183" t="s">
        <v>2798</v>
      </c>
      <c r="Y20" s="632" t="s">
        <v>2799</v>
      </c>
      <c r="Z20" s="633" t="s">
        <v>2800</v>
      </c>
      <c r="AA20" s="634" t="s">
        <v>2801</v>
      </c>
      <c r="AB20" s="633" t="s">
        <v>2817</v>
      </c>
    </row>
    <row r="21" spans="1:32" x14ac:dyDescent="0.2">
      <c r="A21" s="3097">
        <v>30000003</v>
      </c>
      <c r="B21" s="140" t="s">
        <v>988</v>
      </c>
      <c r="C21" s="144" t="s">
        <v>2777</v>
      </c>
      <c r="D21" s="183" t="s">
        <v>2778</v>
      </c>
      <c r="E21" s="182" t="s">
        <v>2779</v>
      </c>
      <c r="F21" s="183" t="s">
        <v>2780</v>
      </c>
      <c r="G21" s="182" t="s">
        <v>2781</v>
      </c>
      <c r="H21" s="183" t="s">
        <v>2782</v>
      </c>
      <c r="I21" s="182" t="s">
        <v>2783</v>
      </c>
      <c r="J21" s="183" t="s">
        <v>2784</v>
      </c>
      <c r="K21" s="628" t="s">
        <v>2785</v>
      </c>
      <c r="L21" s="629" t="s">
        <v>2786</v>
      </c>
      <c r="M21" s="630" t="s">
        <v>2787</v>
      </c>
      <c r="N21" s="631" t="s">
        <v>2788</v>
      </c>
      <c r="O21" s="598" t="s">
        <v>2789</v>
      </c>
      <c r="P21" s="148" t="s">
        <v>2790</v>
      </c>
      <c r="Q21" s="183" t="s">
        <v>2791</v>
      </c>
      <c r="R21" s="598" t="s">
        <v>2792</v>
      </c>
      <c r="S21" s="183" t="s">
        <v>2793</v>
      </c>
      <c r="T21" s="182" t="s">
        <v>2794</v>
      </c>
      <c r="U21" s="593" t="s">
        <v>2795</v>
      </c>
      <c r="V21" s="598" t="s">
        <v>2796</v>
      </c>
      <c r="W21" s="148" t="s">
        <v>2797</v>
      </c>
      <c r="X21" s="183" t="s">
        <v>2798</v>
      </c>
      <c r="Y21" s="632" t="s">
        <v>2799</v>
      </c>
      <c r="Z21" s="633" t="s">
        <v>2800</v>
      </c>
      <c r="AA21" s="634" t="s">
        <v>2801</v>
      </c>
      <c r="AB21" s="633" t="s">
        <v>2817</v>
      </c>
    </row>
    <row r="22" spans="1:32" x14ac:dyDescent="0.2">
      <c r="A22" s="3097">
        <v>30000004</v>
      </c>
      <c r="B22" s="140" t="s">
        <v>989</v>
      </c>
      <c r="C22" s="144" t="s">
        <v>2777</v>
      </c>
      <c r="D22" s="183" t="s">
        <v>2778</v>
      </c>
      <c r="E22" s="182" t="s">
        <v>2779</v>
      </c>
      <c r="F22" s="183" t="s">
        <v>2780</v>
      </c>
      <c r="G22" s="182" t="s">
        <v>2781</v>
      </c>
      <c r="H22" s="183" t="s">
        <v>2782</v>
      </c>
      <c r="I22" s="182" t="s">
        <v>2783</v>
      </c>
      <c r="J22" s="183" t="s">
        <v>2784</v>
      </c>
      <c r="K22" s="628" t="s">
        <v>2785</v>
      </c>
      <c r="L22" s="629" t="s">
        <v>2786</v>
      </c>
      <c r="M22" s="630" t="s">
        <v>2787</v>
      </c>
      <c r="N22" s="631" t="s">
        <v>2788</v>
      </c>
      <c r="O22" s="598" t="s">
        <v>2789</v>
      </c>
      <c r="P22" s="148" t="s">
        <v>2790</v>
      </c>
      <c r="Q22" s="183" t="s">
        <v>2791</v>
      </c>
      <c r="R22" s="598" t="s">
        <v>2792</v>
      </c>
      <c r="S22" s="183" t="s">
        <v>2793</v>
      </c>
      <c r="T22" s="182" t="s">
        <v>2794</v>
      </c>
      <c r="U22" s="593" t="s">
        <v>2795</v>
      </c>
      <c r="V22" s="598" t="s">
        <v>2796</v>
      </c>
      <c r="W22" s="148" t="s">
        <v>2797</v>
      </c>
      <c r="X22" s="183" t="s">
        <v>2798</v>
      </c>
      <c r="Y22" s="632" t="s">
        <v>2799</v>
      </c>
      <c r="Z22" s="633" t="s">
        <v>2800</v>
      </c>
      <c r="AA22" s="634" t="s">
        <v>2801</v>
      </c>
      <c r="AB22" s="633" t="s">
        <v>2817</v>
      </c>
    </row>
    <row r="23" spans="1:32" x14ac:dyDescent="0.2">
      <c r="A23" s="3097">
        <v>30000005</v>
      </c>
      <c r="B23" s="140" t="s">
        <v>990</v>
      </c>
      <c r="C23" s="144" t="s">
        <v>2777</v>
      </c>
      <c r="D23" s="183" t="s">
        <v>2778</v>
      </c>
      <c r="E23" s="182" t="s">
        <v>2779</v>
      </c>
      <c r="F23" s="183" t="s">
        <v>2780</v>
      </c>
      <c r="G23" s="182" t="s">
        <v>2781</v>
      </c>
      <c r="H23" s="183" t="s">
        <v>2782</v>
      </c>
      <c r="I23" s="182" t="s">
        <v>2783</v>
      </c>
      <c r="J23" s="183" t="s">
        <v>2784</v>
      </c>
      <c r="K23" s="628" t="s">
        <v>2785</v>
      </c>
      <c r="L23" s="629" t="s">
        <v>2786</v>
      </c>
      <c r="M23" s="630" t="s">
        <v>2787</v>
      </c>
      <c r="N23" s="631" t="s">
        <v>2788</v>
      </c>
      <c r="O23" s="598" t="s">
        <v>2789</v>
      </c>
      <c r="P23" s="148" t="s">
        <v>2790</v>
      </c>
      <c r="Q23" s="183" t="s">
        <v>2791</v>
      </c>
      <c r="R23" s="598" t="s">
        <v>2792</v>
      </c>
      <c r="S23" s="183" t="s">
        <v>2793</v>
      </c>
      <c r="T23" s="182" t="s">
        <v>2794</v>
      </c>
      <c r="U23" s="593" t="s">
        <v>2795</v>
      </c>
      <c r="V23" s="598" t="s">
        <v>2796</v>
      </c>
      <c r="W23" s="148" t="s">
        <v>2797</v>
      </c>
      <c r="X23" s="183" t="s">
        <v>2798</v>
      </c>
      <c r="Y23" s="632" t="s">
        <v>2799</v>
      </c>
      <c r="Z23" s="633" t="s">
        <v>2800</v>
      </c>
      <c r="AA23" s="634" t="s">
        <v>2801</v>
      </c>
      <c r="AB23" s="633" t="s">
        <v>2817</v>
      </c>
    </row>
    <row r="24" spans="1:32" x14ac:dyDescent="0.2">
      <c r="A24" s="3097">
        <v>30000006</v>
      </c>
      <c r="B24" s="1004" t="s">
        <v>1664</v>
      </c>
      <c r="C24" s="144" t="s">
        <v>2777</v>
      </c>
      <c r="D24" s="183" t="s">
        <v>2778</v>
      </c>
      <c r="E24" s="182" t="s">
        <v>2779</v>
      </c>
      <c r="F24" s="183" t="s">
        <v>2780</v>
      </c>
      <c r="G24" s="182" t="s">
        <v>2781</v>
      </c>
      <c r="H24" s="183" t="s">
        <v>2782</v>
      </c>
      <c r="I24" s="182" t="s">
        <v>2783</v>
      </c>
      <c r="J24" s="183" t="s">
        <v>2784</v>
      </c>
      <c r="K24" s="628" t="s">
        <v>2785</v>
      </c>
      <c r="L24" s="629" t="s">
        <v>2786</v>
      </c>
      <c r="M24" s="630" t="s">
        <v>2787</v>
      </c>
      <c r="N24" s="631" t="s">
        <v>2788</v>
      </c>
      <c r="O24" s="598" t="s">
        <v>2789</v>
      </c>
      <c r="P24" s="148" t="s">
        <v>2790</v>
      </c>
      <c r="Q24" s="183" t="s">
        <v>2791</v>
      </c>
      <c r="R24" s="598" t="s">
        <v>2792</v>
      </c>
      <c r="S24" s="183" t="s">
        <v>2793</v>
      </c>
      <c r="T24" s="182" t="s">
        <v>2794</v>
      </c>
      <c r="U24" s="593" t="s">
        <v>2795</v>
      </c>
      <c r="V24" s="598" t="s">
        <v>2796</v>
      </c>
      <c r="W24" s="148" t="s">
        <v>2797</v>
      </c>
      <c r="X24" s="183" t="s">
        <v>2798</v>
      </c>
      <c r="Y24" s="632" t="s">
        <v>2799</v>
      </c>
      <c r="Z24" s="633" t="s">
        <v>2800</v>
      </c>
      <c r="AA24" s="634" t="s">
        <v>2801</v>
      </c>
      <c r="AB24" s="633" t="s">
        <v>2817</v>
      </c>
    </row>
    <row r="25" spans="1:32" x14ac:dyDescent="0.2">
      <c r="A25" s="3097">
        <v>30000007</v>
      </c>
      <c r="B25" s="140" t="s">
        <v>991</v>
      </c>
      <c r="C25" s="144" t="s">
        <v>2777</v>
      </c>
      <c r="D25" s="183" t="s">
        <v>2778</v>
      </c>
      <c r="E25" s="182" t="s">
        <v>2779</v>
      </c>
      <c r="F25" s="183" t="s">
        <v>2780</v>
      </c>
      <c r="G25" s="182" t="s">
        <v>2781</v>
      </c>
      <c r="H25" s="183" t="s">
        <v>2782</v>
      </c>
      <c r="I25" s="182" t="s">
        <v>2783</v>
      </c>
      <c r="J25" s="183" t="s">
        <v>2784</v>
      </c>
      <c r="K25" s="628" t="s">
        <v>2785</v>
      </c>
      <c r="L25" s="629" t="s">
        <v>2786</v>
      </c>
      <c r="M25" s="630" t="s">
        <v>2787</v>
      </c>
      <c r="N25" s="631" t="s">
        <v>2788</v>
      </c>
      <c r="O25" s="598" t="s">
        <v>2789</v>
      </c>
      <c r="P25" s="148" t="s">
        <v>2790</v>
      </c>
      <c r="Q25" s="183" t="s">
        <v>2791</v>
      </c>
      <c r="R25" s="598" t="s">
        <v>2792</v>
      </c>
      <c r="S25" s="183" t="s">
        <v>2793</v>
      </c>
      <c r="T25" s="182" t="s">
        <v>2794</v>
      </c>
      <c r="U25" s="593" t="s">
        <v>2795</v>
      </c>
      <c r="V25" s="598" t="s">
        <v>2796</v>
      </c>
      <c r="W25" s="148" t="s">
        <v>2797</v>
      </c>
      <c r="X25" s="183" t="s">
        <v>2798</v>
      </c>
      <c r="Y25" s="632" t="s">
        <v>2799</v>
      </c>
      <c r="Z25" s="633" t="s">
        <v>2800</v>
      </c>
      <c r="AA25" s="634" t="s">
        <v>2801</v>
      </c>
      <c r="AB25" s="633" t="s">
        <v>2817</v>
      </c>
    </row>
    <row r="26" spans="1:32" x14ac:dyDescent="0.2">
      <c r="A26" s="3097">
        <v>30000008</v>
      </c>
      <c r="B26" s="140" t="s">
        <v>992</v>
      </c>
      <c r="C26" s="144" t="s">
        <v>2777</v>
      </c>
      <c r="D26" s="183" t="s">
        <v>2778</v>
      </c>
      <c r="E26" s="182" t="s">
        <v>2779</v>
      </c>
      <c r="F26" s="183" t="s">
        <v>2780</v>
      </c>
      <c r="G26" s="182" t="s">
        <v>2781</v>
      </c>
      <c r="H26" s="183" t="s">
        <v>2782</v>
      </c>
      <c r="I26" s="182" t="s">
        <v>2783</v>
      </c>
      <c r="J26" s="183" t="s">
        <v>2784</v>
      </c>
      <c r="K26" s="628" t="s">
        <v>2785</v>
      </c>
      <c r="L26" s="629" t="s">
        <v>2786</v>
      </c>
      <c r="M26" s="630" t="s">
        <v>2787</v>
      </c>
      <c r="N26" s="631" t="s">
        <v>2788</v>
      </c>
      <c r="O26" s="598" t="s">
        <v>2789</v>
      </c>
      <c r="P26" s="148" t="s">
        <v>2790</v>
      </c>
      <c r="Q26" s="183" t="s">
        <v>2791</v>
      </c>
      <c r="R26" s="598" t="s">
        <v>2792</v>
      </c>
      <c r="S26" s="183" t="s">
        <v>2793</v>
      </c>
      <c r="T26" s="182" t="s">
        <v>2794</v>
      </c>
      <c r="U26" s="593" t="s">
        <v>2795</v>
      </c>
      <c r="V26" s="598" t="s">
        <v>2796</v>
      </c>
      <c r="W26" s="148" t="s">
        <v>2797</v>
      </c>
      <c r="X26" s="183" t="s">
        <v>2798</v>
      </c>
      <c r="Y26" s="632" t="s">
        <v>2799</v>
      </c>
      <c r="Z26" s="633" t="s">
        <v>2800</v>
      </c>
      <c r="AA26" s="634" t="s">
        <v>2801</v>
      </c>
      <c r="AB26" s="633" t="s">
        <v>2817</v>
      </c>
      <c r="AC26" s="378"/>
      <c r="AD26" s="378"/>
      <c r="AE26" s="378"/>
      <c r="AF26" s="378"/>
    </row>
    <row r="27" spans="1:32" x14ac:dyDescent="0.2">
      <c r="A27" s="3097">
        <v>30000009</v>
      </c>
      <c r="B27" s="140" t="s">
        <v>993</v>
      </c>
      <c r="C27" s="144" t="s">
        <v>2777</v>
      </c>
      <c r="D27" s="183" t="s">
        <v>2778</v>
      </c>
      <c r="E27" s="182" t="s">
        <v>2779</v>
      </c>
      <c r="F27" s="183" t="s">
        <v>2780</v>
      </c>
      <c r="G27" s="182" t="s">
        <v>2781</v>
      </c>
      <c r="H27" s="183" t="s">
        <v>2782</v>
      </c>
      <c r="I27" s="182" t="s">
        <v>2783</v>
      </c>
      <c r="J27" s="183" t="s">
        <v>2784</v>
      </c>
      <c r="K27" s="628" t="s">
        <v>2785</v>
      </c>
      <c r="L27" s="629" t="s">
        <v>2786</v>
      </c>
      <c r="M27" s="630" t="s">
        <v>2787</v>
      </c>
      <c r="N27" s="631" t="s">
        <v>2788</v>
      </c>
      <c r="O27" s="598" t="s">
        <v>2789</v>
      </c>
      <c r="P27" s="148" t="s">
        <v>2790</v>
      </c>
      <c r="Q27" s="183" t="s">
        <v>2791</v>
      </c>
      <c r="R27" s="598" t="s">
        <v>2792</v>
      </c>
      <c r="S27" s="183" t="s">
        <v>2793</v>
      </c>
      <c r="T27" s="182" t="s">
        <v>2794</v>
      </c>
      <c r="U27" s="593" t="s">
        <v>2795</v>
      </c>
      <c r="V27" s="598" t="s">
        <v>2796</v>
      </c>
      <c r="W27" s="148" t="s">
        <v>2797</v>
      </c>
      <c r="X27" s="183" t="s">
        <v>2798</v>
      </c>
      <c r="Y27" s="632" t="s">
        <v>2799</v>
      </c>
      <c r="Z27" s="633" t="s">
        <v>2800</v>
      </c>
      <c r="AA27" s="634" t="s">
        <v>2801</v>
      </c>
      <c r="AB27" s="633" t="s">
        <v>2817</v>
      </c>
      <c r="AC27" s="378"/>
      <c r="AD27" s="378"/>
      <c r="AE27" s="378"/>
      <c r="AF27" s="378"/>
    </row>
    <row r="28" spans="1:32" x14ac:dyDescent="0.2">
      <c r="A28" s="3097">
        <v>30000010</v>
      </c>
      <c r="B28" s="140" t="s">
        <v>994</v>
      </c>
      <c r="C28" s="144" t="s">
        <v>2777</v>
      </c>
      <c r="D28" s="183" t="s">
        <v>2778</v>
      </c>
      <c r="E28" s="182" t="s">
        <v>2779</v>
      </c>
      <c r="F28" s="183" t="s">
        <v>2780</v>
      </c>
      <c r="G28" s="182" t="s">
        <v>2781</v>
      </c>
      <c r="H28" s="183" t="s">
        <v>2782</v>
      </c>
      <c r="I28" s="182" t="s">
        <v>2783</v>
      </c>
      <c r="J28" s="183" t="s">
        <v>2784</v>
      </c>
      <c r="K28" s="628" t="s">
        <v>2785</v>
      </c>
      <c r="L28" s="629" t="s">
        <v>2786</v>
      </c>
      <c r="M28" s="630" t="s">
        <v>2787</v>
      </c>
      <c r="N28" s="631" t="s">
        <v>2788</v>
      </c>
      <c r="O28" s="598" t="s">
        <v>2789</v>
      </c>
      <c r="P28" s="148" t="s">
        <v>2790</v>
      </c>
      <c r="Q28" s="183" t="s">
        <v>2791</v>
      </c>
      <c r="R28" s="598" t="s">
        <v>2792</v>
      </c>
      <c r="S28" s="183" t="s">
        <v>2793</v>
      </c>
      <c r="T28" s="182" t="s">
        <v>2794</v>
      </c>
      <c r="U28" s="593" t="s">
        <v>2795</v>
      </c>
      <c r="V28" s="598" t="s">
        <v>2796</v>
      </c>
      <c r="W28" s="148" t="s">
        <v>2797</v>
      </c>
      <c r="X28" s="183" t="s">
        <v>2798</v>
      </c>
      <c r="Y28" s="632" t="s">
        <v>2799</v>
      </c>
      <c r="Z28" s="633" t="s">
        <v>2800</v>
      </c>
      <c r="AA28" s="634" t="s">
        <v>2801</v>
      </c>
      <c r="AB28" s="633" t="s">
        <v>2817</v>
      </c>
      <c r="AC28" s="378"/>
      <c r="AD28" s="378"/>
      <c r="AE28" s="378"/>
      <c r="AF28" s="378"/>
    </row>
    <row r="29" spans="1:32" x14ac:dyDescent="0.2">
      <c r="A29" s="3097">
        <v>30000011</v>
      </c>
      <c r="B29" s="140" t="s">
        <v>995</v>
      </c>
      <c r="C29" s="144" t="s">
        <v>2777</v>
      </c>
      <c r="D29" s="183" t="s">
        <v>2778</v>
      </c>
      <c r="E29" s="182" t="s">
        <v>2779</v>
      </c>
      <c r="F29" s="183" t="s">
        <v>2780</v>
      </c>
      <c r="G29" s="182" t="s">
        <v>2781</v>
      </c>
      <c r="H29" s="183" t="s">
        <v>2782</v>
      </c>
      <c r="I29" s="182" t="s">
        <v>2783</v>
      </c>
      <c r="J29" s="183" t="s">
        <v>2784</v>
      </c>
      <c r="K29" s="628" t="s">
        <v>2785</v>
      </c>
      <c r="L29" s="629" t="s">
        <v>2786</v>
      </c>
      <c r="M29" s="630" t="s">
        <v>2787</v>
      </c>
      <c r="N29" s="631" t="s">
        <v>2788</v>
      </c>
      <c r="O29" s="598" t="s">
        <v>2789</v>
      </c>
      <c r="P29" s="148" t="s">
        <v>2790</v>
      </c>
      <c r="Q29" s="183" t="s">
        <v>2791</v>
      </c>
      <c r="R29" s="598" t="s">
        <v>2792</v>
      </c>
      <c r="S29" s="183" t="s">
        <v>2793</v>
      </c>
      <c r="T29" s="182" t="s">
        <v>2794</v>
      </c>
      <c r="U29" s="593" t="s">
        <v>2795</v>
      </c>
      <c r="V29" s="598" t="s">
        <v>2796</v>
      </c>
      <c r="W29" s="148" t="s">
        <v>2797</v>
      </c>
      <c r="X29" s="183" t="s">
        <v>2798</v>
      </c>
      <c r="Y29" s="632" t="s">
        <v>2799</v>
      </c>
      <c r="Z29" s="633" t="s">
        <v>2800</v>
      </c>
      <c r="AA29" s="634" t="s">
        <v>2801</v>
      </c>
      <c r="AB29" s="633" t="s">
        <v>2817</v>
      </c>
      <c r="AC29" s="378"/>
      <c r="AD29" s="378"/>
      <c r="AE29" s="378"/>
      <c r="AF29" s="378"/>
    </row>
    <row r="30" spans="1:32" x14ac:dyDescent="0.2">
      <c r="A30" s="3097">
        <v>30000012</v>
      </c>
      <c r="B30" s="140" t="s">
        <v>996</v>
      </c>
      <c r="C30" s="144" t="s">
        <v>2777</v>
      </c>
      <c r="D30" s="183" t="s">
        <v>2778</v>
      </c>
      <c r="E30" s="182" t="s">
        <v>2779</v>
      </c>
      <c r="F30" s="183" t="s">
        <v>2780</v>
      </c>
      <c r="G30" s="182" t="s">
        <v>2781</v>
      </c>
      <c r="H30" s="183" t="s">
        <v>2782</v>
      </c>
      <c r="I30" s="182" t="s">
        <v>2783</v>
      </c>
      <c r="J30" s="183" t="s">
        <v>2784</v>
      </c>
      <c r="K30" s="628" t="s">
        <v>2785</v>
      </c>
      <c r="L30" s="629" t="s">
        <v>2786</v>
      </c>
      <c r="M30" s="630" t="s">
        <v>2787</v>
      </c>
      <c r="N30" s="631" t="s">
        <v>2788</v>
      </c>
      <c r="O30" s="598" t="s">
        <v>2789</v>
      </c>
      <c r="P30" s="148" t="s">
        <v>2790</v>
      </c>
      <c r="Q30" s="183" t="s">
        <v>2791</v>
      </c>
      <c r="R30" s="598" t="s">
        <v>2792</v>
      </c>
      <c r="S30" s="183" t="s">
        <v>2793</v>
      </c>
      <c r="T30" s="182" t="s">
        <v>2794</v>
      </c>
      <c r="U30" s="593" t="s">
        <v>2795</v>
      </c>
      <c r="V30" s="598" t="s">
        <v>2796</v>
      </c>
      <c r="W30" s="148" t="s">
        <v>2797</v>
      </c>
      <c r="X30" s="183" t="s">
        <v>2798</v>
      </c>
      <c r="Y30" s="632" t="s">
        <v>2799</v>
      </c>
      <c r="Z30" s="633" t="s">
        <v>2800</v>
      </c>
      <c r="AA30" s="634" t="s">
        <v>2801</v>
      </c>
      <c r="AB30" s="633" t="s">
        <v>2817</v>
      </c>
      <c r="AC30" s="378"/>
      <c r="AD30" s="378"/>
      <c r="AE30" s="378"/>
      <c r="AF30" s="378"/>
    </row>
    <row r="31" spans="1:32" x14ac:dyDescent="0.2">
      <c r="A31" s="3097">
        <v>30000013</v>
      </c>
      <c r="B31" s="1004" t="s">
        <v>1665</v>
      </c>
      <c r="C31" s="144" t="s">
        <v>2777</v>
      </c>
      <c r="D31" s="183" t="s">
        <v>2778</v>
      </c>
      <c r="E31" s="182" t="s">
        <v>2779</v>
      </c>
      <c r="F31" s="183" t="s">
        <v>2780</v>
      </c>
      <c r="G31" s="182" t="s">
        <v>2781</v>
      </c>
      <c r="H31" s="183" t="s">
        <v>2782</v>
      </c>
      <c r="I31" s="182" t="s">
        <v>2783</v>
      </c>
      <c r="J31" s="183" t="s">
        <v>2784</v>
      </c>
      <c r="K31" s="628" t="s">
        <v>2785</v>
      </c>
      <c r="L31" s="629" t="s">
        <v>2786</v>
      </c>
      <c r="M31" s="630" t="s">
        <v>2787</v>
      </c>
      <c r="N31" s="631" t="s">
        <v>2788</v>
      </c>
      <c r="O31" s="598" t="s">
        <v>2789</v>
      </c>
      <c r="P31" s="148" t="s">
        <v>2790</v>
      </c>
      <c r="Q31" s="183" t="s">
        <v>2791</v>
      </c>
      <c r="R31" s="598" t="s">
        <v>2792</v>
      </c>
      <c r="S31" s="183" t="s">
        <v>2793</v>
      </c>
      <c r="T31" s="182" t="s">
        <v>2794</v>
      </c>
      <c r="U31" s="593" t="s">
        <v>2795</v>
      </c>
      <c r="V31" s="598" t="s">
        <v>2796</v>
      </c>
      <c r="W31" s="148" t="s">
        <v>2797</v>
      </c>
      <c r="X31" s="183" t="s">
        <v>2798</v>
      </c>
      <c r="Y31" s="632" t="s">
        <v>2799</v>
      </c>
      <c r="Z31" s="633" t="s">
        <v>2800</v>
      </c>
      <c r="AA31" s="634" t="s">
        <v>2801</v>
      </c>
      <c r="AB31" s="633" t="s">
        <v>2817</v>
      </c>
      <c r="AC31" s="378"/>
      <c r="AD31" s="378"/>
      <c r="AE31" s="378"/>
      <c r="AF31" s="378"/>
    </row>
    <row r="32" spans="1:32" x14ac:dyDescent="0.2">
      <c r="A32" s="3097">
        <v>30000014</v>
      </c>
      <c r="B32" s="1004" t="s">
        <v>997</v>
      </c>
      <c r="C32" s="144" t="s">
        <v>2777</v>
      </c>
      <c r="D32" s="183" t="s">
        <v>2778</v>
      </c>
      <c r="E32" s="182" t="s">
        <v>2779</v>
      </c>
      <c r="F32" s="183" t="s">
        <v>2780</v>
      </c>
      <c r="G32" s="182" t="s">
        <v>2781</v>
      </c>
      <c r="H32" s="183" t="s">
        <v>2782</v>
      </c>
      <c r="I32" s="182" t="s">
        <v>2783</v>
      </c>
      <c r="J32" s="183" t="s">
        <v>2784</v>
      </c>
      <c r="K32" s="628" t="s">
        <v>2785</v>
      </c>
      <c r="L32" s="629" t="s">
        <v>2786</v>
      </c>
      <c r="M32" s="630" t="s">
        <v>2787</v>
      </c>
      <c r="N32" s="631" t="s">
        <v>2788</v>
      </c>
      <c r="O32" s="598" t="s">
        <v>2789</v>
      </c>
      <c r="P32" s="148" t="s">
        <v>2790</v>
      </c>
      <c r="Q32" s="183" t="s">
        <v>2791</v>
      </c>
      <c r="R32" s="598" t="s">
        <v>2792</v>
      </c>
      <c r="S32" s="183" t="s">
        <v>2793</v>
      </c>
      <c r="T32" s="182" t="s">
        <v>2794</v>
      </c>
      <c r="U32" s="593" t="s">
        <v>2795</v>
      </c>
      <c r="V32" s="598" t="s">
        <v>2796</v>
      </c>
      <c r="W32" s="148" t="s">
        <v>2797</v>
      </c>
      <c r="X32" s="183" t="s">
        <v>2798</v>
      </c>
      <c r="Y32" s="632" t="s">
        <v>2799</v>
      </c>
      <c r="Z32" s="633" t="s">
        <v>2800</v>
      </c>
      <c r="AA32" s="634" t="s">
        <v>2801</v>
      </c>
      <c r="AB32" s="633" t="s">
        <v>2817</v>
      </c>
      <c r="AC32" s="378"/>
      <c r="AD32" s="378"/>
      <c r="AE32" s="378"/>
      <c r="AF32" s="378"/>
    </row>
    <row r="33" spans="1:32" x14ac:dyDescent="0.2">
      <c r="A33" s="3097">
        <v>30000015</v>
      </c>
      <c r="B33" s="1004" t="s">
        <v>998</v>
      </c>
      <c r="C33" s="144" t="s">
        <v>2777</v>
      </c>
      <c r="D33" s="183" t="s">
        <v>2778</v>
      </c>
      <c r="E33" s="182" t="s">
        <v>2779</v>
      </c>
      <c r="F33" s="183" t="s">
        <v>2780</v>
      </c>
      <c r="G33" s="182" t="s">
        <v>2781</v>
      </c>
      <c r="H33" s="183" t="s">
        <v>2782</v>
      </c>
      <c r="I33" s="182" t="s">
        <v>2783</v>
      </c>
      <c r="J33" s="183" t="s">
        <v>2784</v>
      </c>
      <c r="K33" s="628" t="s">
        <v>2785</v>
      </c>
      <c r="L33" s="629" t="s">
        <v>2786</v>
      </c>
      <c r="M33" s="630" t="s">
        <v>2787</v>
      </c>
      <c r="N33" s="631" t="s">
        <v>2788</v>
      </c>
      <c r="O33" s="598" t="s">
        <v>2789</v>
      </c>
      <c r="P33" s="148" t="s">
        <v>2790</v>
      </c>
      <c r="Q33" s="183" t="s">
        <v>2791</v>
      </c>
      <c r="R33" s="598" t="s">
        <v>2792</v>
      </c>
      <c r="S33" s="183" t="s">
        <v>2793</v>
      </c>
      <c r="T33" s="182" t="s">
        <v>2794</v>
      </c>
      <c r="U33" s="593" t="s">
        <v>2795</v>
      </c>
      <c r="V33" s="598" t="s">
        <v>2796</v>
      </c>
      <c r="W33" s="148" t="s">
        <v>2797</v>
      </c>
      <c r="X33" s="183" t="s">
        <v>2798</v>
      </c>
      <c r="Y33" s="632" t="s">
        <v>2799</v>
      </c>
      <c r="Z33" s="633" t="s">
        <v>2800</v>
      </c>
      <c r="AA33" s="634" t="s">
        <v>2801</v>
      </c>
      <c r="AB33" s="633" t="s">
        <v>2817</v>
      </c>
      <c r="AC33" s="378"/>
      <c r="AD33" s="378"/>
      <c r="AE33" s="378"/>
      <c r="AF33" s="378"/>
    </row>
    <row r="34" spans="1:32" x14ac:dyDescent="0.2">
      <c r="A34" s="3097">
        <v>30000016</v>
      </c>
      <c r="B34" s="1004" t="s">
        <v>999</v>
      </c>
      <c r="C34" s="144" t="s">
        <v>2777</v>
      </c>
      <c r="D34" s="183" t="s">
        <v>2778</v>
      </c>
      <c r="E34" s="182" t="s">
        <v>2779</v>
      </c>
      <c r="F34" s="183" t="s">
        <v>2780</v>
      </c>
      <c r="G34" s="182" t="s">
        <v>2781</v>
      </c>
      <c r="H34" s="183" t="s">
        <v>2782</v>
      </c>
      <c r="I34" s="182" t="s">
        <v>2783</v>
      </c>
      <c r="J34" s="183" t="s">
        <v>2784</v>
      </c>
      <c r="K34" s="628" t="s">
        <v>2785</v>
      </c>
      <c r="L34" s="629" t="s">
        <v>2786</v>
      </c>
      <c r="M34" s="630" t="s">
        <v>2787</v>
      </c>
      <c r="N34" s="631" t="s">
        <v>2788</v>
      </c>
      <c r="O34" s="598" t="s">
        <v>2789</v>
      </c>
      <c r="P34" s="148" t="s">
        <v>2790</v>
      </c>
      <c r="Q34" s="183" t="s">
        <v>2791</v>
      </c>
      <c r="R34" s="598" t="s">
        <v>2792</v>
      </c>
      <c r="S34" s="183" t="s">
        <v>2793</v>
      </c>
      <c r="T34" s="182" t="s">
        <v>2794</v>
      </c>
      <c r="U34" s="593" t="s">
        <v>2795</v>
      </c>
      <c r="V34" s="598" t="s">
        <v>2796</v>
      </c>
      <c r="W34" s="148" t="s">
        <v>2797</v>
      </c>
      <c r="X34" s="183" t="s">
        <v>2798</v>
      </c>
      <c r="Y34" s="632" t="s">
        <v>2799</v>
      </c>
      <c r="Z34" s="633" t="s">
        <v>2800</v>
      </c>
      <c r="AA34" s="634" t="s">
        <v>2801</v>
      </c>
      <c r="AB34" s="633" t="s">
        <v>2817</v>
      </c>
      <c r="AC34" s="378"/>
      <c r="AD34" s="378"/>
      <c r="AE34" s="378"/>
      <c r="AF34" s="378"/>
    </row>
    <row r="35" spans="1:32" x14ac:dyDescent="0.2">
      <c r="A35" s="3097">
        <v>30000017</v>
      </c>
      <c r="B35" s="1004" t="s">
        <v>1666</v>
      </c>
      <c r="C35" s="144" t="s">
        <v>2777</v>
      </c>
      <c r="D35" s="183" t="s">
        <v>2778</v>
      </c>
      <c r="E35" s="182" t="s">
        <v>2779</v>
      </c>
      <c r="F35" s="183" t="s">
        <v>2780</v>
      </c>
      <c r="G35" s="182" t="s">
        <v>2781</v>
      </c>
      <c r="H35" s="183" t="s">
        <v>2782</v>
      </c>
      <c r="I35" s="182" t="s">
        <v>2783</v>
      </c>
      <c r="J35" s="183" t="s">
        <v>2784</v>
      </c>
      <c r="K35" s="628" t="s">
        <v>2785</v>
      </c>
      <c r="L35" s="629" t="s">
        <v>2786</v>
      </c>
      <c r="M35" s="630" t="s">
        <v>2787</v>
      </c>
      <c r="N35" s="631" t="s">
        <v>2788</v>
      </c>
      <c r="O35" s="598" t="s">
        <v>2789</v>
      </c>
      <c r="P35" s="148" t="s">
        <v>2790</v>
      </c>
      <c r="Q35" s="183" t="s">
        <v>2791</v>
      </c>
      <c r="R35" s="598" t="s">
        <v>2792</v>
      </c>
      <c r="S35" s="183" t="s">
        <v>2793</v>
      </c>
      <c r="T35" s="182" t="s">
        <v>2794</v>
      </c>
      <c r="U35" s="593" t="s">
        <v>2795</v>
      </c>
      <c r="V35" s="598" t="s">
        <v>2796</v>
      </c>
      <c r="W35" s="148" t="s">
        <v>2797</v>
      </c>
      <c r="X35" s="183" t="s">
        <v>2798</v>
      </c>
      <c r="Y35" s="632" t="s">
        <v>2799</v>
      </c>
      <c r="Z35" s="633" t="s">
        <v>2800</v>
      </c>
      <c r="AA35" s="634" t="s">
        <v>2801</v>
      </c>
      <c r="AB35" s="633" t="s">
        <v>2817</v>
      </c>
      <c r="AC35" s="378"/>
      <c r="AD35" s="378"/>
      <c r="AE35" s="378"/>
      <c r="AF35" s="378"/>
    </row>
    <row r="36" spans="1:32" x14ac:dyDescent="0.2">
      <c r="A36" s="3097">
        <v>30000018</v>
      </c>
      <c r="B36" s="1004" t="s">
        <v>1000</v>
      </c>
      <c r="C36" s="144" t="s">
        <v>2777</v>
      </c>
      <c r="D36" s="183" t="s">
        <v>2778</v>
      </c>
      <c r="E36" s="182" t="s">
        <v>2779</v>
      </c>
      <c r="F36" s="183" t="s">
        <v>2780</v>
      </c>
      <c r="G36" s="182" t="s">
        <v>2781</v>
      </c>
      <c r="H36" s="183" t="s">
        <v>2782</v>
      </c>
      <c r="I36" s="182" t="s">
        <v>2783</v>
      </c>
      <c r="J36" s="183" t="s">
        <v>2784</v>
      </c>
      <c r="K36" s="628" t="s">
        <v>2785</v>
      </c>
      <c r="L36" s="629" t="s">
        <v>2786</v>
      </c>
      <c r="M36" s="630" t="s">
        <v>2787</v>
      </c>
      <c r="N36" s="631" t="s">
        <v>2788</v>
      </c>
      <c r="O36" s="598" t="s">
        <v>2789</v>
      </c>
      <c r="P36" s="148" t="s">
        <v>2790</v>
      </c>
      <c r="Q36" s="183" t="s">
        <v>2791</v>
      </c>
      <c r="R36" s="598" t="s">
        <v>2792</v>
      </c>
      <c r="S36" s="183" t="s">
        <v>2793</v>
      </c>
      <c r="T36" s="182" t="s">
        <v>2794</v>
      </c>
      <c r="U36" s="593" t="s">
        <v>2795</v>
      </c>
      <c r="V36" s="598" t="s">
        <v>2796</v>
      </c>
      <c r="W36" s="148" t="s">
        <v>2797</v>
      </c>
      <c r="X36" s="183" t="s">
        <v>2798</v>
      </c>
      <c r="Y36" s="632" t="s">
        <v>2799</v>
      </c>
      <c r="Z36" s="633" t="s">
        <v>2800</v>
      </c>
      <c r="AA36" s="634" t="s">
        <v>2801</v>
      </c>
      <c r="AB36" s="633" t="s">
        <v>2817</v>
      </c>
      <c r="AC36" s="378"/>
      <c r="AD36" s="378"/>
      <c r="AE36" s="378"/>
      <c r="AF36" s="378"/>
    </row>
    <row r="37" spans="1:32" x14ac:dyDescent="0.2">
      <c r="A37" s="3097">
        <v>30000019</v>
      </c>
      <c r="B37" s="1004" t="s">
        <v>1667</v>
      </c>
      <c r="C37" s="144" t="s">
        <v>2777</v>
      </c>
      <c r="D37" s="183" t="s">
        <v>2778</v>
      </c>
      <c r="E37" s="182" t="s">
        <v>2779</v>
      </c>
      <c r="F37" s="183" t="s">
        <v>2780</v>
      </c>
      <c r="G37" s="182" t="s">
        <v>2781</v>
      </c>
      <c r="H37" s="183" t="s">
        <v>2782</v>
      </c>
      <c r="I37" s="182" t="s">
        <v>2783</v>
      </c>
      <c r="J37" s="183" t="s">
        <v>2784</v>
      </c>
      <c r="K37" s="628" t="s">
        <v>2785</v>
      </c>
      <c r="L37" s="629" t="s">
        <v>2786</v>
      </c>
      <c r="M37" s="630" t="s">
        <v>2787</v>
      </c>
      <c r="N37" s="631" t="s">
        <v>2788</v>
      </c>
      <c r="O37" s="598" t="s">
        <v>2789</v>
      </c>
      <c r="P37" s="148" t="s">
        <v>2790</v>
      </c>
      <c r="Q37" s="183" t="s">
        <v>2791</v>
      </c>
      <c r="R37" s="598" t="s">
        <v>2792</v>
      </c>
      <c r="S37" s="183" t="s">
        <v>2793</v>
      </c>
      <c r="T37" s="182" t="s">
        <v>2794</v>
      </c>
      <c r="U37" s="593" t="s">
        <v>2795</v>
      </c>
      <c r="V37" s="598" t="s">
        <v>2796</v>
      </c>
      <c r="W37" s="148" t="s">
        <v>2797</v>
      </c>
      <c r="X37" s="183" t="s">
        <v>2798</v>
      </c>
      <c r="Y37" s="632" t="s">
        <v>2799</v>
      </c>
      <c r="Z37" s="633" t="s">
        <v>2800</v>
      </c>
      <c r="AA37" s="634" t="s">
        <v>2801</v>
      </c>
      <c r="AB37" s="633" t="s">
        <v>2817</v>
      </c>
      <c r="AC37" s="378"/>
      <c r="AD37" s="378"/>
      <c r="AE37" s="378"/>
      <c r="AF37" s="378"/>
    </row>
    <row r="38" spans="1:32" x14ac:dyDescent="0.2">
      <c r="A38" s="3097">
        <v>30000020</v>
      </c>
      <c r="B38" s="1004" t="s">
        <v>1001</v>
      </c>
      <c r="C38" s="144" t="s">
        <v>2777</v>
      </c>
      <c r="D38" s="183" t="s">
        <v>2778</v>
      </c>
      <c r="E38" s="182" t="s">
        <v>2779</v>
      </c>
      <c r="F38" s="183" t="s">
        <v>2780</v>
      </c>
      <c r="G38" s="182" t="s">
        <v>2781</v>
      </c>
      <c r="H38" s="183" t="s">
        <v>2782</v>
      </c>
      <c r="I38" s="182" t="s">
        <v>2783</v>
      </c>
      <c r="J38" s="183" t="s">
        <v>2784</v>
      </c>
      <c r="K38" s="628" t="s">
        <v>2785</v>
      </c>
      <c r="L38" s="629" t="s">
        <v>2786</v>
      </c>
      <c r="M38" s="630" t="s">
        <v>2787</v>
      </c>
      <c r="N38" s="631" t="s">
        <v>2788</v>
      </c>
      <c r="O38" s="598" t="s">
        <v>2789</v>
      </c>
      <c r="P38" s="148" t="s">
        <v>2790</v>
      </c>
      <c r="Q38" s="183" t="s">
        <v>2791</v>
      </c>
      <c r="R38" s="598" t="s">
        <v>2792</v>
      </c>
      <c r="S38" s="183" t="s">
        <v>2793</v>
      </c>
      <c r="T38" s="182" t="s">
        <v>2794</v>
      </c>
      <c r="U38" s="593" t="s">
        <v>2795</v>
      </c>
      <c r="V38" s="598" t="s">
        <v>2796</v>
      </c>
      <c r="W38" s="148" t="s">
        <v>2797</v>
      </c>
      <c r="X38" s="183" t="s">
        <v>2798</v>
      </c>
      <c r="Y38" s="632" t="s">
        <v>2799</v>
      </c>
      <c r="Z38" s="633" t="s">
        <v>2800</v>
      </c>
      <c r="AA38" s="634" t="s">
        <v>2801</v>
      </c>
      <c r="AB38" s="633" t="s">
        <v>2817</v>
      </c>
      <c r="AC38" s="378"/>
      <c r="AD38" s="378"/>
      <c r="AE38" s="378"/>
      <c r="AF38" s="378"/>
    </row>
    <row r="39" spans="1:32" x14ac:dyDescent="0.2">
      <c r="A39" s="3097">
        <v>30000021</v>
      </c>
      <c r="B39" s="1004" t="s">
        <v>1002</v>
      </c>
      <c r="C39" s="144" t="s">
        <v>2777</v>
      </c>
      <c r="D39" s="183" t="s">
        <v>2778</v>
      </c>
      <c r="E39" s="182" t="s">
        <v>2779</v>
      </c>
      <c r="F39" s="183" t="s">
        <v>2780</v>
      </c>
      <c r="G39" s="182" t="s">
        <v>2781</v>
      </c>
      <c r="H39" s="183" t="s">
        <v>2782</v>
      </c>
      <c r="I39" s="182" t="s">
        <v>2783</v>
      </c>
      <c r="J39" s="183" t="s">
        <v>2784</v>
      </c>
      <c r="K39" s="628" t="s">
        <v>2785</v>
      </c>
      <c r="L39" s="629" t="s">
        <v>2786</v>
      </c>
      <c r="M39" s="630" t="s">
        <v>2787</v>
      </c>
      <c r="N39" s="631" t="s">
        <v>2788</v>
      </c>
      <c r="O39" s="598" t="s">
        <v>2789</v>
      </c>
      <c r="P39" s="148" t="s">
        <v>2790</v>
      </c>
      <c r="Q39" s="183" t="s">
        <v>2791</v>
      </c>
      <c r="R39" s="598" t="s">
        <v>2792</v>
      </c>
      <c r="S39" s="183" t="s">
        <v>2793</v>
      </c>
      <c r="T39" s="182" t="s">
        <v>2794</v>
      </c>
      <c r="U39" s="593" t="s">
        <v>2795</v>
      </c>
      <c r="V39" s="598" t="s">
        <v>2796</v>
      </c>
      <c r="W39" s="148" t="s">
        <v>2797</v>
      </c>
      <c r="X39" s="183" t="s">
        <v>2798</v>
      </c>
      <c r="Y39" s="632" t="s">
        <v>2799</v>
      </c>
      <c r="Z39" s="633" t="s">
        <v>2800</v>
      </c>
      <c r="AA39" s="634" t="s">
        <v>2801</v>
      </c>
      <c r="AB39" s="633" t="s">
        <v>2817</v>
      </c>
      <c r="AC39" s="378"/>
      <c r="AD39" s="378"/>
      <c r="AE39" s="378"/>
      <c r="AF39" s="378"/>
    </row>
    <row r="40" spans="1:32" x14ac:dyDescent="0.2">
      <c r="A40" s="3097">
        <v>30000022</v>
      </c>
      <c r="B40" s="1004" t="s">
        <v>1668</v>
      </c>
      <c r="C40" s="144" t="s">
        <v>2777</v>
      </c>
      <c r="D40" s="183" t="s">
        <v>2778</v>
      </c>
      <c r="E40" s="182" t="s">
        <v>2779</v>
      </c>
      <c r="F40" s="183" t="s">
        <v>2780</v>
      </c>
      <c r="G40" s="182" t="s">
        <v>2781</v>
      </c>
      <c r="H40" s="183" t="s">
        <v>2782</v>
      </c>
      <c r="I40" s="182" t="s">
        <v>2783</v>
      </c>
      <c r="J40" s="183" t="s">
        <v>2784</v>
      </c>
      <c r="K40" s="628" t="s">
        <v>2785</v>
      </c>
      <c r="L40" s="629" t="s">
        <v>2786</v>
      </c>
      <c r="M40" s="630" t="s">
        <v>2787</v>
      </c>
      <c r="N40" s="631" t="s">
        <v>2788</v>
      </c>
      <c r="O40" s="598" t="s">
        <v>2789</v>
      </c>
      <c r="P40" s="148" t="s">
        <v>2790</v>
      </c>
      <c r="Q40" s="183" t="s">
        <v>2791</v>
      </c>
      <c r="R40" s="598" t="s">
        <v>2792</v>
      </c>
      <c r="S40" s="183" t="s">
        <v>2793</v>
      </c>
      <c r="T40" s="182" t="s">
        <v>2794</v>
      </c>
      <c r="U40" s="593" t="s">
        <v>2795</v>
      </c>
      <c r="V40" s="598" t="s">
        <v>2796</v>
      </c>
      <c r="W40" s="148" t="s">
        <v>2797</v>
      </c>
      <c r="X40" s="183" t="s">
        <v>2798</v>
      </c>
      <c r="Y40" s="632" t="s">
        <v>2799</v>
      </c>
      <c r="Z40" s="633" t="s">
        <v>2800</v>
      </c>
      <c r="AA40" s="634" t="s">
        <v>2801</v>
      </c>
      <c r="AB40" s="633" t="s">
        <v>2817</v>
      </c>
      <c r="AC40" s="378"/>
      <c r="AD40" s="378"/>
      <c r="AE40" s="378"/>
      <c r="AF40" s="378"/>
    </row>
    <row r="41" spans="1:32" x14ac:dyDescent="0.2">
      <c r="A41" s="3097">
        <v>30000023</v>
      </c>
      <c r="B41" s="140" t="s">
        <v>1003</v>
      </c>
      <c r="C41" s="144" t="s">
        <v>2777</v>
      </c>
      <c r="D41" s="183" t="s">
        <v>2778</v>
      </c>
      <c r="E41" s="182" t="s">
        <v>2779</v>
      </c>
      <c r="F41" s="183" t="s">
        <v>2780</v>
      </c>
      <c r="G41" s="182" t="s">
        <v>2781</v>
      </c>
      <c r="H41" s="183" t="s">
        <v>2782</v>
      </c>
      <c r="I41" s="182" t="s">
        <v>2783</v>
      </c>
      <c r="J41" s="183" t="s">
        <v>2784</v>
      </c>
      <c r="K41" s="628" t="s">
        <v>2785</v>
      </c>
      <c r="L41" s="629" t="s">
        <v>2786</v>
      </c>
      <c r="M41" s="630" t="s">
        <v>2787</v>
      </c>
      <c r="N41" s="631" t="s">
        <v>2788</v>
      </c>
      <c r="O41" s="598" t="s">
        <v>2789</v>
      </c>
      <c r="P41" s="148" t="s">
        <v>2790</v>
      </c>
      <c r="Q41" s="183" t="s">
        <v>2791</v>
      </c>
      <c r="R41" s="598" t="s">
        <v>2792</v>
      </c>
      <c r="S41" s="183" t="s">
        <v>2793</v>
      </c>
      <c r="T41" s="182" t="s">
        <v>2794</v>
      </c>
      <c r="U41" s="593" t="s">
        <v>2795</v>
      </c>
      <c r="V41" s="598" t="s">
        <v>2796</v>
      </c>
      <c r="W41" s="148" t="s">
        <v>2797</v>
      </c>
      <c r="X41" s="183" t="s">
        <v>2798</v>
      </c>
      <c r="Y41" s="632" t="s">
        <v>2799</v>
      </c>
      <c r="Z41" s="633" t="s">
        <v>2800</v>
      </c>
      <c r="AA41" s="634" t="s">
        <v>2801</v>
      </c>
      <c r="AB41" s="633" t="s">
        <v>2817</v>
      </c>
      <c r="AC41" s="378"/>
      <c r="AD41" s="378"/>
      <c r="AE41" s="378"/>
      <c r="AF41" s="378"/>
    </row>
    <row r="42" spans="1:32" x14ac:dyDescent="0.2">
      <c r="A42" s="3097">
        <v>30000024</v>
      </c>
      <c r="B42" s="140" t="s">
        <v>1004</v>
      </c>
      <c r="C42" s="144" t="s">
        <v>2777</v>
      </c>
      <c r="D42" s="183" t="s">
        <v>2778</v>
      </c>
      <c r="E42" s="182" t="s">
        <v>2779</v>
      </c>
      <c r="F42" s="183" t="s">
        <v>2780</v>
      </c>
      <c r="G42" s="182" t="s">
        <v>2781</v>
      </c>
      <c r="H42" s="183" t="s">
        <v>2782</v>
      </c>
      <c r="I42" s="182" t="s">
        <v>2783</v>
      </c>
      <c r="J42" s="183" t="s">
        <v>2784</v>
      </c>
      <c r="K42" s="628" t="s">
        <v>2785</v>
      </c>
      <c r="L42" s="629" t="s">
        <v>2786</v>
      </c>
      <c r="M42" s="630" t="s">
        <v>2787</v>
      </c>
      <c r="N42" s="631" t="s">
        <v>2788</v>
      </c>
      <c r="O42" s="598" t="s">
        <v>2789</v>
      </c>
      <c r="P42" s="148" t="s">
        <v>2790</v>
      </c>
      <c r="Q42" s="183" t="s">
        <v>2791</v>
      </c>
      <c r="R42" s="598" t="s">
        <v>2792</v>
      </c>
      <c r="S42" s="183" t="s">
        <v>2793</v>
      </c>
      <c r="T42" s="182" t="s">
        <v>2794</v>
      </c>
      <c r="U42" s="593" t="s">
        <v>2795</v>
      </c>
      <c r="V42" s="598" t="s">
        <v>2796</v>
      </c>
      <c r="W42" s="148" t="s">
        <v>2797</v>
      </c>
      <c r="X42" s="183" t="s">
        <v>2798</v>
      </c>
      <c r="Y42" s="632" t="s">
        <v>2799</v>
      </c>
      <c r="Z42" s="633" t="s">
        <v>2800</v>
      </c>
      <c r="AA42" s="634" t="s">
        <v>2801</v>
      </c>
      <c r="AB42" s="633" t="s">
        <v>2817</v>
      </c>
      <c r="AC42" s="378"/>
      <c r="AD42" s="378"/>
      <c r="AE42" s="378"/>
      <c r="AF42" s="378"/>
    </row>
    <row r="43" spans="1:32" x14ac:dyDescent="0.2">
      <c r="A43" s="3097">
        <v>30000025</v>
      </c>
      <c r="B43" s="140" t="s">
        <v>1005</v>
      </c>
      <c r="C43" s="144" t="s">
        <v>2777</v>
      </c>
      <c r="D43" s="183" t="s">
        <v>2778</v>
      </c>
      <c r="E43" s="182" t="s">
        <v>2779</v>
      </c>
      <c r="F43" s="183" t="s">
        <v>2780</v>
      </c>
      <c r="G43" s="182" t="s">
        <v>2781</v>
      </c>
      <c r="H43" s="183" t="s">
        <v>2782</v>
      </c>
      <c r="I43" s="182" t="s">
        <v>2783</v>
      </c>
      <c r="J43" s="183" t="s">
        <v>2784</v>
      </c>
      <c r="K43" s="628" t="s">
        <v>2785</v>
      </c>
      <c r="L43" s="629" t="s">
        <v>2786</v>
      </c>
      <c r="M43" s="630" t="s">
        <v>2787</v>
      </c>
      <c r="N43" s="631" t="s">
        <v>2788</v>
      </c>
      <c r="O43" s="598" t="s">
        <v>2789</v>
      </c>
      <c r="P43" s="148" t="s">
        <v>2790</v>
      </c>
      <c r="Q43" s="183" t="s">
        <v>2791</v>
      </c>
      <c r="R43" s="598" t="s">
        <v>2792</v>
      </c>
      <c r="S43" s="183" t="s">
        <v>2793</v>
      </c>
      <c r="T43" s="182" t="s">
        <v>2794</v>
      </c>
      <c r="U43" s="593" t="s">
        <v>2795</v>
      </c>
      <c r="V43" s="598" t="s">
        <v>2796</v>
      </c>
      <c r="W43" s="148" t="s">
        <v>2797</v>
      </c>
      <c r="X43" s="183" t="s">
        <v>2798</v>
      </c>
      <c r="Y43" s="632" t="s">
        <v>2799</v>
      </c>
      <c r="Z43" s="633" t="s">
        <v>2800</v>
      </c>
      <c r="AA43" s="634" t="s">
        <v>2801</v>
      </c>
      <c r="AB43" s="633" t="s">
        <v>2817</v>
      </c>
      <c r="AC43" s="378"/>
      <c r="AD43" s="378"/>
      <c r="AE43" s="378"/>
      <c r="AF43" s="378"/>
    </row>
    <row r="44" spans="1:32" x14ac:dyDescent="0.2">
      <c r="A44" s="3097">
        <v>30000026</v>
      </c>
      <c r="B44" s="140" t="s">
        <v>1006</v>
      </c>
      <c r="C44" s="144" t="s">
        <v>2777</v>
      </c>
      <c r="D44" s="183" t="s">
        <v>2778</v>
      </c>
      <c r="E44" s="182" t="s">
        <v>2779</v>
      </c>
      <c r="F44" s="183" t="s">
        <v>2780</v>
      </c>
      <c r="G44" s="182" t="s">
        <v>2781</v>
      </c>
      <c r="H44" s="183" t="s">
        <v>2782</v>
      </c>
      <c r="I44" s="182" t="s">
        <v>2783</v>
      </c>
      <c r="J44" s="183" t="s">
        <v>2784</v>
      </c>
      <c r="K44" s="628" t="s">
        <v>2785</v>
      </c>
      <c r="L44" s="629" t="s">
        <v>2786</v>
      </c>
      <c r="M44" s="630" t="s">
        <v>2787</v>
      </c>
      <c r="N44" s="631" t="s">
        <v>2788</v>
      </c>
      <c r="O44" s="598" t="s">
        <v>2789</v>
      </c>
      <c r="P44" s="148" t="s">
        <v>2790</v>
      </c>
      <c r="Q44" s="183" t="s">
        <v>2791</v>
      </c>
      <c r="R44" s="598" t="s">
        <v>2792</v>
      </c>
      <c r="S44" s="183" t="s">
        <v>2793</v>
      </c>
      <c r="T44" s="182" t="s">
        <v>2794</v>
      </c>
      <c r="U44" s="593" t="s">
        <v>2795</v>
      </c>
      <c r="V44" s="598" t="s">
        <v>2796</v>
      </c>
      <c r="W44" s="148" t="s">
        <v>2797</v>
      </c>
      <c r="X44" s="183" t="s">
        <v>2798</v>
      </c>
      <c r="Y44" s="632" t="s">
        <v>2799</v>
      </c>
      <c r="Z44" s="633" t="s">
        <v>2800</v>
      </c>
      <c r="AA44" s="634" t="s">
        <v>2801</v>
      </c>
      <c r="AB44" s="633" t="s">
        <v>2817</v>
      </c>
      <c r="AC44" s="378"/>
      <c r="AD44" s="378"/>
      <c r="AE44" s="378"/>
      <c r="AF44" s="378"/>
    </row>
    <row r="45" spans="1:32" x14ac:dyDescent="0.2">
      <c r="A45" s="3097">
        <v>30000027</v>
      </c>
      <c r="B45" s="140" t="s">
        <v>1007</v>
      </c>
      <c r="C45" s="144" t="s">
        <v>2777</v>
      </c>
      <c r="D45" s="183" t="s">
        <v>2778</v>
      </c>
      <c r="E45" s="182" t="s">
        <v>2779</v>
      </c>
      <c r="F45" s="183" t="s">
        <v>2780</v>
      </c>
      <c r="G45" s="182" t="s">
        <v>2781</v>
      </c>
      <c r="H45" s="183" t="s">
        <v>2782</v>
      </c>
      <c r="I45" s="182" t="s">
        <v>2783</v>
      </c>
      <c r="J45" s="183" t="s">
        <v>2784</v>
      </c>
      <c r="K45" s="628" t="s">
        <v>2785</v>
      </c>
      <c r="L45" s="629" t="s">
        <v>2786</v>
      </c>
      <c r="M45" s="630" t="s">
        <v>2787</v>
      </c>
      <c r="N45" s="631" t="s">
        <v>2788</v>
      </c>
      <c r="O45" s="598" t="s">
        <v>2789</v>
      </c>
      <c r="P45" s="148" t="s">
        <v>2790</v>
      </c>
      <c r="Q45" s="183" t="s">
        <v>2791</v>
      </c>
      <c r="R45" s="598" t="s">
        <v>2792</v>
      </c>
      <c r="S45" s="183" t="s">
        <v>2793</v>
      </c>
      <c r="T45" s="182" t="s">
        <v>2794</v>
      </c>
      <c r="U45" s="593" t="s">
        <v>2795</v>
      </c>
      <c r="V45" s="598" t="s">
        <v>2796</v>
      </c>
      <c r="W45" s="148" t="s">
        <v>2797</v>
      </c>
      <c r="X45" s="183" t="s">
        <v>2798</v>
      </c>
      <c r="Y45" s="632" t="s">
        <v>2799</v>
      </c>
      <c r="Z45" s="633" t="s">
        <v>2800</v>
      </c>
      <c r="AA45" s="634" t="s">
        <v>2801</v>
      </c>
      <c r="AB45" s="633" t="s">
        <v>2817</v>
      </c>
      <c r="AC45" s="378"/>
      <c r="AD45" s="378"/>
      <c r="AE45" s="378"/>
      <c r="AF45" s="378"/>
    </row>
    <row r="46" spans="1:32" x14ac:dyDescent="0.2">
      <c r="A46" s="3097">
        <v>30000028</v>
      </c>
      <c r="B46" s="1004" t="s">
        <v>1669</v>
      </c>
      <c r="C46" s="144" t="s">
        <v>2777</v>
      </c>
      <c r="D46" s="183" t="s">
        <v>2778</v>
      </c>
      <c r="E46" s="182" t="s">
        <v>2779</v>
      </c>
      <c r="F46" s="183" t="s">
        <v>2780</v>
      </c>
      <c r="G46" s="182" t="s">
        <v>2781</v>
      </c>
      <c r="H46" s="183" t="s">
        <v>2782</v>
      </c>
      <c r="I46" s="182" t="s">
        <v>2783</v>
      </c>
      <c r="J46" s="183" t="s">
        <v>2784</v>
      </c>
      <c r="K46" s="628" t="s">
        <v>2785</v>
      </c>
      <c r="L46" s="629" t="s">
        <v>2786</v>
      </c>
      <c r="M46" s="630" t="s">
        <v>2787</v>
      </c>
      <c r="N46" s="631" t="s">
        <v>2788</v>
      </c>
      <c r="O46" s="598" t="s">
        <v>2789</v>
      </c>
      <c r="P46" s="148" t="s">
        <v>2790</v>
      </c>
      <c r="Q46" s="183" t="s">
        <v>2791</v>
      </c>
      <c r="R46" s="598" t="s">
        <v>2792</v>
      </c>
      <c r="S46" s="183" t="s">
        <v>2793</v>
      </c>
      <c r="T46" s="182" t="s">
        <v>2794</v>
      </c>
      <c r="U46" s="593" t="s">
        <v>2795</v>
      </c>
      <c r="V46" s="598" t="s">
        <v>2796</v>
      </c>
      <c r="W46" s="148" t="s">
        <v>2797</v>
      </c>
      <c r="X46" s="183" t="s">
        <v>2798</v>
      </c>
      <c r="Y46" s="632" t="s">
        <v>2799</v>
      </c>
      <c r="Z46" s="633" t="s">
        <v>2800</v>
      </c>
      <c r="AA46" s="634" t="s">
        <v>2801</v>
      </c>
      <c r="AB46" s="633" t="s">
        <v>2817</v>
      </c>
      <c r="AC46" s="378"/>
      <c r="AD46" s="378"/>
      <c r="AE46" s="378"/>
      <c r="AF46" s="378"/>
    </row>
    <row r="47" spans="1:32" x14ac:dyDescent="0.2">
      <c r="A47" s="3097">
        <v>30000029</v>
      </c>
      <c r="B47" s="1004" t="s">
        <v>1008</v>
      </c>
      <c r="C47" s="144" t="s">
        <v>2777</v>
      </c>
      <c r="D47" s="183" t="s">
        <v>2778</v>
      </c>
      <c r="E47" s="182" t="s">
        <v>2779</v>
      </c>
      <c r="F47" s="183" t="s">
        <v>2780</v>
      </c>
      <c r="G47" s="182" t="s">
        <v>2781</v>
      </c>
      <c r="H47" s="183" t="s">
        <v>2782</v>
      </c>
      <c r="I47" s="182" t="s">
        <v>2783</v>
      </c>
      <c r="J47" s="183" t="s">
        <v>2784</v>
      </c>
      <c r="K47" s="628" t="s">
        <v>2785</v>
      </c>
      <c r="L47" s="629" t="s">
        <v>2786</v>
      </c>
      <c r="M47" s="630" t="s">
        <v>2787</v>
      </c>
      <c r="N47" s="631" t="s">
        <v>2788</v>
      </c>
      <c r="O47" s="598" t="s">
        <v>2789</v>
      </c>
      <c r="P47" s="148" t="s">
        <v>2790</v>
      </c>
      <c r="Q47" s="183" t="s">
        <v>2791</v>
      </c>
      <c r="R47" s="598" t="s">
        <v>2792</v>
      </c>
      <c r="S47" s="183" t="s">
        <v>2793</v>
      </c>
      <c r="T47" s="182" t="s">
        <v>2794</v>
      </c>
      <c r="U47" s="593" t="s">
        <v>2795</v>
      </c>
      <c r="V47" s="598" t="s">
        <v>2796</v>
      </c>
      <c r="W47" s="148" t="s">
        <v>2797</v>
      </c>
      <c r="X47" s="183" t="s">
        <v>2798</v>
      </c>
      <c r="Y47" s="632" t="s">
        <v>2799</v>
      </c>
      <c r="Z47" s="633" t="s">
        <v>2800</v>
      </c>
      <c r="AA47" s="634" t="s">
        <v>2801</v>
      </c>
      <c r="AB47" s="633" t="s">
        <v>2817</v>
      </c>
      <c r="AC47" s="378"/>
      <c r="AD47" s="378"/>
      <c r="AE47" s="378"/>
      <c r="AF47" s="378"/>
    </row>
    <row r="48" spans="1:32" x14ac:dyDescent="0.2">
      <c r="A48" s="3097">
        <v>30000030</v>
      </c>
      <c r="B48" s="1004" t="s">
        <v>1009</v>
      </c>
      <c r="C48" s="144" t="s">
        <v>2777</v>
      </c>
      <c r="D48" s="183" t="s">
        <v>2778</v>
      </c>
      <c r="E48" s="182" t="s">
        <v>2779</v>
      </c>
      <c r="F48" s="183" t="s">
        <v>2780</v>
      </c>
      <c r="G48" s="182" t="s">
        <v>2781</v>
      </c>
      <c r="H48" s="183" t="s">
        <v>2782</v>
      </c>
      <c r="I48" s="182" t="s">
        <v>2783</v>
      </c>
      <c r="J48" s="183" t="s">
        <v>2784</v>
      </c>
      <c r="K48" s="628" t="s">
        <v>2785</v>
      </c>
      <c r="L48" s="629" t="s">
        <v>2786</v>
      </c>
      <c r="M48" s="630" t="s">
        <v>2787</v>
      </c>
      <c r="N48" s="631" t="s">
        <v>2788</v>
      </c>
      <c r="O48" s="598" t="s">
        <v>2789</v>
      </c>
      <c r="P48" s="148" t="s">
        <v>2790</v>
      </c>
      <c r="Q48" s="183" t="s">
        <v>2791</v>
      </c>
      <c r="R48" s="598" t="s">
        <v>2792</v>
      </c>
      <c r="S48" s="183" t="s">
        <v>2793</v>
      </c>
      <c r="T48" s="182" t="s">
        <v>2794</v>
      </c>
      <c r="U48" s="593" t="s">
        <v>2795</v>
      </c>
      <c r="V48" s="598" t="s">
        <v>2796</v>
      </c>
      <c r="W48" s="148" t="s">
        <v>2797</v>
      </c>
      <c r="X48" s="183" t="s">
        <v>2798</v>
      </c>
      <c r="Y48" s="632" t="s">
        <v>2799</v>
      </c>
      <c r="Z48" s="633" t="s">
        <v>2800</v>
      </c>
      <c r="AA48" s="634" t="s">
        <v>2801</v>
      </c>
      <c r="AB48" s="633" t="s">
        <v>2817</v>
      </c>
      <c r="AC48" s="378"/>
      <c r="AD48" s="378"/>
      <c r="AE48" s="378"/>
      <c r="AF48" s="378"/>
    </row>
    <row r="49" spans="1:32" x14ac:dyDescent="0.2">
      <c r="A49" s="3097">
        <v>30000031</v>
      </c>
      <c r="B49" s="1004" t="s">
        <v>1670</v>
      </c>
      <c r="C49" s="144" t="s">
        <v>2777</v>
      </c>
      <c r="D49" s="183" t="s">
        <v>2778</v>
      </c>
      <c r="E49" s="182" t="s">
        <v>2779</v>
      </c>
      <c r="F49" s="183" t="s">
        <v>2780</v>
      </c>
      <c r="G49" s="182" t="s">
        <v>2781</v>
      </c>
      <c r="H49" s="183" t="s">
        <v>2782</v>
      </c>
      <c r="I49" s="182" t="s">
        <v>2783</v>
      </c>
      <c r="J49" s="183" t="s">
        <v>2784</v>
      </c>
      <c r="K49" s="628" t="s">
        <v>2785</v>
      </c>
      <c r="L49" s="629" t="s">
        <v>2786</v>
      </c>
      <c r="M49" s="630" t="s">
        <v>2787</v>
      </c>
      <c r="N49" s="631" t="s">
        <v>2788</v>
      </c>
      <c r="O49" s="598" t="s">
        <v>2789</v>
      </c>
      <c r="P49" s="148" t="s">
        <v>2790</v>
      </c>
      <c r="Q49" s="183" t="s">
        <v>2791</v>
      </c>
      <c r="R49" s="598" t="s">
        <v>2792</v>
      </c>
      <c r="S49" s="183" t="s">
        <v>2793</v>
      </c>
      <c r="T49" s="182" t="s">
        <v>2794</v>
      </c>
      <c r="U49" s="593" t="s">
        <v>2795</v>
      </c>
      <c r="V49" s="598" t="s">
        <v>2796</v>
      </c>
      <c r="W49" s="148" t="s">
        <v>2797</v>
      </c>
      <c r="X49" s="183" t="s">
        <v>2798</v>
      </c>
      <c r="Y49" s="632" t="s">
        <v>2799</v>
      </c>
      <c r="Z49" s="633" t="s">
        <v>2800</v>
      </c>
      <c r="AA49" s="634" t="s">
        <v>2801</v>
      </c>
      <c r="AB49" s="633" t="s">
        <v>2817</v>
      </c>
      <c r="AC49" s="378"/>
      <c r="AD49" s="378"/>
      <c r="AE49" s="378"/>
      <c r="AF49" s="378"/>
    </row>
    <row r="50" spans="1:32" x14ac:dyDescent="0.2">
      <c r="A50" s="3097">
        <v>30000032</v>
      </c>
      <c r="B50" s="1004" t="s">
        <v>1010</v>
      </c>
      <c r="C50" s="144" t="s">
        <v>2777</v>
      </c>
      <c r="D50" s="183" t="s">
        <v>2778</v>
      </c>
      <c r="E50" s="182" t="s">
        <v>2779</v>
      </c>
      <c r="F50" s="183" t="s">
        <v>2780</v>
      </c>
      <c r="G50" s="182" t="s">
        <v>2781</v>
      </c>
      <c r="H50" s="183" t="s">
        <v>2782</v>
      </c>
      <c r="I50" s="182" t="s">
        <v>2783</v>
      </c>
      <c r="J50" s="183" t="s">
        <v>2784</v>
      </c>
      <c r="K50" s="628" t="s">
        <v>2785</v>
      </c>
      <c r="L50" s="629" t="s">
        <v>2786</v>
      </c>
      <c r="M50" s="630" t="s">
        <v>2787</v>
      </c>
      <c r="N50" s="631" t="s">
        <v>2788</v>
      </c>
      <c r="O50" s="598" t="s">
        <v>2789</v>
      </c>
      <c r="P50" s="148" t="s">
        <v>2790</v>
      </c>
      <c r="Q50" s="183" t="s">
        <v>2791</v>
      </c>
      <c r="R50" s="598" t="s">
        <v>2792</v>
      </c>
      <c r="S50" s="183" t="s">
        <v>2793</v>
      </c>
      <c r="T50" s="182" t="s">
        <v>2794</v>
      </c>
      <c r="U50" s="593" t="s">
        <v>2795</v>
      </c>
      <c r="V50" s="598" t="s">
        <v>2796</v>
      </c>
      <c r="W50" s="148" t="s">
        <v>2797</v>
      </c>
      <c r="X50" s="183" t="s">
        <v>2798</v>
      </c>
      <c r="Y50" s="632" t="s">
        <v>2799</v>
      </c>
      <c r="Z50" s="633" t="s">
        <v>2800</v>
      </c>
      <c r="AA50" s="634" t="s">
        <v>2801</v>
      </c>
      <c r="AB50" s="633" t="s">
        <v>2817</v>
      </c>
      <c r="AC50" s="378"/>
      <c r="AD50" s="378"/>
      <c r="AE50" s="378"/>
      <c r="AF50" s="378"/>
    </row>
    <row r="51" spans="1:32" x14ac:dyDescent="0.2">
      <c r="A51" s="3097">
        <v>30000033</v>
      </c>
      <c r="B51" s="1004" t="s">
        <v>1671</v>
      </c>
      <c r="C51" s="144" t="s">
        <v>2777</v>
      </c>
      <c r="D51" s="183" t="s">
        <v>2778</v>
      </c>
      <c r="E51" s="182" t="s">
        <v>2779</v>
      </c>
      <c r="F51" s="183" t="s">
        <v>2780</v>
      </c>
      <c r="G51" s="182" t="s">
        <v>2781</v>
      </c>
      <c r="H51" s="183" t="s">
        <v>2782</v>
      </c>
      <c r="I51" s="182" t="s">
        <v>2783</v>
      </c>
      <c r="J51" s="183" t="s">
        <v>2784</v>
      </c>
      <c r="K51" s="628" t="s">
        <v>2785</v>
      </c>
      <c r="L51" s="629" t="s">
        <v>2786</v>
      </c>
      <c r="M51" s="630" t="s">
        <v>2787</v>
      </c>
      <c r="N51" s="631" t="s">
        <v>2788</v>
      </c>
      <c r="O51" s="598" t="s">
        <v>2789</v>
      </c>
      <c r="P51" s="148" t="s">
        <v>2790</v>
      </c>
      <c r="Q51" s="183" t="s">
        <v>2791</v>
      </c>
      <c r="R51" s="598" t="s">
        <v>2792</v>
      </c>
      <c r="S51" s="183" t="s">
        <v>2793</v>
      </c>
      <c r="T51" s="182" t="s">
        <v>2794</v>
      </c>
      <c r="U51" s="593" t="s">
        <v>2795</v>
      </c>
      <c r="V51" s="598" t="s">
        <v>2796</v>
      </c>
      <c r="W51" s="148" t="s">
        <v>2797</v>
      </c>
      <c r="X51" s="183" t="s">
        <v>2798</v>
      </c>
      <c r="Y51" s="632" t="s">
        <v>2799</v>
      </c>
      <c r="Z51" s="633" t="s">
        <v>2800</v>
      </c>
      <c r="AA51" s="634" t="s">
        <v>2801</v>
      </c>
      <c r="AB51" s="633" t="s">
        <v>2817</v>
      </c>
      <c r="AC51" s="378"/>
      <c r="AD51" s="378"/>
      <c r="AE51" s="378"/>
      <c r="AF51" s="378"/>
    </row>
    <row r="52" spans="1:32" x14ac:dyDescent="0.2">
      <c r="A52" s="3096">
        <v>30000034</v>
      </c>
      <c r="B52" s="3640" t="s">
        <v>1672</v>
      </c>
      <c r="C52" s="144" t="s">
        <v>2777</v>
      </c>
      <c r="D52" s="183" t="s">
        <v>2778</v>
      </c>
      <c r="E52" s="182" t="s">
        <v>2779</v>
      </c>
      <c r="F52" s="183" t="s">
        <v>2780</v>
      </c>
      <c r="G52" s="182" t="s">
        <v>2781</v>
      </c>
      <c r="H52" s="183" t="s">
        <v>2782</v>
      </c>
      <c r="I52" s="182" t="s">
        <v>2783</v>
      </c>
      <c r="J52" s="183" t="s">
        <v>2784</v>
      </c>
      <c r="K52" s="628" t="s">
        <v>2785</v>
      </c>
      <c r="L52" s="629" t="s">
        <v>2786</v>
      </c>
      <c r="M52" s="630" t="s">
        <v>2787</v>
      </c>
      <c r="N52" s="631" t="s">
        <v>2788</v>
      </c>
      <c r="O52" s="598" t="s">
        <v>2789</v>
      </c>
      <c r="P52" s="148" t="s">
        <v>2790</v>
      </c>
      <c r="Q52" s="183" t="s">
        <v>2791</v>
      </c>
      <c r="R52" s="598" t="s">
        <v>2792</v>
      </c>
      <c r="S52" s="183" t="s">
        <v>2793</v>
      </c>
      <c r="T52" s="182" t="s">
        <v>2794</v>
      </c>
      <c r="U52" s="593" t="s">
        <v>2795</v>
      </c>
      <c r="V52" s="598" t="s">
        <v>2796</v>
      </c>
      <c r="W52" s="148" t="s">
        <v>2797</v>
      </c>
      <c r="X52" s="183" t="s">
        <v>2798</v>
      </c>
      <c r="Y52" s="632" t="s">
        <v>2799</v>
      </c>
      <c r="Z52" s="633" t="s">
        <v>2800</v>
      </c>
      <c r="AA52" s="634" t="s">
        <v>2801</v>
      </c>
      <c r="AB52" s="633" t="s">
        <v>2817</v>
      </c>
      <c r="AC52" s="378"/>
      <c r="AD52" s="378"/>
      <c r="AE52" s="378"/>
      <c r="AF52" s="378"/>
    </row>
    <row r="53" spans="1:32" x14ac:dyDescent="0.2">
      <c r="A53" s="3097">
        <v>30000035</v>
      </c>
      <c r="B53" s="1192" t="s">
        <v>1011</v>
      </c>
      <c r="C53" s="144" t="s">
        <v>2777</v>
      </c>
      <c r="D53" s="183" t="s">
        <v>2778</v>
      </c>
      <c r="E53" s="182" t="s">
        <v>2779</v>
      </c>
      <c r="F53" s="183" t="s">
        <v>2780</v>
      </c>
      <c r="G53" s="182" t="s">
        <v>2781</v>
      </c>
      <c r="H53" s="183" t="s">
        <v>2782</v>
      </c>
      <c r="I53" s="182" t="s">
        <v>2783</v>
      </c>
      <c r="J53" s="183" t="s">
        <v>2784</v>
      </c>
      <c r="K53" s="628" t="s">
        <v>2785</v>
      </c>
      <c r="L53" s="629" t="s">
        <v>2786</v>
      </c>
      <c r="M53" s="630" t="s">
        <v>2787</v>
      </c>
      <c r="N53" s="631" t="s">
        <v>2788</v>
      </c>
      <c r="O53" s="598" t="s">
        <v>2789</v>
      </c>
      <c r="P53" s="148" t="s">
        <v>2790</v>
      </c>
      <c r="Q53" s="183" t="s">
        <v>2791</v>
      </c>
      <c r="R53" s="598" t="s">
        <v>2792</v>
      </c>
      <c r="S53" s="183" t="s">
        <v>2793</v>
      </c>
      <c r="T53" s="182" t="s">
        <v>2794</v>
      </c>
      <c r="U53" s="593" t="s">
        <v>2795</v>
      </c>
      <c r="V53" s="598" t="s">
        <v>2796</v>
      </c>
      <c r="W53" s="148" t="s">
        <v>2797</v>
      </c>
      <c r="X53" s="183" t="s">
        <v>2798</v>
      </c>
      <c r="Y53" s="632" t="s">
        <v>2799</v>
      </c>
      <c r="Z53" s="633" t="s">
        <v>2800</v>
      </c>
      <c r="AA53" s="634" t="s">
        <v>2801</v>
      </c>
      <c r="AB53" s="633" t="s">
        <v>2817</v>
      </c>
      <c r="AC53" s="378"/>
      <c r="AD53" s="378"/>
      <c r="AE53" s="378"/>
      <c r="AF53" s="378"/>
    </row>
    <row r="54" spans="1:32" x14ac:dyDescent="0.2">
      <c r="A54" s="3097">
        <v>30000036</v>
      </c>
      <c r="B54" s="1004" t="s">
        <v>1012</v>
      </c>
      <c r="C54" s="144" t="s">
        <v>2777</v>
      </c>
      <c r="D54" s="183" t="s">
        <v>2778</v>
      </c>
      <c r="E54" s="182" t="s">
        <v>2779</v>
      </c>
      <c r="F54" s="183" t="s">
        <v>2780</v>
      </c>
      <c r="G54" s="182" t="s">
        <v>2781</v>
      </c>
      <c r="H54" s="183" t="s">
        <v>2782</v>
      </c>
      <c r="I54" s="182" t="s">
        <v>2783</v>
      </c>
      <c r="J54" s="183" t="s">
        <v>2784</v>
      </c>
      <c r="K54" s="628" t="s">
        <v>2785</v>
      </c>
      <c r="L54" s="629" t="s">
        <v>2786</v>
      </c>
      <c r="M54" s="630" t="s">
        <v>2787</v>
      </c>
      <c r="N54" s="631" t="s">
        <v>2788</v>
      </c>
      <c r="O54" s="598" t="s">
        <v>2789</v>
      </c>
      <c r="P54" s="148" t="s">
        <v>2790</v>
      </c>
      <c r="Q54" s="183" t="s">
        <v>2791</v>
      </c>
      <c r="R54" s="598" t="s">
        <v>2792</v>
      </c>
      <c r="S54" s="183" t="s">
        <v>2793</v>
      </c>
      <c r="T54" s="182" t="s">
        <v>2794</v>
      </c>
      <c r="U54" s="593" t="s">
        <v>2795</v>
      </c>
      <c r="V54" s="598" t="s">
        <v>2796</v>
      </c>
      <c r="W54" s="148" t="s">
        <v>2797</v>
      </c>
      <c r="X54" s="183" t="s">
        <v>2798</v>
      </c>
      <c r="Y54" s="632" t="s">
        <v>2799</v>
      </c>
      <c r="Z54" s="633" t="s">
        <v>2800</v>
      </c>
      <c r="AA54" s="634" t="s">
        <v>2801</v>
      </c>
      <c r="AB54" s="633" t="s">
        <v>2817</v>
      </c>
      <c r="AC54" s="378"/>
      <c r="AD54" s="378"/>
      <c r="AE54" s="378"/>
      <c r="AF54" s="378"/>
    </row>
    <row r="55" spans="1:32" x14ac:dyDescent="0.2">
      <c r="A55" s="3097">
        <v>30000037</v>
      </c>
      <c r="B55" s="1004" t="s">
        <v>1673</v>
      </c>
      <c r="C55" s="144" t="s">
        <v>2777</v>
      </c>
      <c r="D55" s="183" t="s">
        <v>2778</v>
      </c>
      <c r="E55" s="182" t="s">
        <v>2779</v>
      </c>
      <c r="F55" s="183" t="s">
        <v>2780</v>
      </c>
      <c r="G55" s="182" t="s">
        <v>2781</v>
      </c>
      <c r="H55" s="183" t="s">
        <v>2782</v>
      </c>
      <c r="I55" s="182" t="s">
        <v>2783</v>
      </c>
      <c r="J55" s="183" t="s">
        <v>2784</v>
      </c>
      <c r="K55" s="628" t="s">
        <v>2785</v>
      </c>
      <c r="L55" s="629" t="s">
        <v>2786</v>
      </c>
      <c r="M55" s="630" t="s">
        <v>2787</v>
      </c>
      <c r="N55" s="631" t="s">
        <v>2788</v>
      </c>
      <c r="O55" s="598" t="s">
        <v>2789</v>
      </c>
      <c r="P55" s="148" t="s">
        <v>2790</v>
      </c>
      <c r="Q55" s="183" t="s">
        <v>2791</v>
      </c>
      <c r="R55" s="598" t="s">
        <v>2792</v>
      </c>
      <c r="S55" s="183" t="s">
        <v>2793</v>
      </c>
      <c r="T55" s="182" t="s">
        <v>2794</v>
      </c>
      <c r="U55" s="593" t="s">
        <v>2795</v>
      </c>
      <c r="V55" s="598" t="s">
        <v>2796</v>
      </c>
      <c r="W55" s="148" t="s">
        <v>2797</v>
      </c>
      <c r="X55" s="183" t="s">
        <v>2798</v>
      </c>
      <c r="Y55" s="632" t="s">
        <v>2799</v>
      </c>
      <c r="Z55" s="633" t="s">
        <v>2800</v>
      </c>
      <c r="AA55" s="634" t="s">
        <v>2801</v>
      </c>
      <c r="AB55" s="633" t="s">
        <v>2817</v>
      </c>
      <c r="AC55" s="378"/>
      <c r="AD55" s="378"/>
      <c r="AE55" s="378"/>
      <c r="AF55" s="378"/>
    </row>
    <row r="56" spans="1:32" x14ac:dyDescent="0.2">
      <c r="A56" s="3097">
        <v>30000038</v>
      </c>
      <c r="B56" s="1004" t="s">
        <v>1674</v>
      </c>
      <c r="C56" s="144" t="s">
        <v>2777</v>
      </c>
      <c r="D56" s="183" t="s">
        <v>2778</v>
      </c>
      <c r="E56" s="182" t="s">
        <v>2779</v>
      </c>
      <c r="F56" s="183" t="s">
        <v>2780</v>
      </c>
      <c r="G56" s="182" t="s">
        <v>2781</v>
      </c>
      <c r="H56" s="183" t="s">
        <v>2782</v>
      </c>
      <c r="I56" s="182" t="s">
        <v>2783</v>
      </c>
      <c r="J56" s="183" t="s">
        <v>2784</v>
      </c>
      <c r="K56" s="628" t="s">
        <v>2785</v>
      </c>
      <c r="L56" s="629" t="s">
        <v>2786</v>
      </c>
      <c r="M56" s="630" t="s">
        <v>2787</v>
      </c>
      <c r="N56" s="631" t="s">
        <v>2788</v>
      </c>
      <c r="O56" s="598" t="s">
        <v>2789</v>
      </c>
      <c r="P56" s="148" t="s">
        <v>2790</v>
      </c>
      <c r="Q56" s="183" t="s">
        <v>2791</v>
      </c>
      <c r="R56" s="598" t="s">
        <v>2792</v>
      </c>
      <c r="S56" s="183" t="s">
        <v>2793</v>
      </c>
      <c r="T56" s="182" t="s">
        <v>2794</v>
      </c>
      <c r="U56" s="593" t="s">
        <v>2795</v>
      </c>
      <c r="V56" s="598" t="s">
        <v>2796</v>
      </c>
      <c r="W56" s="148" t="s">
        <v>2797</v>
      </c>
      <c r="X56" s="183" t="s">
        <v>2798</v>
      </c>
      <c r="Y56" s="632" t="s">
        <v>2799</v>
      </c>
      <c r="Z56" s="633" t="s">
        <v>2800</v>
      </c>
      <c r="AA56" s="634" t="s">
        <v>2801</v>
      </c>
      <c r="AB56" s="633" t="s">
        <v>2817</v>
      </c>
      <c r="AC56" s="378"/>
      <c r="AD56" s="378"/>
      <c r="AE56" s="378"/>
      <c r="AF56" s="378"/>
    </row>
    <row r="57" spans="1:32" x14ac:dyDescent="0.2">
      <c r="A57" s="3097">
        <v>30000039</v>
      </c>
      <c r="B57" s="1004" t="s">
        <v>135</v>
      </c>
      <c r="C57" s="144" t="s">
        <v>2777</v>
      </c>
      <c r="D57" s="183" t="s">
        <v>2778</v>
      </c>
      <c r="E57" s="182" t="s">
        <v>2779</v>
      </c>
      <c r="F57" s="183" t="s">
        <v>2780</v>
      </c>
      <c r="G57" s="182" t="s">
        <v>2781</v>
      </c>
      <c r="H57" s="183" t="s">
        <v>2782</v>
      </c>
      <c r="I57" s="182" t="s">
        <v>2783</v>
      </c>
      <c r="J57" s="183" t="s">
        <v>2784</v>
      </c>
      <c r="K57" s="628" t="s">
        <v>2785</v>
      </c>
      <c r="L57" s="629" t="s">
        <v>2786</v>
      </c>
      <c r="M57" s="630" t="s">
        <v>2787</v>
      </c>
      <c r="N57" s="631" t="s">
        <v>2788</v>
      </c>
      <c r="O57" s="598" t="s">
        <v>2789</v>
      </c>
      <c r="P57" s="148" t="s">
        <v>2790</v>
      </c>
      <c r="Q57" s="183" t="s">
        <v>2791</v>
      </c>
      <c r="R57" s="598" t="s">
        <v>2792</v>
      </c>
      <c r="S57" s="183" t="s">
        <v>2793</v>
      </c>
      <c r="T57" s="182" t="s">
        <v>2794</v>
      </c>
      <c r="U57" s="593" t="s">
        <v>2795</v>
      </c>
      <c r="V57" s="598" t="s">
        <v>2796</v>
      </c>
      <c r="W57" s="148" t="s">
        <v>2797</v>
      </c>
      <c r="X57" s="183" t="s">
        <v>2798</v>
      </c>
      <c r="Y57" s="632" t="s">
        <v>2799</v>
      </c>
      <c r="Z57" s="633" t="s">
        <v>2800</v>
      </c>
      <c r="AA57" s="634" t="s">
        <v>2801</v>
      </c>
      <c r="AB57" s="633" t="s">
        <v>2817</v>
      </c>
      <c r="AC57" s="378"/>
      <c r="AD57" s="378"/>
      <c r="AE57" s="378"/>
      <c r="AF57" s="378"/>
    </row>
    <row r="58" spans="1:32" x14ac:dyDescent="0.2">
      <c r="A58" s="3097">
        <v>30000040</v>
      </c>
      <c r="B58" s="1004" t="s">
        <v>1013</v>
      </c>
      <c r="C58" s="144" t="s">
        <v>2777</v>
      </c>
      <c r="D58" s="183" t="s">
        <v>2778</v>
      </c>
      <c r="E58" s="182" t="s">
        <v>2779</v>
      </c>
      <c r="F58" s="183" t="s">
        <v>2780</v>
      </c>
      <c r="G58" s="182" t="s">
        <v>2781</v>
      </c>
      <c r="H58" s="183" t="s">
        <v>2782</v>
      </c>
      <c r="I58" s="182" t="s">
        <v>2783</v>
      </c>
      <c r="J58" s="183" t="s">
        <v>2784</v>
      </c>
      <c r="K58" s="628" t="s">
        <v>2785</v>
      </c>
      <c r="L58" s="629" t="s">
        <v>2786</v>
      </c>
      <c r="M58" s="630" t="s">
        <v>2787</v>
      </c>
      <c r="N58" s="631" t="s">
        <v>2788</v>
      </c>
      <c r="O58" s="598" t="s">
        <v>2789</v>
      </c>
      <c r="P58" s="148" t="s">
        <v>2790</v>
      </c>
      <c r="Q58" s="183" t="s">
        <v>2791</v>
      </c>
      <c r="R58" s="598" t="s">
        <v>2792</v>
      </c>
      <c r="S58" s="183" t="s">
        <v>2793</v>
      </c>
      <c r="T58" s="182" t="s">
        <v>2794</v>
      </c>
      <c r="U58" s="593" t="s">
        <v>2795</v>
      </c>
      <c r="V58" s="598" t="s">
        <v>2796</v>
      </c>
      <c r="W58" s="148" t="s">
        <v>2797</v>
      </c>
      <c r="X58" s="183" t="s">
        <v>2798</v>
      </c>
      <c r="Y58" s="632" t="s">
        <v>2799</v>
      </c>
      <c r="Z58" s="633" t="s">
        <v>2800</v>
      </c>
      <c r="AA58" s="634" t="s">
        <v>2801</v>
      </c>
      <c r="AB58" s="633" t="s">
        <v>2817</v>
      </c>
      <c r="AC58" s="378"/>
      <c r="AD58" s="378"/>
      <c r="AE58" s="378"/>
      <c r="AF58" s="378"/>
    </row>
    <row r="59" spans="1:32" x14ac:dyDescent="0.2">
      <c r="A59" s="3097">
        <v>30000041</v>
      </c>
      <c r="B59" s="1004" t="s">
        <v>137</v>
      </c>
      <c r="C59" s="144" t="s">
        <v>2777</v>
      </c>
      <c r="D59" s="183" t="s">
        <v>2778</v>
      </c>
      <c r="E59" s="182" t="s">
        <v>2779</v>
      </c>
      <c r="F59" s="183" t="s">
        <v>2780</v>
      </c>
      <c r="G59" s="182" t="s">
        <v>2781</v>
      </c>
      <c r="H59" s="183" t="s">
        <v>2782</v>
      </c>
      <c r="I59" s="182" t="s">
        <v>2783</v>
      </c>
      <c r="J59" s="183" t="s">
        <v>2784</v>
      </c>
      <c r="K59" s="628" t="s">
        <v>2785</v>
      </c>
      <c r="L59" s="629" t="s">
        <v>2786</v>
      </c>
      <c r="M59" s="630" t="s">
        <v>2787</v>
      </c>
      <c r="N59" s="631" t="s">
        <v>2788</v>
      </c>
      <c r="O59" s="598" t="s">
        <v>2789</v>
      </c>
      <c r="P59" s="148" t="s">
        <v>2790</v>
      </c>
      <c r="Q59" s="183" t="s">
        <v>2791</v>
      </c>
      <c r="R59" s="598" t="s">
        <v>2792</v>
      </c>
      <c r="S59" s="183" t="s">
        <v>2793</v>
      </c>
      <c r="T59" s="182" t="s">
        <v>2794</v>
      </c>
      <c r="U59" s="593" t="s">
        <v>2795</v>
      </c>
      <c r="V59" s="598" t="s">
        <v>2796</v>
      </c>
      <c r="W59" s="148" t="s">
        <v>2797</v>
      </c>
      <c r="X59" s="183" t="s">
        <v>2798</v>
      </c>
      <c r="Y59" s="632" t="s">
        <v>2799</v>
      </c>
      <c r="Z59" s="633" t="s">
        <v>2800</v>
      </c>
      <c r="AA59" s="634" t="s">
        <v>2801</v>
      </c>
      <c r="AB59" s="633" t="s">
        <v>2817</v>
      </c>
      <c r="AC59" s="378"/>
      <c r="AD59" s="378"/>
      <c r="AE59" s="378"/>
      <c r="AF59" s="378"/>
    </row>
    <row r="60" spans="1:32" x14ac:dyDescent="0.2">
      <c r="A60" s="3097">
        <v>30000042</v>
      </c>
      <c r="B60" s="1004" t="s">
        <v>134</v>
      </c>
      <c r="C60" s="144" t="s">
        <v>2777</v>
      </c>
      <c r="D60" s="183" t="s">
        <v>2778</v>
      </c>
      <c r="E60" s="182" t="s">
        <v>2779</v>
      </c>
      <c r="F60" s="183" t="s">
        <v>2780</v>
      </c>
      <c r="G60" s="182" t="s">
        <v>2781</v>
      </c>
      <c r="H60" s="183" t="s">
        <v>2782</v>
      </c>
      <c r="I60" s="182" t="s">
        <v>2783</v>
      </c>
      <c r="J60" s="183" t="s">
        <v>2784</v>
      </c>
      <c r="K60" s="628" t="s">
        <v>2785</v>
      </c>
      <c r="L60" s="629" t="s">
        <v>2786</v>
      </c>
      <c r="M60" s="630" t="s">
        <v>2787</v>
      </c>
      <c r="N60" s="631" t="s">
        <v>2788</v>
      </c>
      <c r="O60" s="598" t="s">
        <v>2789</v>
      </c>
      <c r="P60" s="148" t="s">
        <v>2790</v>
      </c>
      <c r="Q60" s="183" t="s">
        <v>2791</v>
      </c>
      <c r="R60" s="598" t="s">
        <v>2792</v>
      </c>
      <c r="S60" s="183" t="s">
        <v>2793</v>
      </c>
      <c r="T60" s="182" t="s">
        <v>2794</v>
      </c>
      <c r="U60" s="593" t="s">
        <v>2795</v>
      </c>
      <c r="V60" s="598" t="s">
        <v>2796</v>
      </c>
      <c r="W60" s="148" t="s">
        <v>2797</v>
      </c>
      <c r="X60" s="183" t="s">
        <v>2798</v>
      </c>
      <c r="Y60" s="632" t="s">
        <v>2799</v>
      </c>
      <c r="Z60" s="633" t="s">
        <v>2800</v>
      </c>
      <c r="AA60" s="634" t="s">
        <v>2801</v>
      </c>
      <c r="AB60" s="633" t="s">
        <v>2817</v>
      </c>
      <c r="AC60" s="378"/>
      <c r="AD60" s="378"/>
      <c r="AE60" s="378"/>
      <c r="AF60" s="378"/>
    </row>
    <row r="61" spans="1:32" x14ac:dyDescent="0.2">
      <c r="A61" s="3097">
        <v>30000043</v>
      </c>
      <c r="B61" s="3637" t="s">
        <v>1014</v>
      </c>
      <c r="C61" s="144" t="s">
        <v>2777</v>
      </c>
      <c r="D61" s="183" t="s">
        <v>2778</v>
      </c>
      <c r="E61" s="182" t="s">
        <v>2779</v>
      </c>
      <c r="F61" s="183" t="s">
        <v>2780</v>
      </c>
      <c r="G61" s="182" t="s">
        <v>2781</v>
      </c>
      <c r="H61" s="183" t="s">
        <v>2782</v>
      </c>
      <c r="I61" s="182" t="s">
        <v>2783</v>
      </c>
      <c r="J61" s="183" t="s">
        <v>2784</v>
      </c>
      <c r="K61" s="628" t="s">
        <v>2785</v>
      </c>
      <c r="L61" s="629" t="s">
        <v>2786</v>
      </c>
      <c r="M61" s="630" t="s">
        <v>2787</v>
      </c>
      <c r="N61" s="631" t="s">
        <v>2788</v>
      </c>
      <c r="O61" s="598" t="s">
        <v>2789</v>
      </c>
      <c r="P61" s="148" t="s">
        <v>2790</v>
      </c>
      <c r="Q61" s="183" t="s">
        <v>2791</v>
      </c>
      <c r="R61" s="598" t="s">
        <v>2792</v>
      </c>
      <c r="S61" s="183" t="s">
        <v>2793</v>
      </c>
      <c r="T61" s="182" t="s">
        <v>2794</v>
      </c>
      <c r="U61" s="593" t="s">
        <v>2795</v>
      </c>
      <c r="V61" s="598" t="s">
        <v>2796</v>
      </c>
      <c r="W61" s="148" t="s">
        <v>2797</v>
      </c>
      <c r="X61" s="183" t="s">
        <v>2798</v>
      </c>
      <c r="Y61" s="632" t="s">
        <v>2799</v>
      </c>
      <c r="Z61" s="633" t="s">
        <v>2800</v>
      </c>
      <c r="AA61" s="634" t="s">
        <v>2801</v>
      </c>
      <c r="AB61" s="633" t="s">
        <v>2817</v>
      </c>
      <c r="AC61" s="378"/>
      <c r="AD61" s="378"/>
      <c r="AE61" s="378"/>
      <c r="AF61" s="378"/>
    </row>
    <row r="62" spans="1:32" x14ac:dyDescent="0.2">
      <c r="A62" s="3097">
        <v>30000044</v>
      </c>
      <c r="B62" s="1192" t="s">
        <v>1015</v>
      </c>
      <c r="C62" s="144" t="s">
        <v>2777</v>
      </c>
      <c r="D62" s="183" t="s">
        <v>2778</v>
      </c>
      <c r="E62" s="182" t="s">
        <v>2779</v>
      </c>
      <c r="F62" s="183" t="s">
        <v>2780</v>
      </c>
      <c r="G62" s="182" t="s">
        <v>2781</v>
      </c>
      <c r="H62" s="183" t="s">
        <v>2782</v>
      </c>
      <c r="I62" s="182" t="s">
        <v>2783</v>
      </c>
      <c r="J62" s="183" t="s">
        <v>2784</v>
      </c>
      <c r="K62" s="628" t="s">
        <v>2785</v>
      </c>
      <c r="L62" s="629" t="s">
        <v>2786</v>
      </c>
      <c r="M62" s="630" t="s">
        <v>2787</v>
      </c>
      <c r="N62" s="631" t="s">
        <v>2788</v>
      </c>
      <c r="O62" s="598" t="s">
        <v>2789</v>
      </c>
      <c r="P62" s="148" t="s">
        <v>2790</v>
      </c>
      <c r="Q62" s="183" t="s">
        <v>2791</v>
      </c>
      <c r="R62" s="598" t="s">
        <v>2792</v>
      </c>
      <c r="S62" s="183" t="s">
        <v>2793</v>
      </c>
      <c r="T62" s="182" t="s">
        <v>2794</v>
      </c>
      <c r="U62" s="593" t="s">
        <v>2795</v>
      </c>
      <c r="V62" s="598" t="s">
        <v>2796</v>
      </c>
      <c r="W62" s="148" t="s">
        <v>2797</v>
      </c>
      <c r="X62" s="183" t="s">
        <v>2798</v>
      </c>
      <c r="Y62" s="632" t="s">
        <v>2799</v>
      </c>
      <c r="Z62" s="633" t="s">
        <v>2800</v>
      </c>
      <c r="AA62" s="634" t="s">
        <v>2801</v>
      </c>
      <c r="AB62" s="633" t="s">
        <v>2817</v>
      </c>
      <c r="AC62" s="378"/>
      <c r="AD62" s="378"/>
      <c r="AE62" s="378"/>
      <c r="AF62" s="378"/>
    </row>
    <row r="63" spans="1:32" x14ac:dyDescent="0.2">
      <c r="A63" s="3097">
        <v>30000045</v>
      </c>
      <c r="B63" s="1192" t="s">
        <v>1016</v>
      </c>
      <c r="C63" s="144" t="s">
        <v>2777</v>
      </c>
      <c r="D63" s="183" t="s">
        <v>2778</v>
      </c>
      <c r="E63" s="182" t="s">
        <v>2779</v>
      </c>
      <c r="F63" s="183" t="s">
        <v>2780</v>
      </c>
      <c r="G63" s="182" t="s">
        <v>2781</v>
      </c>
      <c r="H63" s="183" t="s">
        <v>2782</v>
      </c>
      <c r="I63" s="182" t="s">
        <v>2783</v>
      </c>
      <c r="J63" s="183" t="s">
        <v>2784</v>
      </c>
      <c r="K63" s="628" t="s">
        <v>2785</v>
      </c>
      <c r="L63" s="629" t="s">
        <v>2786</v>
      </c>
      <c r="M63" s="630" t="s">
        <v>2787</v>
      </c>
      <c r="N63" s="631" t="s">
        <v>2788</v>
      </c>
      <c r="O63" s="598" t="s">
        <v>2789</v>
      </c>
      <c r="P63" s="148" t="s">
        <v>2790</v>
      </c>
      <c r="Q63" s="183" t="s">
        <v>2791</v>
      </c>
      <c r="R63" s="598" t="s">
        <v>2792</v>
      </c>
      <c r="S63" s="183" t="s">
        <v>2793</v>
      </c>
      <c r="T63" s="182" t="s">
        <v>2794</v>
      </c>
      <c r="U63" s="593" t="s">
        <v>2795</v>
      </c>
      <c r="V63" s="598" t="s">
        <v>2796</v>
      </c>
      <c r="W63" s="148" t="s">
        <v>2797</v>
      </c>
      <c r="X63" s="183" t="s">
        <v>2798</v>
      </c>
      <c r="Y63" s="632" t="s">
        <v>2799</v>
      </c>
      <c r="Z63" s="633" t="s">
        <v>2800</v>
      </c>
      <c r="AA63" s="634" t="s">
        <v>2801</v>
      </c>
      <c r="AB63" s="633" t="s">
        <v>2817</v>
      </c>
      <c r="AC63" s="378"/>
      <c r="AD63" s="378"/>
      <c r="AE63" s="378"/>
      <c r="AF63" s="378"/>
    </row>
    <row r="64" spans="1:32" x14ac:dyDescent="0.2">
      <c r="A64" s="3097">
        <v>30000046</v>
      </c>
      <c r="B64" s="1192" t="s">
        <v>1675</v>
      </c>
      <c r="C64" s="144" t="s">
        <v>2777</v>
      </c>
      <c r="D64" s="183" t="s">
        <v>2778</v>
      </c>
      <c r="E64" s="182" t="s">
        <v>2779</v>
      </c>
      <c r="F64" s="183" t="s">
        <v>2780</v>
      </c>
      <c r="G64" s="182" t="s">
        <v>2781</v>
      </c>
      <c r="H64" s="183" t="s">
        <v>2782</v>
      </c>
      <c r="I64" s="182" t="s">
        <v>2783</v>
      </c>
      <c r="J64" s="183" t="s">
        <v>2784</v>
      </c>
      <c r="K64" s="628" t="s">
        <v>2785</v>
      </c>
      <c r="L64" s="629" t="s">
        <v>2786</v>
      </c>
      <c r="M64" s="630" t="s">
        <v>2787</v>
      </c>
      <c r="N64" s="631" t="s">
        <v>2788</v>
      </c>
      <c r="O64" s="598" t="s">
        <v>2789</v>
      </c>
      <c r="P64" s="148" t="s">
        <v>2790</v>
      </c>
      <c r="Q64" s="183" t="s">
        <v>2791</v>
      </c>
      <c r="R64" s="598" t="s">
        <v>2792</v>
      </c>
      <c r="S64" s="183" t="s">
        <v>2793</v>
      </c>
      <c r="T64" s="182" t="s">
        <v>2794</v>
      </c>
      <c r="U64" s="593" t="s">
        <v>2795</v>
      </c>
      <c r="V64" s="598" t="s">
        <v>2796</v>
      </c>
      <c r="W64" s="148" t="s">
        <v>2797</v>
      </c>
      <c r="X64" s="183" t="s">
        <v>2798</v>
      </c>
      <c r="Y64" s="632" t="s">
        <v>2799</v>
      </c>
      <c r="Z64" s="633" t="s">
        <v>2800</v>
      </c>
      <c r="AA64" s="634" t="s">
        <v>2801</v>
      </c>
      <c r="AB64" s="633" t="s">
        <v>2817</v>
      </c>
      <c r="AC64" s="378"/>
      <c r="AD64" s="378"/>
      <c r="AE64" s="378"/>
      <c r="AF64" s="378"/>
    </row>
    <row r="65" spans="1:32" x14ac:dyDescent="0.2">
      <c r="A65" s="3097">
        <v>30000047</v>
      </c>
      <c r="B65" s="1004" t="s">
        <v>139</v>
      </c>
      <c r="C65" s="144" t="s">
        <v>2777</v>
      </c>
      <c r="D65" s="183" t="s">
        <v>2778</v>
      </c>
      <c r="E65" s="182" t="s">
        <v>2779</v>
      </c>
      <c r="F65" s="183" t="s">
        <v>2780</v>
      </c>
      <c r="G65" s="182" t="s">
        <v>2781</v>
      </c>
      <c r="H65" s="183" t="s">
        <v>2782</v>
      </c>
      <c r="I65" s="182" t="s">
        <v>2783</v>
      </c>
      <c r="J65" s="183" t="s">
        <v>2784</v>
      </c>
      <c r="K65" s="628" t="s">
        <v>2785</v>
      </c>
      <c r="L65" s="629" t="s">
        <v>2786</v>
      </c>
      <c r="M65" s="630" t="s">
        <v>2787</v>
      </c>
      <c r="N65" s="631" t="s">
        <v>2788</v>
      </c>
      <c r="O65" s="598" t="s">
        <v>2789</v>
      </c>
      <c r="P65" s="148" t="s">
        <v>2790</v>
      </c>
      <c r="Q65" s="183" t="s">
        <v>2791</v>
      </c>
      <c r="R65" s="598" t="s">
        <v>2792</v>
      </c>
      <c r="S65" s="183" t="s">
        <v>2793</v>
      </c>
      <c r="T65" s="182" t="s">
        <v>2794</v>
      </c>
      <c r="U65" s="593" t="s">
        <v>2795</v>
      </c>
      <c r="V65" s="598" t="s">
        <v>2796</v>
      </c>
      <c r="W65" s="148" t="s">
        <v>2797</v>
      </c>
      <c r="X65" s="183" t="s">
        <v>2798</v>
      </c>
      <c r="Y65" s="632" t="s">
        <v>2799</v>
      </c>
      <c r="Z65" s="633" t="s">
        <v>2800</v>
      </c>
      <c r="AA65" s="634" t="s">
        <v>2801</v>
      </c>
      <c r="AB65" s="633" t="s">
        <v>2817</v>
      </c>
      <c r="AC65" s="378"/>
      <c r="AD65" s="378"/>
      <c r="AE65" s="378"/>
      <c r="AF65" s="378"/>
    </row>
    <row r="66" spans="1:32" x14ac:dyDescent="0.2">
      <c r="A66" s="3097">
        <v>30000048</v>
      </c>
      <c r="B66" s="1004" t="s">
        <v>138</v>
      </c>
      <c r="C66" s="144" t="s">
        <v>2777</v>
      </c>
      <c r="D66" s="183" t="s">
        <v>2778</v>
      </c>
      <c r="E66" s="182" t="s">
        <v>2779</v>
      </c>
      <c r="F66" s="183" t="s">
        <v>2780</v>
      </c>
      <c r="G66" s="182" t="s">
        <v>2781</v>
      </c>
      <c r="H66" s="183" t="s">
        <v>2782</v>
      </c>
      <c r="I66" s="182" t="s">
        <v>2783</v>
      </c>
      <c r="J66" s="183" t="s">
        <v>2784</v>
      </c>
      <c r="K66" s="628" t="s">
        <v>2785</v>
      </c>
      <c r="L66" s="629" t="s">
        <v>2786</v>
      </c>
      <c r="M66" s="630" t="s">
        <v>2787</v>
      </c>
      <c r="N66" s="631" t="s">
        <v>2788</v>
      </c>
      <c r="O66" s="598" t="s">
        <v>2789</v>
      </c>
      <c r="P66" s="148" t="s">
        <v>2790</v>
      </c>
      <c r="Q66" s="183" t="s">
        <v>2791</v>
      </c>
      <c r="R66" s="598" t="s">
        <v>2792</v>
      </c>
      <c r="S66" s="183" t="s">
        <v>2793</v>
      </c>
      <c r="T66" s="182" t="s">
        <v>2794</v>
      </c>
      <c r="U66" s="593" t="s">
        <v>2795</v>
      </c>
      <c r="V66" s="598" t="s">
        <v>2796</v>
      </c>
      <c r="W66" s="148" t="s">
        <v>2797</v>
      </c>
      <c r="X66" s="183" t="s">
        <v>2798</v>
      </c>
      <c r="Y66" s="632" t="s">
        <v>2799</v>
      </c>
      <c r="Z66" s="633" t="s">
        <v>2800</v>
      </c>
      <c r="AA66" s="634" t="s">
        <v>2801</v>
      </c>
      <c r="AB66" s="633" t="s">
        <v>2817</v>
      </c>
      <c r="AC66" s="378"/>
      <c r="AD66" s="378"/>
      <c r="AE66" s="378"/>
      <c r="AF66" s="378"/>
    </row>
    <row r="67" spans="1:32" x14ac:dyDescent="0.2">
      <c r="A67" s="3097">
        <v>30000049</v>
      </c>
      <c r="B67" s="1004" t="s">
        <v>1017</v>
      </c>
      <c r="C67" s="144" t="s">
        <v>2777</v>
      </c>
      <c r="D67" s="183" t="s">
        <v>2778</v>
      </c>
      <c r="E67" s="182" t="s">
        <v>2779</v>
      </c>
      <c r="F67" s="183" t="s">
        <v>2780</v>
      </c>
      <c r="G67" s="182" t="s">
        <v>2781</v>
      </c>
      <c r="H67" s="183" t="s">
        <v>2782</v>
      </c>
      <c r="I67" s="182" t="s">
        <v>2783</v>
      </c>
      <c r="J67" s="183" t="s">
        <v>2784</v>
      </c>
      <c r="K67" s="628" t="s">
        <v>2785</v>
      </c>
      <c r="L67" s="629" t="s">
        <v>2786</v>
      </c>
      <c r="M67" s="630" t="s">
        <v>2787</v>
      </c>
      <c r="N67" s="631" t="s">
        <v>2788</v>
      </c>
      <c r="O67" s="598" t="s">
        <v>2789</v>
      </c>
      <c r="P67" s="148" t="s">
        <v>2790</v>
      </c>
      <c r="Q67" s="183" t="s">
        <v>2791</v>
      </c>
      <c r="R67" s="598" t="s">
        <v>2792</v>
      </c>
      <c r="S67" s="183" t="s">
        <v>2793</v>
      </c>
      <c r="T67" s="182" t="s">
        <v>2794</v>
      </c>
      <c r="U67" s="593" t="s">
        <v>2795</v>
      </c>
      <c r="V67" s="598" t="s">
        <v>2796</v>
      </c>
      <c r="W67" s="148" t="s">
        <v>2797</v>
      </c>
      <c r="X67" s="183" t="s">
        <v>2798</v>
      </c>
      <c r="Y67" s="632" t="s">
        <v>2799</v>
      </c>
      <c r="Z67" s="633" t="s">
        <v>2800</v>
      </c>
      <c r="AA67" s="634" t="s">
        <v>2801</v>
      </c>
      <c r="AB67" s="633" t="s">
        <v>2817</v>
      </c>
      <c r="AC67" s="378"/>
      <c r="AD67" s="378"/>
      <c r="AE67" s="378"/>
      <c r="AF67" s="378"/>
    </row>
    <row r="68" spans="1:32" x14ac:dyDescent="0.2">
      <c r="A68" s="3097">
        <v>30000050</v>
      </c>
      <c r="B68" s="1004" t="s">
        <v>1676</v>
      </c>
      <c r="C68" s="144" t="s">
        <v>2777</v>
      </c>
      <c r="D68" s="183" t="s">
        <v>2778</v>
      </c>
      <c r="E68" s="182" t="s">
        <v>2779</v>
      </c>
      <c r="F68" s="183" t="s">
        <v>2780</v>
      </c>
      <c r="G68" s="182" t="s">
        <v>2781</v>
      </c>
      <c r="H68" s="183" t="s">
        <v>2782</v>
      </c>
      <c r="I68" s="182" t="s">
        <v>2783</v>
      </c>
      <c r="J68" s="183" t="s">
        <v>2784</v>
      </c>
      <c r="K68" s="628" t="s">
        <v>2785</v>
      </c>
      <c r="L68" s="629" t="s">
        <v>2786</v>
      </c>
      <c r="M68" s="630" t="s">
        <v>2787</v>
      </c>
      <c r="N68" s="631" t="s">
        <v>2788</v>
      </c>
      <c r="O68" s="598" t="s">
        <v>2789</v>
      </c>
      <c r="P68" s="148" t="s">
        <v>2790</v>
      </c>
      <c r="Q68" s="183" t="s">
        <v>2791</v>
      </c>
      <c r="R68" s="598" t="s">
        <v>2792</v>
      </c>
      <c r="S68" s="183" t="s">
        <v>2793</v>
      </c>
      <c r="T68" s="182" t="s">
        <v>2794</v>
      </c>
      <c r="U68" s="593" t="s">
        <v>2795</v>
      </c>
      <c r="V68" s="598" t="s">
        <v>2796</v>
      </c>
      <c r="W68" s="148" t="s">
        <v>2797</v>
      </c>
      <c r="X68" s="183" t="s">
        <v>2798</v>
      </c>
      <c r="Y68" s="632" t="s">
        <v>2799</v>
      </c>
      <c r="Z68" s="633" t="s">
        <v>2800</v>
      </c>
      <c r="AA68" s="634" t="s">
        <v>2801</v>
      </c>
      <c r="AB68" s="633" t="s">
        <v>2817</v>
      </c>
      <c r="AC68" s="378"/>
      <c r="AD68" s="378"/>
      <c r="AE68" s="378"/>
      <c r="AF68" s="378"/>
    </row>
    <row r="69" spans="1:32" x14ac:dyDescent="0.2">
      <c r="A69" s="3097">
        <v>30000051</v>
      </c>
      <c r="B69" s="1004" t="s">
        <v>1018</v>
      </c>
      <c r="C69" s="144" t="s">
        <v>2777</v>
      </c>
      <c r="D69" s="183" t="s">
        <v>2778</v>
      </c>
      <c r="E69" s="182" t="s">
        <v>2779</v>
      </c>
      <c r="F69" s="183" t="s">
        <v>2780</v>
      </c>
      <c r="G69" s="182" t="s">
        <v>2781</v>
      </c>
      <c r="H69" s="183" t="s">
        <v>2782</v>
      </c>
      <c r="I69" s="182" t="s">
        <v>2783</v>
      </c>
      <c r="J69" s="183" t="s">
        <v>2784</v>
      </c>
      <c r="K69" s="628" t="s">
        <v>2785</v>
      </c>
      <c r="L69" s="629" t="s">
        <v>2786</v>
      </c>
      <c r="M69" s="630" t="s">
        <v>2787</v>
      </c>
      <c r="N69" s="631" t="s">
        <v>2788</v>
      </c>
      <c r="O69" s="598" t="s">
        <v>2789</v>
      </c>
      <c r="P69" s="148" t="s">
        <v>2790</v>
      </c>
      <c r="Q69" s="183" t="s">
        <v>2791</v>
      </c>
      <c r="R69" s="598" t="s">
        <v>2792</v>
      </c>
      <c r="S69" s="183" t="s">
        <v>2793</v>
      </c>
      <c r="T69" s="182" t="s">
        <v>2794</v>
      </c>
      <c r="U69" s="593" t="s">
        <v>2795</v>
      </c>
      <c r="V69" s="598" t="s">
        <v>2796</v>
      </c>
      <c r="W69" s="148" t="s">
        <v>2797</v>
      </c>
      <c r="X69" s="183" t="s">
        <v>2798</v>
      </c>
      <c r="Y69" s="632" t="s">
        <v>2799</v>
      </c>
      <c r="Z69" s="633" t="s">
        <v>2800</v>
      </c>
      <c r="AA69" s="634" t="s">
        <v>2801</v>
      </c>
      <c r="AB69" s="633" t="s">
        <v>2817</v>
      </c>
      <c r="AC69" s="378"/>
      <c r="AD69" s="378"/>
      <c r="AE69" s="378"/>
      <c r="AF69" s="378"/>
    </row>
    <row r="70" spans="1:32" x14ac:dyDescent="0.2">
      <c r="A70" s="3097">
        <v>30000052</v>
      </c>
      <c r="B70" s="1004" t="s">
        <v>1677</v>
      </c>
      <c r="C70" s="144" t="s">
        <v>2777</v>
      </c>
      <c r="D70" s="183" t="s">
        <v>2778</v>
      </c>
      <c r="E70" s="182" t="s">
        <v>2779</v>
      </c>
      <c r="F70" s="183" t="s">
        <v>2780</v>
      </c>
      <c r="G70" s="182" t="s">
        <v>2781</v>
      </c>
      <c r="H70" s="183" t="s">
        <v>2782</v>
      </c>
      <c r="I70" s="182" t="s">
        <v>2783</v>
      </c>
      <c r="J70" s="183" t="s">
        <v>2784</v>
      </c>
      <c r="K70" s="628" t="s">
        <v>2785</v>
      </c>
      <c r="L70" s="629" t="s">
        <v>2786</v>
      </c>
      <c r="M70" s="630" t="s">
        <v>2787</v>
      </c>
      <c r="N70" s="631" t="s">
        <v>2788</v>
      </c>
      <c r="O70" s="598" t="s">
        <v>2789</v>
      </c>
      <c r="P70" s="148" t="s">
        <v>2790</v>
      </c>
      <c r="Q70" s="183" t="s">
        <v>2791</v>
      </c>
      <c r="R70" s="598" t="s">
        <v>2792</v>
      </c>
      <c r="S70" s="183" t="s">
        <v>2793</v>
      </c>
      <c r="T70" s="182" t="s">
        <v>2794</v>
      </c>
      <c r="U70" s="593" t="s">
        <v>2795</v>
      </c>
      <c r="V70" s="598" t="s">
        <v>2796</v>
      </c>
      <c r="W70" s="148" t="s">
        <v>2797</v>
      </c>
      <c r="X70" s="183" t="s">
        <v>2798</v>
      </c>
      <c r="Y70" s="632" t="s">
        <v>2799</v>
      </c>
      <c r="Z70" s="633" t="s">
        <v>2800</v>
      </c>
      <c r="AA70" s="634" t="s">
        <v>2801</v>
      </c>
      <c r="AB70" s="633" t="s">
        <v>2817</v>
      </c>
      <c r="AC70" s="378"/>
      <c r="AD70" s="378"/>
      <c r="AE70" s="378"/>
      <c r="AF70" s="378"/>
    </row>
    <row r="71" spans="1:32" x14ac:dyDescent="0.2">
      <c r="A71" s="3097">
        <v>30000053</v>
      </c>
      <c r="B71" s="1004" t="s">
        <v>1019</v>
      </c>
      <c r="C71" s="144" t="s">
        <v>2777</v>
      </c>
      <c r="D71" s="183" t="s">
        <v>2778</v>
      </c>
      <c r="E71" s="182" t="s">
        <v>2779</v>
      </c>
      <c r="F71" s="183" t="s">
        <v>2780</v>
      </c>
      <c r="G71" s="182" t="s">
        <v>2781</v>
      </c>
      <c r="H71" s="183" t="s">
        <v>2782</v>
      </c>
      <c r="I71" s="182" t="s">
        <v>2783</v>
      </c>
      <c r="J71" s="183" t="s">
        <v>2784</v>
      </c>
      <c r="K71" s="628" t="s">
        <v>2785</v>
      </c>
      <c r="L71" s="629" t="s">
        <v>2786</v>
      </c>
      <c r="M71" s="630" t="s">
        <v>2787</v>
      </c>
      <c r="N71" s="631" t="s">
        <v>2788</v>
      </c>
      <c r="O71" s="598" t="s">
        <v>2789</v>
      </c>
      <c r="P71" s="148" t="s">
        <v>2790</v>
      </c>
      <c r="Q71" s="183" t="s">
        <v>2791</v>
      </c>
      <c r="R71" s="598" t="s">
        <v>2792</v>
      </c>
      <c r="S71" s="183" t="s">
        <v>2793</v>
      </c>
      <c r="T71" s="182" t="s">
        <v>2794</v>
      </c>
      <c r="U71" s="593" t="s">
        <v>2795</v>
      </c>
      <c r="V71" s="598" t="s">
        <v>2796</v>
      </c>
      <c r="W71" s="148" t="s">
        <v>2797</v>
      </c>
      <c r="X71" s="183" t="s">
        <v>2798</v>
      </c>
      <c r="Y71" s="632" t="s">
        <v>2799</v>
      </c>
      <c r="Z71" s="633" t="s">
        <v>2800</v>
      </c>
      <c r="AA71" s="634" t="s">
        <v>2801</v>
      </c>
      <c r="AB71" s="633" t="s">
        <v>2817</v>
      </c>
      <c r="AC71" s="378"/>
      <c r="AD71" s="378"/>
      <c r="AE71" s="378"/>
      <c r="AF71" s="378"/>
    </row>
    <row r="72" spans="1:32" x14ac:dyDescent="0.2">
      <c r="A72" s="3097">
        <v>30000054</v>
      </c>
      <c r="B72" s="1004" t="s">
        <v>1020</v>
      </c>
      <c r="C72" s="144" t="s">
        <v>2777</v>
      </c>
      <c r="D72" s="183" t="s">
        <v>2778</v>
      </c>
      <c r="E72" s="182" t="s">
        <v>2779</v>
      </c>
      <c r="F72" s="183" t="s">
        <v>2780</v>
      </c>
      <c r="G72" s="182" t="s">
        <v>2781</v>
      </c>
      <c r="H72" s="183" t="s">
        <v>2782</v>
      </c>
      <c r="I72" s="182" t="s">
        <v>2783</v>
      </c>
      <c r="J72" s="183" t="s">
        <v>2784</v>
      </c>
      <c r="K72" s="628" t="s">
        <v>2785</v>
      </c>
      <c r="L72" s="629" t="s">
        <v>2786</v>
      </c>
      <c r="M72" s="630" t="s">
        <v>2787</v>
      </c>
      <c r="N72" s="631" t="s">
        <v>2788</v>
      </c>
      <c r="O72" s="598" t="s">
        <v>2789</v>
      </c>
      <c r="P72" s="148" t="s">
        <v>2790</v>
      </c>
      <c r="Q72" s="183" t="s">
        <v>2791</v>
      </c>
      <c r="R72" s="598" t="s">
        <v>2792</v>
      </c>
      <c r="S72" s="183" t="s">
        <v>2793</v>
      </c>
      <c r="T72" s="182" t="s">
        <v>2794</v>
      </c>
      <c r="U72" s="593" t="s">
        <v>2795</v>
      </c>
      <c r="V72" s="598" t="s">
        <v>2796</v>
      </c>
      <c r="W72" s="148" t="s">
        <v>2797</v>
      </c>
      <c r="X72" s="183" t="s">
        <v>2798</v>
      </c>
      <c r="Y72" s="632" t="s">
        <v>2799</v>
      </c>
      <c r="Z72" s="633" t="s">
        <v>2800</v>
      </c>
      <c r="AA72" s="634" t="s">
        <v>2801</v>
      </c>
      <c r="AB72" s="633" t="s">
        <v>2817</v>
      </c>
      <c r="AC72" s="378"/>
      <c r="AD72" s="378"/>
      <c r="AE72" s="378"/>
      <c r="AF72" s="378"/>
    </row>
    <row r="73" spans="1:32" x14ac:dyDescent="0.2">
      <c r="A73" s="3097">
        <v>30000086</v>
      </c>
      <c r="B73" s="1004" t="s">
        <v>1652</v>
      </c>
      <c r="C73" s="144" t="s">
        <v>2777</v>
      </c>
      <c r="D73" s="183" t="s">
        <v>2778</v>
      </c>
      <c r="E73" s="182" t="s">
        <v>2779</v>
      </c>
      <c r="F73" s="183" t="s">
        <v>2780</v>
      </c>
      <c r="G73" s="182" t="s">
        <v>2781</v>
      </c>
      <c r="H73" s="183" t="s">
        <v>2782</v>
      </c>
      <c r="I73" s="182" t="s">
        <v>2783</v>
      </c>
      <c r="J73" s="183" t="s">
        <v>2784</v>
      </c>
      <c r="K73" s="628" t="s">
        <v>2785</v>
      </c>
      <c r="L73" s="629" t="s">
        <v>2786</v>
      </c>
      <c r="M73" s="630" t="s">
        <v>2787</v>
      </c>
      <c r="N73" s="631" t="s">
        <v>2788</v>
      </c>
      <c r="O73" s="598" t="s">
        <v>2789</v>
      </c>
      <c r="P73" s="148" t="s">
        <v>2790</v>
      </c>
      <c r="Q73" s="183" t="s">
        <v>2791</v>
      </c>
      <c r="R73" s="598" t="s">
        <v>2792</v>
      </c>
      <c r="S73" s="183" t="s">
        <v>2793</v>
      </c>
      <c r="T73" s="182" t="s">
        <v>2794</v>
      </c>
      <c r="U73" s="593" t="s">
        <v>2795</v>
      </c>
      <c r="V73" s="598" t="s">
        <v>2796</v>
      </c>
      <c r="W73" s="148" t="s">
        <v>2797</v>
      </c>
      <c r="X73" s="183" t="s">
        <v>2798</v>
      </c>
      <c r="Y73" s="632" t="s">
        <v>2799</v>
      </c>
      <c r="Z73" s="633" t="s">
        <v>2800</v>
      </c>
      <c r="AA73" s="634" t="s">
        <v>2801</v>
      </c>
      <c r="AB73" s="633" t="s">
        <v>2817</v>
      </c>
      <c r="AC73" s="378"/>
      <c r="AD73" s="378"/>
      <c r="AE73" s="378"/>
      <c r="AF73" s="378"/>
    </row>
    <row r="74" spans="1:32" x14ac:dyDescent="0.2">
      <c r="A74" s="3097">
        <v>30000055</v>
      </c>
      <c r="B74" s="1004" t="s">
        <v>1021</v>
      </c>
      <c r="C74" s="144" t="s">
        <v>2777</v>
      </c>
      <c r="D74" s="183" t="s">
        <v>2778</v>
      </c>
      <c r="E74" s="182" t="s">
        <v>2779</v>
      </c>
      <c r="F74" s="183" t="s">
        <v>2780</v>
      </c>
      <c r="G74" s="182" t="s">
        <v>2781</v>
      </c>
      <c r="H74" s="183" t="s">
        <v>2782</v>
      </c>
      <c r="I74" s="182" t="s">
        <v>2783</v>
      </c>
      <c r="J74" s="183" t="s">
        <v>2784</v>
      </c>
      <c r="K74" s="628" t="s">
        <v>2785</v>
      </c>
      <c r="L74" s="629" t="s">
        <v>2786</v>
      </c>
      <c r="M74" s="630" t="s">
        <v>2787</v>
      </c>
      <c r="N74" s="631" t="s">
        <v>2788</v>
      </c>
      <c r="O74" s="598" t="s">
        <v>2789</v>
      </c>
      <c r="P74" s="148" t="s">
        <v>2790</v>
      </c>
      <c r="Q74" s="183" t="s">
        <v>2791</v>
      </c>
      <c r="R74" s="598" t="s">
        <v>2792</v>
      </c>
      <c r="S74" s="183" t="s">
        <v>2793</v>
      </c>
      <c r="T74" s="182" t="s">
        <v>2794</v>
      </c>
      <c r="U74" s="593" t="s">
        <v>2795</v>
      </c>
      <c r="V74" s="598" t="s">
        <v>2796</v>
      </c>
      <c r="W74" s="148" t="s">
        <v>2797</v>
      </c>
      <c r="X74" s="183" t="s">
        <v>2798</v>
      </c>
      <c r="Y74" s="632" t="s">
        <v>2799</v>
      </c>
      <c r="Z74" s="633" t="s">
        <v>2800</v>
      </c>
      <c r="AA74" s="634" t="s">
        <v>2801</v>
      </c>
      <c r="AB74" s="633" t="s">
        <v>2817</v>
      </c>
      <c r="AC74" s="378"/>
      <c r="AD74" s="378"/>
      <c r="AE74" s="378"/>
      <c r="AF74" s="378"/>
    </row>
    <row r="75" spans="1:32" x14ac:dyDescent="0.2">
      <c r="A75" s="3097">
        <v>30000056</v>
      </c>
      <c r="B75" s="1004" t="s">
        <v>1282</v>
      </c>
      <c r="C75" s="180" t="s">
        <v>2777</v>
      </c>
      <c r="D75" s="163" t="s">
        <v>2778</v>
      </c>
      <c r="E75" s="141" t="s">
        <v>2779</v>
      </c>
      <c r="F75" s="163" t="s">
        <v>2780</v>
      </c>
      <c r="G75" s="141" t="s">
        <v>2781</v>
      </c>
      <c r="H75" s="163" t="s">
        <v>2782</v>
      </c>
      <c r="I75" s="141" t="s">
        <v>2783</v>
      </c>
      <c r="J75" s="163" t="s">
        <v>2784</v>
      </c>
      <c r="K75" s="565" t="s">
        <v>2785</v>
      </c>
      <c r="L75" s="1865" t="s">
        <v>2786</v>
      </c>
      <c r="M75" s="1864" t="s">
        <v>2787</v>
      </c>
      <c r="N75" s="1112" t="s">
        <v>2788</v>
      </c>
      <c r="O75" s="592" t="s">
        <v>2789</v>
      </c>
      <c r="P75" s="143" t="s">
        <v>2790</v>
      </c>
      <c r="Q75" s="163" t="s">
        <v>2791</v>
      </c>
      <c r="R75" s="592" t="s">
        <v>2792</v>
      </c>
      <c r="S75" s="163" t="s">
        <v>2793</v>
      </c>
      <c r="T75" s="141" t="s">
        <v>2794</v>
      </c>
      <c r="U75" s="318" t="s">
        <v>2795</v>
      </c>
      <c r="V75" s="592" t="s">
        <v>2796</v>
      </c>
      <c r="W75" s="143" t="s">
        <v>2797</v>
      </c>
      <c r="X75" s="163" t="s">
        <v>2798</v>
      </c>
      <c r="Y75" s="1113" t="s">
        <v>2799</v>
      </c>
      <c r="Z75" s="1114" t="s">
        <v>2800</v>
      </c>
      <c r="AA75" s="1115" t="s">
        <v>2801</v>
      </c>
      <c r="AB75" s="1114" t="s">
        <v>2817</v>
      </c>
      <c r="AC75" s="378"/>
      <c r="AD75" s="378"/>
      <c r="AE75" s="378"/>
      <c r="AF75" s="378"/>
    </row>
    <row r="76" spans="1:32" x14ac:dyDescent="0.2">
      <c r="A76" s="3097">
        <v>30000087</v>
      </c>
      <c r="B76" s="3637" t="s">
        <v>1570</v>
      </c>
      <c r="C76" s="180" t="s">
        <v>2777</v>
      </c>
      <c r="D76" s="163" t="s">
        <v>2778</v>
      </c>
      <c r="E76" s="141" t="s">
        <v>2779</v>
      </c>
      <c r="F76" s="163" t="s">
        <v>2780</v>
      </c>
      <c r="G76" s="141" t="s">
        <v>2781</v>
      </c>
      <c r="H76" s="163" t="s">
        <v>2782</v>
      </c>
      <c r="I76" s="141" t="s">
        <v>2783</v>
      </c>
      <c r="J76" s="163" t="s">
        <v>2784</v>
      </c>
      <c r="K76" s="565" t="s">
        <v>2785</v>
      </c>
      <c r="L76" s="1865" t="s">
        <v>2786</v>
      </c>
      <c r="M76" s="1864" t="s">
        <v>2787</v>
      </c>
      <c r="N76" s="1112" t="s">
        <v>2788</v>
      </c>
      <c r="O76" s="592" t="s">
        <v>2789</v>
      </c>
      <c r="P76" s="143" t="s">
        <v>2790</v>
      </c>
      <c r="Q76" s="163" t="s">
        <v>2791</v>
      </c>
      <c r="R76" s="592" t="s">
        <v>2792</v>
      </c>
      <c r="S76" s="163" t="s">
        <v>2793</v>
      </c>
      <c r="T76" s="141" t="s">
        <v>2794</v>
      </c>
      <c r="U76" s="318" t="s">
        <v>2795</v>
      </c>
      <c r="V76" s="592" t="s">
        <v>2796</v>
      </c>
      <c r="W76" s="143" t="s">
        <v>2797</v>
      </c>
      <c r="X76" s="163" t="s">
        <v>2798</v>
      </c>
      <c r="Y76" s="1113" t="s">
        <v>2799</v>
      </c>
      <c r="Z76" s="1114" t="s">
        <v>2800</v>
      </c>
      <c r="AA76" s="1115" t="s">
        <v>2801</v>
      </c>
      <c r="AB76" s="1114" t="s">
        <v>2817</v>
      </c>
      <c r="AC76" s="378"/>
      <c r="AD76" s="378"/>
      <c r="AE76" s="378"/>
      <c r="AF76" s="378"/>
    </row>
    <row r="77" spans="1:32" x14ac:dyDescent="0.2">
      <c r="A77" s="3097">
        <v>30000088</v>
      </c>
      <c r="B77" s="3638" t="s">
        <v>1571</v>
      </c>
      <c r="C77" s="126" t="s">
        <v>2777</v>
      </c>
      <c r="D77" s="125" t="s">
        <v>2778</v>
      </c>
      <c r="E77" s="166" t="s">
        <v>2779</v>
      </c>
      <c r="F77" s="125" t="s">
        <v>2780</v>
      </c>
      <c r="G77" s="166" t="s">
        <v>2781</v>
      </c>
      <c r="H77" s="125" t="s">
        <v>2782</v>
      </c>
      <c r="I77" s="166" t="s">
        <v>2783</v>
      </c>
      <c r="J77" s="125" t="s">
        <v>2784</v>
      </c>
      <c r="K77" s="623" t="s">
        <v>2785</v>
      </c>
      <c r="L77" s="1867" t="s">
        <v>2786</v>
      </c>
      <c r="M77" s="1866" t="s">
        <v>2787</v>
      </c>
      <c r="N77" s="607" t="s">
        <v>2788</v>
      </c>
      <c r="O77" s="635" t="s">
        <v>2789</v>
      </c>
      <c r="P77" s="265" t="s">
        <v>2790</v>
      </c>
      <c r="Q77" s="125" t="s">
        <v>2791</v>
      </c>
      <c r="R77" s="635" t="s">
        <v>2792</v>
      </c>
      <c r="S77" s="125" t="s">
        <v>2793</v>
      </c>
      <c r="T77" s="166" t="s">
        <v>2794</v>
      </c>
      <c r="U77" s="319" t="s">
        <v>2795</v>
      </c>
      <c r="V77" s="635" t="s">
        <v>2796</v>
      </c>
      <c r="W77" s="265" t="s">
        <v>2797</v>
      </c>
      <c r="X77" s="125" t="s">
        <v>2798</v>
      </c>
      <c r="Y77" s="636" t="s">
        <v>2799</v>
      </c>
      <c r="Z77" s="637" t="s">
        <v>2800</v>
      </c>
      <c r="AA77" s="638" t="s">
        <v>2801</v>
      </c>
      <c r="AB77" s="637" t="s">
        <v>2817</v>
      </c>
      <c r="AC77" s="378"/>
      <c r="AD77" s="378"/>
      <c r="AE77" s="378"/>
      <c r="AF77" s="378"/>
    </row>
    <row r="78" spans="1:32" ht="32.1" customHeight="1" x14ac:dyDescent="0.2">
      <c r="B78" s="767" t="s">
        <v>1450</v>
      </c>
      <c r="C78" s="491"/>
      <c r="D78" s="491"/>
      <c r="E78" s="219"/>
      <c r="F78" s="219"/>
      <c r="G78" s="881"/>
      <c r="H78" s="881"/>
      <c r="I78" s="881"/>
      <c r="J78" s="922"/>
      <c r="K78" s="922"/>
      <c r="L78" s="922"/>
      <c r="M78" s="881"/>
      <c r="N78" s="922"/>
      <c r="O78" s="922"/>
      <c r="P78" s="922"/>
      <c r="Q78" s="298"/>
      <c r="R78" s="298"/>
      <c r="S78" s="298"/>
      <c r="T78" s="298"/>
      <c r="U78" s="298"/>
      <c r="V78" s="298"/>
      <c r="W78" s="298"/>
      <c r="X78" s="298"/>
      <c r="Y78" s="298"/>
      <c r="Z78" s="298"/>
      <c r="AA78" s="298"/>
      <c r="AB78" s="298"/>
      <c r="AC78" s="298"/>
      <c r="AD78" s="298"/>
      <c r="AE78" s="298"/>
      <c r="AF78" s="298"/>
    </row>
    <row r="79" spans="1:32" ht="47.25" customHeight="1" x14ac:dyDescent="0.2">
      <c r="B79" s="6864" t="s">
        <v>2225</v>
      </c>
      <c r="C79" s="6332" t="s">
        <v>1405</v>
      </c>
      <c r="D79" s="6332"/>
      <c r="E79" s="6332"/>
      <c r="F79" s="6213"/>
      <c r="G79" s="6867" t="s">
        <v>816</v>
      </c>
      <c r="H79" s="5789"/>
      <c r="I79" s="6868"/>
      <c r="J79" s="5594" t="s">
        <v>1406</v>
      </c>
      <c r="K79" s="6321"/>
      <c r="L79" s="6321"/>
      <c r="M79" s="5162"/>
    </row>
    <row r="80" spans="1:32" ht="14.25" customHeight="1" x14ac:dyDescent="0.2">
      <c r="B80" s="6865"/>
      <c r="C80" s="6321" t="s">
        <v>814</v>
      </c>
      <c r="D80" s="5162"/>
      <c r="E80" s="5160" t="s">
        <v>815</v>
      </c>
      <c r="F80" s="6321"/>
      <c r="G80" s="4865" t="s">
        <v>2230</v>
      </c>
      <c r="H80" s="6862" t="s">
        <v>1403</v>
      </c>
      <c r="I80" s="6863"/>
      <c r="J80" s="6758" t="s">
        <v>814</v>
      </c>
      <c r="K80" s="5162"/>
      <c r="L80" s="5160" t="s">
        <v>815</v>
      </c>
      <c r="M80" s="5162"/>
    </row>
    <row r="81" spans="1:34" ht="24" customHeight="1" x14ac:dyDescent="0.2">
      <c r="B81" s="6866"/>
      <c r="C81" s="1600" t="s">
        <v>413</v>
      </c>
      <c r="D81" s="1861" t="s">
        <v>25</v>
      </c>
      <c r="E81" s="1598" t="s">
        <v>24</v>
      </c>
      <c r="F81" s="1887" t="s">
        <v>25</v>
      </c>
      <c r="G81" s="4865" t="s">
        <v>2224</v>
      </c>
      <c r="H81" s="4865" t="s">
        <v>1402</v>
      </c>
      <c r="I81" s="4866" t="s">
        <v>1401</v>
      </c>
      <c r="J81" s="619" t="s">
        <v>24</v>
      </c>
      <c r="K81" s="1861" t="s">
        <v>25</v>
      </c>
      <c r="L81" s="1598" t="s">
        <v>24</v>
      </c>
      <c r="M81" s="1861" t="s">
        <v>25</v>
      </c>
    </row>
    <row r="82" spans="1:34" x14ac:dyDescent="0.2">
      <c r="A82" s="4722">
        <v>30000089</v>
      </c>
      <c r="B82" s="4867" t="s">
        <v>2229</v>
      </c>
      <c r="C82" s="1752" t="s">
        <v>2777</v>
      </c>
      <c r="D82" s="215" t="s">
        <v>2778</v>
      </c>
      <c r="E82" s="1751" t="s">
        <v>2779</v>
      </c>
      <c r="F82" s="611" t="s">
        <v>2780</v>
      </c>
      <c r="G82" s="215" t="s">
        <v>2781</v>
      </c>
      <c r="H82" s="1751" t="s">
        <v>2782</v>
      </c>
      <c r="I82" s="215" t="s">
        <v>2783</v>
      </c>
      <c r="J82" s="639" t="s">
        <v>2784</v>
      </c>
      <c r="K82" s="215" t="s">
        <v>2785</v>
      </c>
      <c r="L82" s="1751" t="s">
        <v>2786</v>
      </c>
      <c r="M82" s="215" t="s">
        <v>2787</v>
      </c>
    </row>
    <row r="83" spans="1:34" x14ac:dyDescent="0.2">
      <c r="A83" s="4722">
        <v>30000090</v>
      </c>
      <c r="B83" s="4867" t="s">
        <v>2228</v>
      </c>
      <c r="C83" s="1752" t="s">
        <v>2777</v>
      </c>
      <c r="D83" s="215" t="s">
        <v>2778</v>
      </c>
      <c r="E83" s="1751" t="s">
        <v>2779</v>
      </c>
      <c r="F83" s="611" t="s">
        <v>2780</v>
      </c>
      <c r="G83" s="215" t="s">
        <v>2781</v>
      </c>
      <c r="H83" s="1751" t="s">
        <v>2782</v>
      </c>
      <c r="I83" s="215" t="s">
        <v>2783</v>
      </c>
      <c r="J83" s="639" t="s">
        <v>2784</v>
      </c>
      <c r="K83" s="215" t="s">
        <v>2785</v>
      </c>
      <c r="L83" s="1751" t="s">
        <v>2786</v>
      </c>
      <c r="M83" s="215" t="s">
        <v>2787</v>
      </c>
    </row>
    <row r="84" spans="1:34" ht="18" customHeight="1" x14ac:dyDescent="0.2">
      <c r="A84" s="4722">
        <v>30000091</v>
      </c>
      <c r="B84" s="4868" t="s">
        <v>2227</v>
      </c>
      <c r="C84" s="1752" t="s">
        <v>2777</v>
      </c>
      <c r="D84" s="215" t="s">
        <v>2778</v>
      </c>
      <c r="E84" s="1751" t="s">
        <v>2779</v>
      </c>
      <c r="F84" s="611" t="s">
        <v>2780</v>
      </c>
      <c r="G84" s="215" t="s">
        <v>2781</v>
      </c>
      <c r="H84" s="1751" t="s">
        <v>2782</v>
      </c>
      <c r="I84" s="215" t="s">
        <v>2783</v>
      </c>
      <c r="J84" s="639" t="s">
        <v>2784</v>
      </c>
      <c r="K84" s="215" t="s">
        <v>2785</v>
      </c>
      <c r="L84" s="1751" t="s">
        <v>2786</v>
      </c>
      <c r="M84" s="215" t="s">
        <v>2787</v>
      </c>
    </row>
    <row r="85" spans="1:34" ht="32.1" customHeight="1" x14ac:dyDescent="0.2">
      <c r="B85" s="767" t="s">
        <v>1451</v>
      </c>
      <c r="C85" s="219"/>
      <c r="D85" s="219"/>
      <c r="E85" s="219"/>
      <c r="F85" s="219"/>
      <c r="G85" s="190"/>
      <c r="H85" s="190"/>
      <c r="I85" s="190"/>
      <c r="J85" s="298"/>
      <c r="K85" s="298"/>
      <c r="L85" s="298"/>
      <c r="M85" s="298"/>
      <c r="N85" s="298"/>
      <c r="O85" s="298"/>
      <c r="P85" s="298"/>
      <c r="Q85" s="298"/>
      <c r="R85" s="298"/>
      <c r="S85" s="298"/>
      <c r="T85" s="298"/>
      <c r="U85" s="298"/>
      <c r="V85" s="298"/>
      <c r="W85" s="298"/>
      <c r="X85" s="298"/>
      <c r="Y85" s="298"/>
      <c r="Z85" s="298"/>
      <c r="AA85" s="298"/>
      <c r="AB85" s="298"/>
      <c r="AC85" s="298"/>
      <c r="AD85" s="298"/>
      <c r="AE85" s="298"/>
      <c r="AF85" s="298"/>
    </row>
    <row r="86" spans="1:34" ht="14.25" customHeight="1" x14ac:dyDescent="0.2">
      <c r="B86" s="6853" t="s">
        <v>851</v>
      </c>
      <c r="C86" s="6856" t="s">
        <v>818</v>
      </c>
      <c r="D86" s="6856"/>
      <c r="E86" s="6856"/>
      <c r="F86" s="6856"/>
      <c r="G86" s="6856"/>
      <c r="H86" s="6856"/>
      <c r="I86" s="6857"/>
      <c r="J86" s="6856" t="s">
        <v>1407</v>
      </c>
      <c r="K86" s="6856"/>
      <c r="L86" s="6856"/>
      <c r="M86" s="6856"/>
      <c r="N86" s="6856"/>
      <c r="O86" s="6856"/>
      <c r="P86" s="6857"/>
      <c r="Q86" s="298"/>
      <c r="R86" s="298"/>
      <c r="S86" s="298"/>
      <c r="T86" s="298"/>
      <c r="U86" s="298"/>
      <c r="V86" s="298"/>
      <c r="W86" s="298"/>
      <c r="X86" s="298"/>
      <c r="Y86" s="298"/>
      <c r="Z86" s="298"/>
      <c r="AA86" s="298"/>
      <c r="AB86" s="298"/>
      <c r="AC86" s="298"/>
      <c r="AD86" s="298"/>
      <c r="AE86" s="298"/>
      <c r="AF86" s="298"/>
      <c r="AG86" s="298"/>
      <c r="AH86" s="298"/>
    </row>
    <row r="87" spans="1:34" x14ac:dyDescent="0.2">
      <c r="B87" s="6854"/>
      <c r="C87" s="6852" t="s">
        <v>814</v>
      </c>
      <c r="D87" s="6791"/>
      <c r="E87" s="6313" t="s">
        <v>815</v>
      </c>
      <c r="F87" s="6415"/>
      <c r="G87" s="6828" t="s">
        <v>816</v>
      </c>
      <c r="H87" s="6776"/>
      <c r="I87" s="6237"/>
      <c r="J87" s="6852" t="s">
        <v>814</v>
      </c>
      <c r="K87" s="6791"/>
      <c r="L87" s="6313" t="s">
        <v>815</v>
      </c>
      <c r="M87" s="6415"/>
      <c r="N87" s="6828" t="s">
        <v>816</v>
      </c>
      <c r="O87" s="6776"/>
      <c r="P87" s="6237"/>
      <c r="Q87" s="298"/>
      <c r="R87" s="298"/>
      <c r="S87" s="298"/>
      <c r="T87" s="298"/>
      <c r="U87" s="298"/>
      <c r="V87" s="298"/>
      <c r="W87" s="298"/>
      <c r="X87" s="298"/>
      <c r="Y87" s="298"/>
      <c r="Z87" s="298"/>
      <c r="AA87" s="298"/>
      <c r="AB87" s="298"/>
      <c r="AC87" s="298"/>
      <c r="AD87" s="298"/>
      <c r="AE87" s="298"/>
      <c r="AF87" s="298"/>
      <c r="AG87" s="298"/>
      <c r="AH87" s="298"/>
    </row>
    <row r="88" spans="1:34" ht="15" customHeight="1" x14ac:dyDescent="0.2">
      <c r="B88" s="6854"/>
      <c r="C88" s="6851" t="s">
        <v>24</v>
      </c>
      <c r="D88" s="6762" t="s">
        <v>25</v>
      </c>
      <c r="E88" s="6310" t="s">
        <v>24</v>
      </c>
      <c r="F88" s="6858" t="s">
        <v>25</v>
      </c>
      <c r="G88" s="6859" t="s">
        <v>1229</v>
      </c>
      <c r="H88" s="6861" t="s">
        <v>1403</v>
      </c>
      <c r="I88" s="6329"/>
      <c r="J88" s="6851" t="s">
        <v>24</v>
      </c>
      <c r="K88" s="6762" t="s">
        <v>25</v>
      </c>
      <c r="L88" s="6310" t="s">
        <v>24</v>
      </c>
      <c r="M88" s="6858" t="s">
        <v>25</v>
      </c>
      <c r="N88" s="6859" t="s">
        <v>1229</v>
      </c>
      <c r="O88" s="6861" t="s">
        <v>1403</v>
      </c>
      <c r="P88" s="6329"/>
      <c r="Q88" s="298"/>
      <c r="R88" s="298"/>
      <c r="S88" s="298"/>
      <c r="T88" s="298"/>
      <c r="U88" s="298"/>
      <c r="V88" s="298"/>
      <c r="W88" s="298"/>
      <c r="X88" s="298"/>
      <c r="Y88" s="298"/>
      <c r="Z88" s="298"/>
      <c r="AA88" s="298"/>
      <c r="AB88" s="298"/>
      <c r="AC88" s="298"/>
      <c r="AD88" s="298"/>
      <c r="AE88" s="298"/>
      <c r="AF88" s="298"/>
      <c r="AG88" s="298"/>
      <c r="AH88" s="298"/>
    </row>
    <row r="89" spans="1:34" ht="21" x14ac:dyDescent="0.2">
      <c r="B89" s="6855"/>
      <c r="C89" s="6852"/>
      <c r="D89" s="6791"/>
      <c r="E89" s="6313"/>
      <c r="F89" s="6415"/>
      <c r="G89" s="6860"/>
      <c r="H89" s="1715" t="s">
        <v>1402</v>
      </c>
      <c r="I89" s="1878" t="s">
        <v>1401</v>
      </c>
      <c r="J89" s="6852"/>
      <c r="K89" s="6791"/>
      <c r="L89" s="6313"/>
      <c r="M89" s="6415"/>
      <c r="N89" s="6860"/>
      <c r="O89" s="1715" t="s">
        <v>1402</v>
      </c>
      <c r="P89" s="1878" t="s">
        <v>1401</v>
      </c>
      <c r="Q89" s="298"/>
      <c r="R89" s="298"/>
      <c r="S89" s="298"/>
      <c r="T89" s="298"/>
      <c r="U89" s="298"/>
      <c r="V89" s="298"/>
      <c r="W89" s="298"/>
      <c r="X89" s="298"/>
      <c r="Y89" s="298"/>
      <c r="Z89" s="298"/>
      <c r="AA89" s="298"/>
      <c r="AB89" s="298"/>
      <c r="AC89" s="298"/>
      <c r="AD89" s="298"/>
      <c r="AE89" s="298"/>
      <c r="AF89" s="298"/>
      <c r="AG89" s="298"/>
      <c r="AH89" s="298"/>
    </row>
    <row r="90" spans="1:34" ht="16.5" customHeight="1" x14ac:dyDescent="0.2">
      <c r="A90" s="2527"/>
      <c r="B90" s="1886" t="s">
        <v>819</v>
      </c>
      <c r="C90" s="1857">
        <f t="shared" ref="C90:P90" si="1">SUM(C91:C103)</f>
        <v>0</v>
      </c>
      <c r="D90" s="1868">
        <f t="shared" si="1"/>
        <v>0</v>
      </c>
      <c r="E90" s="1857">
        <f t="shared" si="1"/>
        <v>0</v>
      </c>
      <c r="F90" s="520">
        <f t="shared" si="1"/>
        <v>0</v>
      </c>
      <c r="G90" s="764">
        <f t="shared" si="1"/>
        <v>0</v>
      </c>
      <c r="H90" s="1836">
        <f t="shared" si="1"/>
        <v>0</v>
      </c>
      <c r="I90" s="1835">
        <f t="shared" si="1"/>
        <v>0</v>
      </c>
      <c r="J90" s="1837">
        <f t="shared" si="1"/>
        <v>0</v>
      </c>
      <c r="K90" s="1835">
        <f t="shared" si="1"/>
        <v>0</v>
      </c>
      <c r="L90" s="1857">
        <f t="shared" si="1"/>
        <v>0</v>
      </c>
      <c r="M90" s="520">
        <f t="shared" si="1"/>
        <v>0</v>
      </c>
      <c r="N90" s="1857">
        <f t="shared" si="1"/>
        <v>0</v>
      </c>
      <c r="O90" s="1857">
        <f t="shared" si="1"/>
        <v>0</v>
      </c>
      <c r="P90" s="1868">
        <f t="shared" si="1"/>
        <v>0</v>
      </c>
      <c r="Q90" s="298"/>
      <c r="R90" s="298"/>
      <c r="S90" s="298"/>
      <c r="T90" s="298"/>
      <c r="U90" s="190"/>
      <c r="V90" s="298"/>
      <c r="W90" s="298"/>
      <c r="X90" s="298"/>
      <c r="Y90" s="298"/>
      <c r="Z90" s="298"/>
      <c r="AA90" s="298"/>
      <c r="AB90" s="298"/>
      <c r="AC90" s="298"/>
      <c r="AD90" s="298"/>
      <c r="AE90" s="298"/>
      <c r="AF90" s="298"/>
      <c r="AG90" s="298"/>
      <c r="AH90" s="298"/>
    </row>
    <row r="91" spans="1:34" ht="22.5" customHeight="1" x14ac:dyDescent="0.2">
      <c r="A91" s="3097">
        <v>30000058</v>
      </c>
      <c r="B91" s="3648" t="s">
        <v>1408</v>
      </c>
      <c r="C91" s="274" t="s">
        <v>2777</v>
      </c>
      <c r="D91" s="276" t="s">
        <v>2778</v>
      </c>
      <c r="E91" s="273" t="s">
        <v>2779</v>
      </c>
      <c r="F91" s="521" t="s">
        <v>2780</v>
      </c>
      <c r="G91" s="273" t="s">
        <v>2781</v>
      </c>
      <c r="H91" s="366" t="s">
        <v>2782</v>
      </c>
      <c r="I91" s="276" t="s">
        <v>2783</v>
      </c>
      <c r="J91" s="274" t="s">
        <v>2784</v>
      </c>
      <c r="K91" s="276" t="s">
        <v>2785</v>
      </c>
      <c r="L91" s="273" t="s">
        <v>2786</v>
      </c>
      <c r="M91" s="521" t="s">
        <v>2787</v>
      </c>
      <c r="N91" s="640" t="s">
        <v>2788</v>
      </c>
      <c r="O91" s="1725" t="s">
        <v>2789</v>
      </c>
      <c r="P91" s="467" t="s">
        <v>2790</v>
      </c>
      <c r="Q91" s="298"/>
      <c r="R91" s="298"/>
      <c r="S91" s="298"/>
      <c r="T91" s="298"/>
      <c r="U91" s="190"/>
      <c r="V91" s="298"/>
      <c r="W91" s="298"/>
      <c r="X91" s="298"/>
      <c r="Y91" s="298"/>
      <c r="Z91" s="298"/>
      <c r="AA91" s="298"/>
      <c r="AB91" s="298"/>
      <c r="AC91" s="298"/>
      <c r="AD91" s="298"/>
      <c r="AE91" s="298"/>
      <c r="AF91" s="298"/>
      <c r="AG91" s="298"/>
      <c r="AH91" s="298"/>
    </row>
    <row r="92" spans="1:34" ht="22.5" customHeight="1" x14ac:dyDescent="0.2">
      <c r="A92" s="3097">
        <v>30000059</v>
      </c>
      <c r="B92" s="594" t="s">
        <v>1270</v>
      </c>
      <c r="C92" s="144" t="s">
        <v>2777</v>
      </c>
      <c r="D92" s="183" t="s">
        <v>2778</v>
      </c>
      <c r="E92" s="182" t="s">
        <v>2779</v>
      </c>
      <c r="F92" s="593" t="s">
        <v>2780</v>
      </c>
      <c r="G92" s="182" t="s">
        <v>2781</v>
      </c>
      <c r="H92" s="148" t="s">
        <v>2782</v>
      </c>
      <c r="I92" s="183" t="s">
        <v>2783</v>
      </c>
      <c r="J92" s="144" t="s">
        <v>2784</v>
      </c>
      <c r="K92" s="183" t="s">
        <v>2785</v>
      </c>
      <c r="L92" s="182" t="s">
        <v>2786</v>
      </c>
      <c r="M92" s="593" t="s">
        <v>2787</v>
      </c>
      <c r="N92" s="598" t="s">
        <v>2788</v>
      </c>
      <c r="O92" s="146" t="s">
        <v>2789</v>
      </c>
      <c r="P92" s="240" t="s">
        <v>2790</v>
      </c>
      <c r="Q92" s="298"/>
      <c r="R92" s="298"/>
      <c r="S92" s="298"/>
      <c r="T92" s="298"/>
      <c r="U92" s="190"/>
      <c r="V92" s="298"/>
      <c r="W92" s="298"/>
      <c r="X92" s="298"/>
      <c r="Y92" s="298"/>
      <c r="Z92" s="298"/>
      <c r="AA92" s="298"/>
      <c r="AB92" s="298"/>
      <c r="AC92" s="298"/>
      <c r="AD92" s="298"/>
      <c r="AE92" s="298"/>
      <c r="AF92" s="298"/>
      <c r="AG92" s="298"/>
      <c r="AH92" s="298"/>
    </row>
    <row r="93" spans="1:34" ht="22.5" customHeight="1" x14ac:dyDescent="0.2">
      <c r="A93" s="3097">
        <v>30000060</v>
      </c>
      <c r="B93" s="594" t="s">
        <v>1271</v>
      </c>
      <c r="C93" s="144" t="s">
        <v>2777</v>
      </c>
      <c r="D93" s="183" t="s">
        <v>2778</v>
      </c>
      <c r="E93" s="182" t="s">
        <v>2779</v>
      </c>
      <c r="F93" s="593" t="s">
        <v>2780</v>
      </c>
      <c r="G93" s="182" t="s">
        <v>2781</v>
      </c>
      <c r="H93" s="148" t="s">
        <v>2782</v>
      </c>
      <c r="I93" s="183" t="s">
        <v>2783</v>
      </c>
      <c r="J93" s="144" t="s">
        <v>2784</v>
      </c>
      <c r="K93" s="183" t="s">
        <v>2785</v>
      </c>
      <c r="L93" s="182" t="s">
        <v>2786</v>
      </c>
      <c r="M93" s="593" t="s">
        <v>2787</v>
      </c>
      <c r="N93" s="598" t="s">
        <v>2788</v>
      </c>
      <c r="O93" s="146" t="s">
        <v>2789</v>
      </c>
      <c r="P93" s="240" t="s">
        <v>2790</v>
      </c>
      <c r="Q93" s="298"/>
      <c r="R93" s="298"/>
      <c r="S93" s="298"/>
      <c r="T93" s="298"/>
      <c r="U93" s="190"/>
      <c r="V93" s="298"/>
      <c r="W93" s="298"/>
      <c r="X93" s="298"/>
      <c r="Y93" s="298"/>
      <c r="Z93" s="298"/>
      <c r="AA93" s="298"/>
      <c r="AB93" s="298"/>
      <c r="AC93" s="298"/>
      <c r="AD93" s="298"/>
      <c r="AE93" s="298"/>
      <c r="AF93" s="298"/>
      <c r="AG93" s="298"/>
      <c r="AH93" s="298"/>
    </row>
    <row r="94" spans="1:34" ht="22.5" customHeight="1" x14ac:dyDescent="0.2">
      <c r="A94" s="3097">
        <v>30000061</v>
      </c>
      <c r="B94" s="594" t="s">
        <v>1272</v>
      </c>
      <c r="C94" s="144" t="s">
        <v>2777</v>
      </c>
      <c r="D94" s="183" t="s">
        <v>2778</v>
      </c>
      <c r="E94" s="182" t="s">
        <v>2779</v>
      </c>
      <c r="F94" s="593" t="s">
        <v>2780</v>
      </c>
      <c r="G94" s="182" t="s">
        <v>2781</v>
      </c>
      <c r="H94" s="148" t="s">
        <v>2782</v>
      </c>
      <c r="I94" s="183" t="s">
        <v>2783</v>
      </c>
      <c r="J94" s="144" t="s">
        <v>2784</v>
      </c>
      <c r="K94" s="183" t="s">
        <v>2785</v>
      </c>
      <c r="L94" s="182" t="s">
        <v>2786</v>
      </c>
      <c r="M94" s="593" t="s">
        <v>2787</v>
      </c>
      <c r="N94" s="598" t="s">
        <v>2788</v>
      </c>
      <c r="O94" s="146" t="s">
        <v>2789</v>
      </c>
      <c r="P94" s="240" t="s">
        <v>2790</v>
      </c>
      <c r="Q94" s="298"/>
      <c r="R94" s="298"/>
      <c r="S94" s="298"/>
      <c r="T94" s="298"/>
      <c r="U94" s="190"/>
      <c r="V94" s="298"/>
      <c r="W94" s="298"/>
      <c r="X94" s="298"/>
      <c r="Y94" s="298"/>
      <c r="Z94" s="298"/>
      <c r="AA94" s="298"/>
      <c r="AB94" s="298"/>
      <c r="AC94" s="298"/>
      <c r="AD94" s="298"/>
      <c r="AE94" s="298"/>
      <c r="AF94" s="298"/>
      <c r="AG94" s="298"/>
      <c r="AH94" s="298"/>
    </row>
    <row r="95" spans="1:34" ht="22.5" customHeight="1" x14ac:dyDescent="0.2">
      <c r="A95" s="3097">
        <v>30000062</v>
      </c>
      <c r="B95" s="594" t="s">
        <v>1230</v>
      </c>
      <c r="C95" s="144" t="s">
        <v>2777</v>
      </c>
      <c r="D95" s="183" t="s">
        <v>2778</v>
      </c>
      <c r="E95" s="182" t="s">
        <v>2779</v>
      </c>
      <c r="F95" s="593" t="s">
        <v>2780</v>
      </c>
      <c r="G95" s="182" t="s">
        <v>2781</v>
      </c>
      <c r="H95" s="148" t="s">
        <v>2782</v>
      </c>
      <c r="I95" s="183" t="s">
        <v>2783</v>
      </c>
      <c r="J95" s="144" t="s">
        <v>2784</v>
      </c>
      <c r="K95" s="183" t="s">
        <v>2785</v>
      </c>
      <c r="L95" s="182" t="s">
        <v>2786</v>
      </c>
      <c r="M95" s="593" t="s">
        <v>2787</v>
      </c>
      <c r="N95" s="598" t="s">
        <v>2788</v>
      </c>
      <c r="O95" s="146" t="s">
        <v>2789</v>
      </c>
      <c r="P95" s="240" t="s">
        <v>2790</v>
      </c>
      <c r="Q95" s="298"/>
      <c r="R95" s="298"/>
      <c r="S95" s="298"/>
      <c r="T95" s="298"/>
      <c r="U95" s="190"/>
      <c r="V95" s="298"/>
      <c r="W95" s="298"/>
      <c r="X95" s="298"/>
      <c r="Y95" s="298"/>
      <c r="Z95" s="298"/>
      <c r="AA95" s="298"/>
      <c r="AB95" s="298"/>
      <c r="AC95" s="298"/>
      <c r="AD95" s="298"/>
      <c r="AE95" s="298"/>
      <c r="AF95" s="298"/>
      <c r="AG95" s="298"/>
      <c r="AH95" s="298"/>
    </row>
    <row r="96" spans="1:34" ht="22.5" customHeight="1" x14ac:dyDescent="0.2">
      <c r="A96" s="3097">
        <v>30000063</v>
      </c>
      <c r="B96" s="594" t="s">
        <v>1231</v>
      </c>
      <c r="C96" s="144" t="s">
        <v>2777</v>
      </c>
      <c r="D96" s="183" t="s">
        <v>2778</v>
      </c>
      <c r="E96" s="182" t="s">
        <v>2779</v>
      </c>
      <c r="F96" s="593" t="s">
        <v>2780</v>
      </c>
      <c r="G96" s="182" t="s">
        <v>2781</v>
      </c>
      <c r="H96" s="148" t="s">
        <v>2782</v>
      </c>
      <c r="I96" s="183" t="s">
        <v>2783</v>
      </c>
      <c r="J96" s="144" t="s">
        <v>2784</v>
      </c>
      <c r="K96" s="183" t="s">
        <v>2785</v>
      </c>
      <c r="L96" s="182" t="s">
        <v>2786</v>
      </c>
      <c r="M96" s="593" t="s">
        <v>2787</v>
      </c>
      <c r="N96" s="598" t="s">
        <v>2788</v>
      </c>
      <c r="O96" s="146" t="s">
        <v>2789</v>
      </c>
      <c r="P96" s="240" t="s">
        <v>2790</v>
      </c>
      <c r="Q96" s="298"/>
      <c r="R96" s="298"/>
      <c r="S96" s="298"/>
      <c r="T96" s="298"/>
      <c r="U96" s="190"/>
      <c r="V96" s="298"/>
      <c r="W96" s="298"/>
      <c r="X96" s="298"/>
      <c r="Y96" s="298"/>
      <c r="Z96" s="298"/>
      <c r="AA96" s="298"/>
      <c r="AB96" s="298"/>
      <c r="AC96" s="298"/>
      <c r="AD96" s="298"/>
      <c r="AE96" s="298"/>
      <c r="AF96" s="298"/>
      <c r="AG96" s="298"/>
      <c r="AH96" s="298"/>
    </row>
    <row r="97" spans="1:34" ht="22.5" customHeight="1" x14ac:dyDescent="0.2">
      <c r="A97" s="3097">
        <v>30000064</v>
      </c>
      <c r="B97" s="594" t="s">
        <v>1232</v>
      </c>
      <c r="C97" s="144" t="s">
        <v>2777</v>
      </c>
      <c r="D97" s="183" t="s">
        <v>2778</v>
      </c>
      <c r="E97" s="182" t="s">
        <v>2779</v>
      </c>
      <c r="F97" s="593" t="s">
        <v>2780</v>
      </c>
      <c r="G97" s="182" t="s">
        <v>2781</v>
      </c>
      <c r="H97" s="148" t="s">
        <v>2782</v>
      </c>
      <c r="I97" s="183" t="s">
        <v>2783</v>
      </c>
      <c r="J97" s="144" t="s">
        <v>2784</v>
      </c>
      <c r="K97" s="183" t="s">
        <v>2785</v>
      </c>
      <c r="L97" s="182" t="s">
        <v>2786</v>
      </c>
      <c r="M97" s="593" t="s">
        <v>2787</v>
      </c>
      <c r="N97" s="598" t="s">
        <v>2788</v>
      </c>
      <c r="O97" s="146" t="s">
        <v>2789</v>
      </c>
      <c r="P97" s="240" t="s">
        <v>2790</v>
      </c>
      <c r="Q97" s="298"/>
      <c r="R97" s="298"/>
      <c r="S97" s="298"/>
      <c r="T97" s="298"/>
      <c r="U97" s="190"/>
      <c r="V97" s="298"/>
      <c r="W97" s="298"/>
      <c r="X97" s="298"/>
      <c r="Y97" s="298"/>
      <c r="Z97" s="298"/>
      <c r="AA97" s="298"/>
      <c r="AB97" s="298"/>
      <c r="AC97" s="298"/>
      <c r="AD97" s="298"/>
      <c r="AE97" s="298"/>
      <c r="AF97" s="298"/>
      <c r="AG97" s="298"/>
      <c r="AH97" s="298"/>
    </row>
    <row r="98" spans="1:34" ht="22.5" customHeight="1" x14ac:dyDescent="0.2">
      <c r="A98" s="3097">
        <v>30000065</v>
      </c>
      <c r="B98" s="594" t="s">
        <v>1233</v>
      </c>
      <c r="C98" s="144" t="s">
        <v>2777</v>
      </c>
      <c r="D98" s="183" t="s">
        <v>2778</v>
      </c>
      <c r="E98" s="182" t="s">
        <v>2779</v>
      </c>
      <c r="F98" s="593" t="s">
        <v>2780</v>
      </c>
      <c r="G98" s="182" t="s">
        <v>2781</v>
      </c>
      <c r="H98" s="148" t="s">
        <v>2782</v>
      </c>
      <c r="I98" s="183" t="s">
        <v>2783</v>
      </c>
      <c r="J98" s="144" t="s">
        <v>2784</v>
      </c>
      <c r="K98" s="183" t="s">
        <v>2785</v>
      </c>
      <c r="L98" s="182" t="s">
        <v>2786</v>
      </c>
      <c r="M98" s="593" t="s">
        <v>2787</v>
      </c>
      <c r="N98" s="598" t="s">
        <v>2788</v>
      </c>
      <c r="O98" s="146" t="s">
        <v>2789</v>
      </c>
      <c r="P98" s="240" t="s">
        <v>2790</v>
      </c>
      <c r="Q98" s="298"/>
      <c r="R98" s="298"/>
      <c r="S98" s="298"/>
      <c r="T98" s="298"/>
      <c r="U98" s="190"/>
      <c r="V98" s="298"/>
      <c r="W98" s="298"/>
      <c r="X98" s="298"/>
      <c r="Y98" s="298"/>
      <c r="Z98" s="298"/>
      <c r="AA98" s="298"/>
      <c r="AB98" s="298"/>
      <c r="AC98" s="298"/>
      <c r="AD98" s="298"/>
      <c r="AE98" s="298"/>
      <c r="AF98" s="298"/>
      <c r="AG98" s="298"/>
      <c r="AH98" s="298"/>
    </row>
    <row r="99" spans="1:34" ht="22.5" customHeight="1" x14ac:dyDescent="0.2">
      <c r="A99" s="3097">
        <v>30000066</v>
      </c>
      <c r="B99" s="594" t="s">
        <v>1234</v>
      </c>
      <c r="C99" s="144" t="s">
        <v>2777</v>
      </c>
      <c r="D99" s="183" t="s">
        <v>2778</v>
      </c>
      <c r="E99" s="182" t="s">
        <v>2779</v>
      </c>
      <c r="F99" s="593" t="s">
        <v>2780</v>
      </c>
      <c r="G99" s="141" t="s">
        <v>2781</v>
      </c>
      <c r="H99" s="143" t="s">
        <v>2782</v>
      </c>
      <c r="I99" s="163" t="s">
        <v>2783</v>
      </c>
      <c r="J99" s="144" t="s">
        <v>2784</v>
      </c>
      <c r="K99" s="183" t="s">
        <v>2785</v>
      </c>
      <c r="L99" s="182" t="s">
        <v>2786</v>
      </c>
      <c r="M99" s="593" t="s">
        <v>2787</v>
      </c>
      <c r="N99" s="598" t="s">
        <v>2788</v>
      </c>
      <c r="O99" s="146" t="s">
        <v>2789</v>
      </c>
      <c r="P99" s="240" t="s">
        <v>2790</v>
      </c>
      <c r="Q99" s="298"/>
      <c r="R99" s="298"/>
      <c r="S99" s="298"/>
      <c r="T99" s="298"/>
      <c r="U99" s="190"/>
      <c r="V99" s="298"/>
      <c r="W99" s="298"/>
      <c r="X99" s="298"/>
      <c r="Y99" s="298"/>
      <c r="Z99" s="298"/>
      <c r="AA99" s="298"/>
      <c r="AB99" s="298"/>
      <c r="AC99" s="298"/>
      <c r="AD99" s="298"/>
      <c r="AE99" s="298"/>
      <c r="AF99" s="298"/>
      <c r="AG99" s="298"/>
      <c r="AH99" s="298"/>
    </row>
    <row r="100" spans="1:34" ht="22.5" customHeight="1" x14ac:dyDescent="0.2">
      <c r="A100" s="3097">
        <v>30000067</v>
      </c>
      <c r="B100" s="594" t="s">
        <v>2749</v>
      </c>
      <c r="C100" s="161" t="s">
        <v>2777</v>
      </c>
      <c r="D100" s="174" t="s">
        <v>2778</v>
      </c>
      <c r="E100" s="173" t="s">
        <v>2779</v>
      </c>
      <c r="F100" s="507" t="s">
        <v>2780</v>
      </c>
      <c r="G100" s="603" t="s">
        <v>2781</v>
      </c>
      <c r="H100" s="506" t="s">
        <v>2782</v>
      </c>
      <c r="I100" s="174" t="s">
        <v>2783</v>
      </c>
      <c r="J100" s="144" t="s">
        <v>2784</v>
      </c>
      <c r="K100" s="183" t="s">
        <v>2785</v>
      </c>
      <c r="L100" s="182" t="s">
        <v>2786</v>
      </c>
      <c r="M100" s="593" t="s">
        <v>2787</v>
      </c>
      <c r="N100" s="598" t="s">
        <v>2788</v>
      </c>
      <c r="O100" s="146" t="s">
        <v>2789</v>
      </c>
      <c r="P100" s="240" t="s">
        <v>2790</v>
      </c>
      <c r="Q100" s="298"/>
      <c r="R100" s="298"/>
      <c r="S100" s="298"/>
      <c r="T100" s="298"/>
      <c r="U100" s="190"/>
      <c r="V100" s="298"/>
      <c r="W100" s="298"/>
      <c r="X100" s="298"/>
      <c r="Y100" s="298"/>
      <c r="Z100" s="298"/>
      <c r="AA100" s="298"/>
      <c r="AB100" s="298"/>
      <c r="AC100" s="298"/>
      <c r="AD100" s="298"/>
      <c r="AE100" s="298"/>
      <c r="AF100" s="298"/>
      <c r="AG100" s="298"/>
      <c r="AH100" s="298"/>
    </row>
    <row r="101" spans="1:34" ht="22.5" customHeight="1" x14ac:dyDescent="0.2">
      <c r="A101" s="3096">
        <v>30000068</v>
      </c>
      <c r="B101" s="3649" t="s">
        <v>1235</v>
      </c>
      <c r="C101" s="599" t="s">
        <v>2777</v>
      </c>
      <c r="D101" s="169" t="s">
        <v>2778</v>
      </c>
      <c r="E101" s="101" t="s">
        <v>2779</v>
      </c>
      <c r="F101" s="429" t="s">
        <v>2780</v>
      </c>
      <c r="G101" s="600" t="s">
        <v>2781</v>
      </c>
      <c r="H101" s="151" t="s">
        <v>2782</v>
      </c>
      <c r="I101" s="169" t="s">
        <v>2783</v>
      </c>
      <c r="J101" s="144" t="s">
        <v>2784</v>
      </c>
      <c r="K101" s="183" t="s">
        <v>2785</v>
      </c>
      <c r="L101" s="182" t="s">
        <v>2786</v>
      </c>
      <c r="M101" s="593" t="s">
        <v>2787</v>
      </c>
      <c r="N101" s="598" t="s">
        <v>2788</v>
      </c>
      <c r="O101" s="146" t="s">
        <v>2789</v>
      </c>
      <c r="P101" s="240" t="s">
        <v>2790</v>
      </c>
      <c r="Q101" s="298"/>
      <c r="R101" s="298"/>
      <c r="S101" s="298"/>
      <c r="T101" s="298"/>
      <c r="U101" s="190"/>
      <c r="V101" s="298"/>
      <c r="W101" s="298"/>
      <c r="X101" s="298"/>
      <c r="Y101" s="298"/>
      <c r="Z101" s="298"/>
      <c r="AA101" s="298"/>
      <c r="AB101" s="298"/>
      <c r="AC101" s="298"/>
      <c r="AD101" s="298"/>
      <c r="AE101" s="298"/>
      <c r="AF101" s="298"/>
      <c r="AG101" s="298"/>
      <c r="AH101" s="298"/>
    </row>
    <row r="102" spans="1:34" ht="22.5" customHeight="1" x14ac:dyDescent="0.2">
      <c r="A102" s="2549">
        <v>30000069</v>
      </c>
      <c r="B102" s="3649" t="s">
        <v>2750</v>
      </c>
      <c r="C102" s="144" t="s">
        <v>2777</v>
      </c>
      <c r="D102" s="183" t="s">
        <v>2778</v>
      </c>
      <c r="E102" s="182" t="s">
        <v>2779</v>
      </c>
      <c r="F102" s="593" t="s">
        <v>2780</v>
      </c>
      <c r="G102" s="182" t="s">
        <v>2781</v>
      </c>
      <c r="H102" s="148" t="s">
        <v>2782</v>
      </c>
      <c r="I102" s="183" t="s">
        <v>2783</v>
      </c>
      <c r="J102" s="144" t="s">
        <v>2784</v>
      </c>
      <c r="K102" s="183" t="s">
        <v>2785</v>
      </c>
      <c r="L102" s="182" t="s">
        <v>2786</v>
      </c>
      <c r="M102" s="593" t="s">
        <v>2787</v>
      </c>
      <c r="N102" s="598" t="s">
        <v>2788</v>
      </c>
      <c r="O102" s="146" t="s">
        <v>2789</v>
      </c>
      <c r="P102" s="240" t="s">
        <v>2790</v>
      </c>
      <c r="Q102" s="298"/>
      <c r="R102" s="298"/>
      <c r="S102" s="298"/>
      <c r="T102" s="298"/>
      <c r="U102" s="298"/>
      <c r="V102" s="298"/>
      <c r="W102" s="298"/>
      <c r="X102" s="298"/>
      <c r="Y102" s="298"/>
      <c r="Z102" s="298"/>
      <c r="AA102" s="298"/>
      <c r="AB102" s="298"/>
      <c r="AC102" s="298"/>
      <c r="AD102" s="298"/>
      <c r="AE102" s="298"/>
      <c r="AF102" s="298"/>
    </row>
    <row r="103" spans="1:34" ht="22.5" customHeight="1" x14ac:dyDescent="0.2">
      <c r="A103" s="2549">
        <v>30000070</v>
      </c>
      <c r="B103" s="595" t="s">
        <v>2751</v>
      </c>
      <c r="C103" s="126" t="s">
        <v>2777</v>
      </c>
      <c r="D103" s="125" t="s">
        <v>2778</v>
      </c>
      <c r="E103" s="166" t="s">
        <v>2779</v>
      </c>
      <c r="F103" s="319" t="s">
        <v>2780</v>
      </c>
      <c r="G103" s="166" t="s">
        <v>2781</v>
      </c>
      <c r="H103" s="265" t="s">
        <v>2782</v>
      </c>
      <c r="I103" s="125" t="s">
        <v>2783</v>
      </c>
      <c r="J103" s="126" t="s">
        <v>2784</v>
      </c>
      <c r="K103" s="125" t="s">
        <v>2785</v>
      </c>
      <c r="L103" s="166" t="s">
        <v>2786</v>
      </c>
      <c r="M103" s="319" t="s">
        <v>2787</v>
      </c>
      <c r="N103" s="635" t="s">
        <v>2788</v>
      </c>
      <c r="O103" s="102" t="s">
        <v>2789</v>
      </c>
      <c r="P103" s="168" t="s">
        <v>2790</v>
      </c>
      <c r="Q103" s="298"/>
      <c r="R103" s="298"/>
      <c r="S103" s="298"/>
      <c r="T103" s="298"/>
      <c r="U103" s="298"/>
      <c r="V103" s="298"/>
      <c r="W103" s="298"/>
      <c r="X103" s="298"/>
      <c r="Y103" s="298"/>
      <c r="Z103" s="298"/>
      <c r="AA103" s="298"/>
      <c r="AB103" s="298"/>
      <c r="AC103" s="298"/>
      <c r="AD103" s="298"/>
      <c r="AE103" s="298"/>
      <c r="AF103" s="298"/>
    </row>
    <row r="104" spans="1:34" ht="32.1" customHeight="1" x14ac:dyDescent="0.2">
      <c r="B104" s="1885" t="s">
        <v>2752</v>
      </c>
    </row>
    <row r="105" spans="1:34" ht="48" customHeight="1" x14ac:dyDescent="0.2">
      <c r="B105" s="6832" t="s">
        <v>2753</v>
      </c>
      <c r="C105" s="6848" t="s">
        <v>1398</v>
      </c>
      <c r="D105" s="6848"/>
      <c r="E105" s="6848"/>
      <c r="F105" s="6329"/>
      <c r="G105" s="6251" t="s">
        <v>1399</v>
      </c>
      <c r="H105" s="6848"/>
      <c r="I105" s="6848"/>
      <c r="J105" s="6849"/>
      <c r="K105" s="6850" t="s">
        <v>1400</v>
      </c>
      <c r="L105" s="6848"/>
      <c r="M105" s="6848"/>
      <c r="N105" s="6849"/>
      <c r="O105" s="6776" t="s">
        <v>816</v>
      </c>
      <c r="P105" s="6776"/>
      <c r="Q105" s="6236"/>
      <c r="R105" s="6850" t="s">
        <v>1406</v>
      </c>
      <c r="S105" s="6776"/>
      <c r="T105" s="6776"/>
      <c r="U105" s="6237"/>
    </row>
    <row r="106" spans="1:34" x14ac:dyDescent="0.2">
      <c r="B106" s="6833"/>
      <c r="C106" s="6321" t="s">
        <v>814</v>
      </c>
      <c r="D106" s="5162"/>
      <c r="E106" s="5160" t="s">
        <v>815</v>
      </c>
      <c r="F106" s="5162"/>
      <c r="G106" s="5160" t="s">
        <v>814</v>
      </c>
      <c r="H106" s="5162"/>
      <c r="I106" s="5160" t="s">
        <v>815</v>
      </c>
      <c r="J106" s="6212"/>
      <c r="K106" s="6758" t="s">
        <v>814</v>
      </c>
      <c r="L106" s="5162"/>
      <c r="M106" s="5160" t="s">
        <v>815</v>
      </c>
      <c r="N106" s="6321"/>
      <c r="O106" s="1880" t="s">
        <v>1229</v>
      </c>
      <c r="P106" s="6848" t="s">
        <v>1403</v>
      </c>
      <c r="Q106" s="6849"/>
      <c r="R106" s="6758" t="s">
        <v>814</v>
      </c>
      <c r="S106" s="5162"/>
      <c r="T106" s="5160" t="s">
        <v>815</v>
      </c>
      <c r="U106" s="5162"/>
    </row>
    <row r="107" spans="1:34" ht="21" x14ac:dyDescent="0.2">
      <c r="B107" s="6834"/>
      <c r="C107" s="1600" t="s">
        <v>24</v>
      </c>
      <c r="D107" s="1861" t="s">
        <v>25</v>
      </c>
      <c r="E107" s="1598" t="s">
        <v>24</v>
      </c>
      <c r="F107" s="1861" t="s">
        <v>25</v>
      </c>
      <c r="G107" s="1598" t="s">
        <v>24</v>
      </c>
      <c r="H107" s="1861" t="s">
        <v>25</v>
      </c>
      <c r="I107" s="1598" t="s">
        <v>24</v>
      </c>
      <c r="J107" s="620" t="s">
        <v>25</v>
      </c>
      <c r="K107" s="619" t="s">
        <v>24</v>
      </c>
      <c r="L107" s="1861" t="s">
        <v>25</v>
      </c>
      <c r="M107" s="1598" t="s">
        <v>24</v>
      </c>
      <c r="N107" s="620" t="s">
        <v>25</v>
      </c>
      <c r="O107" s="1884" t="s">
        <v>2224</v>
      </c>
      <c r="P107" s="1733" t="s">
        <v>1402</v>
      </c>
      <c r="Q107" s="777" t="s">
        <v>1401</v>
      </c>
      <c r="R107" s="619" t="s">
        <v>24</v>
      </c>
      <c r="S107" s="1861" t="s">
        <v>25</v>
      </c>
      <c r="T107" s="1598" t="s">
        <v>24</v>
      </c>
      <c r="U107" s="1861" t="s">
        <v>25</v>
      </c>
    </row>
    <row r="108" spans="1:34" ht="17.25" customHeight="1" x14ac:dyDescent="0.2">
      <c r="A108" s="2527"/>
      <c r="B108" s="1869" t="s">
        <v>42</v>
      </c>
      <c r="C108" s="623">
        <f t="shared" ref="C108:U108" si="2">SUM(C109:C119)</f>
        <v>0</v>
      </c>
      <c r="D108" s="1868">
        <f t="shared" si="2"/>
        <v>0</v>
      </c>
      <c r="E108" s="623">
        <f t="shared" si="2"/>
        <v>0</v>
      </c>
      <c r="F108" s="1868">
        <f t="shared" si="2"/>
        <v>0</v>
      </c>
      <c r="G108" s="623">
        <f t="shared" si="2"/>
        <v>0</v>
      </c>
      <c r="H108" s="1868">
        <f t="shared" si="2"/>
        <v>0</v>
      </c>
      <c r="I108" s="623">
        <f t="shared" si="2"/>
        <v>0</v>
      </c>
      <c r="J108" s="623">
        <f t="shared" si="2"/>
        <v>0</v>
      </c>
      <c r="K108" s="621">
        <f t="shared" si="2"/>
        <v>0</v>
      </c>
      <c r="L108" s="1867">
        <f t="shared" si="2"/>
        <v>0</v>
      </c>
      <c r="M108" s="1866">
        <f t="shared" si="2"/>
        <v>0</v>
      </c>
      <c r="N108" s="622">
        <f t="shared" si="2"/>
        <v>0</v>
      </c>
      <c r="O108" s="604">
        <f t="shared" si="2"/>
        <v>0</v>
      </c>
      <c r="P108" s="1883">
        <f t="shared" si="2"/>
        <v>0</v>
      </c>
      <c r="Q108" s="1882">
        <f t="shared" si="2"/>
        <v>0</v>
      </c>
      <c r="R108" s="621">
        <f t="shared" si="2"/>
        <v>0</v>
      </c>
      <c r="S108" s="1867">
        <f t="shared" si="2"/>
        <v>0</v>
      </c>
      <c r="T108" s="1866">
        <f t="shared" si="2"/>
        <v>0</v>
      </c>
      <c r="U108" s="1867">
        <f t="shared" si="2"/>
        <v>0</v>
      </c>
    </row>
    <row r="109" spans="1:34" ht="22.5" customHeight="1" x14ac:dyDescent="0.2">
      <c r="A109" s="2458">
        <v>30000071</v>
      </c>
      <c r="B109" s="594" t="s">
        <v>1121</v>
      </c>
      <c r="C109" s="144" t="s">
        <v>2777</v>
      </c>
      <c r="D109" s="183" t="s">
        <v>2778</v>
      </c>
      <c r="E109" s="182" t="s">
        <v>2779</v>
      </c>
      <c r="F109" s="183" t="s">
        <v>2780</v>
      </c>
      <c r="G109" s="182" t="s">
        <v>2781</v>
      </c>
      <c r="H109" s="183" t="s">
        <v>2782</v>
      </c>
      <c r="I109" s="182" t="s">
        <v>2783</v>
      </c>
      <c r="J109" s="593" t="s">
        <v>2784</v>
      </c>
      <c r="K109" s="762" t="s">
        <v>2785</v>
      </c>
      <c r="L109" s="629" t="s">
        <v>2786</v>
      </c>
      <c r="M109" s="630" t="s">
        <v>2787</v>
      </c>
      <c r="N109" s="763" t="s">
        <v>2788</v>
      </c>
      <c r="O109" s="144" t="s">
        <v>2789</v>
      </c>
      <c r="P109" s="148" t="s">
        <v>2790</v>
      </c>
      <c r="Q109" s="593" t="s">
        <v>2791</v>
      </c>
      <c r="R109" s="598" t="s">
        <v>2792</v>
      </c>
      <c r="S109" s="183" t="s">
        <v>2793</v>
      </c>
      <c r="T109" s="182" t="s">
        <v>2794</v>
      </c>
      <c r="U109" s="183" t="s">
        <v>2795</v>
      </c>
    </row>
    <row r="110" spans="1:34" ht="22.5" customHeight="1" x14ac:dyDescent="0.2">
      <c r="A110" s="2458">
        <v>30000072</v>
      </c>
      <c r="B110" s="594" t="s">
        <v>1135</v>
      </c>
      <c r="C110" s="144" t="s">
        <v>2777</v>
      </c>
      <c r="D110" s="183" t="s">
        <v>2778</v>
      </c>
      <c r="E110" s="182" t="s">
        <v>2779</v>
      </c>
      <c r="F110" s="183" t="s">
        <v>2780</v>
      </c>
      <c r="G110" s="182" t="s">
        <v>2781</v>
      </c>
      <c r="H110" s="183" t="s">
        <v>2782</v>
      </c>
      <c r="I110" s="182" t="s">
        <v>2783</v>
      </c>
      <c r="J110" s="593" t="s">
        <v>2784</v>
      </c>
      <c r="K110" s="762" t="s">
        <v>2785</v>
      </c>
      <c r="L110" s="629" t="s">
        <v>2786</v>
      </c>
      <c r="M110" s="630" t="s">
        <v>2787</v>
      </c>
      <c r="N110" s="763" t="s">
        <v>2788</v>
      </c>
      <c r="O110" s="144" t="s">
        <v>2789</v>
      </c>
      <c r="P110" s="148" t="s">
        <v>2790</v>
      </c>
      <c r="Q110" s="593" t="s">
        <v>2791</v>
      </c>
      <c r="R110" s="598" t="s">
        <v>2792</v>
      </c>
      <c r="S110" s="183" t="s">
        <v>2793</v>
      </c>
      <c r="T110" s="182" t="s">
        <v>2794</v>
      </c>
      <c r="U110" s="183" t="s">
        <v>2795</v>
      </c>
    </row>
    <row r="111" spans="1:34" ht="22.5" customHeight="1" x14ac:dyDescent="0.2">
      <c r="A111" s="2458">
        <v>30000073</v>
      </c>
      <c r="B111" s="594" t="s">
        <v>1079</v>
      </c>
      <c r="C111" s="144" t="s">
        <v>2777</v>
      </c>
      <c r="D111" s="183" t="s">
        <v>2778</v>
      </c>
      <c r="E111" s="182" t="s">
        <v>2779</v>
      </c>
      <c r="F111" s="183" t="s">
        <v>2780</v>
      </c>
      <c r="G111" s="182" t="s">
        <v>2781</v>
      </c>
      <c r="H111" s="183" t="s">
        <v>2782</v>
      </c>
      <c r="I111" s="182" t="s">
        <v>2783</v>
      </c>
      <c r="J111" s="593" t="s">
        <v>2784</v>
      </c>
      <c r="K111" s="762" t="s">
        <v>2785</v>
      </c>
      <c r="L111" s="629" t="s">
        <v>2786</v>
      </c>
      <c r="M111" s="630" t="s">
        <v>2787</v>
      </c>
      <c r="N111" s="763" t="s">
        <v>2788</v>
      </c>
      <c r="O111" s="144" t="s">
        <v>2789</v>
      </c>
      <c r="P111" s="148" t="s">
        <v>2790</v>
      </c>
      <c r="Q111" s="593" t="s">
        <v>2791</v>
      </c>
      <c r="R111" s="598" t="s">
        <v>2792</v>
      </c>
      <c r="S111" s="183" t="s">
        <v>2793</v>
      </c>
      <c r="T111" s="182" t="s">
        <v>2794</v>
      </c>
      <c r="U111" s="183" t="s">
        <v>2795</v>
      </c>
    </row>
    <row r="112" spans="1:34" ht="22.5" customHeight="1" x14ac:dyDescent="0.2">
      <c r="A112" s="2458">
        <v>30000074</v>
      </c>
      <c r="B112" s="594" t="s">
        <v>1124</v>
      </c>
      <c r="C112" s="144" t="s">
        <v>2777</v>
      </c>
      <c r="D112" s="183" t="s">
        <v>2778</v>
      </c>
      <c r="E112" s="182" t="s">
        <v>2779</v>
      </c>
      <c r="F112" s="183" t="s">
        <v>2780</v>
      </c>
      <c r="G112" s="182" t="s">
        <v>2781</v>
      </c>
      <c r="H112" s="183" t="s">
        <v>2782</v>
      </c>
      <c r="I112" s="182" t="s">
        <v>2783</v>
      </c>
      <c r="J112" s="593" t="s">
        <v>2784</v>
      </c>
      <c r="K112" s="762" t="s">
        <v>2785</v>
      </c>
      <c r="L112" s="629" t="s">
        <v>2786</v>
      </c>
      <c r="M112" s="630" t="s">
        <v>2787</v>
      </c>
      <c r="N112" s="763" t="s">
        <v>2788</v>
      </c>
      <c r="O112" s="144" t="s">
        <v>2789</v>
      </c>
      <c r="P112" s="148" t="s">
        <v>2790</v>
      </c>
      <c r="Q112" s="593" t="s">
        <v>2791</v>
      </c>
      <c r="R112" s="598" t="s">
        <v>2792</v>
      </c>
      <c r="S112" s="183" t="s">
        <v>2793</v>
      </c>
      <c r="T112" s="182" t="s">
        <v>2794</v>
      </c>
      <c r="U112" s="183" t="s">
        <v>2795</v>
      </c>
    </row>
    <row r="113" spans="1:21" ht="22.5" customHeight="1" x14ac:dyDescent="0.2">
      <c r="A113" s="2458">
        <v>30000075</v>
      </c>
      <c r="B113" s="594" t="s">
        <v>1126</v>
      </c>
      <c r="C113" s="144" t="s">
        <v>2777</v>
      </c>
      <c r="D113" s="183" t="s">
        <v>2778</v>
      </c>
      <c r="E113" s="182" t="s">
        <v>2779</v>
      </c>
      <c r="F113" s="183" t="s">
        <v>2780</v>
      </c>
      <c r="G113" s="182" t="s">
        <v>2781</v>
      </c>
      <c r="H113" s="183" t="s">
        <v>2782</v>
      </c>
      <c r="I113" s="182" t="s">
        <v>2783</v>
      </c>
      <c r="J113" s="593" t="s">
        <v>2784</v>
      </c>
      <c r="K113" s="762" t="s">
        <v>2785</v>
      </c>
      <c r="L113" s="629" t="s">
        <v>2786</v>
      </c>
      <c r="M113" s="630" t="s">
        <v>2787</v>
      </c>
      <c r="N113" s="763" t="s">
        <v>2788</v>
      </c>
      <c r="O113" s="144" t="s">
        <v>2789</v>
      </c>
      <c r="P113" s="148" t="s">
        <v>2790</v>
      </c>
      <c r="Q113" s="593" t="s">
        <v>2791</v>
      </c>
      <c r="R113" s="598" t="s">
        <v>2792</v>
      </c>
      <c r="S113" s="183" t="s">
        <v>2793</v>
      </c>
      <c r="T113" s="182" t="s">
        <v>2794</v>
      </c>
      <c r="U113" s="183" t="s">
        <v>2795</v>
      </c>
    </row>
    <row r="114" spans="1:21" ht="22.5" customHeight="1" x14ac:dyDescent="0.2">
      <c r="A114" s="2458">
        <v>30000076</v>
      </c>
      <c r="B114" s="594" t="s">
        <v>1086</v>
      </c>
      <c r="C114" s="144" t="s">
        <v>2777</v>
      </c>
      <c r="D114" s="183" t="s">
        <v>2778</v>
      </c>
      <c r="E114" s="182" t="s">
        <v>2779</v>
      </c>
      <c r="F114" s="183" t="s">
        <v>2780</v>
      </c>
      <c r="G114" s="182" t="s">
        <v>2781</v>
      </c>
      <c r="H114" s="183" t="s">
        <v>2782</v>
      </c>
      <c r="I114" s="182" t="s">
        <v>2783</v>
      </c>
      <c r="J114" s="593" t="s">
        <v>2784</v>
      </c>
      <c r="K114" s="762" t="s">
        <v>2785</v>
      </c>
      <c r="L114" s="629" t="s">
        <v>2786</v>
      </c>
      <c r="M114" s="630" t="s">
        <v>2787</v>
      </c>
      <c r="N114" s="763" t="s">
        <v>2788</v>
      </c>
      <c r="O114" s="144" t="s">
        <v>2789</v>
      </c>
      <c r="P114" s="148" t="s">
        <v>2790</v>
      </c>
      <c r="Q114" s="593" t="s">
        <v>2791</v>
      </c>
      <c r="R114" s="598" t="s">
        <v>2792</v>
      </c>
      <c r="S114" s="183" t="s">
        <v>2793</v>
      </c>
      <c r="T114" s="182" t="s">
        <v>2794</v>
      </c>
      <c r="U114" s="183" t="s">
        <v>2795</v>
      </c>
    </row>
    <row r="115" spans="1:21" ht="22.5" customHeight="1" x14ac:dyDescent="0.2">
      <c r="A115" s="2458">
        <v>30000077</v>
      </c>
      <c r="B115" s="594" t="s">
        <v>1127</v>
      </c>
      <c r="C115" s="144" t="s">
        <v>2777</v>
      </c>
      <c r="D115" s="183" t="s">
        <v>2778</v>
      </c>
      <c r="E115" s="182" t="s">
        <v>2779</v>
      </c>
      <c r="F115" s="183" t="s">
        <v>2780</v>
      </c>
      <c r="G115" s="182" t="s">
        <v>2781</v>
      </c>
      <c r="H115" s="183" t="s">
        <v>2782</v>
      </c>
      <c r="I115" s="182" t="s">
        <v>2783</v>
      </c>
      <c r="J115" s="593" t="s">
        <v>2784</v>
      </c>
      <c r="K115" s="762" t="s">
        <v>2785</v>
      </c>
      <c r="L115" s="629" t="s">
        <v>2786</v>
      </c>
      <c r="M115" s="630" t="s">
        <v>2787</v>
      </c>
      <c r="N115" s="763" t="s">
        <v>2788</v>
      </c>
      <c r="O115" s="144" t="s">
        <v>2789</v>
      </c>
      <c r="P115" s="148" t="s">
        <v>2790</v>
      </c>
      <c r="Q115" s="593" t="s">
        <v>2791</v>
      </c>
      <c r="R115" s="598" t="s">
        <v>2792</v>
      </c>
      <c r="S115" s="183" t="s">
        <v>2793</v>
      </c>
      <c r="T115" s="182" t="s">
        <v>2794</v>
      </c>
      <c r="U115" s="183" t="s">
        <v>2795</v>
      </c>
    </row>
    <row r="116" spans="1:21" ht="22.5" customHeight="1" x14ac:dyDescent="0.2">
      <c r="A116" s="2458">
        <v>30000078</v>
      </c>
      <c r="B116" s="594" t="s">
        <v>1128</v>
      </c>
      <c r="C116" s="144" t="s">
        <v>2777</v>
      </c>
      <c r="D116" s="183" t="s">
        <v>2778</v>
      </c>
      <c r="E116" s="182" t="s">
        <v>2779</v>
      </c>
      <c r="F116" s="183" t="s">
        <v>2780</v>
      </c>
      <c r="G116" s="182" t="s">
        <v>2781</v>
      </c>
      <c r="H116" s="183" t="s">
        <v>2782</v>
      </c>
      <c r="I116" s="182" t="s">
        <v>2783</v>
      </c>
      <c r="J116" s="593" t="s">
        <v>2784</v>
      </c>
      <c r="K116" s="762" t="s">
        <v>2785</v>
      </c>
      <c r="L116" s="629" t="s">
        <v>2786</v>
      </c>
      <c r="M116" s="630" t="s">
        <v>2787</v>
      </c>
      <c r="N116" s="763" t="s">
        <v>2788</v>
      </c>
      <c r="O116" s="144" t="s">
        <v>2789</v>
      </c>
      <c r="P116" s="148" t="s">
        <v>2790</v>
      </c>
      <c r="Q116" s="593" t="s">
        <v>2791</v>
      </c>
      <c r="R116" s="598" t="s">
        <v>2792</v>
      </c>
      <c r="S116" s="183" t="s">
        <v>2793</v>
      </c>
      <c r="T116" s="182" t="s">
        <v>2794</v>
      </c>
      <c r="U116" s="183" t="s">
        <v>2795</v>
      </c>
    </row>
    <row r="117" spans="1:21" ht="22.5" customHeight="1" x14ac:dyDescent="0.2">
      <c r="A117" s="2458">
        <v>30000079</v>
      </c>
      <c r="B117" s="594" t="s">
        <v>1089</v>
      </c>
      <c r="C117" s="144" t="s">
        <v>2777</v>
      </c>
      <c r="D117" s="183" t="s">
        <v>2778</v>
      </c>
      <c r="E117" s="182" t="s">
        <v>2779</v>
      </c>
      <c r="F117" s="183" t="s">
        <v>2780</v>
      </c>
      <c r="G117" s="182" t="s">
        <v>2781</v>
      </c>
      <c r="H117" s="183" t="s">
        <v>2782</v>
      </c>
      <c r="I117" s="182" t="s">
        <v>2783</v>
      </c>
      <c r="J117" s="593" t="s">
        <v>2784</v>
      </c>
      <c r="K117" s="762" t="s">
        <v>2785</v>
      </c>
      <c r="L117" s="629" t="s">
        <v>2786</v>
      </c>
      <c r="M117" s="630" t="s">
        <v>2787</v>
      </c>
      <c r="N117" s="763" t="s">
        <v>2788</v>
      </c>
      <c r="O117" s="144" t="s">
        <v>2789</v>
      </c>
      <c r="P117" s="148" t="s">
        <v>2790</v>
      </c>
      <c r="Q117" s="593" t="s">
        <v>2791</v>
      </c>
      <c r="R117" s="598" t="s">
        <v>2792</v>
      </c>
      <c r="S117" s="183" t="s">
        <v>2793</v>
      </c>
      <c r="T117" s="182" t="s">
        <v>2794</v>
      </c>
      <c r="U117" s="183" t="s">
        <v>2795</v>
      </c>
    </row>
    <row r="118" spans="1:21" ht="22.5" customHeight="1" x14ac:dyDescent="0.2">
      <c r="A118" s="2458">
        <v>30000080</v>
      </c>
      <c r="B118" s="594" t="s">
        <v>1088</v>
      </c>
      <c r="C118" s="144" t="s">
        <v>2777</v>
      </c>
      <c r="D118" s="183" t="s">
        <v>2778</v>
      </c>
      <c r="E118" s="182" t="s">
        <v>2779</v>
      </c>
      <c r="F118" s="183" t="s">
        <v>2780</v>
      </c>
      <c r="G118" s="182" t="s">
        <v>2781</v>
      </c>
      <c r="H118" s="183" t="s">
        <v>2782</v>
      </c>
      <c r="I118" s="182" t="s">
        <v>2783</v>
      </c>
      <c r="J118" s="593" t="s">
        <v>2784</v>
      </c>
      <c r="K118" s="762" t="s">
        <v>2785</v>
      </c>
      <c r="L118" s="629" t="s">
        <v>2786</v>
      </c>
      <c r="M118" s="630" t="s">
        <v>2787</v>
      </c>
      <c r="N118" s="763" t="s">
        <v>2788</v>
      </c>
      <c r="O118" s="144" t="s">
        <v>2789</v>
      </c>
      <c r="P118" s="148" t="s">
        <v>2790</v>
      </c>
      <c r="Q118" s="593" t="s">
        <v>2791</v>
      </c>
      <c r="R118" s="598" t="s">
        <v>2792</v>
      </c>
      <c r="S118" s="183" t="s">
        <v>2793</v>
      </c>
      <c r="T118" s="182" t="s">
        <v>2794</v>
      </c>
      <c r="U118" s="183" t="s">
        <v>2795</v>
      </c>
    </row>
    <row r="119" spans="1:21" ht="22.5" customHeight="1" x14ac:dyDescent="0.2">
      <c r="A119" s="2458">
        <v>30000081</v>
      </c>
      <c r="B119" s="595" t="s">
        <v>1090</v>
      </c>
      <c r="C119" s="126" t="s">
        <v>2777</v>
      </c>
      <c r="D119" s="125" t="s">
        <v>2778</v>
      </c>
      <c r="E119" s="166" t="s">
        <v>2779</v>
      </c>
      <c r="F119" s="125" t="s">
        <v>2780</v>
      </c>
      <c r="G119" s="166" t="s">
        <v>2781</v>
      </c>
      <c r="H119" s="125" t="s">
        <v>2782</v>
      </c>
      <c r="I119" s="166" t="s">
        <v>2783</v>
      </c>
      <c r="J119" s="319" t="s">
        <v>2784</v>
      </c>
      <c r="K119" s="621" t="s">
        <v>2785</v>
      </c>
      <c r="L119" s="1867" t="s">
        <v>2786</v>
      </c>
      <c r="M119" s="1866" t="s">
        <v>2787</v>
      </c>
      <c r="N119" s="622" t="s">
        <v>2788</v>
      </c>
      <c r="O119" s="126" t="s">
        <v>2789</v>
      </c>
      <c r="P119" s="265" t="s">
        <v>2790</v>
      </c>
      <c r="Q119" s="319" t="s">
        <v>2791</v>
      </c>
      <c r="R119" s="635" t="s">
        <v>2792</v>
      </c>
      <c r="S119" s="125" t="s">
        <v>2793</v>
      </c>
      <c r="T119" s="166" t="s">
        <v>2794</v>
      </c>
      <c r="U119" s="125" t="s">
        <v>2795</v>
      </c>
    </row>
    <row r="120" spans="1:21" ht="32.1" customHeight="1" x14ac:dyDescent="0.2">
      <c r="B120" s="1881" t="s">
        <v>2754</v>
      </c>
    </row>
    <row r="121" spans="1:21" ht="15" customHeight="1" x14ac:dyDescent="0.2">
      <c r="B121" s="6832" t="s">
        <v>1413</v>
      </c>
      <c r="C121" s="6835" t="s">
        <v>1407</v>
      </c>
      <c r="D121" s="6835"/>
      <c r="E121" s="6835"/>
      <c r="F121" s="6835"/>
      <c r="G121" s="6835"/>
      <c r="H121" s="6835"/>
      <c r="I121" s="6731"/>
      <c r="J121" s="6836" t="s">
        <v>1428</v>
      </c>
      <c r="K121" s="6837"/>
      <c r="L121" s="6837"/>
      <c r="M121" s="6838"/>
    </row>
    <row r="122" spans="1:21" ht="23.25" customHeight="1" x14ac:dyDescent="0.2">
      <c r="B122" s="6833"/>
      <c r="C122" s="6841" t="s">
        <v>814</v>
      </c>
      <c r="D122" s="6842"/>
      <c r="E122" s="6843" t="s">
        <v>815</v>
      </c>
      <c r="F122" s="6844"/>
      <c r="G122" s="6828" t="s">
        <v>816</v>
      </c>
      <c r="H122" s="6776"/>
      <c r="I122" s="6236"/>
      <c r="J122" s="6839"/>
      <c r="K122" s="6840"/>
      <c r="L122" s="6840"/>
      <c r="M122" s="5653"/>
    </row>
    <row r="123" spans="1:21" x14ac:dyDescent="0.2">
      <c r="B123" s="6833"/>
      <c r="C123" s="6845" t="s">
        <v>24</v>
      </c>
      <c r="D123" s="6846" t="s">
        <v>25</v>
      </c>
      <c r="E123" s="6847" t="s">
        <v>24</v>
      </c>
      <c r="F123" s="6845" t="s">
        <v>25</v>
      </c>
      <c r="G123" s="4865" t="s">
        <v>1229</v>
      </c>
      <c r="H123" s="6848" t="s">
        <v>1403</v>
      </c>
      <c r="I123" s="6849"/>
      <c r="J123" s="6828" t="s">
        <v>814</v>
      </c>
      <c r="K123" s="6237"/>
      <c r="L123" s="6234" t="s">
        <v>815</v>
      </c>
      <c r="M123" s="6237"/>
    </row>
    <row r="124" spans="1:21" ht="21" x14ac:dyDescent="0.2">
      <c r="B124" s="6834"/>
      <c r="C124" s="6841"/>
      <c r="D124" s="6842"/>
      <c r="E124" s="6843"/>
      <c r="F124" s="6841"/>
      <c r="G124" s="4865" t="s">
        <v>2224</v>
      </c>
      <c r="H124" s="1879" t="s">
        <v>1402</v>
      </c>
      <c r="I124" s="1878" t="s">
        <v>1401</v>
      </c>
      <c r="J124" s="778" t="s">
        <v>24</v>
      </c>
      <c r="K124" s="779" t="s">
        <v>25</v>
      </c>
      <c r="L124" s="1731" t="s">
        <v>24</v>
      </c>
      <c r="M124" s="779" t="s">
        <v>25</v>
      </c>
    </row>
    <row r="125" spans="1:21" s="3157" customFormat="1" ht="18.75" customHeight="1" x14ac:dyDescent="0.25">
      <c r="A125" s="3168"/>
      <c r="B125" s="3495" t="s">
        <v>42</v>
      </c>
      <c r="C125" s="3650">
        <f t="shared" ref="C125:M125" si="3">SUM(C126:C129)</f>
        <v>0</v>
      </c>
      <c r="D125" s="3651">
        <f t="shared" si="3"/>
        <v>0</v>
      </c>
      <c r="E125" s="3652">
        <f t="shared" si="3"/>
        <v>0</v>
      </c>
      <c r="F125" s="3653">
        <f t="shared" si="3"/>
        <v>0</v>
      </c>
      <c r="G125" s="3654">
        <f t="shared" si="3"/>
        <v>0</v>
      </c>
      <c r="H125" s="3655">
        <f t="shared" si="3"/>
        <v>0</v>
      </c>
      <c r="I125" s="3656">
        <f t="shared" si="3"/>
        <v>0</v>
      </c>
      <c r="J125" s="3657">
        <f t="shared" si="3"/>
        <v>0</v>
      </c>
      <c r="K125" s="3658">
        <f t="shared" si="3"/>
        <v>0</v>
      </c>
      <c r="L125" s="3659">
        <f t="shared" si="3"/>
        <v>0</v>
      </c>
      <c r="M125" s="3660">
        <f t="shared" si="3"/>
        <v>0</v>
      </c>
    </row>
    <row r="126" spans="1:21" ht="17.25" customHeight="1" x14ac:dyDescent="0.2">
      <c r="A126" s="2458">
        <v>30000082</v>
      </c>
      <c r="B126" s="594" t="s">
        <v>1411</v>
      </c>
      <c r="C126" s="808" t="s">
        <v>2777</v>
      </c>
      <c r="D126" s="809" t="s">
        <v>2778</v>
      </c>
      <c r="E126" s="827" t="s">
        <v>2779</v>
      </c>
      <c r="F126" s="853" t="s">
        <v>2780</v>
      </c>
      <c r="G126" s="1877" t="s">
        <v>2781</v>
      </c>
      <c r="H126" s="808" t="s">
        <v>2782</v>
      </c>
      <c r="I126" s="860" t="s">
        <v>2783</v>
      </c>
      <c r="J126" s="861" t="s">
        <v>2784</v>
      </c>
      <c r="K126" s="828" t="s">
        <v>2785</v>
      </c>
      <c r="L126" s="827" t="s">
        <v>2786</v>
      </c>
      <c r="M126" s="809" t="s">
        <v>2787</v>
      </c>
    </row>
    <row r="127" spans="1:21" ht="17.25" customHeight="1" x14ac:dyDescent="0.2">
      <c r="A127" s="2458">
        <v>30000083</v>
      </c>
      <c r="B127" s="594" t="s">
        <v>1409</v>
      </c>
      <c r="C127" s="810" t="s">
        <v>2777</v>
      </c>
      <c r="D127" s="811" t="s">
        <v>2778</v>
      </c>
      <c r="E127" s="829" t="s">
        <v>2779</v>
      </c>
      <c r="F127" s="815" t="s">
        <v>2780</v>
      </c>
      <c r="G127" s="1876" t="s">
        <v>2781</v>
      </c>
      <c r="H127" s="810" t="s">
        <v>2782</v>
      </c>
      <c r="I127" s="831" t="s">
        <v>2783</v>
      </c>
      <c r="J127" s="862" t="s">
        <v>2784</v>
      </c>
      <c r="K127" s="830" t="s">
        <v>2785</v>
      </c>
      <c r="L127" s="829" t="s">
        <v>2786</v>
      </c>
      <c r="M127" s="811" t="s">
        <v>2787</v>
      </c>
    </row>
    <row r="128" spans="1:21" ht="17.25" customHeight="1" x14ac:dyDescent="0.2">
      <c r="A128" s="2458">
        <v>30000084</v>
      </c>
      <c r="B128" s="594" t="s">
        <v>1410</v>
      </c>
      <c r="C128" s="810" t="s">
        <v>2777</v>
      </c>
      <c r="D128" s="811" t="s">
        <v>2778</v>
      </c>
      <c r="E128" s="829" t="s">
        <v>2779</v>
      </c>
      <c r="F128" s="815" t="s">
        <v>2780</v>
      </c>
      <c r="G128" s="1876" t="s">
        <v>2781</v>
      </c>
      <c r="H128" s="810" t="s">
        <v>2782</v>
      </c>
      <c r="I128" s="831" t="s">
        <v>2783</v>
      </c>
      <c r="J128" s="862" t="s">
        <v>2784</v>
      </c>
      <c r="K128" s="830" t="s">
        <v>2785</v>
      </c>
      <c r="L128" s="829" t="s">
        <v>2786</v>
      </c>
      <c r="M128" s="811" t="s">
        <v>2787</v>
      </c>
    </row>
    <row r="129" spans="1:13" ht="17.25" customHeight="1" x14ac:dyDescent="0.2">
      <c r="A129" s="2458">
        <v>30000085</v>
      </c>
      <c r="B129" s="595" t="s">
        <v>1412</v>
      </c>
      <c r="C129" s="812" t="s">
        <v>2777</v>
      </c>
      <c r="D129" s="813" t="s">
        <v>2778</v>
      </c>
      <c r="E129" s="822" t="s">
        <v>2779</v>
      </c>
      <c r="F129" s="817" t="s">
        <v>2780</v>
      </c>
      <c r="G129" s="1875" t="s">
        <v>2781</v>
      </c>
      <c r="H129" s="812" t="s">
        <v>2782</v>
      </c>
      <c r="I129" s="863" t="s">
        <v>2783</v>
      </c>
      <c r="J129" s="864" t="s">
        <v>2784</v>
      </c>
      <c r="K129" s="823" t="s">
        <v>2785</v>
      </c>
      <c r="L129" s="822" t="s">
        <v>2786</v>
      </c>
      <c r="M129" s="813" t="s">
        <v>2787</v>
      </c>
    </row>
    <row r="130" spans="1:13" ht="23.25" customHeight="1" x14ac:dyDescent="0.2">
      <c r="B130" s="485" t="s">
        <v>2226</v>
      </c>
      <c r="C130" s="327"/>
      <c r="D130" s="327"/>
      <c r="E130" s="327"/>
    </row>
    <row r="131" spans="1:13" x14ac:dyDescent="0.2">
      <c r="B131" s="6829" t="s">
        <v>2225</v>
      </c>
      <c r="C131" s="6226" t="s">
        <v>816</v>
      </c>
      <c r="D131" s="6226"/>
      <c r="E131" s="6226"/>
    </row>
    <row r="132" spans="1:13" x14ac:dyDescent="0.2">
      <c r="B132" s="6830"/>
      <c r="C132" s="2067" t="s">
        <v>1229</v>
      </c>
      <c r="D132" s="5818" t="s">
        <v>1403</v>
      </c>
      <c r="E132" s="5818"/>
    </row>
    <row r="133" spans="1:13" ht="31.5" x14ac:dyDescent="0.2">
      <c r="B133" s="6831"/>
      <c r="C133" s="4764" t="s">
        <v>2224</v>
      </c>
      <c r="D133" s="4764" t="s">
        <v>1402</v>
      </c>
      <c r="E133" s="2012" t="s">
        <v>1401</v>
      </c>
    </row>
    <row r="134" spans="1:13" x14ac:dyDescent="0.2">
      <c r="A134" s="4722">
        <v>30000092</v>
      </c>
      <c r="B134" s="4869" t="s">
        <v>2223</v>
      </c>
      <c r="C134" s="4870" t="s">
        <v>2777</v>
      </c>
      <c r="D134" s="4871" t="s">
        <v>2778</v>
      </c>
      <c r="E134" s="4872" t="s">
        <v>2779</v>
      </c>
    </row>
    <row r="135" spans="1:13" x14ac:dyDescent="0.2">
      <c r="A135" s="4722">
        <v>30000093</v>
      </c>
      <c r="B135" s="4869" t="s">
        <v>318</v>
      </c>
      <c r="C135" s="4870" t="s">
        <v>2777</v>
      </c>
      <c r="D135" s="4871" t="s">
        <v>2778</v>
      </c>
      <c r="E135" s="4872" t="s">
        <v>2779</v>
      </c>
    </row>
    <row r="139" spans="1:13" x14ac:dyDescent="0.2">
      <c r="A139" s="80" t="s">
        <v>3740</v>
      </c>
    </row>
    <row r="140" spans="1:13" x14ac:dyDescent="0.2">
      <c r="A140" s="4629" t="s">
        <v>3942</v>
      </c>
    </row>
    <row r="143" spans="1:13" x14ac:dyDescent="0.2">
      <c r="A143" s="80" t="s">
        <v>3742</v>
      </c>
    </row>
    <row r="144" spans="1:13" x14ac:dyDescent="0.2">
      <c r="A144" s="4722">
        <v>30000089</v>
      </c>
    </row>
    <row r="145" spans="1:1" x14ac:dyDescent="0.2">
      <c r="A145" s="4722">
        <v>30000090</v>
      </c>
    </row>
    <row r="146" spans="1:1" x14ac:dyDescent="0.2">
      <c r="A146" s="4722">
        <v>30000091</v>
      </c>
    </row>
    <row r="147" spans="1:1" x14ac:dyDescent="0.2">
      <c r="A147" s="4722">
        <v>30000092</v>
      </c>
    </row>
    <row r="148" spans="1:1" x14ac:dyDescent="0.2">
      <c r="A148" s="4722">
        <v>30000093</v>
      </c>
    </row>
    <row r="173" spans="2:2" x14ac:dyDescent="0.2">
      <c r="B173" s="94"/>
    </row>
    <row r="181" spans="2:3" s="206" customFormat="1" hidden="1" x14ac:dyDescent="0.2">
      <c r="B181" s="206">
        <f>SUM(C17:AB17,C84:M84,C90:P90, C108:U108,C125:M125)</f>
        <v>0</v>
      </c>
      <c r="C181" s="206">
        <v>0</v>
      </c>
    </row>
  </sheetData>
  <dataConsolidate/>
  <mergeCells count="84">
    <mergeCell ref="Y14:AB14"/>
    <mergeCell ref="C15:D15"/>
    <mergeCell ref="E15:F15"/>
    <mergeCell ref="G15:H15"/>
    <mergeCell ref="I15:J15"/>
    <mergeCell ref="K15:L15"/>
    <mergeCell ref="M15:N15"/>
    <mergeCell ref="O15:O16"/>
    <mergeCell ref="P15:Q15"/>
    <mergeCell ref="C14:F14"/>
    <mergeCell ref="V14:X14"/>
    <mergeCell ref="V15:V16"/>
    <mergeCell ref="W15:X15"/>
    <mergeCell ref="Y15:Z15"/>
    <mergeCell ref="AA15:AB15"/>
    <mergeCell ref="B14:B16"/>
    <mergeCell ref="T15:U15"/>
    <mergeCell ref="H80:I80"/>
    <mergeCell ref="J80:K80"/>
    <mergeCell ref="L80:M80"/>
    <mergeCell ref="G14:J14"/>
    <mergeCell ref="K14:N14"/>
    <mergeCell ref="O14:Q14"/>
    <mergeCell ref="R14:U14"/>
    <mergeCell ref="B79:B81"/>
    <mergeCell ref="C79:F79"/>
    <mergeCell ref="G79:I79"/>
    <mergeCell ref="J79:M79"/>
    <mergeCell ref="C80:D80"/>
    <mergeCell ref="E80:F80"/>
    <mergeCell ref="R15:S15"/>
    <mergeCell ref="D88:D89"/>
    <mergeCell ref="E88:E89"/>
    <mergeCell ref="F88:F89"/>
    <mergeCell ref="G88:G89"/>
    <mergeCell ref="H88:I88"/>
    <mergeCell ref="J88:J89"/>
    <mergeCell ref="B86:B89"/>
    <mergeCell ref="C86:I86"/>
    <mergeCell ref="J86:P86"/>
    <mergeCell ref="C87:D87"/>
    <mergeCell ref="E87:F87"/>
    <mergeCell ref="G87:I87"/>
    <mergeCell ref="J87:K87"/>
    <mergeCell ref="L87:M87"/>
    <mergeCell ref="N87:P87"/>
    <mergeCell ref="C88:C89"/>
    <mergeCell ref="K88:K89"/>
    <mergeCell ref="L88:L89"/>
    <mergeCell ref="M88:M89"/>
    <mergeCell ref="N88:N89"/>
    <mergeCell ref="O88:P88"/>
    <mergeCell ref="B105:B107"/>
    <mergeCell ref="C105:F105"/>
    <mergeCell ref="G105:J105"/>
    <mergeCell ref="K105:N105"/>
    <mergeCell ref="O105:Q105"/>
    <mergeCell ref="H123:I123"/>
    <mergeCell ref="R105:U105"/>
    <mergeCell ref="C106:D106"/>
    <mergeCell ref="E106:F106"/>
    <mergeCell ref="G106:H106"/>
    <mergeCell ref="I106:J106"/>
    <mergeCell ref="K106:L106"/>
    <mergeCell ref="M106:N106"/>
    <mergeCell ref="P106:Q106"/>
    <mergeCell ref="R106:S106"/>
    <mergeCell ref="T106:U106"/>
    <mergeCell ref="A14:A15"/>
    <mergeCell ref="J123:K123"/>
    <mergeCell ref="L123:M123"/>
    <mergeCell ref="B131:B133"/>
    <mergeCell ref="C131:E131"/>
    <mergeCell ref="D132:E132"/>
    <mergeCell ref="B121:B124"/>
    <mergeCell ref="C121:I121"/>
    <mergeCell ref="J121:M122"/>
    <mergeCell ref="C122:D122"/>
    <mergeCell ref="E122:F122"/>
    <mergeCell ref="G122:I122"/>
    <mergeCell ref="C123:C124"/>
    <mergeCell ref="D123:D124"/>
    <mergeCell ref="E123:E124"/>
    <mergeCell ref="F123:F124"/>
  </mergeCells>
  <phoneticPr fontId="87" type="noConversion"/>
  <dataValidations count="2">
    <dataValidation operator="greaterThanOrEqual" allowBlank="1" showInputMessage="1" showErrorMessage="1" error="Valor no Permitido" sqref="C79:F84 B85:F129 B82:B84 A78 B79 F132:XFD135 J79:XFD84 B1:XFD78 A1:A13 A16:A17 G85:XFD131 B136:XFD1048576 A136:A139 A141:A143 A149:A1048576" xr:uid="{00000000-0002-0000-1500-000000000000}"/>
    <dataValidation type="whole" allowBlank="1" showInputMessage="1" showErrorMessage="1" errorTitle="Error de ingreso" error="Debe ingresar sólo números." sqref="C134:E135 C130:F130 G82:I84" xr:uid="{00000000-0002-0000-1500-000001000000}">
      <formula1>0</formula1>
      <formula2>99999</formula2>
    </dataValidation>
  </dataValidation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Hoja3">
    <tabColor theme="0"/>
  </sheetPr>
  <dimension ref="A1:DA175"/>
  <sheetViews>
    <sheetView showGridLines="0" zoomScaleNormal="100" workbookViewId="0"/>
  </sheetViews>
  <sheetFormatPr baseColWidth="10" defaultColWidth="11.42578125" defaultRowHeight="15" x14ac:dyDescent="0.25"/>
  <cols>
    <col min="1" max="1" width="13.140625" customWidth="1"/>
    <col min="2" max="2" width="27.85546875" customWidth="1"/>
    <col min="3" max="3" width="18" customWidth="1"/>
    <col min="4" max="4" width="14.140625" customWidth="1"/>
    <col min="5" max="5" width="11.42578125" customWidth="1"/>
    <col min="7" max="7" width="11.140625" customWidth="1"/>
    <col min="8" max="8" width="10.28515625" customWidth="1"/>
    <col min="9" max="9" width="9.42578125" customWidth="1"/>
    <col min="10" max="10" width="9" customWidth="1"/>
    <col min="11" max="12" width="9.140625" customWidth="1"/>
    <col min="13" max="13" width="14.42578125" customWidth="1"/>
    <col min="14" max="14" width="11.7109375" customWidth="1"/>
    <col min="15" max="15" width="12.85546875" customWidth="1"/>
    <col min="16" max="16" width="12.140625" customWidth="1"/>
    <col min="17" max="17" width="12" customWidth="1"/>
    <col min="18" max="18" width="13.7109375" customWidth="1"/>
    <col min="19" max="19" width="12.42578125" customWidth="1"/>
    <col min="20" max="20" width="11.140625" customWidth="1"/>
    <col min="21" max="22" width="12.42578125" customWidth="1"/>
    <col min="23" max="23" width="11" customWidth="1"/>
    <col min="24" max="24" width="10.7109375" customWidth="1"/>
    <col min="25" max="25" width="11.42578125" customWidth="1"/>
    <col min="26" max="26" width="12.28515625" customWidth="1"/>
    <col min="27" max="27" width="13.140625" customWidth="1"/>
    <col min="28" max="28" width="10.28515625" customWidth="1"/>
    <col min="29" max="29" width="12.140625" customWidth="1"/>
    <col min="30" max="30" width="12.42578125" customWidth="1"/>
    <col min="31" max="31" width="12" customWidth="1"/>
    <col min="32" max="32" width="12.7109375" customWidth="1"/>
    <col min="33" max="33" width="11" customWidth="1"/>
    <col min="34" max="35" width="11.7109375" customWidth="1"/>
    <col min="36" max="36" width="10.42578125" customWidth="1"/>
    <col min="37" max="37" width="11.85546875" customWidth="1"/>
    <col min="38" max="38" width="11.42578125" customWidth="1"/>
    <col min="39" max="39" width="10.85546875" customWidth="1"/>
    <col min="40" max="40" width="11.42578125" customWidth="1"/>
    <col min="41" max="41" width="11.7109375" customWidth="1"/>
    <col min="42" max="42" width="11.42578125" customWidth="1"/>
    <col min="79" max="79" width="12.140625" customWidth="1"/>
    <col min="80" max="105" width="12.140625" style="1010" customWidth="1"/>
    <col min="106" max="106" width="12.140625" customWidth="1"/>
  </cols>
  <sheetData>
    <row r="1" spans="1:105" s="805" customFormat="1" ht="16.350000000000001" customHeight="1" x14ac:dyDescent="0.2">
      <c r="B1" s="78" t="s">
        <v>910</v>
      </c>
      <c r="CB1" s="1000"/>
      <c r="CC1" s="1000"/>
      <c r="CD1" s="1000"/>
      <c r="CE1" s="1000"/>
      <c r="CF1" s="1000"/>
      <c r="CG1" s="1000"/>
      <c r="CH1" s="1000"/>
      <c r="CI1" s="1000"/>
      <c r="CJ1" s="1000"/>
      <c r="CK1" s="1000"/>
      <c r="CL1" s="1000"/>
      <c r="CM1" s="1000"/>
      <c r="CN1" s="1000"/>
      <c r="CO1" s="1000"/>
      <c r="CP1" s="1000"/>
      <c r="CQ1" s="1000"/>
      <c r="CR1" s="1000"/>
      <c r="CS1" s="1000"/>
      <c r="CT1" s="1000"/>
      <c r="CU1" s="1000"/>
      <c r="CV1" s="1000"/>
      <c r="CW1" s="1000"/>
      <c r="CX1" s="1000"/>
      <c r="CY1" s="1000"/>
      <c r="CZ1" s="1000"/>
      <c r="DA1" s="1000"/>
    </row>
    <row r="2" spans="1:105" s="805" customFormat="1" ht="16.350000000000001" customHeight="1" x14ac:dyDescent="0.2">
      <c r="B2" s="78" t="str">
        <f>CONCATENATE("COMUNA: ",NOMBRE!B2," - ","( ",NOMBRE!C2,NOMBRE!D2,NOMBRE!E2,NOMBRE!F2,NOMBRE!G2," )")</f>
        <v>COMUNA:  - (  )</v>
      </c>
      <c r="CB2" s="1000"/>
      <c r="CC2" s="1000"/>
      <c r="CD2" s="1000"/>
      <c r="CE2" s="1000"/>
      <c r="CF2" s="1000"/>
      <c r="CG2" s="1000"/>
      <c r="CH2" s="1000"/>
      <c r="CI2" s="1000"/>
      <c r="CJ2" s="1000"/>
      <c r="CK2" s="1000"/>
      <c r="CL2" s="1000"/>
      <c r="CM2" s="1000"/>
      <c r="CN2" s="1000"/>
      <c r="CO2" s="1000"/>
      <c r="CP2" s="1000"/>
      <c r="CQ2" s="1000"/>
      <c r="CR2" s="1000"/>
      <c r="CS2" s="1000"/>
      <c r="CT2" s="1000"/>
      <c r="CU2" s="1000"/>
      <c r="CV2" s="1000"/>
      <c r="CW2" s="1000"/>
      <c r="CX2" s="1000"/>
      <c r="CY2" s="1000"/>
      <c r="CZ2" s="1000"/>
      <c r="DA2" s="1000"/>
    </row>
    <row r="3" spans="1:105" s="805" customFormat="1" ht="16.350000000000001" customHeight="1" x14ac:dyDescent="0.2">
      <c r="B3" s="78" t="str">
        <f>CONCATENATE("ESTABLECIMIENTO/ESTRATEGIA: ",NOMBRE!B3," - ","( ",NOMBRE!C3,NOMBRE!D3,NOMBRE!E3,NOMBRE!F3,NOMBRE!G3,NOMBRE!H3," )")</f>
        <v>ESTABLECIMIENTO/ESTRATEGIA:  - (  )</v>
      </c>
      <c r="CB3" s="1000"/>
      <c r="CC3" s="1000"/>
      <c r="CD3" s="1000"/>
      <c r="CE3" s="1000"/>
      <c r="CF3" s="1000"/>
      <c r="CG3" s="1000"/>
      <c r="CH3" s="1000"/>
      <c r="CI3" s="1000"/>
      <c r="CJ3" s="1000"/>
      <c r="CK3" s="1000"/>
      <c r="CL3" s="1000"/>
      <c r="CM3" s="1000"/>
      <c r="CN3" s="1000"/>
      <c r="CO3" s="1000"/>
      <c r="CP3" s="1000"/>
      <c r="CQ3" s="1000"/>
      <c r="CR3" s="1000"/>
      <c r="CS3" s="1000"/>
      <c r="CT3" s="1000"/>
      <c r="CU3" s="1000"/>
      <c r="CV3" s="1000"/>
      <c r="CW3" s="1000"/>
      <c r="CX3" s="1000"/>
      <c r="CY3" s="1000"/>
      <c r="CZ3" s="1000"/>
      <c r="DA3" s="1000"/>
    </row>
    <row r="4" spans="1:105" s="805" customFormat="1" ht="16.350000000000001" customHeight="1" x14ac:dyDescent="0.2">
      <c r="B4" s="78" t="str">
        <f>CONCATENATE("MES: ",NOMBRE!B6," - ","( ",NOMBRE!C6,NOMBRE!D6," )")</f>
        <v>MES:  - (  )</v>
      </c>
      <c r="H4" s="1779"/>
      <c r="I4" s="1779"/>
      <c r="J4" s="1779"/>
      <c r="K4" s="1779"/>
      <c r="L4" s="1779"/>
      <c r="M4" s="1779"/>
      <c r="CB4" s="1000"/>
      <c r="CC4" s="1000"/>
      <c r="CD4" s="1000"/>
      <c r="CE4" s="1000"/>
      <c r="CF4" s="1000"/>
      <c r="CG4" s="1000"/>
      <c r="CH4" s="1000"/>
      <c r="CI4" s="1000"/>
      <c r="CJ4" s="1000"/>
      <c r="CK4" s="1000"/>
      <c r="CL4" s="1000"/>
      <c r="CM4" s="1000"/>
      <c r="CN4" s="1000"/>
      <c r="CO4" s="1000"/>
      <c r="CP4" s="1000"/>
      <c r="CQ4" s="1000"/>
      <c r="CR4" s="1000"/>
      <c r="CS4" s="1000"/>
      <c r="CT4" s="1000"/>
      <c r="CU4" s="1000"/>
      <c r="CV4" s="1000"/>
      <c r="CW4" s="1000"/>
      <c r="CX4" s="1000"/>
      <c r="CY4" s="1000"/>
      <c r="CZ4" s="1000"/>
      <c r="DA4" s="1000"/>
    </row>
    <row r="5" spans="1:105" s="805" customFormat="1" ht="16.350000000000001" customHeight="1" x14ac:dyDescent="0.2">
      <c r="B5" s="78" t="str">
        <f>CONCATENATE("AÑO: ",NOMBRE!B7)</f>
        <v>AÑO: 2020</v>
      </c>
      <c r="F5" s="806"/>
      <c r="CB5" s="1000"/>
      <c r="CC5" s="1000"/>
      <c r="CD5" s="1000"/>
      <c r="CE5" s="1000"/>
      <c r="CF5" s="1000"/>
      <c r="CG5" s="1000"/>
      <c r="CH5" s="1000"/>
      <c r="CI5" s="1000"/>
      <c r="CJ5" s="1000"/>
      <c r="CK5" s="1000"/>
      <c r="CL5" s="1000"/>
      <c r="CM5" s="1000"/>
      <c r="CN5" s="1000"/>
      <c r="CO5" s="1000"/>
      <c r="CP5" s="1000"/>
      <c r="CQ5" s="1000"/>
      <c r="CR5" s="1000"/>
      <c r="CS5" s="1000"/>
      <c r="CT5" s="1000"/>
      <c r="CU5" s="1000"/>
      <c r="CV5" s="1000"/>
      <c r="CW5" s="1000"/>
      <c r="CX5" s="1000"/>
      <c r="CY5" s="1000"/>
      <c r="CZ5" s="1000"/>
      <c r="DA5" s="1000"/>
    </row>
    <row r="6" spans="1:105" x14ac:dyDescent="0.25">
      <c r="B6" s="1002"/>
      <c r="C6" s="1002"/>
      <c r="D6" s="1002"/>
      <c r="E6" s="1002"/>
      <c r="F6" s="1002"/>
      <c r="G6" s="1002"/>
      <c r="H6" s="1002"/>
      <c r="I6" s="1002"/>
      <c r="J6" s="1002"/>
      <c r="K6" s="1002"/>
      <c r="L6" s="1002"/>
      <c r="M6" s="1002"/>
      <c r="N6" s="1002"/>
      <c r="O6" s="1002"/>
      <c r="P6" s="1002"/>
      <c r="Q6" s="1002"/>
      <c r="R6" s="1002"/>
      <c r="S6" s="1002"/>
      <c r="T6" s="1002"/>
      <c r="U6" s="1002"/>
      <c r="V6" s="1002"/>
      <c r="W6" s="1002"/>
      <c r="X6" s="1002"/>
      <c r="Y6" s="1002"/>
      <c r="Z6" s="1002"/>
      <c r="AA6" s="1002"/>
      <c r="AB6" s="1002"/>
      <c r="AC6" s="1002"/>
      <c r="AD6" s="1002"/>
      <c r="AE6" s="1002"/>
      <c r="AF6" s="1002"/>
      <c r="AG6" s="1002"/>
      <c r="AH6" s="1002"/>
      <c r="AI6" s="1002"/>
      <c r="AJ6" s="1002"/>
      <c r="AK6" s="1002"/>
      <c r="AL6" s="1002"/>
      <c r="AM6" s="1002"/>
      <c r="AN6" s="805"/>
      <c r="AO6" s="805"/>
      <c r="AP6" s="805"/>
      <c r="AQ6" s="805"/>
      <c r="AR6" s="805"/>
      <c r="AS6" s="805"/>
      <c r="AT6" s="1002"/>
      <c r="AU6" s="1002"/>
      <c r="AV6" s="1002"/>
      <c r="AW6" s="1002"/>
      <c r="AX6" s="1002"/>
      <c r="AY6" s="1002"/>
      <c r="AZ6" s="1002"/>
      <c r="BA6" s="1002"/>
      <c r="BB6" s="1002"/>
      <c r="BC6" s="1002"/>
      <c r="BD6" s="1002"/>
      <c r="BE6" s="1002"/>
      <c r="BF6" s="1002"/>
      <c r="BG6" s="1002"/>
      <c r="BH6" s="1002"/>
      <c r="BI6" s="1002"/>
      <c r="BJ6" s="1002"/>
      <c r="BK6" s="1002"/>
      <c r="BL6" s="1002"/>
      <c r="BM6" s="1002"/>
      <c r="BN6" s="1002"/>
      <c r="BO6" s="1002"/>
      <c r="BP6" s="1002"/>
      <c r="BQ6" s="1002"/>
      <c r="BR6" s="1002"/>
      <c r="BS6" s="1002"/>
      <c r="BT6" s="1002"/>
      <c r="BU6" s="1002"/>
      <c r="BV6" s="1002"/>
      <c r="BW6" s="1002"/>
      <c r="BX6" s="1002"/>
      <c r="BY6" s="1002"/>
      <c r="BZ6" s="1002"/>
      <c r="CA6" s="1002"/>
      <c r="CB6" s="1000"/>
      <c r="CC6" s="1000"/>
      <c r="CD6" s="1000"/>
      <c r="CE6" s="1000"/>
      <c r="CF6" s="1000"/>
      <c r="CG6" s="1000"/>
      <c r="CH6" s="1000"/>
      <c r="CI6" s="1000"/>
      <c r="CJ6" s="1000"/>
      <c r="CK6" s="1000"/>
      <c r="CL6" s="1000"/>
      <c r="CM6" s="1000"/>
      <c r="CN6" s="1000"/>
      <c r="CO6" s="1000"/>
      <c r="CP6" s="1000"/>
    </row>
    <row r="7" spans="1:105" x14ac:dyDescent="0.25">
      <c r="B7" s="5148" t="s">
        <v>3951</v>
      </c>
      <c r="C7" s="5148"/>
      <c r="D7" s="5148"/>
      <c r="E7" s="5148"/>
      <c r="F7" s="5148"/>
      <c r="G7" s="5148"/>
      <c r="H7" s="5148"/>
      <c r="I7" s="5148"/>
      <c r="J7" s="5148"/>
      <c r="K7" s="5148"/>
      <c r="L7" s="5148"/>
      <c r="M7" s="5148"/>
      <c r="N7" s="5148"/>
      <c r="O7" s="5148"/>
      <c r="P7" s="5148"/>
      <c r="Q7" s="5148"/>
      <c r="R7" s="5148"/>
      <c r="S7" s="5148"/>
      <c r="T7" s="5148"/>
      <c r="U7" s="5148"/>
      <c r="V7" s="1002"/>
      <c r="W7" s="1002"/>
      <c r="X7" s="1002"/>
      <c r="Y7" s="1002"/>
      <c r="Z7" s="1002"/>
      <c r="AA7" s="1002"/>
      <c r="AB7" s="1002"/>
      <c r="AC7" s="1002"/>
      <c r="AD7" s="1002"/>
      <c r="AE7" s="1002"/>
      <c r="AF7" s="1002"/>
      <c r="AG7" s="1002"/>
      <c r="AH7" s="1002"/>
      <c r="AI7" s="1002"/>
      <c r="AJ7" s="1002"/>
      <c r="AK7" s="1002"/>
      <c r="AL7" s="1002"/>
      <c r="AM7" s="1002"/>
      <c r="AN7" s="805"/>
      <c r="AO7" s="805"/>
      <c r="AP7" s="805"/>
      <c r="AQ7" s="805"/>
      <c r="AR7" s="805"/>
      <c r="AS7" s="805"/>
      <c r="AT7" s="1002"/>
      <c r="AU7" s="1002"/>
      <c r="AV7" s="1002"/>
      <c r="AW7" s="1002"/>
      <c r="AX7" s="1002"/>
      <c r="AY7" s="1002"/>
      <c r="AZ7" s="1002"/>
      <c r="BA7" s="1002"/>
      <c r="BB7" s="1002"/>
      <c r="BC7" s="1002"/>
      <c r="BD7" s="1002"/>
      <c r="BE7" s="1002"/>
      <c r="BF7" s="1002"/>
      <c r="BG7" s="1002"/>
      <c r="BH7" s="1002"/>
      <c r="BI7" s="1002"/>
      <c r="BJ7" s="1002"/>
      <c r="BK7" s="1002"/>
      <c r="BL7" s="1002"/>
      <c r="BM7" s="1002"/>
      <c r="BN7" s="1002"/>
      <c r="BO7" s="1002"/>
      <c r="BP7" s="1002"/>
      <c r="BQ7" s="1002"/>
      <c r="BR7" s="1002"/>
      <c r="BS7" s="1002"/>
      <c r="BT7" s="1002"/>
      <c r="BU7" s="1002"/>
      <c r="BV7" s="1002"/>
      <c r="BW7" s="1002"/>
      <c r="BX7" s="1002"/>
      <c r="BY7" s="1002"/>
      <c r="BZ7" s="1002"/>
      <c r="CA7" s="1002"/>
      <c r="CB7" s="1000"/>
      <c r="CC7" s="1000"/>
      <c r="CD7" s="1000"/>
      <c r="CE7" s="1000"/>
      <c r="CF7" s="1000"/>
      <c r="CG7" s="1000"/>
      <c r="CH7" s="1000"/>
      <c r="CI7" s="1000"/>
      <c r="CJ7" s="1000"/>
      <c r="CK7" s="1000"/>
      <c r="CL7" s="1000"/>
      <c r="CM7" s="1000"/>
      <c r="CN7" s="1000"/>
      <c r="CO7" s="1000"/>
      <c r="CP7" s="1000"/>
    </row>
    <row r="8" spans="1:105" x14ac:dyDescent="0.25">
      <c r="B8" s="1002"/>
      <c r="C8" s="1002"/>
      <c r="D8" s="1002"/>
      <c r="E8" s="1002"/>
      <c r="F8" s="1002"/>
      <c r="G8" s="1002"/>
      <c r="H8" s="1002"/>
      <c r="I8" s="1002"/>
      <c r="J8" s="1002"/>
      <c r="K8" s="1002"/>
      <c r="L8" s="1002"/>
      <c r="M8" s="1002"/>
      <c r="N8" s="1002"/>
      <c r="O8" s="1002"/>
      <c r="P8" s="1002"/>
      <c r="Q8" s="1002"/>
      <c r="R8" s="1002"/>
      <c r="S8" s="1002"/>
      <c r="T8" s="1002"/>
      <c r="U8" s="1002"/>
      <c r="V8" s="1002"/>
      <c r="W8" s="1002"/>
      <c r="X8" s="1002"/>
      <c r="Y8" s="1002"/>
      <c r="Z8" s="1002"/>
      <c r="AA8" s="1002"/>
      <c r="AB8" s="1002"/>
      <c r="AC8" s="1002"/>
      <c r="AD8" s="1002"/>
      <c r="AE8" s="1002"/>
      <c r="AF8" s="1002"/>
      <c r="AG8" s="1002"/>
      <c r="AH8" s="1002"/>
      <c r="AI8" s="1002"/>
      <c r="AJ8" s="1002"/>
      <c r="AK8" s="1002"/>
      <c r="AL8" s="1002"/>
      <c r="AM8" s="1002"/>
      <c r="AN8" s="805"/>
      <c r="AO8" s="805"/>
      <c r="AP8" s="805"/>
      <c r="AQ8" s="805"/>
      <c r="AR8" s="805"/>
      <c r="AS8" s="805"/>
      <c r="AT8" s="1002"/>
      <c r="AU8" s="1002"/>
      <c r="AV8" s="1002"/>
      <c r="AW8" s="1002"/>
      <c r="AX8" s="1002"/>
      <c r="AY8" s="1002"/>
      <c r="AZ8" s="1002"/>
      <c r="BA8" s="1002"/>
      <c r="BB8" s="1002"/>
      <c r="BC8" s="1002"/>
      <c r="BD8" s="1002"/>
      <c r="BE8" s="1002"/>
      <c r="BF8" s="1002"/>
      <c r="BG8" s="1002"/>
      <c r="BH8" s="1002"/>
      <c r="BI8" s="1002"/>
      <c r="BJ8" s="1002"/>
      <c r="BK8" s="1002"/>
      <c r="BL8" s="1002"/>
      <c r="BM8" s="1002"/>
      <c r="BN8" s="1002"/>
      <c r="BO8" s="1002"/>
      <c r="BP8" s="1002"/>
      <c r="BQ8" s="1002"/>
      <c r="BR8" s="1002"/>
      <c r="BS8" s="1002"/>
      <c r="BT8" s="1002"/>
      <c r="BU8" s="1002"/>
      <c r="BV8" s="1002"/>
      <c r="BW8" s="1002"/>
      <c r="BX8" s="1002"/>
      <c r="BY8" s="1002"/>
      <c r="BZ8" s="1002"/>
      <c r="CA8" s="1002"/>
      <c r="CB8" s="1000"/>
      <c r="CC8" s="1000"/>
      <c r="CD8" s="1000"/>
      <c r="CE8" s="1000"/>
      <c r="CF8" s="1000"/>
      <c r="CG8" s="1000"/>
      <c r="CH8" s="1000"/>
      <c r="CI8" s="1000"/>
      <c r="CJ8" s="1000"/>
      <c r="CK8" s="1000"/>
      <c r="CL8" s="1000"/>
      <c r="CM8" s="1000"/>
      <c r="CN8" s="1000"/>
      <c r="CO8" s="1000"/>
      <c r="CP8" s="1000"/>
    </row>
    <row r="9" spans="1:105" ht="32.1" customHeight="1" x14ac:dyDescent="0.25">
      <c r="B9" s="4824" t="s">
        <v>3950</v>
      </c>
      <c r="C9" s="1002"/>
      <c r="D9" s="1002"/>
      <c r="E9" s="1002"/>
      <c r="F9" s="1002"/>
      <c r="G9" s="1002"/>
      <c r="H9" s="1002"/>
      <c r="I9" s="1002"/>
      <c r="J9" s="1002"/>
      <c r="K9" s="1002"/>
      <c r="L9" s="1002"/>
      <c r="M9" s="1002"/>
      <c r="N9" s="1002"/>
      <c r="O9" s="1002"/>
      <c r="P9" s="1002"/>
      <c r="Q9" s="1002"/>
      <c r="R9" s="1002"/>
      <c r="S9" s="1002"/>
      <c r="T9" s="1002"/>
      <c r="U9" s="1002"/>
      <c r="V9" s="1002"/>
      <c r="W9" s="1002"/>
      <c r="X9" s="1002"/>
      <c r="Y9" s="1002"/>
      <c r="Z9" s="1002"/>
      <c r="AA9" s="1002"/>
      <c r="AB9" s="1002"/>
      <c r="AC9" s="1002"/>
      <c r="AD9" s="1002"/>
      <c r="AE9" s="1002"/>
      <c r="AF9" s="1002"/>
      <c r="AG9" s="1002"/>
      <c r="AH9" s="1002"/>
      <c r="AI9" s="1002"/>
      <c r="AJ9" s="1002"/>
      <c r="AK9" s="1002"/>
      <c r="AL9" s="1002"/>
      <c r="AM9" s="1002"/>
      <c r="AN9" s="1002"/>
      <c r="AO9" s="1002"/>
      <c r="AP9" s="1002"/>
      <c r="AQ9" s="1002"/>
      <c r="AR9" s="1002"/>
      <c r="AS9" s="1002"/>
      <c r="AT9" s="1002"/>
      <c r="AU9" s="1002"/>
      <c r="AV9" s="1002"/>
      <c r="AW9" s="1002"/>
      <c r="AX9" s="1002"/>
      <c r="AY9" s="1002"/>
      <c r="AZ9" s="1002"/>
      <c r="BA9" s="1002"/>
      <c r="BB9" s="1002"/>
      <c r="BC9" s="1002"/>
      <c r="BD9" s="1002"/>
      <c r="BE9" s="1002"/>
      <c r="BF9" s="1002"/>
      <c r="BG9" s="1002"/>
      <c r="BH9" s="1002"/>
      <c r="BI9" s="1002"/>
      <c r="BJ9" s="1002"/>
      <c r="BK9" s="1002"/>
      <c r="BL9" s="1002"/>
      <c r="BM9" s="1002"/>
      <c r="BN9" s="1002"/>
      <c r="BO9" s="1002"/>
      <c r="BP9" s="1002"/>
      <c r="BQ9" s="1002"/>
      <c r="BR9" s="1002"/>
      <c r="BS9" s="1002"/>
      <c r="BT9" s="1002"/>
      <c r="BU9" s="1002"/>
      <c r="BV9" s="1002"/>
      <c r="BW9" s="1002"/>
      <c r="BX9" s="1002"/>
      <c r="BY9" s="1002"/>
      <c r="BZ9" s="1002"/>
      <c r="CA9" s="1002"/>
      <c r="CB9" s="1000"/>
      <c r="CC9" s="1000"/>
      <c r="CD9" s="1000"/>
      <c r="CE9" s="1000"/>
      <c r="CF9" s="1000"/>
      <c r="CG9" s="1000"/>
      <c r="CH9" s="1000"/>
      <c r="CI9" s="1000"/>
      <c r="CJ9" s="1000"/>
      <c r="CK9" s="1000"/>
      <c r="CL9" s="1000"/>
      <c r="CM9" s="1000"/>
      <c r="CN9" s="1000"/>
      <c r="CO9" s="1000"/>
      <c r="CP9" s="1000"/>
    </row>
    <row r="10" spans="1:105" s="1006" customFormat="1" ht="16.350000000000001" customHeight="1" x14ac:dyDescent="0.2">
      <c r="B10" s="6880" t="s">
        <v>2605</v>
      </c>
      <c r="C10" s="6881"/>
      <c r="D10" s="6886" t="s">
        <v>210</v>
      </c>
      <c r="E10" s="6886"/>
      <c r="F10" s="6887"/>
      <c r="G10" s="6874" t="s">
        <v>62</v>
      </c>
      <c r="H10" s="6875"/>
      <c r="I10" s="6875"/>
      <c r="J10" s="6875"/>
      <c r="K10" s="6875"/>
      <c r="L10" s="6875"/>
      <c r="M10" s="6875"/>
      <c r="N10" s="6875"/>
      <c r="O10" s="6875"/>
      <c r="P10" s="6875"/>
      <c r="Q10" s="6875"/>
      <c r="R10" s="6875"/>
      <c r="S10" s="6875"/>
      <c r="T10" s="6875"/>
      <c r="U10" s="6875"/>
      <c r="V10" s="6875"/>
      <c r="W10" s="6875"/>
      <c r="X10" s="6875"/>
      <c r="Y10" s="6875"/>
      <c r="Z10" s="6875"/>
      <c r="AA10" s="6875"/>
      <c r="AB10" s="6875"/>
      <c r="AC10" s="6875"/>
      <c r="AD10" s="6875"/>
      <c r="AE10" s="6875"/>
      <c r="AF10" s="6875"/>
      <c r="AG10" s="6875"/>
      <c r="AH10" s="6875"/>
      <c r="AI10" s="6875"/>
      <c r="AJ10" s="6875"/>
      <c r="AK10" s="6875"/>
      <c r="AL10" s="6875"/>
      <c r="AM10" s="6875"/>
      <c r="AN10" s="6255"/>
      <c r="AO10" s="6893" t="s">
        <v>1468</v>
      </c>
      <c r="AP10" s="6903" t="s">
        <v>1357</v>
      </c>
      <c r="AQ10" s="6887" t="s">
        <v>1359</v>
      </c>
      <c r="AR10" s="6903" t="s">
        <v>1358</v>
      </c>
      <c r="AS10" s="6923" t="s">
        <v>1617</v>
      </c>
      <c r="AT10" s="6900" t="s">
        <v>1615</v>
      </c>
      <c r="AU10" s="6926" t="s">
        <v>1616</v>
      </c>
      <c r="AV10" s="6900" t="s">
        <v>1416</v>
      </c>
      <c r="AW10" s="6897" t="s">
        <v>1618</v>
      </c>
      <c r="AX10" s="6897" t="s">
        <v>1417</v>
      </c>
      <c r="AY10" s="1089"/>
      <c r="AZ10" s="1089"/>
      <c r="BA10" s="1089"/>
      <c r="BB10" s="1089"/>
      <c r="BC10" s="1089"/>
      <c r="BD10" s="1089"/>
      <c r="BE10" s="1089"/>
      <c r="BF10" s="1089"/>
      <c r="BG10" s="1003"/>
      <c r="BH10" s="1003"/>
      <c r="BI10" s="1003"/>
      <c r="BJ10" s="1003"/>
      <c r="BK10" s="1003"/>
      <c r="BL10" s="1003"/>
      <c r="BM10" s="1003"/>
      <c r="BN10" s="1003"/>
      <c r="BO10" s="1003"/>
      <c r="BP10" s="1003"/>
      <c r="BQ10" s="1003"/>
      <c r="BR10" s="1003"/>
      <c r="BS10" s="1003"/>
      <c r="BT10" s="1003"/>
      <c r="BU10" s="1003"/>
      <c r="BV10" s="1003"/>
      <c r="BW10" s="1003"/>
      <c r="BX10" s="1003"/>
      <c r="BY10" s="1003"/>
      <c r="BZ10" s="1003"/>
      <c r="CA10" s="1003"/>
      <c r="CB10" s="1011"/>
      <c r="CC10" s="1011"/>
      <c r="CD10" s="1011"/>
      <c r="CE10" s="1011"/>
      <c r="CF10" s="1011"/>
      <c r="CG10" s="1011"/>
      <c r="CH10" s="1011"/>
      <c r="CI10" s="1011"/>
      <c r="CJ10" s="1011"/>
      <c r="CK10" s="1011"/>
      <c r="CL10" s="1011"/>
      <c r="CM10" s="1011"/>
      <c r="CN10" s="1011"/>
      <c r="CO10" s="1011"/>
      <c r="CP10" s="1011"/>
      <c r="CQ10" s="1012"/>
      <c r="CR10" s="1012"/>
      <c r="CS10" s="1012"/>
      <c r="CT10" s="1012"/>
      <c r="CU10" s="1012"/>
      <c r="CV10" s="1012"/>
      <c r="CW10" s="1012"/>
      <c r="CX10" s="1012"/>
      <c r="CY10" s="1012"/>
      <c r="CZ10" s="1012"/>
      <c r="DA10" s="1012"/>
    </row>
    <row r="11" spans="1:105" s="1006" customFormat="1" ht="16.350000000000001" customHeight="1" x14ac:dyDescent="0.2">
      <c r="A11" s="5168" t="s">
        <v>2775</v>
      </c>
      <c r="B11" s="6882"/>
      <c r="C11" s="6883"/>
      <c r="D11" s="6888"/>
      <c r="E11" s="6888"/>
      <c r="F11" s="6889"/>
      <c r="G11" s="6874" t="s">
        <v>63</v>
      </c>
      <c r="H11" s="6253"/>
      <c r="I11" s="6875" t="s">
        <v>7</v>
      </c>
      <c r="J11" s="6253"/>
      <c r="K11" s="6875" t="s">
        <v>64</v>
      </c>
      <c r="L11" s="6253"/>
      <c r="M11" s="6874" t="s">
        <v>9</v>
      </c>
      <c r="N11" s="6253"/>
      <c r="O11" s="6280" t="s">
        <v>10</v>
      </c>
      <c r="P11" s="6896"/>
      <c r="Q11" s="6280" t="s">
        <v>11</v>
      </c>
      <c r="R11" s="6896"/>
      <c r="S11" s="6280" t="s">
        <v>12</v>
      </c>
      <c r="T11" s="6896"/>
      <c r="U11" s="6280" t="s">
        <v>13</v>
      </c>
      <c r="V11" s="6896"/>
      <c r="W11" s="6280" t="s">
        <v>14</v>
      </c>
      <c r="X11" s="6896"/>
      <c r="Y11" s="6280" t="s">
        <v>15</v>
      </c>
      <c r="Z11" s="6896"/>
      <c r="AA11" s="6280" t="s">
        <v>16</v>
      </c>
      <c r="AB11" s="6896"/>
      <c r="AC11" s="6280" t="s">
        <v>17</v>
      </c>
      <c r="AD11" s="6896"/>
      <c r="AE11" s="6280" t="s">
        <v>18</v>
      </c>
      <c r="AF11" s="6896"/>
      <c r="AG11" s="6280" t="s">
        <v>19</v>
      </c>
      <c r="AH11" s="6896"/>
      <c r="AI11" s="6280" t="s">
        <v>20</v>
      </c>
      <c r="AJ11" s="6896"/>
      <c r="AK11" s="6280" t="s">
        <v>21</v>
      </c>
      <c r="AL11" s="6896"/>
      <c r="AM11" s="6280" t="s">
        <v>22</v>
      </c>
      <c r="AN11" s="6282"/>
      <c r="AO11" s="6894"/>
      <c r="AP11" s="6904"/>
      <c r="AQ11" s="6922"/>
      <c r="AR11" s="6904"/>
      <c r="AS11" s="6924"/>
      <c r="AT11" s="6901"/>
      <c r="AU11" s="6927"/>
      <c r="AV11" s="6901"/>
      <c r="AW11" s="6898"/>
      <c r="AX11" s="6898"/>
      <c r="AY11" s="1089"/>
      <c r="AZ11" s="1089"/>
      <c r="BA11" s="1089"/>
      <c r="BB11" s="1089"/>
      <c r="BC11" s="1089"/>
      <c r="BD11" s="1089"/>
      <c r="BE11" s="1089"/>
      <c r="BF11" s="1089"/>
      <c r="BG11" s="1003"/>
      <c r="BH11" s="1003"/>
      <c r="BI11" s="1003"/>
      <c r="BJ11" s="1003"/>
      <c r="BK11" s="1003"/>
      <c r="BL11" s="1003"/>
      <c r="BM11" s="1003"/>
      <c r="BN11" s="1003"/>
      <c r="BO11" s="1003"/>
      <c r="BP11" s="1003"/>
      <c r="BQ11" s="1003"/>
      <c r="BR11" s="1003"/>
      <c r="BS11" s="1003"/>
      <c r="BT11" s="1003"/>
      <c r="BU11" s="1003"/>
      <c r="BV11" s="1003"/>
      <c r="BW11" s="1003"/>
      <c r="BX11" s="1003"/>
      <c r="BY11" s="1003"/>
      <c r="BZ11" s="1003"/>
      <c r="CA11" s="1003"/>
      <c r="CJ11" s="1011"/>
      <c r="CK11" s="1011"/>
      <c r="CL11" s="1011"/>
      <c r="CM11" s="1011"/>
      <c r="CN11" s="1011"/>
      <c r="CO11" s="1011"/>
      <c r="CP11" s="1011"/>
      <c r="CQ11" s="1012"/>
      <c r="CR11" s="1012"/>
      <c r="CS11" s="1012"/>
      <c r="CT11" s="1012"/>
      <c r="CU11" s="1012"/>
      <c r="CV11" s="1012"/>
      <c r="CW11" s="1012"/>
      <c r="CX11" s="1012"/>
      <c r="CY11" s="1012"/>
      <c r="CZ11" s="1012"/>
      <c r="DA11" s="1012"/>
    </row>
    <row r="12" spans="1:105" s="1006" customFormat="1" ht="31.5" customHeight="1" x14ac:dyDescent="0.2">
      <c r="A12" s="5168"/>
      <c r="B12" s="6884"/>
      <c r="C12" s="6885"/>
      <c r="D12" s="1778" t="s">
        <v>184</v>
      </c>
      <c r="E12" s="1777" t="s">
        <v>24</v>
      </c>
      <c r="F12" s="1776" t="s">
        <v>25</v>
      </c>
      <c r="G12" s="1773" t="s">
        <v>24</v>
      </c>
      <c r="H12" s="1774" t="s">
        <v>25</v>
      </c>
      <c r="I12" s="1775" t="s">
        <v>24</v>
      </c>
      <c r="J12" s="1774" t="s">
        <v>25</v>
      </c>
      <c r="K12" s="1775" t="s">
        <v>24</v>
      </c>
      <c r="L12" s="1774" t="s">
        <v>25</v>
      </c>
      <c r="M12" s="1773" t="s">
        <v>24</v>
      </c>
      <c r="N12" s="1774" t="s">
        <v>25</v>
      </c>
      <c r="O12" s="1773" t="s">
        <v>24</v>
      </c>
      <c r="P12" s="1774" t="s">
        <v>25</v>
      </c>
      <c r="Q12" s="1773" t="s">
        <v>24</v>
      </c>
      <c r="R12" s="1774" t="s">
        <v>25</v>
      </c>
      <c r="S12" s="1773" t="s">
        <v>24</v>
      </c>
      <c r="T12" s="1774" t="s">
        <v>25</v>
      </c>
      <c r="U12" s="1773" t="s">
        <v>24</v>
      </c>
      <c r="V12" s="1774" t="s">
        <v>25</v>
      </c>
      <c r="W12" s="1773" t="s">
        <v>24</v>
      </c>
      <c r="X12" s="1774" t="s">
        <v>25</v>
      </c>
      <c r="Y12" s="1773" t="s">
        <v>24</v>
      </c>
      <c r="Z12" s="1774" t="s">
        <v>25</v>
      </c>
      <c r="AA12" s="1773" t="s">
        <v>24</v>
      </c>
      <c r="AB12" s="1774" t="s">
        <v>25</v>
      </c>
      <c r="AC12" s="1773" t="s">
        <v>24</v>
      </c>
      <c r="AD12" s="1774" t="s">
        <v>25</v>
      </c>
      <c r="AE12" s="1773" t="s">
        <v>24</v>
      </c>
      <c r="AF12" s="1774" t="s">
        <v>25</v>
      </c>
      <c r="AG12" s="1773" t="s">
        <v>24</v>
      </c>
      <c r="AH12" s="1774" t="s">
        <v>25</v>
      </c>
      <c r="AI12" s="1773" t="s">
        <v>24</v>
      </c>
      <c r="AJ12" s="1774" t="s">
        <v>25</v>
      </c>
      <c r="AK12" s="1773" t="s">
        <v>24</v>
      </c>
      <c r="AL12" s="1774" t="s">
        <v>25</v>
      </c>
      <c r="AM12" s="1773" t="s">
        <v>24</v>
      </c>
      <c r="AN12" s="1766" t="s">
        <v>25</v>
      </c>
      <c r="AO12" s="6895"/>
      <c r="AP12" s="6905"/>
      <c r="AQ12" s="6889"/>
      <c r="AR12" s="6905"/>
      <c r="AS12" s="6925"/>
      <c r="AT12" s="6902"/>
      <c r="AU12" s="6928"/>
      <c r="AV12" s="6902"/>
      <c r="AW12" s="6899"/>
      <c r="AX12" s="6899"/>
      <c r="AY12" s="1089"/>
      <c r="AZ12" s="1089"/>
      <c r="BA12" s="1089"/>
      <c r="BB12" s="1089"/>
      <c r="BC12" s="1089"/>
      <c r="BD12" s="1089"/>
      <c r="BE12" s="1089"/>
      <c r="BF12" s="1089"/>
      <c r="BG12" s="1003"/>
      <c r="BH12" s="1003"/>
      <c r="BI12" s="1003"/>
      <c r="BJ12" s="1003"/>
      <c r="BK12" s="1003"/>
      <c r="BL12" s="1003"/>
      <c r="BM12" s="1003"/>
      <c r="BN12" s="1003"/>
      <c r="BO12" s="1003"/>
      <c r="BP12" s="1003"/>
      <c r="BQ12" s="1003"/>
      <c r="BR12" s="1003"/>
      <c r="BS12" s="1003"/>
      <c r="BT12" s="1003"/>
      <c r="BU12" s="1003"/>
      <c r="BV12" s="1003"/>
      <c r="BW12" s="1003"/>
      <c r="BX12" s="1003"/>
      <c r="BY12" s="1003"/>
      <c r="BZ12" s="1003"/>
      <c r="CA12" s="1003"/>
      <c r="CB12" s="1011"/>
      <c r="CC12" s="1011"/>
      <c r="CD12" s="1011"/>
      <c r="CE12" s="1011"/>
      <c r="CF12" s="1011"/>
      <c r="CG12" s="1011"/>
      <c r="CH12" s="1039"/>
      <c r="CI12" s="1039"/>
      <c r="CJ12" s="1011"/>
      <c r="CK12" s="1011"/>
      <c r="CL12" s="1011"/>
      <c r="CM12" s="1011"/>
      <c r="CN12" s="1011"/>
      <c r="CO12" s="1011"/>
      <c r="CP12" s="1011"/>
      <c r="CQ12" s="1012"/>
      <c r="CR12" s="1012"/>
      <c r="CS12" s="1012"/>
      <c r="CT12" s="1012"/>
      <c r="CU12" s="1012"/>
      <c r="CV12" s="1012"/>
      <c r="CW12" s="1012"/>
      <c r="CX12" s="1012"/>
      <c r="CY12" s="1012"/>
      <c r="CZ12" s="1012"/>
      <c r="DA12" s="1012"/>
    </row>
    <row r="13" spans="1:105" s="1006" customFormat="1" ht="16.350000000000001" customHeight="1" x14ac:dyDescent="0.2">
      <c r="A13" s="2549">
        <v>31000000</v>
      </c>
      <c r="B13" s="6890" t="s">
        <v>1636</v>
      </c>
      <c r="C13" s="3661" t="s">
        <v>1394</v>
      </c>
      <c r="D13" s="1765" t="s">
        <v>2777</v>
      </c>
      <c r="E13" s="1765" t="s">
        <v>2778</v>
      </c>
      <c r="F13" s="1772" t="s">
        <v>2779</v>
      </c>
      <c r="G13" s="827" t="s">
        <v>2780</v>
      </c>
      <c r="H13" s="809" t="s">
        <v>2781</v>
      </c>
      <c r="I13" s="808" t="s">
        <v>2782</v>
      </c>
      <c r="J13" s="809" t="s">
        <v>2783</v>
      </c>
      <c r="K13" s="808" t="s">
        <v>2784</v>
      </c>
      <c r="L13" s="809" t="s">
        <v>2785</v>
      </c>
      <c r="M13" s="808" t="s">
        <v>2786</v>
      </c>
      <c r="N13" s="809" t="s">
        <v>2787</v>
      </c>
      <c r="O13" s="808" t="s">
        <v>2788</v>
      </c>
      <c r="P13" s="809" t="s">
        <v>2789</v>
      </c>
      <c r="Q13" s="808" t="s">
        <v>2790</v>
      </c>
      <c r="R13" s="809" t="s">
        <v>2791</v>
      </c>
      <c r="S13" s="808" t="s">
        <v>2792</v>
      </c>
      <c r="T13" s="809" t="s">
        <v>2793</v>
      </c>
      <c r="U13" s="808" t="s">
        <v>2794</v>
      </c>
      <c r="V13" s="809" t="s">
        <v>2795</v>
      </c>
      <c r="W13" s="808" t="s">
        <v>2796</v>
      </c>
      <c r="X13" s="809" t="s">
        <v>2797</v>
      </c>
      <c r="Y13" s="808" t="s">
        <v>2798</v>
      </c>
      <c r="Z13" s="809" t="s">
        <v>2799</v>
      </c>
      <c r="AA13" s="808" t="s">
        <v>2800</v>
      </c>
      <c r="AB13" s="809" t="s">
        <v>2801</v>
      </c>
      <c r="AC13" s="808" t="s">
        <v>2817</v>
      </c>
      <c r="AD13" s="809" t="s">
        <v>2818</v>
      </c>
      <c r="AE13" s="808" t="s">
        <v>2819</v>
      </c>
      <c r="AF13" s="809" t="s">
        <v>2821</v>
      </c>
      <c r="AG13" s="808" t="s">
        <v>2822</v>
      </c>
      <c r="AH13" s="809" t="s">
        <v>2823</v>
      </c>
      <c r="AI13" s="808" t="s">
        <v>2824</v>
      </c>
      <c r="AJ13" s="809" t="s">
        <v>2825</v>
      </c>
      <c r="AK13" s="808" t="s">
        <v>2826</v>
      </c>
      <c r="AL13" s="809" t="s">
        <v>2827</v>
      </c>
      <c r="AM13" s="808" t="s">
        <v>2831</v>
      </c>
      <c r="AN13" s="853" t="s">
        <v>2832</v>
      </c>
      <c r="AO13" s="943" t="s">
        <v>2833</v>
      </c>
      <c r="AP13" s="1771" t="s">
        <v>2834</v>
      </c>
      <c r="AQ13" s="848" t="s">
        <v>3011</v>
      </c>
      <c r="AR13" s="851" t="s">
        <v>3012</v>
      </c>
      <c r="AS13" s="1770" t="s">
        <v>3013</v>
      </c>
      <c r="AT13" s="3664" t="s">
        <v>3014</v>
      </c>
      <c r="AU13" s="3665" t="s">
        <v>3015</v>
      </c>
      <c r="AV13" s="3664" t="s">
        <v>3206</v>
      </c>
      <c r="AW13" s="3666" t="s">
        <v>3207</v>
      </c>
      <c r="AX13" s="3666" t="s">
        <v>3272</v>
      </c>
      <c r="AY13" s="1162" t="str">
        <f>CB13&amp;CC13</f>
        <v>* El número de Beneficiarios y/o Pueblos Originarios y/o Migrantes y/o Población SENAME NO DEBE ser mayor que el Total.</v>
      </c>
      <c r="AZ13" s="1058"/>
      <c r="BA13" s="1058"/>
      <c r="BB13" s="1058"/>
      <c r="BC13" s="1058"/>
      <c r="BD13" s="1058"/>
      <c r="BE13" s="1089"/>
      <c r="BF13" s="1089"/>
      <c r="BG13" s="1003"/>
      <c r="BH13" s="1003"/>
      <c r="BI13" s="1003"/>
      <c r="BJ13" s="1003"/>
      <c r="BK13" s="1003"/>
      <c r="BL13" s="1003"/>
      <c r="BM13" s="1003"/>
      <c r="BN13" s="1003"/>
      <c r="BO13" s="1003"/>
      <c r="BP13" s="1003"/>
      <c r="BQ13" s="1003"/>
      <c r="BR13" s="1003"/>
      <c r="BS13" s="1003"/>
      <c r="BT13" s="1003"/>
      <c r="BU13" s="1003"/>
      <c r="BV13" s="1003"/>
      <c r="BW13" s="1003"/>
      <c r="BX13" s="1003"/>
      <c r="BY13" s="1003"/>
      <c r="BZ13" s="1003"/>
      <c r="CA13" s="1003"/>
      <c r="CB13" s="1166" t="str">
        <f>IF(CH13=1,"* No olvide digitar la columna Beneficiarios y/o Pueblos Originario y/o Migrantes y/o Población SENAME (Digite Cero si no tiene). ","")</f>
        <v/>
      </c>
      <c r="CC13" s="1166" t="str">
        <f>IF(CI13=1,"* El número de Beneficiarios y/o Pueblos Originarios y/o Migrantes y/o Población SENAME NO DEBE ser mayor que el Total.","")</f>
        <v>* El número de Beneficiarios y/o Pueblos Originarios y/o Migrantes y/o Población SENAME NO DEBE ser mayor que el Total.</v>
      </c>
      <c r="CD13" s="1166"/>
      <c r="CE13" s="1166"/>
      <c r="CF13" s="1166"/>
      <c r="CG13" s="1166"/>
      <c r="CH13" s="1167">
        <f>IF(AND(D13&lt;&gt;0,OR(AP13="",AQ13="",AR13="",AS13="")),1,0)</f>
        <v>0</v>
      </c>
      <c r="CI13" s="1167">
        <f>IF(OR(D13&lt;AP13,D13&lt;AQ13,D13&lt;AR13,D13&lt;AS13),1,0)</f>
        <v>1</v>
      </c>
      <c r="CJ13" s="1011"/>
      <c r="CK13" s="1011"/>
      <c r="CL13" s="1011"/>
      <c r="CM13" s="1011"/>
      <c r="CN13" s="1011"/>
      <c r="CO13" s="1011"/>
      <c r="CP13" s="1011"/>
      <c r="CQ13" s="1012"/>
      <c r="CR13" s="1012"/>
      <c r="CS13" s="1012"/>
      <c r="CT13" s="1012"/>
      <c r="CU13" s="1012"/>
      <c r="CV13" s="1012"/>
      <c r="CW13" s="1012"/>
      <c r="CX13" s="1012"/>
      <c r="CY13" s="1012"/>
      <c r="CZ13" s="1012"/>
      <c r="DA13" s="1012"/>
    </row>
    <row r="14" spans="1:105" s="1006" customFormat="1" ht="16.350000000000001" customHeight="1" x14ac:dyDescent="0.2">
      <c r="A14" s="2549">
        <v>31000001</v>
      </c>
      <c r="B14" s="6891"/>
      <c r="C14" s="807" t="s">
        <v>1395</v>
      </c>
      <c r="D14" s="1364" t="s">
        <v>2777</v>
      </c>
      <c r="E14" s="1364" t="s">
        <v>2778</v>
      </c>
      <c r="F14" s="3501" t="s">
        <v>2779</v>
      </c>
      <c r="G14" s="3671" t="s">
        <v>2780</v>
      </c>
      <c r="H14" s="3672" t="s">
        <v>2781</v>
      </c>
      <c r="I14" s="3673" t="s">
        <v>2782</v>
      </c>
      <c r="J14" s="3672" t="s">
        <v>2783</v>
      </c>
      <c r="K14" s="3673" t="s">
        <v>2784</v>
      </c>
      <c r="L14" s="3672" t="s">
        <v>2785</v>
      </c>
      <c r="M14" s="3673" t="s">
        <v>2786</v>
      </c>
      <c r="N14" s="3672" t="s">
        <v>2787</v>
      </c>
      <c r="O14" s="3673" t="s">
        <v>2788</v>
      </c>
      <c r="P14" s="3672" t="s">
        <v>2789</v>
      </c>
      <c r="Q14" s="3673" t="s">
        <v>2790</v>
      </c>
      <c r="R14" s="3672" t="s">
        <v>2791</v>
      </c>
      <c r="S14" s="3673" t="s">
        <v>2792</v>
      </c>
      <c r="T14" s="3672" t="s">
        <v>2793</v>
      </c>
      <c r="U14" s="3673" t="s">
        <v>2794</v>
      </c>
      <c r="V14" s="3672" t="s">
        <v>2795</v>
      </c>
      <c r="W14" s="3673" t="s">
        <v>2796</v>
      </c>
      <c r="X14" s="3672" t="s">
        <v>2797</v>
      </c>
      <c r="Y14" s="3673" t="s">
        <v>2798</v>
      </c>
      <c r="Z14" s="3672" t="s">
        <v>2799</v>
      </c>
      <c r="AA14" s="3673" t="s">
        <v>2800</v>
      </c>
      <c r="AB14" s="3672" t="s">
        <v>2801</v>
      </c>
      <c r="AC14" s="3673" t="s">
        <v>2817</v>
      </c>
      <c r="AD14" s="3672" t="s">
        <v>2818</v>
      </c>
      <c r="AE14" s="3673" t="s">
        <v>2819</v>
      </c>
      <c r="AF14" s="3672" t="s">
        <v>2821</v>
      </c>
      <c r="AG14" s="3673" t="s">
        <v>2822</v>
      </c>
      <c r="AH14" s="3672" t="s">
        <v>2823</v>
      </c>
      <c r="AI14" s="3673" t="s">
        <v>2824</v>
      </c>
      <c r="AJ14" s="3672" t="s">
        <v>2825</v>
      </c>
      <c r="AK14" s="3673" t="s">
        <v>2826</v>
      </c>
      <c r="AL14" s="3672" t="s">
        <v>2827</v>
      </c>
      <c r="AM14" s="3673" t="s">
        <v>2831</v>
      </c>
      <c r="AN14" s="3674" t="s">
        <v>2832</v>
      </c>
      <c r="AO14" s="3675" t="s">
        <v>2833</v>
      </c>
      <c r="AP14" s="3676" t="s">
        <v>2834</v>
      </c>
      <c r="AQ14" s="3677" t="s">
        <v>3011</v>
      </c>
      <c r="AR14" s="3676" t="s">
        <v>3012</v>
      </c>
      <c r="AS14" s="3678" t="s">
        <v>3013</v>
      </c>
      <c r="AT14" s="3708" t="s">
        <v>3014</v>
      </c>
      <c r="AU14" s="3709" t="s">
        <v>3015</v>
      </c>
      <c r="AV14" s="3708" t="s">
        <v>3206</v>
      </c>
      <c r="AW14" s="3710" t="s">
        <v>3207</v>
      </c>
      <c r="AX14" s="3710" t="s">
        <v>3272</v>
      </c>
      <c r="AY14" s="1162" t="str">
        <f t="shared" ref="AY14:AY28" si="0">CB14&amp;CC14</f>
        <v>* El número de Beneficiarios y/o Pueblos Originarios y/o Migrantes y/o Población SENAME NO DEBE ser mayor que el Total.</v>
      </c>
      <c r="AZ14" s="1058"/>
      <c r="BA14" s="1058"/>
      <c r="BB14" s="1058"/>
      <c r="BC14" s="1058"/>
      <c r="BD14" s="1058"/>
      <c r="BE14" s="1089"/>
      <c r="BF14" s="1089"/>
      <c r="BG14" s="1003"/>
      <c r="BH14" s="1003"/>
      <c r="BI14" s="1003"/>
      <c r="BJ14" s="1003"/>
      <c r="BK14" s="1003"/>
      <c r="BL14" s="1003"/>
      <c r="BM14" s="1003"/>
      <c r="BN14" s="1003"/>
      <c r="BO14" s="1003"/>
      <c r="BP14" s="1003"/>
      <c r="BQ14" s="1003"/>
      <c r="BR14" s="1003"/>
      <c r="BS14" s="1003"/>
      <c r="BT14" s="1003"/>
      <c r="BU14" s="1003"/>
      <c r="BV14" s="1003"/>
      <c r="BW14" s="1003"/>
      <c r="BX14" s="1003"/>
      <c r="BY14" s="1003"/>
      <c r="BZ14" s="1003"/>
      <c r="CA14" s="1003"/>
      <c r="CB14" s="1166" t="str">
        <f t="shared" ref="CB14:CB27" si="1">IF(CH14=1,"* No olvide digitar la columna Beneficiarios y/o Pueblos Originario y/o Migrantes y/o Población SENAME (Digite Cero si no tiene). ","")</f>
        <v/>
      </c>
      <c r="CC14" s="1166" t="str">
        <f t="shared" ref="CC14:CC27" si="2">IF(CI14=1,"* El número de Beneficiarios y/o Pueblos Originarios y/o Migrantes y/o Población SENAME NO DEBE ser mayor que el Total.","")</f>
        <v>* El número de Beneficiarios y/o Pueblos Originarios y/o Migrantes y/o Población SENAME NO DEBE ser mayor que el Total.</v>
      </c>
      <c r="CD14" s="1166"/>
      <c r="CE14" s="1166"/>
      <c r="CF14" s="1166"/>
      <c r="CG14" s="1166"/>
      <c r="CH14" s="1167">
        <f t="shared" ref="CH14:CH27" si="3">IF(AND(D14&lt;&gt;0,OR(AP14="",AQ14="",AR14="",AS14="")),1,0)</f>
        <v>0</v>
      </c>
      <c r="CI14" s="1167">
        <f t="shared" ref="CI14:CI27" si="4">IF(OR(D14&lt;AP14,D14&lt;AQ14,D14&lt;AR14,D14&lt;AS14),1,0)</f>
        <v>1</v>
      </c>
      <c r="CJ14" s="1011"/>
      <c r="CK14" s="1011"/>
      <c r="CL14" s="1011"/>
      <c r="CM14" s="1011"/>
      <c r="CN14" s="1011"/>
      <c r="CO14" s="1011"/>
      <c r="CP14" s="1011"/>
      <c r="CQ14" s="1012"/>
      <c r="CR14" s="1012"/>
      <c r="CS14" s="1012"/>
      <c r="CT14" s="1012"/>
      <c r="CU14" s="1012"/>
      <c r="CV14" s="1012"/>
      <c r="CW14" s="1012"/>
      <c r="CX14" s="1012"/>
      <c r="CY14" s="1012"/>
      <c r="CZ14" s="1012"/>
      <c r="DA14" s="1012"/>
    </row>
    <row r="15" spans="1:105" s="1006" customFormat="1" ht="16.350000000000001" customHeight="1" x14ac:dyDescent="0.2">
      <c r="A15" s="2549">
        <v>31000002</v>
      </c>
      <c r="B15" s="6892"/>
      <c r="C15" s="816" t="s">
        <v>1396</v>
      </c>
      <c r="D15" s="1195" t="s">
        <v>2777</v>
      </c>
      <c r="E15" s="1195" t="s">
        <v>2778</v>
      </c>
      <c r="F15" s="3601" t="s">
        <v>2779</v>
      </c>
      <c r="G15" s="3679" t="s">
        <v>2780</v>
      </c>
      <c r="H15" s="3680" t="s">
        <v>2781</v>
      </c>
      <c r="I15" s="3681" t="s">
        <v>2782</v>
      </c>
      <c r="J15" s="3680" t="s">
        <v>2783</v>
      </c>
      <c r="K15" s="3681" t="s">
        <v>2784</v>
      </c>
      <c r="L15" s="3680" t="s">
        <v>2785</v>
      </c>
      <c r="M15" s="3681" t="s">
        <v>2786</v>
      </c>
      <c r="N15" s="3680" t="s">
        <v>2787</v>
      </c>
      <c r="O15" s="3681" t="s">
        <v>2788</v>
      </c>
      <c r="P15" s="3680" t="s">
        <v>2789</v>
      </c>
      <c r="Q15" s="3681" t="s">
        <v>2790</v>
      </c>
      <c r="R15" s="3680" t="s">
        <v>2791</v>
      </c>
      <c r="S15" s="3681" t="s">
        <v>2792</v>
      </c>
      <c r="T15" s="3680" t="s">
        <v>2793</v>
      </c>
      <c r="U15" s="3681" t="s">
        <v>2794</v>
      </c>
      <c r="V15" s="3680" t="s">
        <v>2795</v>
      </c>
      <c r="W15" s="3681" t="s">
        <v>2796</v>
      </c>
      <c r="X15" s="3680" t="s">
        <v>2797</v>
      </c>
      <c r="Y15" s="3681" t="s">
        <v>2798</v>
      </c>
      <c r="Z15" s="3680" t="s">
        <v>2799</v>
      </c>
      <c r="AA15" s="3681" t="s">
        <v>2800</v>
      </c>
      <c r="AB15" s="3680" t="s">
        <v>2801</v>
      </c>
      <c r="AC15" s="3681" t="s">
        <v>2817</v>
      </c>
      <c r="AD15" s="3680" t="s">
        <v>2818</v>
      </c>
      <c r="AE15" s="3681" t="s">
        <v>2819</v>
      </c>
      <c r="AF15" s="3680" t="s">
        <v>2821</v>
      </c>
      <c r="AG15" s="3681" t="s">
        <v>2822</v>
      </c>
      <c r="AH15" s="3680" t="s">
        <v>2823</v>
      </c>
      <c r="AI15" s="3681" t="s">
        <v>2824</v>
      </c>
      <c r="AJ15" s="3680" t="s">
        <v>2825</v>
      </c>
      <c r="AK15" s="3681" t="s">
        <v>2826</v>
      </c>
      <c r="AL15" s="3680" t="s">
        <v>2827</v>
      </c>
      <c r="AM15" s="3681" t="s">
        <v>2831</v>
      </c>
      <c r="AN15" s="3682" t="s">
        <v>2832</v>
      </c>
      <c r="AO15" s="3683" t="s">
        <v>2833</v>
      </c>
      <c r="AP15" s="3684" t="s">
        <v>2834</v>
      </c>
      <c r="AQ15" s="3685" t="s">
        <v>3011</v>
      </c>
      <c r="AR15" s="3684" t="s">
        <v>3012</v>
      </c>
      <c r="AS15" s="3686" t="s">
        <v>3013</v>
      </c>
      <c r="AT15" s="3711" t="s">
        <v>3014</v>
      </c>
      <c r="AU15" s="3712" t="s">
        <v>3015</v>
      </c>
      <c r="AV15" s="3711" t="s">
        <v>3206</v>
      </c>
      <c r="AW15" s="3713" t="s">
        <v>3207</v>
      </c>
      <c r="AX15" s="3713" t="s">
        <v>3272</v>
      </c>
      <c r="AY15" s="1162" t="str">
        <f t="shared" si="0"/>
        <v>* El número de Beneficiarios y/o Pueblos Originarios y/o Migrantes y/o Población SENAME NO DEBE ser mayor que el Total.</v>
      </c>
      <c r="AZ15" s="1058"/>
      <c r="BA15" s="1058"/>
      <c r="BB15" s="1058"/>
      <c r="BC15" s="1058"/>
      <c r="BD15" s="1058"/>
      <c r="BE15" s="1089"/>
      <c r="BF15" s="1089"/>
      <c r="BG15" s="1003"/>
      <c r="BH15" s="1003"/>
      <c r="BI15" s="1003"/>
      <c r="BJ15" s="1003"/>
      <c r="BK15" s="1003"/>
      <c r="BL15" s="1003"/>
      <c r="BM15" s="1003"/>
      <c r="BN15" s="1003"/>
      <c r="BO15" s="1003"/>
      <c r="BP15" s="1003"/>
      <c r="BQ15" s="1003"/>
      <c r="BR15" s="1003"/>
      <c r="BS15" s="1003"/>
      <c r="BT15" s="1003"/>
      <c r="BU15" s="1003"/>
      <c r="BV15" s="1003"/>
      <c r="BW15" s="1003"/>
      <c r="BX15" s="1003"/>
      <c r="BY15" s="1003"/>
      <c r="BZ15" s="1003"/>
      <c r="CA15" s="1003"/>
      <c r="CB15" s="1166" t="str">
        <f t="shared" si="1"/>
        <v/>
      </c>
      <c r="CC15" s="1166" t="str">
        <f t="shared" si="2"/>
        <v>* El número de Beneficiarios y/o Pueblos Originarios y/o Migrantes y/o Población SENAME NO DEBE ser mayor que el Total.</v>
      </c>
      <c r="CD15" s="1166"/>
      <c r="CE15" s="1166"/>
      <c r="CF15" s="1166"/>
      <c r="CG15" s="1166"/>
      <c r="CH15" s="1167">
        <f t="shared" si="3"/>
        <v>0</v>
      </c>
      <c r="CI15" s="1167">
        <f t="shared" si="4"/>
        <v>1</v>
      </c>
      <c r="CJ15" s="1011"/>
      <c r="CK15" s="1011"/>
      <c r="CL15" s="1011"/>
      <c r="CM15" s="1011"/>
      <c r="CN15" s="1011"/>
      <c r="CO15" s="1011"/>
      <c r="CP15" s="1011"/>
      <c r="CQ15" s="1012"/>
      <c r="CR15" s="1012"/>
      <c r="CS15" s="1012"/>
      <c r="CT15" s="1012"/>
      <c r="CU15" s="1012"/>
      <c r="CV15" s="1012"/>
      <c r="CW15" s="1012"/>
      <c r="CX15" s="1012"/>
      <c r="CY15" s="1012"/>
      <c r="CZ15" s="1012"/>
      <c r="DA15" s="1012"/>
    </row>
    <row r="16" spans="1:105" s="1006" customFormat="1" ht="16.350000000000001" customHeight="1" x14ac:dyDescent="0.2">
      <c r="A16" s="2549">
        <v>31000039</v>
      </c>
      <c r="B16" s="6906" t="s">
        <v>1452</v>
      </c>
      <c r="C16" s="3661" t="s">
        <v>1609</v>
      </c>
      <c r="D16" s="1181" t="s">
        <v>2777</v>
      </c>
      <c r="E16" s="1181" t="s">
        <v>2778</v>
      </c>
      <c r="F16" s="3687" t="s">
        <v>2779</v>
      </c>
      <c r="G16" s="3688" t="s">
        <v>2780</v>
      </c>
      <c r="H16" s="3689" t="s">
        <v>2781</v>
      </c>
      <c r="I16" s="3690" t="s">
        <v>2782</v>
      </c>
      <c r="J16" s="3689" t="s">
        <v>2783</v>
      </c>
      <c r="K16" s="3690" t="s">
        <v>2784</v>
      </c>
      <c r="L16" s="3691" t="s">
        <v>2785</v>
      </c>
      <c r="M16" s="3690" t="s">
        <v>2786</v>
      </c>
      <c r="N16" s="3691" t="s">
        <v>2787</v>
      </c>
      <c r="O16" s="3690" t="s">
        <v>2788</v>
      </c>
      <c r="P16" s="3691" t="s">
        <v>2789</v>
      </c>
      <c r="Q16" s="3690" t="s">
        <v>2790</v>
      </c>
      <c r="R16" s="3691" t="s">
        <v>2791</v>
      </c>
      <c r="S16" s="3690" t="s">
        <v>2792</v>
      </c>
      <c r="T16" s="3691" t="s">
        <v>2793</v>
      </c>
      <c r="U16" s="3690" t="s">
        <v>2794</v>
      </c>
      <c r="V16" s="3691" t="s">
        <v>2795</v>
      </c>
      <c r="W16" s="3690" t="s">
        <v>2796</v>
      </c>
      <c r="X16" s="3691" t="s">
        <v>2797</v>
      </c>
      <c r="Y16" s="3690" t="s">
        <v>2798</v>
      </c>
      <c r="Z16" s="3691" t="s">
        <v>2799</v>
      </c>
      <c r="AA16" s="3690" t="s">
        <v>2800</v>
      </c>
      <c r="AB16" s="3691" t="s">
        <v>2801</v>
      </c>
      <c r="AC16" s="3690" t="s">
        <v>2817</v>
      </c>
      <c r="AD16" s="3691" t="s">
        <v>2818</v>
      </c>
      <c r="AE16" s="3690" t="s">
        <v>2819</v>
      </c>
      <c r="AF16" s="3691" t="s">
        <v>2821</v>
      </c>
      <c r="AG16" s="3690" t="s">
        <v>2822</v>
      </c>
      <c r="AH16" s="3691" t="s">
        <v>2823</v>
      </c>
      <c r="AI16" s="3690" t="s">
        <v>2824</v>
      </c>
      <c r="AJ16" s="3691" t="s">
        <v>2825</v>
      </c>
      <c r="AK16" s="3690" t="s">
        <v>2826</v>
      </c>
      <c r="AL16" s="3691" t="s">
        <v>2827</v>
      </c>
      <c r="AM16" s="3690" t="s">
        <v>2831</v>
      </c>
      <c r="AN16" s="3692" t="s">
        <v>2832</v>
      </c>
      <c r="AO16" s="3693" t="s">
        <v>2833</v>
      </c>
      <c r="AP16" s="3694" t="s">
        <v>2834</v>
      </c>
      <c r="AQ16" s="3691" t="s">
        <v>3011</v>
      </c>
      <c r="AR16" s="3694" t="s">
        <v>3012</v>
      </c>
      <c r="AS16" s="3695" t="s">
        <v>3013</v>
      </c>
      <c r="AT16" s="3714" t="s">
        <v>3014</v>
      </c>
      <c r="AU16" s="3715" t="s">
        <v>3015</v>
      </c>
      <c r="AV16" s="3714" t="s">
        <v>3206</v>
      </c>
      <c r="AW16" s="3716" t="s">
        <v>3207</v>
      </c>
      <c r="AX16" s="3716" t="s">
        <v>3272</v>
      </c>
      <c r="AY16" s="1162" t="str">
        <f t="shared" si="0"/>
        <v>* El número de Beneficiarios y/o Pueblos Originarios y/o Migrantes y/o Población SENAME NO DEBE ser mayor que el Total.</v>
      </c>
      <c r="AZ16" s="1058"/>
      <c r="BA16" s="1058"/>
      <c r="BB16" s="1058"/>
      <c r="BC16" s="1058"/>
      <c r="BD16" s="1058"/>
      <c r="BE16" s="1089"/>
      <c r="BF16" s="1089"/>
      <c r="BG16" s="1003"/>
      <c r="BH16" s="1003"/>
      <c r="BI16" s="1003"/>
      <c r="BJ16" s="1003"/>
      <c r="BK16" s="1003"/>
      <c r="BL16" s="1003"/>
      <c r="BM16" s="1003"/>
      <c r="BN16" s="1003"/>
      <c r="BO16" s="1003"/>
      <c r="BP16" s="1003"/>
      <c r="BQ16" s="1003"/>
      <c r="BR16" s="1003"/>
      <c r="BS16" s="1003"/>
      <c r="BT16" s="1003"/>
      <c r="BU16" s="1003"/>
      <c r="BV16" s="1003"/>
      <c r="BW16" s="1003"/>
      <c r="BX16" s="1003"/>
      <c r="BY16" s="1003"/>
      <c r="BZ16" s="1003"/>
      <c r="CA16" s="1003"/>
      <c r="CB16" s="1166" t="str">
        <f t="shared" si="1"/>
        <v/>
      </c>
      <c r="CC16" s="1166" t="str">
        <f t="shared" si="2"/>
        <v>* El número de Beneficiarios y/o Pueblos Originarios y/o Migrantes y/o Población SENAME NO DEBE ser mayor que el Total.</v>
      </c>
      <c r="CD16" s="1166"/>
      <c r="CE16" s="1166"/>
      <c r="CF16" s="1166"/>
      <c r="CG16" s="1166"/>
      <c r="CH16" s="1167">
        <f t="shared" si="3"/>
        <v>0</v>
      </c>
      <c r="CI16" s="1167">
        <f t="shared" si="4"/>
        <v>1</v>
      </c>
      <c r="CJ16" s="1011"/>
      <c r="CK16" s="1011"/>
      <c r="CL16" s="1011"/>
      <c r="CM16" s="1011"/>
      <c r="CN16" s="1011"/>
      <c r="CO16" s="1011"/>
      <c r="CP16" s="1011"/>
      <c r="CQ16" s="1012"/>
      <c r="CR16" s="1012"/>
      <c r="CS16" s="1012"/>
      <c r="CT16" s="1012"/>
      <c r="CU16" s="1012"/>
      <c r="CV16" s="1012"/>
      <c r="CW16" s="1012"/>
      <c r="CX16" s="1012"/>
      <c r="CY16" s="1012"/>
      <c r="CZ16" s="1012"/>
      <c r="DA16" s="1012"/>
    </row>
    <row r="17" spans="1:105" s="1006" customFormat="1" ht="16.350000000000001" customHeight="1" x14ac:dyDescent="0.2">
      <c r="A17" s="2549">
        <v>31000040</v>
      </c>
      <c r="B17" s="6906"/>
      <c r="C17" s="807" t="s">
        <v>1610</v>
      </c>
      <c r="D17" s="1181" t="s">
        <v>2777</v>
      </c>
      <c r="E17" s="1181" t="s">
        <v>2778</v>
      </c>
      <c r="F17" s="3696" t="s">
        <v>2779</v>
      </c>
      <c r="G17" s="3688" t="s">
        <v>2780</v>
      </c>
      <c r="H17" s="3689" t="s">
        <v>2781</v>
      </c>
      <c r="I17" s="3690" t="s">
        <v>2782</v>
      </c>
      <c r="J17" s="3689" t="s">
        <v>2783</v>
      </c>
      <c r="K17" s="3690" t="s">
        <v>2784</v>
      </c>
      <c r="L17" s="3691" t="s">
        <v>2785</v>
      </c>
      <c r="M17" s="3690" t="s">
        <v>2786</v>
      </c>
      <c r="N17" s="3691" t="s">
        <v>2787</v>
      </c>
      <c r="O17" s="3690" t="s">
        <v>2788</v>
      </c>
      <c r="P17" s="3691" t="s">
        <v>2789</v>
      </c>
      <c r="Q17" s="3690" t="s">
        <v>2790</v>
      </c>
      <c r="R17" s="3691" t="s">
        <v>2791</v>
      </c>
      <c r="S17" s="3690" t="s">
        <v>2792</v>
      </c>
      <c r="T17" s="3691" t="s">
        <v>2793</v>
      </c>
      <c r="U17" s="3690" t="s">
        <v>2794</v>
      </c>
      <c r="V17" s="3691" t="s">
        <v>2795</v>
      </c>
      <c r="W17" s="3690" t="s">
        <v>2796</v>
      </c>
      <c r="X17" s="3691" t="s">
        <v>2797</v>
      </c>
      <c r="Y17" s="3690" t="s">
        <v>2798</v>
      </c>
      <c r="Z17" s="3691" t="s">
        <v>2799</v>
      </c>
      <c r="AA17" s="3690" t="s">
        <v>2800</v>
      </c>
      <c r="AB17" s="3691" t="s">
        <v>2801</v>
      </c>
      <c r="AC17" s="3690" t="s">
        <v>2817</v>
      </c>
      <c r="AD17" s="3691" t="s">
        <v>2818</v>
      </c>
      <c r="AE17" s="3690" t="s">
        <v>2819</v>
      </c>
      <c r="AF17" s="3691" t="s">
        <v>2821</v>
      </c>
      <c r="AG17" s="3690" t="s">
        <v>2822</v>
      </c>
      <c r="AH17" s="3691" t="s">
        <v>2823</v>
      </c>
      <c r="AI17" s="3690" t="s">
        <v>2824</v>
      </c>
      <c r="AJ17" s="3691" t="s">
        <v>2825</v>
      </c>
      <c r="AK17" s="3690" t="s">
        <v>2826</v>
      </c>
      <c r="AL17" s="3691" t="s">
        <v>2827</v>
      </c>
      <c r="AM17" s="3690" t="s">
        <v>2831</v>
      </c>
      <c r="AN17" s="3692" t="s">
        <v>2832</v>
      </c>
      <c r="AO17" s="3693" t="s">
        <v>2833</v>
      </c>
      <c r="AP17" s="3694" t="s">
        <v>2834</v>
      </c>
      <c r="AQ17" s="3691" t="s">
        <v>3011</v>
      </c>
      <c r="AR17" s="3694" t="s">
        <v>3012</v>
      </c>
      <c r="AS17" s="3695" t="s">
        <v>3013</v>
      </c>
      <c r="AT17" s="3714" t="s">
        <v>3014</v>
      </c>
      <c r="AU17" s="3715" t="s">
        <v>3015</v>
      </c>
      <c r="AV17" s="3714" t="s">
        <v>3206</v>
      </c>
      <c r="AW17" s="3716" t="s">
        <v>3207</v>
      </c>
      <c r="AX17" s="3716" t="s">
        <v>3272</v>
      </c>
      <c r="AY17" s="1162" t="str">
        <f t="shared" si="0"/>
        <v>* El número de Beneficiarios y/o Pueblos Originarios y/o Migrantes y/o Población SENAME NO DEBE ser mayor que el Total.</v>
      </c>
      <c r="AZ17" s="1058"/>
      <c r="BA17" s="1058"/>
      <c r="BB17" s="1058"/>
      <c r="BC17" s="1058"/>
      <c r="BD17" s="1058"/>
      <c r="BE17" s="1089"/>
      <c r="BF17" s="1089"/>
      <c r="BG17" s="1003"/>
      <c r="BH17" s="1003"/>
      <c r="BI17" s="1003"/>
      <c r="BJ17" s="1003"/>
      <c r="BK17" s="1003"/>
      <c r="BL17" s="1003"/>
      <c r="BM17" s="1003"/>
      <c r="BN17" s="1003"/>
      <c r="BO17" s="1003"/>
      <c r="BP17" s="1003"/>
      <c r="BQ17" s="1003"/>
      <c r="BR17" s="1003"/>
      <c r="BS17" s="1003"/>
      <c r="BT17" s="1003"/>
      <c r="BU17" s="1003"/>
      <c r="BV17" s="1003"/>
      <c r="BW17" s="1003"/>
      <c r="BX17" s="1003"/>
      <c r="BY17" s="1003"/>
      <c r="BZ17" s="1003"/>
      <c r="CA17" s="1003"/>
      <c r="CB17" s="1166" t="str">
        <f t="shared" si="1"/>
        <v/>
      </c>
      <c r="CC17" s="1166" t="str">
        <f t="shared" si="2"/>
        <v>* El número de Beneficiarios y/o Pueblos Originarios y/o Migrantes y/o Población SENAME NO DEBE ser mayor que el Total.</v>
      </c>
      <c r="CD17" s="1166"/>
      <c r="CE17" s="1166"/>
      <c r="CF17" s="1166"/>
      <c r="CG17" s="1166"/>
      <c r="CH17" s="1167">
        <f t="shared" si="3"/>
        <v>0</v>
      </c>
      <c r="CI17" s="1167">
        <f t="shared" si="4"/>
        <v>1</v>
      </c>
      <c r="CJ17" s="1011"/>
      <c r="CK17" s="1011"/>
      <c r="CL17" s="1011"/>
      <c r="CM17" s="1011"/>
      <c r="CN17" s="1011"/>
      <c r="CO17" s="1011"/>
      <c r="CP17" s="1011"/>
      <c r="CQ17" s="1012"/>
      <c r="CR17" s="1012"/>
      <c r="CS17" s="1012"/>
      <c r="CT17" s="1012"/>
      <c r="CU17" s="1012"/>
      <c r="CV17" s="1012"/>
      <c r="CW17" s="1012"/>
      <c r="CX17" s="1012"/>
      <c r="CY17" s="1012"/>
      <c r="CZ17" s="1012"/>
      <c r="DA17" s="1012"/>
    </row>
    <row r="18" spans="1:105" s="1006" customFormat="1" ht="16.350000000000001" customHeight="1" x14ac:dyDescent="0.2">
      <c r="A18" s="2549">
        <v>31000007</v>
      </c>
      <c r="B18" s="6906"/>
      <c r="C18" s="807" t="s">
        <v>1457</v>
      </c>
      <c r="D18" s="1181" t="s">
        <v>2777</v>
      </c>
      <c r="E18" s="1181" t="s">
        <v>2778</v>
      </c>
      <c r="F18" s="3696" t="s">
        <v>2779</v>
      </c>
      <c r="G18" s="3688" t="s">
        <v>2780</v>
      </c>
      <c r="H18" s="3689" t="s">
        <v>2781</v>
      </c>
      <c r="I18" s="3690" t="s">
        <v>2782</v>
      </c>
      <c r="J18" s="3689" t="s">
        <v>2783</v>
      </c>
      <c r="K18" s="3690" t="s">
        <v>2784</v>
      </c>
      <c r="L18" s="3691" t="s">
        <v>2785</v>
      </c>
      <c r="M18" s="3690" t="s">
        <v>2786</v>
      </c>
      <c r="N18" s="3691" t="s">
        <v>2787</v>
      </c>
      <c r="O18" s="3690" t="s">
        <v>2788</v>
      </c>
      <c r="P18" s="3691" t="s">
        <v>2789</v>
      </c>
      <c r="Q18" s="3690" t="s">
        <v>2790</v>
      </c>
      <c r="R18" s="3691" t="s">
        <v>2791</v>
      </c>
      <c r="S18" s="3690" t="s">
        <v>2792</v>
      </c>
      <c r="T18" s="3691" t="s">
        <v>2793</v>
      </c>
      <c r="U18" s="3690" t="s">
        <v>2794</v>
      </c>
      <c r="V18" s="3691" t="s">
        <v>2795</v>
      </c>
      <c r="W18" s="3690" t="s">
        <v>2796</v>
      </c>
      <c r="X18" s="3691" t="s">
        <v>2797</v>
      </c>
      <c r="Y18" s="3690" t="s">
        <v>2798</v>
      </c>
      <c r="Z18" s="3691" t="s">
        <v>2799</v>
      </c>
      <c r="AA18" s="3690" t="s">
        <v>2800</v>
      </c>
      <c r="AB18" s="3691" t="s">
        <v>2801</v>
      </c>
      <c r="AC18" s="3690" t="s">
        <v>2817</v>
      </c>
      <c r="AD18" s="3691" t="s">
        <v>2818</v>
      </c>
      <c r="AE18" s="3690" t="s">
        <v>2819</v>
      </c>
      <c r="AF18" s="3691" t="s">
        <v>2821</v>
      </c>
      <c r="AG18" s="3690" t="s">
        <v>2822</v>
      </c>
      <c r="AH18" s="3691" t="s">
        <v>2823</v>
      </c>
      <c r="AI18" s="3690" t="s">
        <v>2824</v>
      </c>
      <c r="AJ18" s="3691" t="s">
        <v>2825</v>
      </c>
      <c r="AK18" s="3690" t="s">
        <v>2826</v>
      </c>
      <c r="AL18" s="3691" t="s">
        <v>2827</v>
      </c>
      <c r="AM18" s="3690" t="s">
        <v>2831</v>
      </c>
      <c r="AN18" s="3692" t="s">
        <v>2832</v>
      </c>
      <c r="AO18" s="3693" t="s">
        <v>2833</v>
      </c>
      <c r="AP18" s="3694" t="s">
        <v>2834</v>
      </c>
      <c r="AQ18" s="3691" t="s">
        <v>3011</v>
      </c>
      <c r="AR18" s="3694" t="s">
        <v>3012</v>
      </c>
      <c r="AS18" s="3695" t="s">
        <v>3013</v>
      </c>
      <c r="AT18" s="3714" t="s">
        <v>3014</v>
      </c>
      <c r="AU18" s="3715" t="s">
        <v>3015</v>
      </c>
      <c r="AV18" s="3714" t="s">
        <v>3206</v>
      </c>
      <c r="AW18" s="3716" t="s">
        <v>3207</v>
      </c>
      <c r="AX18" s="3716" t="s">
        <v>3272</v>
      </c>
      <c r="AY18" s="1162" t="str">
        <f t="shared" si="0"/>
        <v>* El número de Beneficiarios y/o Pueblos Originarios y/o Migrantes y/o Población SENAME NO DEBE ser mayor que el Total.</v>
      </c>
      <c r="AZ18" s="1058"/>
      <c r="BA18" s="1058"/>
      <c r="BB18" s="1058"/>
      <c r="BC18" s="1058"/>
      <c r="BD18" s="1058"/>
      <c r="BE18" s="1089"/>
      <c r="BF18" s="1089"/>
      <c r="BG18" s="1003"/>
      <c r="BH18" s="1003"/>
      <c r="BI18" s="1003"/>
      <c r="BJ18" s="1003"/>
      <c r="BK18" s="1003"/>
      <c r="BL18" s="1003"/>
      <c r="BM18" s="1003"/>
      <c r="BN18" s="1003"/>
      <c r="BO18" s="1003"/>
      <c r="BP18" s="1003"/>
      <c r="BQ18" s="1003"/>
      <c r="BR18" s="1003"/>
      <c r="BS18" s="1003"/>
      <c r="BT18" s="1003"/>
      <c r="BU18" s="1003"/>
      <c r="BV18" s="1003"/>
      <c r="BW18" s="1003"/>
      <c r="BX18" s="1003"/>
      <c r="BY18" s="1003"/>
      <c r="BZ18" s="1003"/>
      <c r="CA18" s="1003"/>
      <c r="CB18" s="1166" t="str">
        <f t="shared" si="1"/>
        <v/>
      </c>
      <c r="CC18" s="1166" t="str">
        <f t="shared" si="2"/>
        <v>* El número de Beneficiarios y/o Pueblos Originarios y/o Migrantes y/o Población SENAME NO DEBE ser mayor que el Total.</v>
      </c>
      <c r="CD18" s="1166"/>
      <c r="CE18" s="1166"/>
      <c r="CF18" s="1166"/>
      <c r="CG18" s="1166"/>
      <c r="CH18" s="1167">
        <f t="shared" si="3"/>
        <v>0</v>
      </c>
      <c r="CI18" s="1167">
        <f t="shared" si="4"/>
        <v>1</v>
      </c>
      <c r="CJ18" s="1011"/>
      <c r="CK18" s="1011"/>
      <c r="CL18" s="1011"/>
      <c r="CM18" s="1011"/>
      <c r="CN18" s="1011"/>
      <c r="CO18" s="1011"/>
      <c r="CP18" s="1011"/>
      <c r="CQ18" s="1012"/>
      <c r="CR18" s="1012"/>
      <c r="CS18" s="1012"/>
      <c r="CT18" s="1012"/>
      <c r="CU18" s="1012"/>
      <c r="CV18" s="1012"/>
      <c r="CW18" s="1012"/>
      <c r="CX18" s="1012"/>
      <c r="CY18" s="1012"/>
      <c r="CZ18" s="1012"/>
      <c r="DA18" s="1012"/>
    </row>
    <row r="19" spans="1:105" s="1006" customFormat="1" ht="16.350000000000001" customHeight="1" x14ac:dyDescent="0.2">
      <c r="A19" s="2549">
        <v>31000041</v>
      </c>
      <c r="B19" s="6906"/>
      <c r="C19" s="807" t="s">
        <v>1611</v>
      </c>
      <c r="D19" s="1181" t="s">
        <v>2777</v>
      </c>
      <c r="E19" s="1181" t="s">
        <v>2778</v>
      </c>
      <c r="F19" s="3696" t="s">
        <v>2779</v>
      </c>
      <c r="G19" s="3688" t="s">
        <v>2780</v>
      </c>
      <c r="H19" s="3689" t="s">
        <v>2781</v>
      </c>
      <c r="I19" s="3690" t="s">
        <v>2782</v>
      </c>
      <c r="J19" s="3689" t="s">
        <v>2783</v>
      </c>
      <c r="K19" s="3690" t="s">
        <v>2784</v>
      </c>
      <c r="L19" s="3691" t="s">
        <v>2785</v>
      </c>
      <c r="M19" s="3690" t="s">
        <v>2786</v>
      </c>
      <c r="N19" s="3691" t="s">
        <v>2787</v>
      </c>
      <c r="O19" s="3690" t="s">
        <v>2788</v>
      </c>
      <c r="P19" s="3691" t="s">
        <v>2789</v>
      </c>
      <c r="Q19" s="3690" t="s">
        <v>2790</v>
      </c>
      <c r="R19" s="3691" t="s">
        <v>2791</v>
      </c>
      <c r="S19" s="3690" t="s">
        <v>2792</v>
      </c>
      <c r="T19" s="3691" t="s">
        <v>2793</v>
      </c>
      <c r="U19" s="3690" t="s">
        <v>2794</v>
      </c>
      <c r="V19" s="3691" t="s">
        <v>2795</v>
      </c>
      <c r="W19" s="3690" t="s">
        <v>2796</v>
      </c>
      <c r="X19" s="3691" t="s">
        <v>2797</v>
      </c>
      <c r="Y19" s="3690" t="s">
        <v>2798</v>
      </c>
      <c r="Z19" s="3691" t="s">
        <v>2799</v>
      </c>
      <c r="AA19" s="3690" t="s">
        <v>2800</v>
      </c>
      <c r="AB19" s="3691" t="s">
        <v>2801</v>
      </c>
      <c r="AC19" s="3690" t="s">
        <v>2817</v>
      </c>
      <c r="AD19" s="3691" t="s">
        <v>2818</v>
      </c>
      <c r="AE19" s="3690" t="s">
        <v>2819</v>
      </c>
      <c r="AF19" s="3691" t="s">
        <v>2821</v>
      </c>
      <c r="AG19" s="3690" t="s">
        <v>2822</v>
      </c>
      <c r="AH19" s="3691" t="s">
        <v>2823</v>
      </c>
      <c r="AI19" s="3690" t="s">
        <v>2824</v>
      </c>
      <c r="AJ19" s="3691" t="s">
        <v>2825</v>
      </c>
      <c r="AK19" s="3690" t="s">
        <v>2826</v>
      </c>
      <c r="AL19" s="3691" t="s">
        <v>2827</v>
      </c>
      <c r="AM19" s="3690" t="s">
        <v>2831</v>
      </c>
      <c r="AN19" s="3692" t="s">
        <v>2832</v>
      </c>
      <c r="AO19" s="3693" t="s">
        <v>2833</v>
      </c>
      <c r="AP19" s="3694" t="s">
        <v>2834</v>
      </c>
      <c r="AQ19" s="3691" t="s">
        <v>3011</v>
      </c>
      <c r="AR19" s="3694" t="s">
        <v>3012</v>
      </c>
      <c r="AS19" s="3695" t="s">
        <v>3013</v>
      </c>
      <c r="AT19" s="3714" t="s">
        <v>3014</v>
      </c>
      <c r="AU19" s="3715" t="s">
        <v>3015</v>
      </c>
      <c r="AV19" s="3714" t="s">
        <v>3206</v>
      </c>
      <c r="AW19" s="3716" t="s">
        <v>3207</v>
      </c>
      <c r="AX19" s="3716" t="s">
        <v>3272</v>
      </c>
      <c r="AY19" s="1162" t="str">
        <f t="shared" si="0"/>
        <v>* El número de Beneficiarios y/o Pueblos Originarios y/o Migrantes y/o Población SENAME NO DEBE ser mayor que el Total.</v>
      </c>
      <c r="AZ19" s="1058"/>
      <c r="BA19" s="1058"/>
      <c r="BB19" s="1058"/>
      <c r="BC19" s="1058"/>
      <c r="BD19" s="1058"/>
      <c r="BE19" s="1089"/>
      <c r="BF19" s="1089"/>
      <c r="BG19" s="1003"/>
      <c r="BH19" s="1003"/>
      <c r="BI19" s="1003"/>
      <c r="BJ19" s="1003"/>
      <c r="BK19" s="1003"/>
      <c r="BL19" s="1003"/>
      <c r="BM19" s="1003"/>
      <c r="BN19" s="1003"/>
      <c r="BO19" s="1003"/>
      <c r="BP19" s="1003"/>
      <c r="BQ19" s="1003"/>
      <c r="BR19" s="1003"/>
      <c r="BS19" s="1003"/>
      <c r="BT19" s="1003"/>
      <c r="BU19" s="1003"/>
      <c r="BV19" s="1003"/>
      <c r="BW19" s="1003"/>
      <c r="BX19" s="1003"/>
      <c r="BY19" s="1003"/>
      <c r="BZ19" s="1003"/>
      <c r="CA19" s="1003"/>
      <c r="CB19" s="1166" t="str">
        <f t="shared" si="1"/>
        <v/>
      </c>
      <c r="CC19" s="1166" t="str">
        <f t="shared" si="2"/>
        <v>* El número de Beneficiarios y/o Pueblos Originarios y/o Migrantes y/o Población SENAME NO DEBE ser mayor que el Total.</v>
      </c>
      <c r="CD19" s="1166"/>
      <c r="CE19" s="1166"/>
      <c r="CF19" s="1166"/>
      <c r="CG19" s="1166"/>
      <c r="CH19" s="1167">
        <f t="shared" si="3"/>
        <v>0</v>
      </c>
      <c r="CI19" s="1167">
        <f t="shared" si="4"/>
        <v>1</v>
      </c>
      <c r="CJ19" s="1011"/>
      <c r="CK19" s="1011"/>
      <c r="CL19" s="1011"/>
      <c r="CM19" s="1011"/>
      <c r="CN19" s="1011"/>
      <c r="CO19" s="1011"/>
      <c r="CP19" s="1011"/>
      <c r="CQ19" s="1012"/>
      <c r="CR19" s="1012"/>
      <c r="CS19" s="1012"/>
      <c r="CT19" s="1012"/>
      <c r="CU19" s="1012"/>
      <c r="CV19" s="1012"/>
      <c r="CW19" s="1012"/>
      <c r="CX19" s="1012"/>
      <c r="CY19" s="1012"/>
      <c r="CZ19" s="1012"/>
      <c r="DA19" s="1012"/>
    </row>
    <row r="20" spans="1:105" s="1006" customFormat="1" ht="16.350000000000001" customHeight="1" x14ac:dyDescent="0.2">
      <c r="A20" s="2549">
        <v>31000042</v>
      </c>
      <c r="B20" s="6906"/>
      <c r="C20" s="807" t="s">
        <v>1612</v>
      </c>
      <c r="D20" s="1181" t="s">
        <v>2777</v>
      </c>
      <c r="E20" s="1181" t="s">
        <v>2778</v>
      </c>
      <c r="F20" s="3696" t="s">
        <v>2779</v>
      </c>
      <c r="G20" s="3688" t="s">
        <v>2780</v>
      </c>
      <c r="H20" s="3689" t="s">
        <v>2781</v>
      </c>
      <c r="I20" s="3690" t="s">
        <v>2782</v>
      </c>
      <c r="J20" s="3689" t="s">
        <v>2783</v>
      </c>
      <c r="K20" s="3690" t="s">
        <v>2784</v>
      </c>
      <c r="L20" s="3691" t="s">
        <v>2785</v>
      </c>
      <c r="M20" s="3690" t="s">
        <v>2786</v>
      </c>
      <c r="N20" s="3691" t="s">
        <v>2787</v>
      </c>
      <c r="O20" s="3690" t="s">
        <v>2788</v>
      </c>
      <c r="P20" s="3691" t="s">
        <v>2789</v>
      </c>
      <c r="Q20" s="3690" t="s">
        <v>2790</v>
      </c>
      <c r="R20" s="3691" t="s">
        <v>2791</v>
      </c>
      <c r="S20" s="3690" t="s">
        <v>2792</v>
      </c>
      <c r="T20" s="3691" t="s">
        <v>2793</v>
      </c>
      <c r="U20" s="3690" t="s">
        <v>2794</v>
      </c>
      <c r="V20" s="3691" t="s">
        <v>2795</v>
      </c>
      <c r="W20" s="3690" t="s">
        <v>2796</v>
      </c>
      <c r="X20" s="3691" t="s">
        <v>2797</v>
      </c>
      <c r="Y20" s="3690" t="s">
        <v>2798</v>
      </c>
      <c r="Z20" s="3691" t="s">
        <v>2799</v>
      </c>
      <c r="AA20" s="3690" t="s">
        <v>2800</v>
      </c>
      <c r="AB20" s="3691" t="s">
        <v>2801</v>
      </c>
      <c r="AC20" s="3690" t="s">
        <v>2817</v>
      </c>
      <c r="AD20" s="3691" t="s">
        <v>2818</v>
      </c>
      <c r="AE20" s="3690" t="s">
        <v>2819</v>
      </c>
      <c r="AF20" s="3691" t="s">
        <v>2821</v>
      </c>
      <c r="AG20" s="3690" t="s">
        <v>2822</v>
      </c>
      <c r="AH20" s="3691" t="s">
        <v>2823</v>
      </c>
      <c r="AI20" s="3690" t="s">
        <v>2824</v>
      </c>
      <c r="AJ20" s="3691" t="s">
        <v>2825</v>
      </c>
      <c r="AK20" s="3690" t="s">
        <v>2826</v>
      </c>
      <c r="AL20" s="3691" t="s">
        <v>2827</v>
      </c>
      <c r="AM20" s="3690" t="s">
        <v>2831</v>
      </c>
      <c r="AN20" s="3692" t="s">
        <v>2832</v>
      </c>
      <c r="AO20" s="3693" t="s">
        <v>2833</v>
      </c>
      <c r="AP20" s="3694" t="s">
        <v>2834</v>
      </c>
      <c r="AQ20" s="3691" t="s">
        <v>3011</v>
      </c>
      <c r="AR20" s="3694" t="s">
        <v>3012</v>
      </c>
      <c r="AS20" s="3695" t="s">
        <v>3013</v>
      </c>
      <c r="AT20" s="3714" t="s">
        <v>3014</v>
      </c>
      <c r="AU20" s="3715" t="s">
        <v>3015</v>
      </c>
      <c r="AV20" s="3714" t="s">
        <v>3206</v>
      </c>
      <c r="AW20" s="3716" t="s">
        <v>3207</v>
      </c>
      <c r="AX20" s="3716" t="s">
        <v>3272</v>
      </c>
      <c r="AY20" s="1162" t="str">
        <f t="shared" si="0"/>
        <v>* El número de Beneficiarios y/o Pueblos Originarios y/o Migrantes y/o Población SENAME NO DEBE ser mayor que el Total.</v>
      </c>
      <c r="AZ20" s="1058"/>
      <c r="BA20" s="1058"/>
      <c r="BB20" s="1058"/>
      <c r="BC20" s="1058"/>
      <c r="BD20" s="1058"/>
      <c r="BE20" s="1089"/>
      <c r="BF20" s="1089"/>
      <c r="BG20" s="1003"/>
      <c r="BH20" s="1003"/>
      <c r="BI20" s="1003"/>
      <c r="BJ20" s="1003"/>
      <c r="BK20" s="1003"/>
      <c r="BL20" s="1003"/>
      <c r="BM20" s="1003"/>
      <c r="BN20" s="1003"/>
      <c r="BO20" s="1003"/>
      <c r="BP20" s="1003"/>
      <c r="BQ20" s="1003"/>
      <c r="BR20" s="1003"/>
      <c r="BS20" s="1003"/>
      <c r="BT20" s="1003"/>
      <c r="BU20" s="1003"/>
      <c r="BV20" s="1003"/>
      <c r="BW20" s="1003"/>
      <c r="BX20" s="1003"/>
      <c r="BY20" s="1003"/>
      <c r="BZ20" s="1003"/>
      <c r="CA20" s="1003"/>
      <c r="CB20" s="1166" t="str">
        <f t="shared" si="1"/>
        <v/>
      </c>
      <c r="CC20" s="1166" t="str">
        <f t="shared" si="2"/>
        <v>* El número de Beneficiarios y/o Pueblos Originarios y/o Migrantes y/o Población SENAME NO DEBE ser mayor que el Total.</v>
      </c>
      <c r="CD20" s="1166"/>
      <c r="CE20" s="1166"/>
      <c r="CF20" s="1166"/>
      <c r="CG20" s="1166"/>
      <c r="CH20" s="1167">
        <f t="shared" si="3"/>
        <v>0</v>
      </c>
      <c r="CI20" s="1167">
        <f t="shared" si="4"/>
        <v>1</v>
      </c>
      <c r="CJ20" s="1011"/>
      <c r="CK20" s="1011"/>
      <c r="CL20" s="1011"/>
      <c r="CM20" s="1011"/>
      <c r="CN20" s="1011"/>
      <c r="CO20" s="1011"/>
      <c r="CP20" s="1011"/>
      <c r="CQ20" s="1012"/>
      <c r="CR20" s="1012"/>
      <c r="CS20" s="1012"/>
      <c r="CT20" s="1012"/>
      <c r="CU20" s="1012"/>
      <c r="CV20" s="1012"/>
      <c r="CW20" s="1012"/>
      <c r="CX20" s="1012"/>
      <c r="CY20" s="1012"/>
      <c r="CZ20" s="1012"/>
      <c r="DA20" s="1012"/>
    </row>
    <row r="21" spans="1:105" s="1006" customFormat="1" ht="24" customHeight="1" x14ac:dyDescent="0.2">
      <c r="A21" s="2549">
        <v>31000043</v>
      </c>
      <c r="B21" s="6906"/>
      <c r="C21" s="807" t="s">
        <v>1613</v>
      </c>
      <c r="D21" s="1181" t="s">
        <v>2777</v>
      </c>
      <c r="E21" s="1181" t="s">
        <v>2778</v>
      </c>
      <c r="F21" s="3696" t="s">
        <v>2779</v>
      </c>
      <c r="G21" s="3688" t="s">
        <v>2780</v>
      </c>
      <c r="H21" s="3689" t="s">
        <v>2781</v>
      </c>
      <c r="I21" s="3690" t="s">
        <v>2782</v>
      </c>
      <c r="J21" s="3689" t="s">
        <v>2783</v>
      </c>
      <c r="K21" s="3690" t="s">
        <v>2784</v>
      </c>
      <c r="L21" s="3691" t="s">
        <v>2785</v>
      </c>
      <c r="M21" s="3690" t="s">
        <v>2786</v>
      </c>
      <c r="N21" s="3691" t="s">
        <v>2787</v>
      </c>
      <c r="O21" s="3690" t="s">
        <v>2788</v>
      </c>
      <c r="P21" s="3691" t="s">
        <v>2789</v>
      </c>
      <c r="Q21" s="3690" t="s">
        <v>2790</v>
      </c>
      <c r="R21" s="3691" t="s">
        <v>2791</v>
      </c>
      <c r="S21" s="3690" t="s">
        <v>2792</v>
      </c>
      <c r="T21" s="3691" t="s">
        <v>2793</v>
      </c>
      <c r="U21" s="3690" t="s">
        <v>2794</v>
      </c>
      <c r="V21" s="3691" t="s">
        <v>2795</v>
      </c>
      <c r="W21" s="3690" t="s">
        <v>2796</v>
      </c>
      <c r="X21" s="3691" t="s">
        <v>2797</v>
      </c>
      <c r="Y21" s="3690" t="s">
        <v>2798</v>
      </c>
      <c r="Z21" s="3691" t="s">
        <v>2799</v>
      </c>
      <c r="AA21" s="3690" t="s">
        <v>2800</v>
      </c>
      <c r="AB21" s="3691" t="s">
        <v>2801</v>
      </c>
      <c r="AC21" s="3690" t="s">
        <v>2817</v>
      </c>
      <c r="AD21" s="3691" t="s">
        <v>2818</v>
      </c>
      <c r="AE21" s="3690" t="s">
        <v>2819</v>
      </c>
      <c r="AF21" s="3691" t="s">
        <v>2821</v>
      </c>
      <c r="AG21" s="3690" t="s">
        <v>2822</v>
      </c>
      <c r="AH21" s="3691" t="s">
        <v>2823</v>
      </c>
      <c r="AI21" s="3690" t="s">
        <v>2824</v>
      </c>
      <c r="AJ21" s="3691" t="s">
        <v>2825</v>
      </c>
      <c r="AK21" s="3690" t="s">
        <v>2826</v>
      </c>
      <c r="AL21" s="3691" t="s">
        <v>2827</v>
      </c>
      <c r="AM21" s="3690" t="s">
        <v>2831</v>
      </c>
      <c r="AN21" s="3692" t="s">
        <v>2832</v>
      </c>
      <c r="AO21" s="3693" t="s">
        <v>2833</v>
      </c>
      <c r="AP21" s="3694" t="s">
        <v>2834</v>
      </c>
      <c r="AQ21" s="3691" t="s">
        <v>3011</v>
      </c>
      <c r="AR21" s="3694" t="s">
        <v>3012</v>
      </c>
      <c r="AS21" s="3695" t="s">
        <v>3013</v>
      </c>
      <c r="AT21" s="3714" t="s">
        <v>3014</v>
      </c>
      <c r="AU21" s="3715" t="s">
        <v>3015</v>
      </c>
      <c r="AV21" s="3714" t="s">
        <v>3206</v>
      </c>
      <c r="AW21" s="3716" t="s">
        <v>3207</v>
      </c>
      <c r="AX21" s="3716" t="s">
        <v>3272</v>
      </c>
      <c r="AY21" s="1162" t="str">
        <f t="shared" si="0"/>
        <v>* El número de Beneficiarios y/o Pueblos Originarios y/o Migrantes y/o Población SENAME NO DEBE ser mayor que el Total.</v>
      </c>
      <c r="AZ21" s="1058"/>
      <c r="BA21" s="1058"/>
      <c r="BB21" s="1058"/>
      <c r="BC21" s="1058"/>
      <c r="BD21" s="1058"/>
      <c r="BE21" s="1089"/>
      <c r="BF21" s="1089"/>
      <c r="BG21" s="1003"/>
      <c r="BH21" s="1003"/>
      <c r="BI21" s="1003"/>
      <c r="BJ21" s="1003"/>
      <c r="BK21" s="1003"/>
      <c r="BL21" s="1003"/>
      <c r="BM21" s="1003"/>
      <c r="BN21" s="1003"/>
      <c r="BO21" s="1003"/>
      <c r="BP21" s="1003"/>
      <c r="BQ21" s="1003"/>
      <c r="BR21" s="1003"/>
      <c r="BS21" s="1003"/>
      <c r="BT21" s="1003"/>
      <c r="BU21" s="1003"/>
      <c r="BV21" s="1003"/>
      <c r="BW21" s="1003"/>
      <c r="BX21" s="1003"/>
      <c r="BY21" s="1003"/>
      <c r="BZ21" s="1003"/>
      <c r="CA21" s="1003"/>
      <c r="CB21" s="1166" t="str">
        <f t="shared" si="1"/>
        <v/>
      </c>
      <c r="CC21" s="1166" t="str">
        <f t="shared" si="2"/>
        <v>* El número de Beneficiarios y/o Pueblos Originarios y/o Migrantes y/o Población SENAME NO DEBE ser mayor que el Total.</v>
      </c>
      <c r="CD21" s="1166"/>
      <c r="CE21" s="1166"/>
      <c r="CF21" s="1166"/>
      <c r="CG21" s="1166"/>
      <c r="CH21" s="1167">
        <f t="shared" si="3"/>
        <v>0</v>
      </c>
      <c r="CI21" s="1167">
        <f t="shared" si="4"/>
        <v>1</v>
      </c>
      <c r="CJ21" s="1011"/>
      <c r="CK21" s="1011"/>
      <c r="CL21" s="1011"/>
      <c r="CM21" s="1011"/>
      <c r="CN21" s="1011"/>
      <c r="CO21" s="1011"/>
      <c r="CP21" s="1011"/>
      <c r="CQ21" s="1012"/>
      <c r="CR21" s="1012"/>
      <c r="CS21" s="1012"/>
      <c r="CT21" s="1012"/>
      <c r="CU21" s="1012"/>
      <c r="CV21" s="1012"/>
      <c r="CW21" s="1012"/>
      <c r="CX21" s="1012"/>
      <c r="CY21" s="1012"/>
      <c r="CZ21" s="1012"/>
      <c r="DA21" s="1012"/>
    </row>
    <row r="22" spans="1:105" s="1006" customFormat="1" ht="16.350000000000001" customHeight="1" x14ac:dyDescent="0.2">
      <c r="A22" s="2549">
        <v>31000044</v>
      </c>
      <c r="B22" s="6906"/>
      <c r="C22" s="807" t="s">
        <v>1614</v>
      </c>
      <c r="D22" s="1181" t="s">
        <v>2777</v>
      </c>
      <c r="E22" s="1181" t="s">
        <v>2778</v>
      </c>
      <c r="F22" s="3696" t="s">
        <v>2779</v>
      </c>
      <c r="G22" s="3688" t="s">
        <v>2780</v>
      </c>
      <c r="H22" s="3689" t="s">
        <v>2781</v>
      </c>
      <c r="I22" s="3690" t="s">
        <v>2782</v>
      </c>
      <c r="J22" s="3689" t="s">
        <v>2783</v>
      </c>
      <c r="K22" s="3690" t="s">
        <v>2784</v>
      </c>
      <c r="L22" s="3691" t="s">
        <v>2785</v>
      </c>
      <c r="M22" s="3690" t="s">
        <v>2786</v>
      </c>
      <c r="N22" s="3691" t="s">
        <v>2787</v>
      </c>
      <c r="O22" s="3690" t="s">
        <v>2788</v>
      </c>
      <c r="P22" s="3691" t="s">
        <v>2789</v>
      </c>
      <c r="Q22" s="3690" t="s">
        <v>2790</v>
      </c>
      <c r="R22" s="3691" t="s">
        <v>2791</v>
      </c>
      <c r="S22" s="3690" t="s">
        <v>2792</v>
      </c>
      <c r="T22" s="3691" t="s">
        <v>2793</v>
      </c>
      <c r="U22" s="3690" t="s">
        <v>2794</v>
      </c>
      <c r="V22" s="3691" t="s">
        <v>2795</v>
      </c>
      <c r="W22" s="3690" t="s">
        <v>2796</v>
      </c>
      <c r="X22" s="3691" t="s">
        <v>2797</v>
      </c>
      <c r="Y22" s="3690" t="s">
        <v>2798</v>
      </c>
      <c r="Z22" s="3691" t="s">
        <v>2799</v>
      </c>
      <c r="AA22" s="3690" t="s">
        <v>2800</v>
      </c>
      <c r="AB22" s="3691" t="s">
        <v>2801</v>
      </c>
      <c r="AC22" s="3690" t="s">
        <v>2817</v>
      </c>
      <c r="AD22" s="3691" t="s">
        <v>2818</v>
      </c>
      <c r="AE22" s="3690" t="s">
        <v>2819</v>
      </c>
      <c r="AF22" s="3691" t="s">
        <v>2821</v>
      </c>
      <c r="AG22" s="3690" t="s">
        <v>2822</v>
      </c>
      <c r="AH22" s="3691" t="s">
        <v>2823</v>
      </c>
      <c r="AI22" s="3690" t="s">
        <v>2824</v>
      </c>
      <c r="AJ22" s="3691" t="s">
        <v>2825</v>
      </c>
      <c r="AK22" s="3690" t="s">
        <v>2826</v>
      </c>
      <c r="AL22" s="3691" t="s">
        <v>2827</v>
      </c>
      <c r="AM22" s="3690" t="s">
        <v>2831</v>
      </c>
      <c r="AN22" s="3692" t="s">
        <v>2832</v>
      </c>
      <c r="AO22" s="3693" t="s">
        <v>2833</v>
      </c>
      <c r="AP22" s="3694" t="s">
        <v>2834</v>
      </c>
      <c r="AQ22" s="3691" t="s">
        <v>3011</v>
      </c>
      <c r="AR22" s="3694" t="s">
        <v>3012</v>
      </c>
      <c r="AS22" s="3695" t="s">
        <v>3013</v>
      </c>
      <c r="AT22" s="3714" t="s">
        <v>3014</v>
      </c>
      <c r="AU22" s="3715" t="s">
        <v>3015</v>
      </c>
      <c r="AV22" s="3714" t="s">
        <v>3206</v>
      </c>
      <c r="AW22" s="3716" t="s">
        <v>3207</v>
      </c>
      <c r="AX22" s="3716" t="s">
        <v>3272</v>
      </c>
      <c r="AY22" s="1162" t="str">
        <f t="shared" si="0"/>
        <v>* El número de Beneficiarios y/o Pueblos Originarios y/o Migrantes y/o Población SENAME NO DEBE ser mayor que el Total.</v>
      </c>
      <c r="AZ22" s="1058"/>
      <c r="BA22" s="1058"/>
      <c r="BB22" s="1058"/>
      <c r="BC22" s="1058"/>
      <c r="BD22" s="1058"/>
      <c r="BE22" s="1089"/>
      <c r="BF22" s="1089"/>
      <c r="BG22" s="1003"/>
      <c r="BH22" s="1003"/>
      <c r="BI22" s="1003"/>
      <c r="BJ22" s="1003"/>
      <c r="BK22" s="1003"/>
      <c r="BL22" s="1003"/>
      <c r="BM22" s="1003"/>
      <c r="BN22" s="1003"/>
      <c r="BO22" s="1003"/>
      <c r="BP22" s="1003"/>
      <c r="BQ22" s="1003"/>
      <c r="BR22" s="1003"/>
      <c r="BS22" s="1003"/>
      <c r="BT22" s="1003"/>
      <c r="BU22" s="1003"/>
      <c r="BV22" s="1003"/>
      <c r="BW22" s="1003"/>
      <c r="BX22" s="1003"/>
      <c r="BY22" s="1003"/>
      <c r="BZ22" s="1003"/>
      <c r="CA22" s="1003"/>
      <c r="CB22" s="1166" t="str">
        <f t="shared" si="1"/>
        <v/>
      </c>
      <c r="CC22" s="1166" t="str">
        <f t="shared" si="2"/>
        <v>* El número de Beneficiarios y/o Pueblos Originarios y/o Migrantes y/o Población SENAME NO DEBE ser mayor que el Total.</v>
      </c>
      <c r="CD22" s="1166"/>
      <c r="CE22" s="1166"/>
      <c r="CF22" s="1166"/>
      <c r="CG22" s="1166"/>
      <c r="CH22" s="1167">
        <f t="shared" si="3"/>
        <v>0</v>
      </c>
      <c r="CI22" s="1167">
        <f t="shared" si="4"/>
        <v>1</v>
      </c>
      <c r="CJ22" s="1011"/>
      <c r="CK22" s="1011"/>
      <c r="CL22" s="1011"/>
      <c r="CM22" s="1011"/>
      <c r="CN22" s="1011"/>
      <c r="CO22" s="1011"/>
      <c r="CP22" s="1011"/>
      <c r="CQ22" s="1012"/>
      <c r="CR22" s="1012"/>
      <c r="CS22" s="1012"/>
      <c r="CT22" s="1012"/>
      <c r="CU22" s="1012"/>
      <c r="CV22" s="1012"/>
      <c r="CW22" s="1012"/>
      <c r="CX22" s="1012"/>
      <c r="CY22" s="1012"/>
      <c r="CZ22" s="1012"/>
      <c r="DA22" s="1012"/>
    </row>
    <row r="23" spans="1:105" s="1006" customFormat="1" ht="16.350000000000001" customHeight="1" x14ac:dyDescent="0.2">
      <c r="A23" s="2549">
        <v>31000005</v>
      </c>
      <c r="B23" s="6906"/>
      <c r="C23" s="807" t="s">
        <v>1455</v>
      </c>
      <c r="D23" s="1181" t="s">
        <v>2777</v>
      </c>
      <c r="E23" s="1181" t="s">
        <v>2778</v>
      </c>
      <c r="F23" s="3696" t="s">
        <v>2779</v>
      </c>
      <c r="G23" s="3688" t="s">
        <v>2780</v>
      </c>
      <c r="H23" s="3689" t="s">
        <v>2781</v>
      </c>
      <c r="I23" s="3690" t="s">
        <v>2782</v>
      </c>
      <c r="J23" s="3689" t="s">
        <v>2783</v>
      </c>
      <c r="K23" s="3690" t="s">
        <v>2784</v>
      </c>
      <c r="L23" s="3691" t="s">
        <v>2785</v>
      </c>
      <c r="M23" s="3690" t="s">
        <v>2786</v>
      </c>
      <c r="N23" s="3691" t="s">
        <v>2787</v>
      </c>
      <c r="O23" s="3690" t="s">
        <v>2788</v>
      </c>
      <c r="P23" s="3691" t="s">
        <v>2789</v>
      </c>
      <c r="Q23" s="3690" t="s">
        <v>2790</v>
      </c>
      <c r="R23" s="3691" t="s">
        <v>2791</v>
      </c>
      <c r="S23" s="3690" t="s">
        <v>2792</v>
      </c>
      <c r="T23" s="3691" t="s">
        <v>2793</v>
      </c>
      <c r="U23" s="3690" t="s">
        <v>2794</v>
      </c>
      <c r="V23" s="3691" t="s">
        <v>2795</v>
      </c>
      <c r="W23" s="3690" t="s">
        <v>2796</v>
      </c>
      <c r="X23" s="3691" t="s">
        <v>2797</v>
      </c>
      <c r="Y23" s="3690" t="s">
        <v>2798</v>
      </c>
      <c r="Z23" s="3691" t="s">
        <v>2799</v>
      </c>
      <c r="AA23" s="3690" t="s">
        <v>2800</v>
      </c>
      <c r="AB23" s="3691" t="s">
        <v>2801</v>
      </c>
      <c r="AC23" s="3690" t="s">
        <v>2817</v>
      </c>
      <c r="AD23" s="3691" t="s">
        <v>2818</v>
      </c>
      <c r="AE23" s="3690" t="s">
        <v>2819</v>
      </c>
      <c r="AF23" s="3691" t="s">
        <v>2821</v>
      </c>
      <c r="AG23" s="3690" t="s">
        <v>2822</v>
      </c>
      <c r="AH23" s="3691" t="s">
        <v>2823</v>
      </c>
      <c r="AI23" s="3690" t="s">
        <v>2824</v>
      </c>
      <c r="AJ23" s="3691" t="s">
        <v>2825</v>
      </c>
      <c r="AK23" s="3690" t="s">
        <v>2826</v>
      </c>
      <c r="AL23" s="3691" t="s">
        <v>2827</v>
      </c>
      <c r="AM23" s="3690" t="s">
        <v>2831</v>
      </c>
      <c r="AN23" s="3692" t="s">
        <v>2832</v>
      </c>
      <c r="AO23" s="3693" t="s">
        <v>2833</v>
      </c>
      <c r="AP23" s="3694" t="s">
        <v>2834</v>
      </c>
      <c r="AQ23" s="3691" t="s">
        <v>3011</v>
      </c>
      <c r="AR23" s="3694" t="s">
        <v>3012</v>
      </c>
      <c r="AS23" s="3695" t="s">
        <v>3013</v>
      </c>
      <c r="AT23" s="3714" t="s">
        <v>3014</v>
      </c>
      <c r="AU23" s="3715" t="s">
        <v>3015</v>
      </c>
      <c r="AV23" s="3714" t="s">
        <v>3206</v>
      </c>
      <c r="AW23" s="3716" t="s">
        <v>3207</v>
      </c>
      <c r="AX23" s="3716" t="s">
        <v>3272</v>
      </c>
      <c r="AY23" s="1162" t="str">
        <f t="shared" si="0"/>
        <v>* El número de Beneficiarios y/o Pueblos Originarios y/o Migrantes y/o Población SENAME NO DEBE ser mayor que el Total.</v>
      </c>
      <c r="AZ23" s="1058"/>
      <c r="BA23" s="1058"/>
      <c r="BB23" s="1058"/>
      <c r="BC23" s="1058"/>
      <c r="BD23" s="1058"/>
      <c r="BE23" s="1089"/>
      <c r="BF23" s="1089"/>
      <c r="BG23" s="1003"/>
      <c r="BH23" s="1003"/>
      <c r="BI23" s="1003"/>
      <c r="BJ23" s="1003"/>
      <c r="BK23" s="1003"/>
      <c r="BL23" s="1003"/>
      <c r="BM23" s="1003"/>
      <c r="BN23" s="1003"/>
      <c r="BO23" s="1003"/>
      <c r="BP23" s="1003"/>
      <c r="BQ23" s="1003"/>
      <c r="BR23" s="1003"/>
      <c r="BS23" s="1003"/>
      <c r="BT23" s="1003"/>
      <c r="BU23" s="1003"/>
      <c r="BV23" s="1003"/>
      <c r="BW23" s="1003"/>
      <c r="BX23" s="1003"/>
      <c r="BY23" s="1003"/>
      <c r="BZ23" s="1003"/>
      <c r="CA23" s="1003"/>
      <c r="CB23" s="1166" t="str">
        <f t="shared" si="1"/>
        <v/>
      </c>
      <c r="CC23" s="1166" t="str">
        <f t="shared" si="2"/>
        <v>* El número de Beneficiarios y/o Pueblos Originarios y/o Migrantes y/o Población SENAME NO DEBE ser mayor que el Total.</v>
      </c>
      <c r="CD23" s="1166"/>
      <c r="CE23" s="1166"/>
      <c r="CF23" s="1166"/>
      <c r="CG23" s="1166"/>
      <c r="CH23" s="1167">
        <f t="shared" si="3"/>
        <v>0</v>
      </c>
      <c r="CI23" s="1167">
        <f t="shared" si="4"/>
        <v>1</v>
      </c>
      <c r="CJ23" s="1011"/>
      <c r="CK23" s="1011"/>
      <c r="CL23" s="1011"/>
      <c r="CM23" s="1011"/>
      <c r="CN23" s="1011"/>
      <c r="CO23" s="1011"/>
      <c r="CP23" s="1011"/>
      <c r="CQ23" s="1012"/>
      <c r="CR23" s="1012"/>
      <c r="CS23" s="1012"/>
      <c r="CT23" s="1012"/>
      <c r="CU23" s="1012"/>
      <c r="CV23" s="1012"/>
      <c r="CW23" s="1012"/>
      <c r="CX23" s="1012"/>
      <c r="CY23" s="1012"/>
      <c r="CZ23" s="1012"/>
      <c r="DA23" s="1012"/>
    </row>
    <row r="24" spans="1:105" s="1006" customFormat="1" ht="16.350000000000001" customHeight="1" x14ac:dyDescent="0.2">
      <c r="A24" s="2549">
        <v>31000045</v>
      </c>
      <c r="B24" s="6906"/>
      <c r="C24" s="807" t="s">
        <v>1657</v>
      </c>
      <c r="D24" s="1181" t="s">
        <v>2777</v>
      </c>
      <c r="E24" s="807" t="s">
        <v>2778</v>
      </c>
      <c r="F24" s="3697" t="s">
        <v>2779</v>
      </c>
      <c r="G24" s="3698" t="s">
        <v>2780</v>
      </c>
      <c r="H24" s="3699" t="s">
        <v>2781</v>
      </c>
      <c r="I24" s="3700" t="s">
        <v>2782</v>
      </c>
      <c r="J24" s="3699" t="s">
        <v>2783</v>
      </c>
      <c r="K24" s="3700" t="s">
        <v>2784</v>
      </c>
      <c r="L24" s="3701" t="s">
        <v>2785</v>
      </c>
      <c r="M24" s="3700" t="s">
        <v>2786</v>
      </c>
      <c r="N24" s="3701" t="s">
        <v>2787</v>
      </c>
      <c r="O24" s="3700" t="s">
        <v>2788</v>
      </c>
      <c r="P24" s="3701" t="s">
        <v>2789</v>
      </c>
      <c r="Q24" s="3700" t="s">
        <v>2790</v>
      </c>
      <c r="R24" s="3701" t="s">
        <v>2791</v>
      </c>
      <c r="S24" s="3700" t="s">
        <v>2792</v>
      </c>
      <c r="T24" s="3701" t="s">
        <v>2793</v>
      </c>
      <c r="U24" s="3700" t="s">
        <v>2794</v>
      </c>
      <c r="V24" s="3701" t="s">
        <v>2795</v>
      </c>
      <c r="W24" s="3700" t="s">
        <v>2796</v>
      </c>
      <c r="X24" s="3701" t="s">
        <v>2797</v>
      </c>
      <c r="Y24" s="3700" t="s">
        <v>2798</v>
      </c>
      <c r="Z24" s="3701" t="s">
        <v>2799</v>
      </c>
      <c r="AA24" s="3700" t="s">
        <v>2800</v>
      </c>
      <c r="AB24" s="3701" t="s">
        <v>2801</v>
      </c>
      <c r="AC24" s="3700" t="s">
        <v>2817</v>
      </c>
      <c r="AD24" s="3701" t="s">
        <v>2818</v>
      </c>
      <c r="AE24" s="3700" t="s">
        <v>2819</v>
      </c>
      <c r="AF24" s="3701" t="s">
        <v>2821</v>
      </c>
      <c r="AG24" s="3700" t="s">
        <v>2822</v>
      </c>
      <c r="AH24" s="3701" t="s">
        <v>2823</v>
      </c>
      <c r="AI24" s="3700" t="s">
        <v>2824</v>
      </c>
      <c r="AJ24" s="3701" t="s">
        <v>2825</v>
      </c>
      <c r="AK24" s="3700" t="s">
        <v>2826</v>
      </c>
      <c r="AL24" s="3701" t="s">
        <v>2827</v>
      </c>
      <c r="AM24" s="3700" t="s">
        <v>2831</v>
      </c>
      <c r="AN24" s="3702" t="s">
        <v>2832</v>
      </c>
      <c r="AO24" s="3703" t="s">
        <v>2833</v>
      </c>
      <c r="AP24" s="3704" t="s">
        <v>2834</v>
      </c>
      <c r="AQ24" s="3701" t="s">
        <v>3011</v>
      </c>
      <c r="AR24" s="3704" t="s">
        <v>3012</v>
      </c>
      <c r="AS24" s="3705" t="s">
        <v>3013</v>
      </c>
      <c r="AT24" s="3717" t="s">
        <v>3014</v>
      </c>
      <c r="AU24" s="3718" t="s">
        <v>3015</v>
      </c>
      <c r="AV24" s="3717" t="s">
        <v>3206</v>
      </c>
      <c r="AW24" s="3719" t="s">
        <v>3207</v>
      </c>
      <c r="AX24" s="3719" t="s">
        <v>3272</v>
      </c>
      <c r="AY24" s="1162" t="str">
        <f t="shared" si="0"/>
        <v>* El número de Beneficiarios y/o Pueblos Originarios y/o Migrantes y/o Población SENAME NO DEBE ser mayor que el Total.</v>
      </c>
      <c r="AZ24" s="1058"/>
      <c r="BA24" s="1058"/>
      <c r="BB24" s="1058"/>
      <c r="BC24" s="1058"/>
      <c r="BD24" s="1058"/>
      <c r="BE24" s="1089"/>
      <c r="BF24" s="1089"/>
      <c r="BG24" s="1003"/>
      <c r="BH24" s="1003"/>
      <c r="BI24" s="1003"/>
      <c r="BJ24" s="1003"/>
      <c r="BK24" s="1003"/>
      <c r="BL24" s="1003"/>
      <c r="BM24" s="1003"/>
      <c r="BN24" s="1003"/>
      <c r="BO24" s="1003"/>
      <c r="BP24" s="1003"/>
      <c r="BQ24" s="1003"/>
      <c r="BR24" s="1003"/>
      <c r="BS24" s="1003"/>
      <c r="BT24" s="1003"/>
      <c r="BU24" s="1003"/>
      <c r="BV24" s="1003"/>
      <c r="BW24" s="1003"/>
      <c r="BX24" s="1003"/>
      <c r="BY24" s="1003"/>
      <c r="BZ24" s="1003"/>
      <c r="CA24" s="1003"/>
      <c r="CB24" s="1166" t="str">
        <f t="shared" si="1"/>
        <v/>
      </c>
      <c r="CC24" s="1166" t="str">
        <f t="shared" si="2"/>
        <v>* El número de Beneficiarios y/o Pueblos Originarios y/o Migrantes y/o Población SENAME NO DEBE ser mayor que el Total.</v>
      </c>
      <c r="CD24" s="1166"/>
      <c r="CE24" s="1166"/>
      <c r="CF24" s="1166"/>
      <c r="CG24" s="1166"/>
      <c r="CH24" s="1167">
        <f t="shared" si="3"/>
        <v>0</v>
      </c>
      <c r="CI24" s="1167">
        <f t="shared" si="4"/>
        <v>1</v>
      </c>
      <c r="CJ24" s="1011"/>
      <c r="CK24" s="1011"/>
      <c r="CL24" s="1011"/>
      <c r="CM24" s="1011"/>
      <c r="CN24" s="1011"/>
      <c r="CO24" s="1011"/>
      <c r="CP24" s="1011"/>
      <c r="CQ24" s="1012"/>
      <c r="CR24" s="1012"/>
      <c r="CS24" s="1012"/>
      <c r="CT24" s="1012"/>
      <c r="CU24" s="1012"/>
      <c r="CV24" s="1012"/>
      <c r="CW24" s="1012"/>
      <c r="CX24" s="1012"/>
      <c r="CY24" s="1012"/>
      <c r="CZ24" s="1012"/>
      <c r="DA24" s="1012"/>
    </row>
    <row r="25" spans="1:105" s="1006" customFormat="1" ht="16.350000000000001" customHeight="1" x14ac:dyDescent="0.2">
      <c r="A25" s="2549">
        <v>31000046</v>
      </c>
      <c r="B25" s="6906"/>
      <c r="C25" s="3662" t="s">
        <v>1624</v>
      </c>
      <c r="D25" s="1181" t="s">
        <v>2777</v>
      </c>
      <c r="E25" s="807" t="s">
        <v>2778</v>
      </c>
      <c r="F25" s="3697" t="s">
        <v>2779</v>
      </c>
      <c r="G25" s="3698" t="s">
        <v>2780</v>
      </c>
      <c r="H25" s="3699" t="s">
        <v>2781</v>
      </c>
      <c r="I25" s="3700" t="s">
        <v>2782</v>
      </c>
      <c r="J25" s="3699" t="s">
        <v>2783</v>
      </c>
      <c r="K25" s="3700" t="s">
        <v>2784</v>
      </c>
      <c r="L25" s="3701" t="s">
        <v>2785</v>
      </c>
      <c r="M25" s="3700" t="s">
        <v>2786</v>
      </c>
      <c r="N25" s="3701" t="s">
        <v>2787</v>
      </c>
      <c r="O25" s="3700" t="s">
        <v>2788</v>
      </c>
      <c r="P25" s="3701" t="s">
        <v>2789</v>
      </c>
      <c r="Q25" s="3700" t="s">
        <v>2790</v>
      </c>
      <c r="R25" s="3701" t="s">
        <v>2791</v>
      </c>
      <c r="S25" s="3700" t="s">
        <v>2792</v>
      </c>
      <c r="T25" s="3701" t="s">
        <v>2793</v>
      </c>
      <c r="U25" s="3700" t="s">
        <v>2794</v>
      </c>
      <c r="V25" s="3701" t="s">
        <v>2795</v>
      </c>
      <c r="W25" s="3700" t="s">
        <v>2796</v>
      </c>
      <c r="X25" s="3701" t="s">
        <v>2797</v>
      </c>
      <c r="Y25" s="3700" t="s">
        <v>2798</v>
      </c>
      <c r="Z25" s="3701" t="s">
        <v>2799</v>
      </c>
      <c r="AA25" s="3700" t="s">
        <v>2800</v>
      </c>
      <c r="AB25" s="3701" t="s">
        <v>2801</v>
      </c>
      <c r="AC25" s="3700" t="s">
        <v>2817</v>
      </c>
      <c r="AD25" s="3701" t="s">
        <v>2818</v>
      </c>
      <c r="AE25" s="3700" t="s">
        <v>2819</v>
      </c>
      <c r="AF25" s="3701" t="s">
        <v>2821</v>
      </c>
      <c r="AG25" s="3700" t="s">
        <v>2822</v>
      </c>
      <c r="AH25" s="3701" t="s">
        <v>2823</v>
      </c>
      <c r="AI25" s="3700" t="s">
        <v>2824</v>
      </c>
      <c r="AJ25" s="3701" t="s">
        <v>2825</v>
      </c>
      <c r="AK25" s="3700" t="s">
        <v>2826</v>
      </c>
      <c r="AL25" s="3701" t="s">
        <v>2827</v>
      </c>
      <c r="AM25" s="3700" t="s">
        <v>2831</v>
      </c>
      <c r="AN25" s="3702" t="s">
        <v>2832</v>
      </c>
      <c r="AO25" s="3703" t="s">
        <v>2833</v>
      </c>
      <c r="AP25" s="3704" t="s">
        <v>2834</v>
      </c>
      <c r="AQ25" s="3701" t="s">
        <v>3011</v>
      </c>
      <c r="AR25" s="3704" t="s">
        <v>3012</v>
      </c>
      <c r="AS25" s="3705" t="s">
        <v>3013</v>
      </c>
      <c r="AT25" s="3717" t="s">
        <v>3014</v>
      </c>
      <c r="AU25" s="3718" t="s">
        <v>3015</v>
      </c>
      <c r="AV25" s="3717" t="s">
        <v>3206</v>
      </c>
      <c r="AW25" s="3719" t="s">
        <v>3207</v>
      </c>
      <c r="AX25" s="3719" t="s">
        <v>3272</v>
      </c>
      <c r="AY25" s="1162" t="str">
        <f t="shared" si="0"/>
        <v>* El número de Beneficiarios y/o Pueblos Originarios y/o Migrantes y/o Población SENAME NO DEBE ser mayor que el Total.</v>
      </c>
      <c r="AZ25" s="1058"/>
      <c r="BA25" s="1058"/>
      <c r="BB25" s="1058"/>
      <c r="BC25" s="1058"/>
      <c r="BD25" s="1058"/>
      <c r="BE25" s="1089"/>
      <c r="BF25" s="1089"/>
      <c r="BG25" s="1003"/>
      <c r="BH25" s="1003"/>
      <c r="BI25" s="1003"/>
      <c r="BJ25" s="1003"/>
      <c r="BK25" s="1003"/>
      <c r="BL25" s="1003"/>
      <c r="BM25" s="1003"/>
      <c r="BN25" s="1003"/>
      <c r="BO25" s="1003"/>
      <c r="BP25" s="1003"/>
      <c r="BQ25" s="1003"/>
      <c r="BR25" s="1003"/>
      <c r="BS25" s="1003"/>
      <c r="BT25" s="1003"/>
      <c r="BU25" s="1003"/>
      <c r="BV25" s="1003"/>
      <c r="BW25" s="1003"/>
      <c r="BX25" s="1003"/>
      <c r="BY25" s="1003"/>
      <c r="BZ25" s="1003"/>
      <c r="CA25" s="1003"/>
      <c r="CB25" s="1166" t="str">
        <f t="shared" si="1"/>
        <v/>
      </c>
      <c r="CC25" s="1166" t="str">
        <f t="shared" si="2"/>
        <v>* El número de Beneficiarios y/o Pueblos Originarios y/o Migrantes y/o Población SENAME NO DEBE ser mayor que el Total.</v>
      </c>
      <c r="CD25" s="1166"/>
      <c r="CE25" s="1166"/>
      <c r="CF25" s="1166"/>
      <c r="CG25" s="1166"/>
      <c r="CH25" s="1167">
        <f t="shared" si="3"/>
        <v>0</v>
      </c>
      <c r="CI25" s="1167">
        <f t="shared" si="4"/>
        <v>1</v>
      </c>
      <c r="CJ25" s="1011"/>
      <c r="CK25" s="1011"/>
      <c r="CL25" s="1011"/>
      <c r="CM25" s="1011"/>
      <c r="CN25" s="1011"/>
      <c r="CO25" s="1011"/>
      <c r="CP25" s="1011"/>
      <c r="CQ25" s="1012"/>
      <c r="CR25" s="1012"/>
      <c r="CS25" s="1012"/>
      <c r="CT25" s="1012"/>
      <c r="CU25" s="1012"/>
      <c r="CV25" s="1012"/>
      <c r="CW25" s="1012"/>
      <c r="CX25" s="1012"/>
      <c r="CY25" s="1012"/>
      <c r="CZ25" s="1012"/>
      <c r="DA25" s="1012"/>
    </row>
    <row r="26" spans="1:105" s="1006" customFormat="1" ht="16.350000000000001" customHeight="1" x14ac:dyDescent="0.2">
      <c r="A26" s="2549">
        <v>31000004</v>
      </c>
      <c r="B26" s="6906"/>
      <c r="C26" s="807" t="s">
        <v>1454</v>
      </c>
      <c r="D26" s="1181" t="s">
        <v>2777</v>
      </c>
      <c r="E26" s="807" t="s">
        <v>2778</v>
      </c>
      <c r="F26" s="3697" t="s">
        <v>2779</v>
      </c>
      <c r="G26" s="3698" t="s">
        <v>2780</v>
      </c>
      <c r="H26" s="3699" t="s">
        <v>2781</v>
      </c>
      <c r="I26" s="3700" t="s">
        <v>2782</v>
      </c>
      <c r="J26" s="3699" t="s">
        <v>2783</v>
      </c>
      <c r="K26" s="3700" t="s">
        <v>2784</v>
      </c>
      <c r="L26" s="3701" t="s">
        <v>2785</v>
      </c>
      <c r="M26" s="3700" t="s">
        <v>2786</v>
      </c>
      <c r="N26" s="3701" t="s">
        <v>2787</v>
      </c>
      <c r="O26" s="3700" t="s">
        <v>2788</v>
      </c>
      <c r="P26" s="3701" t="s">
        <v>2789</v>
      </c>
      <c r="Q26" s="3700" t="s">
        <v>2790</v>
      </c>
      <c r="R26" s="3701" t="s">
        <v>2791</v>
      </c>
      <c r="S26" s="3700" t="s">
        <v>2792</v>
      </c>
      <c r="T26" s="3701" t="s">
        <v>2793</v>
      </c>
      <c r="U26" s="3700" t="s">
        <v>2794</v>
      </c>
      <c r="V26" s="3701" t="s">
        <v>2795</v>
      </c>
      <c r="W26" s="3700" t="s">
        <v>2796</v>
      </c>
      <c r="X26" s="3701" t="s">
        <v>2797</v>
      </c>
      <c r="Y26" s="3700" t="s">
        <v>2798</v>
      </c>
      <c r="Z26" s="3701" t="s">
        <v>2799</v>
      </c>
      <c r="AA26" s="3700" t="s">
        <v>2800</v>
      </c>
      <c r="AB26" s="3701" t="s">
        <v>2801</v>
      </c>
      <c r="AC26" s="3700" t="s">
        <v>2817</v>
      </c>
      <c r="AD26" s="3701" t="s">
        <v>2818</v>
      </c>
      <c r="AE26" s="3700" t="s">
        <v>2819</v>
      </c>
      <c r="AF26" s="3701" t="s">
        <v>2821</v>
      </c>
      <c r="AG26" s="3700" t="s">
        <v>2822</v>
      </c>
      <c r="AH26" s="3701" t="s">
        <v>2823</v>
      </c>
      <c r="AI26" s="3700" t="s">
        <v>2824</v>
      </c>
      <c r="AJ26" s="3701" t="s">
        <v>2825</v>
      </c>
      <c r="AK26" s="3700" t="s">
        <v>2826</v>
      </c>
      <c r="AL26" s="3701" t="s">
        <v>2827</v>
      </c>
      <c r="AM26" s="3700" t="s">
        <v>2831</v>
      </c>
      <c r="AN26" s="3702" t="s">
        <v>2832</v>
      </c>
      <c r="AO26" s="3703" t="s">
        <v>2833</v>
      </c>
      <c r="AP26" s="3704" t="s">
        <v>2834</v>
      </c>
      <c r="AQ26" s="3701" t="s">
        <v>3011</v>
      </c>
      <c r="AR26" s="3704" t="s">
        <v>3012</v>
      </c>
      <c r="AS26" s="3705" t="s">
        <v>3013</v>
      </c>
      <c r="AT26" s="3717" t="s">
        <v>3014</v>
      </c>
      <c r="AU26" s="3718" t="s">
        <v>3015</v>
      </c>
      <c r="AV26" s="3717" t="s">
        <v>3206</v>
      </c>
      <c r="AW26" s="3719" t="s">
        <v>3207</v>
      </c>
      <c r="AX26" s="3719" t="s">
        <v>3272</v>
      </c>
      <c r="AY26" s="1162" t="str">
        <f t="shared" si="0"/>
        <v>* El número de Beneficiarios y/o Pueblos Originarios y/o Migrantes y/o Población SENAME NO DEBE ser mayor que el Total.</v>
      </c>
      <c r="AZ26" s="1058"/>
      <c r="BA26" s="1058"/>
      <c r="BB26" s="1058"/>
      <c r="BC26" s="1058"/>
      <c r="BD26" s="1058"/>
      <c r="BE26" s="1089"/>
      <c r="BF26" s="1089"/>
      <c r="BG26" s="1003"/>
      <c r="BH26" s="1003"/>
      <c r="BI26" s="1003"/>
      <c r="BJ26" s="1003"/>
      <c r="BK26" s="1003"/>
      <c r="BL26" s="1003"/>
      <c r="BM26" s="1003"/>
      <c r="BN26" s="1003"/>
      <c r="BO26" s="1003"/>
      <c r="BP26" s="1003"/>
      <c r="BQ26" s="1003"/>
      <c r="BR26" s="1003"/>
      <c r="BS26" s="1003"/>
      <c r="BT26" s="1003"/>
      <c r="BU26" s="1003"/>
      <c r="BV26" s="1003"/>
      <c r="BW26" s="1003"/>
      <c r="BX26" s="1003"/>
      <c r="BY26" s="1003"/>
      <c r="BZ26" s="1003"/>
      <c r="CA26" s="1003"/>
      <c r="CB26" s="1166" t="str">
        <f t="shared" si="1"/>
        <v/>
      </c>
      <c r="CC26" s="1166" t="str">
        <f t="shared" si="2"/>
        <v>* El número de Beneficiarios y/o Pueblos Originarios y/o Migrantes y/o Población SENAME NO DEBE ser mayor que el Total.</v>
      </c>
      <c r="CD26" s="1166"/>
      <c r="CE26" s="1166"/>
      <c r="CF26" s="1166"/>
      <c r="CG26" s="1166"/>
      <c r="CH26" s="1167">
        <f t="shared" si="3"/>
        <v>0</v>
      </c>
      <c r="CI26" s="1167">
        <f t="shared" si="4"/>
        <v>1</v>
      </c>
      <c r="CJ26" s="1011"/>
      <c r="CK26" s="1011"/>
      <c r="CL26" s="1011"/>
      <c r="CM26" s="1011"/>
      <c r="CN26" s="1011"/>
      <c r="CO26" s="1011"/>
      <c r="CP26" s="1011"/>
      <c r="CQ26" s="1012"/>
      <c r="CR26" s="1012"/>
      <c r="CS26" s="1012"/>
      <c r="CT26" s="1012"/>
      <c r="CU26" s="1012"/>
      <c r="CV26" s="1012"/>
      <c r="CW26" s="1012"/>
      <c r="CX26" s="1012"/>
      <c r="CY26" s="1012"/>
      <c r="CZ26" s="1012"/>
      <c r="DA26" s="1012"/>
    </row>
    <row r="27" spans="1:105" s="1006" customFormat="1" ht="16.350000000000001" customHeight="1" x14ac:dyDescent="0.2">
      <c r="A27" s="2549">
        <v>31000003</v>
      </c>
      <c r="B27" s="6906"/>
      <c r="C27" s="3662" t="s">
        <v>1453</v>
      </c>
      <c r="D27" s="1181" t="s">
        <v>2777</v>
      </c>
      <c r="E27" s="807" t="s">
        <v>2778</v>
      </c>
      <c r="F27" s="3697" t="s">
        <v>2779</v>
      </c>
      <c r="G27" s="3698" t="s">
        <v>2780</v>
      </c>
      <c r="H27" s="3699" t="s">
        <v>2781</v>
      </c>
      <c r="I27" s="3700" t="s">
        <v>2782</v>
      </c>
      <c r="J27" s="3699" t="s">
        <v>2783</v>
      </c>
      <c r="K27" s="3700" t="s">
        <v>2784</v>
      </c>
      <c r="L27" s="3701" t="s">
        <v>2785</v>
      </c>
      <c r="M27" s="3700" t="s">
        <v>2786</v>
      </c>
      <c r="N27" s="3701" t="s">
        <v>2787</v>
      </c>
      <c r="O27" s="3700" t="s">
        <v>2788</v>
      </c>
      <c r="P27" s="3701" t="s">
        <v>2789</v>
      </c>
      <c r="Q27" s="3700" t="s">
        <v>2790</v>
      </c>
      <c r="R27" s="3701" t="s">
        <v>2791</v>
      </c>
      <c r="S27" s="3700" t="s">
        <v>2792</v>
      </c>
      <c r="T27" s="3701" t="s">
        <v>2793</v>
      </c>
      <c r="U27" s="3700" t="s">
        <v>2794</v>
      </c>
      <c r="V27" s="3701" t="s">
        <v>2795</v>
      </c>
      <c r="W27" s="3700" t="s">
        <v>2796</v>
      </c>
      <c r="X27" s="3701" t="s">
        <v>2797</v>
      </c>
      <c r="Y27" s="3700" t="s">
        <v>2798</v>
      </c>
      <c r="Z27" s="3701" t="s">
        <v>2799</v>
      </c>
      <c r="AA27" s="3700" t="s">
        <v>2800</v>
      </c>
      <c r="AB27" s="3701" t="s">
        <v>2801</v>
      </c>
      <c r="AC27" s="3700" t="s">
        <v>2817</v>
      </c>
      <c r="AD27" s="3701" t="s">
        <v>2818</v>
      </c>
      <c r="AE27" s="3700" t="s">
        <v>2819</v>
      </c>
      <c r="AF27" s="3701" t="s">
        <v>2821</v>
      </c>
      <c r="AG27" s="3700" t="s">
        <v>2822</v>
      </c>
      <c r="AH27" s="3701" t="s">
        <v>2823</v>
      </c>
      <c r="AI27" s="3700" t="s">
        <v>2824</v>
      </c>
      <c r="AJ27" s="3701" t="s">
        <v>2825</v>
      </c>
      <c r="AK27" s="3700" t="s">
        <v>2826</v>
      </c>
      <c r="AL27" s="3701" t="s">
        <v>2827</v>
      </c>
      <c r="AM27" s="3700" t="s">
        <v>2831</v>
      </c>
      <c r="AN27" s="3702" t="s">
        <v>2832</v>
      </c>
      <c r="AO27" s="3703" t="s">
        <v>2833</v>
      </c>
      <c r="AP27" s="3704" t="s">
        <v>2834</v>
      </c>
      <c r="AQ27" s="3701" t="s">
        <v>3011</v>
      </c>
      <c r="AR27" s="3704" t="s">
        <v>3012</v>
      </c>
      <c r="AS27" s="3705" t="s">
        <v>3013</v>
      </c>
      <c r="AT27" s="3717" t="s">
        <v>3014</v>
      </c>
      <c r="AU27" s="3718" t="s">
        <v>3015</v>
      </c>
      <c r="AV27" s="3717" t="s">
        <v>3206</v>
      </c>
      <c r="AW27" s="3719" t="s">
        <v>3207</v>
      </c>
      <c r="AX27" s="3719" t="s">
        <v>3272</v>
      </c>
      <c r="AY27" s="1162" t="str">
        <f t="shared" si="0"/>
        <v>* El número de Beneficiarios y/o Pueblos Originarios y/o Migrantes y/o Población SENAME NO DEBE ser mayor que el Total.</v>
      </c>
      <c r="AZ27" s="1058"/>
      <c r="BA27" s="1058"/>
      <c r="BB27" s="1058"/>
      <c r="BC27" s="1058"/>
      <c r="BD27" s="1058"/>
      <c r="BE27" s="1089"/>
      <c r="BF27" s="1089"/>
      <c r="BG27" s="1003"/>
      <c r="BH27" s="1003"/>
      <c r="BI27" s="1003"/>
      <c r="BJ27" s="1003"/>
      <c r="BK27" s="1003"/>
      <c r="BL27" s="1003"/>
      <c r="BM27" s="1003"/>
      <c r="BN27" s="1003"/>
      <c r="BO27" s="1003"/>
      <c r="BP27" s="1003"/>
      <c r="BQ27" s="1003"/>
      <c r="BR27" s="1003"/>
      <c r="BS27" s="1003"/>
      <c r="BT27" s="1003"/>
      <c r="BU27" s="1003"/>
      <c r="BV27" s="1003"/>
      <c r="BW27" s="1003"/>
      <c r="BX27" s="1003"/>
      <c r="BY27" s="1003"/>
      <c r="BZ27" s="1003"/>
      <c r="CA27" s="1003"/>
      <c r="CB27" s="1166" t="str">
        <f t="shared" si="1"/>
        <v/>
      </c>
      <c r="CC27" s="1166" t="str">
        <f t="shared" si="2"/>
        <v>* El número de Beneficiarios y/o Pueblos Originarios y/o Migrantes y/o Población SENAME NO DEBE ser mayor que el Total.</v>
      </c>
      <c r="CD27" s="1166"/>
      <c r="CE27" s="1166"/>
      <c r="CF27" s="1166"/>
      <c r="CG27" s="1166"/>
      <c r="CH27" s="1167">
        <f t="shared" si="3"/>
        <v>0</v>
      </c>
      <c r="CI27" s="1167">
        <f t="shared" si="4"/>
        <v>1</v>
      </c>
      <c r="CJ27" s="1011"/>
      <c r="CK27" s="1011"/>
      <c r="CL27" s="1011"/>
      <c r="CM27" s="1011"/>
      <c r="CN27" s="1011"/>
      <c r="CO27" s="1011"/>
      <c r="CP27" s="1011"/>
      <c r="CQ27" s="1012"/>
      <c r="CR27" s="1012"/>
      <c r="CS27" s="1012"/>
      <c r="CT27" s="1012"/>
      <c r="CU27" s="1012"/>
      <c r="CV27" s="1012"/>
      <c r="CW27" s="1012"/>
      <c r="CX27" s="1012"/>
      <c r="CY27" s="1012"/>
      <c r="CZ27" s="1012"/>
      <c r="DA27" s="1012"/>
    </row>
    <row r="28" spans="1:105" s="1006" customFormat="1" ht="16.350000000000001" customHeight="1" x14ac:dyDescent="0.2">
      <c r="A28" s="2549">
        <v>31000008</v>
      </c>
      <c r="B28" s="6907"/>
      <c r="C28" s="816" t="s">
        <v>1397</v>
      </c>
      <c r="D28" s="1181" t="s">
        <v>2777</v>
      </c>
      <c r="E28" s="807" t="s">
        <v>2778</v>
      </c>
      <c r="F28" s="3706" t="s">
        <v>2779</v>
      </c>
      <c r="G28" s="3698" t="s">
        <v>2780</v>
      </c>
      <c r="H28" s="3699" t="s">
        <v>2781</v>
      </c>
      <c r="I28" s="3700" t="s">
        <v>2782</v>
      </c>
      <c r="J28" s="3699" t="s">
        <v>2783</v>
      </c>
      <c r="K28" s="3700" t="s">
        <v>2784</v>
      </c>
      <c r="L28" s="3701" t="s">
        <v>2785</v>
      </c>
      <c r="M28" s="3700" t="s">
        <v>2786</v>
      </c>
      <c r="N28" s="3701" t="s">
        <v>2787</v>
      </c>
      <c r="O28" s="3700" t="s">
        <v>2788</v>
      </c>
      <c r="P28" s="3701" t="s">
        <v>2789</v>
      </c>
      <c r="Q28" s="3700" t="s">
        <v>2790</v>
      </c>
      <c r="R28" s="3701" t="s">
        <v>2791</v>
      </c>
      <c r="S28" s="3700" t="s">
        <v>2792</v>
      </c>
      <c r="T28" s="3701" t="s">
        <v>2793</v>
      </c>
      <c r="U28" s="3700" t="s">
        <v>2794</v>
      </c>
      <c r="V28" s="3701" t="s">
        <v>2795</v>
      </c>
      <c r="W28" s="3700" t="s">
        <v>2796</v>
      </c>
      <c r="X28" s="3701" t="s">
        <v>2797</v>
      </c>
      <c r="Y28" s="3700" t="s">
        <v>2798</v>
      </c>
      <c r="Z28" s="3701" t="s">
        <v>2799</v>
      </c>
      <c r="AA28" s="3700" t="s">
        <v>2800</v>
      </c>
      <c r="AB28" s="3701" t="s">
        <v>2801</v>
      </c>
      <c r="AC28" s="3700" t="s">
        <v>2817</v>
      </c>
      <c r="AD28" s="3701" t="s">
        <v>2818</v>
      </c>
      <c r="AE28" s="3700" t="s">
        <v>2819</v>
      </c>
      <c r="AF28" s="3701" t="s">
        <v>2821</v>
      </c>
      <c r="AG28" s="3700" t="s">
        <v>2822</v>
      </c>
      <c r="AH28" s="3701" t="s">
        <v>2823</v>
      </c>
      <c r="AI28" s="3700" t="s">
        <v>2824</v>
      </c>
      <c r="AJ28" s="3701" t="s">
        <v>2825</v>
      </c>
      <c r="AK28" s="3700" t="s">
        <v>2826</v>
      </c>
      <c r="AL28" s="3701" t="s">
        <v>2827</v>
      </c>
      <c r="AM28" s="3700" t="s">
        <v>2831</v>
      </c>
      <c r="AN28" s="3707" t="s">
        <v>2832</v>
      </c>
      <c r="AO28" s="3703" t="s">
        <v>2833</v>
      </c>
      <c r="AP28" s="3704" t="s">
        <v>2834</v>
      </c>
      <c r="AQ28" s="3701" t="s">
        <v>3011</v>
      </c>
      <c r="AR28" s="3704" t="s">
        <v>3012</v>
      </c>
      <c r="AS28" s="3705" t="s">
        <v>3013</v>
      </c>
      <c r="AT28" s="3717" t="s">
        <v>3014</v>
      </c>
      <c r="AU28" s="3718" t="s">
        <v>3015</v>
      </c>
      <c r="AV28" s="3717" t="s">
        <v>3206</v>
      </c>
      <c r="AW28" s="3719" t="s">
        <v>3207</v>
      </c>
      <c r="AX28" s="3719" t="s">
        <v>3272</v>
      </c>
      <c r="AY28" s="1162" t="str">
        <f t="shared" si="0"/>
        <v>* El número de Beneficiarios y/o Pueblos Originarios y/o Migrantes y/o Población SENAME NO DEBE ser mayor que el Total.</v>
      </c>
      <c r="AZ28" s="1058"/>
      <c r="BA28" s="1058"/>
      <c r="BB28" s="1058"/>
      <c r="BC28" s="1058"/>
      <c r="BD28" s="1058"/>
      <c r="BE28" s="1089"/>
      <c r="BF28" s="1089"/>
      <c r="BG28" s="1003"/>
      <c r="BH28" s="1003"/>
      <c r="BI28" s="1003"/>
      <c r="BJ28" s="1003"/>
      <c r="BK28" s="1003"/>
      <c r="BL28" s="1003"/>
      <c r="BM28" s="1003"/>
      <c r="BN28" s="1003"/>
      <c r="BO28" s="1003"/>
      <c r="BP28" s="1003"/>
      <c r="BQ28" s="1003"/>
      <c r="BR28" s="1003"/>
      <c r="BS28" s="1003"/>
      <c r="BT28" s="1003"/>
      <c r="BU28" s="1003"/>
      <c r="BV28" s="1003"/>
      <c r="BW28" s="1003"/>
      <c r="BX28" s="1003"/>
      <c r="BY28" s="1003"/>
      <c r="BZ28" s="1003"/>
      <c r="CA28" s="1003"/>
      <c r="CB28" s="1166" t="str">
        <f>IF(CH28=1,"* No olvide digitar la columna Beneficiarios y/o Pueblos Originario y/o Migrantes y/o Población SENAME (Digite Cero si no tiene). ","")</f>
        <v/>
      </c>
      <c r="CC28" s="1166" t="str">
        <f>IF(CI28=1,"* El número de Beneficiarios y/o Pueblos Originarios y/o Migrantes y/o Población SENAME NO DEBE ser mayor que el Total.","")</f>
        <v>* El número de Beneficiarios y/o Pueblos Originarios y/o Migrantes y/o Población SENAME NO DEBE ser mayor que el Total.</v>
      </c>
      <c r="CD28" s="1166"/>
      <c r="CE28" s="1166"/>
      <c r="CF28" s="1166"/>
      <c r="CG28" s="1166"/>
      <c r="CH28" s="1167">
        <f>IF(AND(D28&lt;&gt;0,OR(AP28="",AQ28="",AR28="",AS28="")),1,0)</f>
        <v>0</v>
      </c>
      <c r="CI28" s="1167">
        <f>IF(OR(D28&lt;AP28,D28&lt;AQ28,D28&lt;AR28,D28&lt;AS28),1,0)</f>
        <v>1</v>
      </c>
      <c r="CJ28" s="1011"/>
      <c r="CK28" s="1011"/>
      <c r="CL28" s="1011"/>
      <c r="CM28" s="1011"/>
      <c r="CN28" s="1011"/>
      <c r="CO28" s="1011"/>
      <c r="CP28" s="1011"/>
      <c r="CQ28" s="1012"/>
      <c r="CR28" s="1012"/>
      <c r="CS28" s="1012"/>
      <c r="CT28" s="1012"/>
      <c r="CU28" s="1012"/>
      <c r="CV28" s="1012"/>
      <c r="CW28" s="1012"/>
      <c r="CX28" s="1012"/>
      <c r="CY28" s="1012"/>
      <c r="CZ28" s="1012"/>
      <c r="DA28" s="1012"/>
    </row>
    <row r="29" spans="1:105" s="1006" customFormat="1" ht="21.75" customHeight="1" x14ac:dyDescent="0.2">
      <c r="A29" s="3663"/>
      <c r="B29" s="6874" t="s">
        <v>210</v>
      </c>
      <c r="C29" s="6253"/>
      <c r="D29" s="1756">
        <f>SUM(E29:F29)</f>
        <v>0</v>
      </c>
      <c r="E29" s="1767">
        <f>+G29+I29+K29+M29+O29+Q29+S29+U29+W29+Y29+AA29+AC29+AE29+AG29+AI29+AK29+AM29</f>
        <v>0</v>
      </c>
      <c r="F29" s="1756">
        <f>+H29+J29+L29+N29+P29+R29+T29+V29+X29+Z29+AB29+AD29+AF29+AH29+AJ29+AL29+AN29</f>
        <v>0</v>
      </c>
      <c r="G29" s="1764">
        <f>SUM(G13:G28)</f>
        <v>0</v>
      </c>
      <c r="H29" s="1763">
        <f>SUM(H13:H28)</f>
        <v>0</v>
      </c>
      <c r="I29" s="1764">
        <f t="shared" ref="I29:AX29" si="5">SUM(I13:I28)</f>
        <v>0</v>
      </c>
      <c r="J29" s="1763">
        <f t="shared" si="5"/>
        <v>0</v>
      </c>
      <c r="K29" s="1764">
        <f t="shared" si="5"/>
        <v>0</v>
      </c>
      <c r="L29" s="1763">
        <f t="shared" si="5"/>
        <v>0</v>
      </c>
      <c r="M29" s="1764">
        <f t="shared" si="5"/>
        <v>0</v>
      </c>
      <c r="N29" s="1763">
        <f t="shared" si="5"/>
        <v>0</v>
      </c>
      <c r="O29" s="1764">
        <f t="shared" si="5"/>
        <v>0</v>
      </c>
      <c r="P29" s="1763">
        <f t="shared" si="5"/>
        <v>0</v>
      </c>
      <c r="Q29" s="1764">
        <f t="shared" si="5"/>
        <v>0</v>
      </c>
      <c r="R29" s="1763">
        <f t="shared" si="5"/>
        <v>0</v>
      </c>
      <c r="S29" s="1764">
        <f t="shared" si="5"/>
        <v>0</v>
      </c>
      <c r="T29" s="1763">
        <f t="shared" si="5"/>
        <v>0</v>
      </c>
      <c r="U29" s="1764">
        <f t="shared" si="5"/>
        <v>0</v>
      </c>
      <c r="V29" s="1763">
        <f t="shared" si="5"/>
        <v>0</v>
      </c>
      <c r="W29" s="1764">
        <f t="shared" si="5"/>
        <v>0</v>
      </c>
      <c r="X29" s="1763">
        <f t="shared" si="5"/>
        <v>0</v>
      </c>
      <c r="Y29" s="1764">
        <f t="shared" si="5"/>
        <v>0</v>
      </c>
      <c r="Z29" s="1763">
        <f t="shared" si="5"/>
        <v>0</v>
      </c>
      <c r="AA29" s="1764">
        <f t="shared" si="5"/>
        <v>0</v>
      </c>
      <c r="AB29" s="1763">
        <f t="shared" si="5"/>
        <v>0</v>
      </c>
      <c r="AC29" s="1764">
        <f t="shared" si="5"/>
        <v>0</v>
      </c>
      <c r="AD29" s="1763">
        <f t="shared" si="5"/>
        <v>0</v>
      </c>
      <c r="AE29" s="1764">
        <f t="shared" si="5"/>
        <v>0</v>
      </c>
      <c r="AF29" s="1763">
        <f t="shared" si="5"/>
        <v>0</v>
      </c>
      <c r="AG29" s="1764">
        <f t="shared" si="5"/>
        <v>0</v>
      </c>
      <c r="AH29" s="1763">
        <f t="shared" si="5"/>
        <v>0</v>
      </c>
      <c r="AI29" s="1764">
        <f t="shared" si="5"/>
        <v>0</v>
      </c>
      <c r="AJ29" s="1763">
        <f t="shared" si="5"/>
        <v>0</v>
      </c>
      <c r="AK29" s="1764">
        <f t="shared" si="5"/>
        <v>0</v>
      </c>
      <c r="AL29" s="1763">
        <f t="shared" si="5"/>
        <v>0</v>
      </c>
      <c r="AM29" s="1764">
        <f t="shared" si="5"/>
        <v>0</v>
      </c>
      <c r="AN29" s="781">
        <f t="shared" si="5"/>
        <v>0</v>
      </c>
      <c r="AO29" s="1769">
        <f t="shared" si="5"/>
        <v>0</v>
      </c>
      <c r="AP29" s="1767">
        <f t="shared" si="5"/>
        <v>0</v>
      </c>
      <c r="AQ29" s="1756">
        <f t="shared" si="5"/>
        <v>0</v>
      </c>
      <c r="AR29" s="1767">
        <f t="shared" si="5"/>
        <v>0</v>
      </c>
      <c r="AS29" s="1768">
        <f t="shared" si="5"/>
        <v>0</v>
      </c>
      <c r="AT29" s="1756">
        <f t="shared" si="5"/>
        <v>0</v>
      </c>
      <c r="AU29" s="1768">
        <f t="shared" si="5"/>
        <v>0</v>
      </c>
      <c r="AV29" s="1756">
        <f t="shared" si="5"/>
        <v>0</v>
      </c>
      <c r="AW29" s="1767">
        <f t="shared" si="5"/>
        <v>0</v>
      </c>
      <c r="AX29" s="1767">
        <f t="shared" si="5"/>
        <v>0</v>
      </c>
      <c r="AY29" s="1089"/>
      <c r="AZ29" s="1089"/>
      <c r="BA29" s="1089"/>
      <c r="BB29" s="1089"/>
      <c r="BC29" s="1089"/>
      <c r="BD29" s="1089"/>
      <c r="BE29" s="1089"/>
      <c r="BF29" s="1089"/>
      <c r="BG29" s="1003"/>
      <c r="BH29" s="1003"/>
      <c r="BI29" s="1003"/>
      <c r="BJ29" s="1003"/>
      <c r="BK29" s="1003"/>
      <c r="BL29" s="1003"/>
      <c r="BM29" s="1003"/>
      <c r="BN29" s="1003"/>
      <c r="BO29" s="1003"/>
      <c r="BP29" s="1003"/>
      <c r="BQ29" s="1003"/>
      <c r="BR29" s="1003"/>
      <c r="BS29" s="1003"/>
      <c r="BT29" s="1003"/>
      <c r="BU29" s="1003"/>
      <c r="BV29" s="1003"/>
      <c r="BW29" s="1003"/>
      <c r="BX29" s="1003"/>
      <c r="BY29" s="1003"/>
      <c r="BZ29" s="1003"/>
      <c r="CA29" s="1003"/>
      <c r="CB29" s="1011"/>
      <c r="CC29" s="1011"/>
      <c r="CD29" s="1011"/>
      <c r="CE29" s="1011"/>
      <c r="CF29" s="1011"/>
      <c r="CG29" s="1011"/>
      <c r="CH29" s="1039"/>
      <c r="CI29" s="1039"/>
      <c r="CJ29" s="1011"/>
      <c r="CK29" s="1011"/>
      <c r="CL29" s="1011"/>
      <c r="CM29" s="1011"/>
      <c r="CN29" s="1011"/>
      <c r="CO29" s="1011"/>
      <c r="CP29" s="1011"/>
      <c r="CQ29" s="1012"/>
      <c r="CR29" s="1012"/>
      <c r="CS29" s="1012"/>
      <c r="CT29" s="1012"/>
      <c r="CU29" s="1012"/>
      <c r="CV29" s="1012"/>
      <c r="CW29" s="1012"/>
      <c r="CX29" s="1012"/>
      <c r="CY29" s="1012"/>
      <c r="CZ29" s="1012"/>
      <c r="DA29" s="1012"/>
    </row>
    <row r="30" spans="1:105" ht="32.1" customHeight="1" x14ac:dyDescent="0.25">
      <c r="B30" s="4824" t="s">
        <v>3952</v>
      </c>
      <c r="C30" s="4825"/>
      <c r="D30" s="4825"/>
      <c r="E30" s="4825"/>
      <c r="F30" s="4825"/>
      <c r="G30" s="4825"/>
      <c r="H30" s="4825"/>
      <c r="I30" s="4825"/>
      <c r="J30" s="4825"/>
      <c r="K30" s="4825"/>
      <c r="L30" s="4825"/>
      <c r="M30" s="4825"/>
      <c r="N30" s="4825"/>
      <c r="O30" s="4825"/>
      <c r="P30" s="4825"/>
      <c r="Q30" s="4825"/>
      <c r="R30" s="4825"/>
      <c r="S30" s="4825"/>
      <c r="T30" s="4825"/>
      <c r="U30" s="4825"/>
      <c r="V30" s="4825"/>
      <c r="W30" s="4825"/>
      <c r="X30" s="4825"/>
      <c r="Y30" s="4825"/>
      <c r="Z30" s="4825"/>
      <c r="AA30" s="4825"/>
      <c r="AB30" s="4825"/>
      <c r="AC30" s="4825"/>
      <c r="AD30" s="4825"/>
      <c r="AE30" s="4825"/>
      <c r="AF30" s="4825"/>
      <c r="AG30" s="4825"/>
      <c r="AH30" s="1002"/>
      <c r="AI30" s="1002"/>
      <c r="AJ30" s="1002"/>
      <c r="AK30" s="1002"/>
      <c r="AL30" s="1002"/>
      <c r="AM30" s="1002"/>
      <c r="AN30" s="1002"/>
      <c r="AO30" s="1002"/>
      <c r="AP30" s="1002"/>
      <c r="AQ30" s="998"/>
      <c r="AR30" s="998"/>
      <c r="AS30" s="998"/>
      <c r="AT30" s="998"/>
      <c r="AU30" s="998"/>
      <c r="AV30" s="998"/>
      <c r="AW30" s="998"/>
      <c r="AX30" s="998"/>
      <c r="AY30" s="998"/>
      <c r="AZ30" s="998"/>
      <c r="BA30" s="998"/>
      <c r="BB30" s="998"/>
      <c r="BC30" s="998"/>
      <c r="BD30" s="998"/>
      <c r="BE30" s="998"/>
      <c r="BF30" s="998"/>
      <c r="BG30" s="1002"/>
      <c r="BH30" s="1002"/>
      <c r="BI30" s="1002"/>
      <c r="BJ30" s="1002"/>
      <c r="BK30" s="1002"/>
      <c r="BL30" s="1002"/>
      <c r="BM30" s="1002"/>
      <c r="BN30" s="1002"/>
      <c r="BO30" s="1002"/>
      <c r="BP30" s="1002"/>
      <c r="BQ30" s="1002"/>
      <c r="BR30" s="1002"/>
      <c r="BS30" s="1002"/>
      <c r="BT30" s="1002"/>
      <c r="BU30" s="1002"/>
      <c r="BV30" s="1002"/>
      <c r="BW30" s="1002"/>
      <c r="BX30" s="1002"/>
      <c r="BY30" s="1002"/>
      <c r="BZ30" s="1002"/>
      <c r="CA30" s="1002"/>
      <c r="CB30" s="1000"/>
      <c r="CC30" s="1000"/>
      <c r="CD30" s="1000"/>
      <c r="CE30" s="1000"/>
      <c r="CF30" s="1000"/>
      <c r="CG30" s="1000"/>
      <c r="CH30" s="1040"/>
      <c r="CI30" s="1040"/>
      <c r="CJ30" s="1000"/>
      <c r="CK30" s="1000"/>
      <c r="CL30" s="1000"/>
      <c r="CM30" s="1000"/>
      <c r="CN30" s="1000"/>
      <c r="CO30" s="1000"/>
      <c r="CP30" s="1000"/>
    </row>
    <row r="31" spans="1:105" ht="16.350000000000001" customHeight="1" x14ac:dyDescent="0.25">
      <c r="B31" s="6779" t="s">
        <v>1393</v>
      </c>
      <c r="C31" s="6779" t="s">
        <v>210</v>
      </c>
      <c r="D31" s="6908" t="s">
        <v>1394</v>
      </c>
      <c r="E31" s="6876" t="s">
        <v>1395</v>
      </c>
      <c r="F31" s="6910" t="s">
        <v>1396</v>
      </c>
      <c r="G31" s="6912" t="s">
        <v>1452</v>
      </c>
      <c r="H31" s="6913"/>
      <c r="I31" s="6913"/>
      <c r="J31" s="6913"/>
      <c r="K31" s="6913"/>
      <c r="L31" s="6913"/>
      <c r="M31" s="6913"/>
      <c r="N31" s="6913"/>
      <c r="O31" s="6913"/>
      <c r="P31" s="6913"/>
      <c r="Q31" s="6913"/>
      <c r="R31" s="6913"/>
      <c r="S31" s="6913"/>
      <c r="T31" s="6913"/>
      <c r="U31" s="6913"/>
      <c r="V31" s="6913"/>
      <c r="W31" s="6913"/>
      <c r="X31" s="6913"/>
      <c r="Y31" s="6913"/>
      <c r="Z31" s="6913"/>
      <c r="AA31" s="6913"/>
      <c r="AB31" s="6913"/>
      <c r="AC31" s="6913"/>
      <c r="AD31" s="6913"/>
      <c r="AE31" s="6913"/>
      <c r="AF31" s="6913"/>
      <c r="AG31" s="6274"/>
      <c r="AH31" s="998"/>
      <c r="AI31" s="998"/>
      <c r="AJ31" s="998"/>
      <c r="AK31" s="998"/>
      <c r="AL31" s="998"/>
      <c r="AM31" s="998"/>
      <c r="AN31" s="998"/>
      <c r="AO31" s="998"/>
      <c r="AP31" s="998"/>
      <c r="AQ31" s="998"/>
      <c r="AR31" s="998"/>
      <c r="AS31" s="998"/>
      <c r="AT31" s="998"/>
      <c r="AU31" s="998"/>
      <c r="AV31" s="998"/>
      <c r="AW31" s="998"/>
      <c r="AX31" s="1002"/>
      <c r="AY31" s="1002"/>
      <c r="AZ31" s="1002"/>
      <c r="BA31" s="1002"/>
      <c r="BB31" s="1002"/>
      <c r="BC31" s="1002"/>
      <c r="BD31" s="1002"/>
      <c r="BE31" s="1002"/>
      <c r="BF31" s="1002"/>
      <c r="BG31" s="1002"/>
      <c r="BH31" s="1002"/>
      <c r="BI31" s="1002"/>
      <c r="BJ31" s="1002"/>
      <c r="BK31" s="1002"/>
      <c r="BL31" s="1002"/>
      <c r="BM31" s="1002"/>
      <c r="BS31" s="1002"/>
      <c r="BT31" s="1002"/>
      <c r="BU31" s="1002"/>
      <c r="BV31" s="1002"/>
      <c r="BW31" s="1002"/>
      <c r="CB31" s="1000"/>
      <c r="CC31" s="1000"/>
      <c r="CD31" s="1000"/>
      <c r="CE31" s="1000"/>
      <c r="CF31" s="1000"/>
      <c r="CG31" s="1000"/>
      <c r="CH31" s="1040"/>
      <c r="CI31" s="1040"/>
      <c r="CJ31" s="1000"/>
      <c r="CK31" s="1000"/>
      <c r="CL31" s="1000"/>
      <c r="CM31" s="1000"/>
      <c r="CN31" s="1000"/>
      <c r="CO31" s="1000"/>
      <c r="CP31" s="1000"/>
    </row>
    <row r="32" spans="1:105" ht="44.25" customHeight="1" x14ac:dyDescent="0.25">
      <c r="B32" s="6780"/>
      <c r="C32" s="6780"/>
      <c r="D32" s="6909"/>
      <c r="E32" s="6877"/>
      <c r="F32" s="6911"/>
      <c r="G32" s="4826" t="s">
        <v>1609</v>
      </c>
      <c r="H32" s="4827" t="s">
        <v>1619</v>
      </c>
      <c r="I32" s="4827" t="s">
        <v>1610</v>
      </c>
      <c r="J32" s="4827" t="s">
        <v>1620</v>
      </c>
      <c r="K32" s="4828" t="s">
        <v>1457</v>
      </c>
      <c r="L32" s="4829" t="s">
        <v>1626</v>
      </c>
      <c r="M32" s="4770" t="s">
        <v>1639</v>
      </c>
      <c r="N32" s="4829" t="s">
        <v>1637</v>
      </c>
      <c r="O32" s="4829" t="s">
        <v>1633</v>
      </c>
      <c r="P32" s="4830" t="s">
        <v>1621</v>
      </c>
      <c r="Q32" s="4827" t="s">
        <v>1628</v>
      </c>
      <c r="R32" s="4827" t="s">
        <v>1612</v>
      </c>
      <c r="S32" s="4827" t="s">
        <v>1613</v>
      </c>
      <c r="T32" s="4830" t="s">
        <v>1622</v>
      </c>
      <c r="U32" s="4827" t="s">
        <v>1632</v>
      </c>
      <c r="V32" s="4827" t="s">
        <v>2206</v>
      </c>
      <c r="W32" s="4831" t="s">
        <v>1614</v>
      </c>
      <c r="X32" s="4827" t="s">
        <v>1455</v>
      </c>
      <c r="Y32" s="4830" t="s">
        <v>1623</v>
      </c>
      <c r="Z32" s="4829" t="s">
        <v>1624</v>
      </c>
      <c r="AA32" s="4770" t="s">
        <v>1625</v>
      </c>
      <c r="AB32" s="4829" t="s">
        <v>2212</v>
      </c>
      <c r="AC32" s="4829" t="s">
        <v>1454</v>
      </c>
      <c r="AD32" s="4830" t="s">
        <v>1453</v>
      </c>
      <c r="AE32" s="4829" t="s">
        <v>1456</v>
      </c>
      <c r="AF32" s="4829" t="s">
        <v>1638</v>
      </c>
      <c r="AG32" s="4771" t="s">
        <v>1640</v>
      </c>
      <c r="AH32" s="998"/>
      <c r="AI32" s="998"/>
      <c r="AJ32" s="998"/>
      <c r="AK32" s="998"/>
      <c r="AL32" s="998"/>
      <c r="AM32" s="998"/>
      <c r="AN32" s="998"/>
      <c r="AO32" s="998"/>
      <c r="AP32" s="998"/>
      <c r="AQ32" s="998"/>
      <c r="AR32" s="998"/>
      <c r="AS32" s="998"/>
      <c r="AT32" s="998"/>
      <c r="AU32" s="998"/>
      <c r="AV32" s="998"/>
      <c r="AW32" s="998"/>
      <c r="AX32" s="1002"/>
      <c r="AY32" s="1002"/>
      <c r="AZ32" s="1002"/>
      <c r="BA32" s="1002"/>
      <c r="BB32" s="1002"/>
      <c r="BC32" s="1002"/>
      <c r="BD32" s="1002"/>
      <c r="BE32" s="1002"/>
      <c r="BF32" s="1002"/>
      <c r="BG32" s="1002"/>
      <c r="BH32" s="1002"/>
      <c r="BI32" s="1002"/>
      <c r="BJ32" s="1002"/>
      <c r="BK32" s="1002"/>
      <c r="BL32" s="1002"/>
      <c r="BM32" s="1002"/>
      <c r="BS32" s="1002"/>
      <c r="BT32" s="1002"/>
      <c r="BU32" s="1002"/>
      <c r="BV32" s="1002"/>
      <c r="BW32" s="1002"/>
      <c r="CB32" s="1000"/>
      <c r="CC32" s="1000"/>
      <c r="CD32" s="1000"/>
      <c r="CE32" s="1000"/>
      <c r="CF32" s="1000"/>
      <c r="CG32" s="1000"/>
      <c r="CH32" s="1040"/>
      <c r="CI32" s="1040"/>
      <c r="CJ32" s="1000"/>
      <c r="CK32" s="1000"/>
      <c r="CL32" s="1000"/>
      <c r="CM32" s="1000"/>
      <c r="CN32" s="1000"/>
      <c r="CO32" s="1000"/>
      <c r="CP32" s="1000"/>
    </row>
    <row r="33" spans="1:94" ht="19.5" customHeight="1" x14ac:dyDescent="0.25">
      <c r="A33" s="2549">
        <v>31000012</v>
      </c>
      <c r="B33" s="4832" t="s">
        <v>289</v>
      </c>
      <c r="C33" s="1615" t="s">
        <v>2777</v>
      </c>
      <c r="D33" s="3962" t="s">
        <v>2778</v>
      </c>
      <c r="E33" s="3635" t="s">
        <v>2779</v>
      </c>
      <c r="F33" s="4128" t="s">
        <v>2780</v>
      </c>
      <c r="G33" s="3962" t="s">
        <v>2781</v>
      </c>
      <c r="H33" s="4833" t="s">
        <v>2782</v>
      </c>
      <c r="I33" s="4833" t="s">
        <v>2783</v>
      </c>
      <c r="J33" s="4833" t="s">
        <v>2784</v>
      </c>
      <c r="K33" s="4834" t="s">
        <v>2785</v>
      </c>
      <c r="L33" s="4833" t="s">
        <v>2786</v>
      </c>
      <c r="M33" s="4833" t="s">
        <v>2787</v>
      </c>
      <c r="N33" s="4833" t="s">
        <v>2788</v>
      </c>
      <c r="O33" s="4833" t="s">
        <v>2789</v>
      </c>
      <c r="P33" s="4833" t="s">
        <v>2790</v>
      </c>
      <c r="Q33" s="4833" t="s">
        <v>2791</v>
      </c>
      <c r="R33" s="4833" t="s">
        <v>2792</v>
      </c>
      <c r="S33" s="4833" t="s">
        <v>2793</v>
      </c>
      <c r="T33" s="4833" t="s">
        <v>2794</v>
      </c>
      <c r="U33" s="3635" t="s">
        <v>2795</v>
      </c>
      <c r="V33" s="4833" t="s">
        <v>2796</v>
      </c>
      <c r="W33" s="4833" t="s">
        <v>2797</v>
      </c>
      <c r="X33" s="4833" t="s">
        <v>2798</v>
      </c>
      <c r="Y33" s="4833" t="s">
        <v>2799</v>
      </c>
      <c r="Z33" s="4833" t="s">
        <v>2800</v>
      </c>
      <c r="AA33" s="4833" t="s">
        <v>2801</v>
      </c>
      <c r="AB33" s="4833" t="s">
        <v>2817</v>
      </c>
      <c r="AC33" s="4833" t="s">
        <v>2818</v>
      </c>
      <c r="AD33" s="4833" t="s">
        <v>2819</v>
      </c>
      <c r="AE33" s="4833" t="s">
        <v>2821</v>
      </c>
      <c r="AF33" s="4833" t="s">
        <v>2822</v>
      </c>
      <c r="AG33" s="3975" t="s">
        <v>2823</v>
      </c>
      <c r="AH33" s="1162"/>
      <c r="AI33" s="998"/>
      <c r="AJ33" s="998"/>
      <c r="AK33" s="998"/>
      <c r="AL33" s="998"/>
      <c r="AM33" s="998"/>
      <c r="AN33" s="998"/>
      <c r="AO33" s="998"/>
      <c r="AP33" s="998"/>
      <c r="AQ33" s="998"/>
      <c r="AR33" s="998"/>
      <c r="AS33" s="998"/>
      <c r="AT33" s="998"/>
      <c r="AU33" s="998"/>
      <c r="AV33" s="998"/>
      <c r="AW33" s="998"/>
      <c r="AX33" s="1002"/>
      <c r="AY33" s="1002"/>
      <c r="AZ33" s="1002"/>
      <c r="BA33" s="1002"/>
      <c r="BB33" s="1002"/>
      <c r="BC33" s="1002"/>
      <c r="BD33" s="1002"/>
      <c r="BE33" s="1002"/>
      <c r="BF33" s="1002"/>
      <c r="BG33" s="1002"/>
      <c r="BH33" s="1002"/>
      <c r="BI33" s="1002"/>
      <c r="BJ33" s="1002"/>
      <c r="BK33" s="1002"/>
      <c r="BL33" s="1002"/>
      <c r="BM33" s="1002"/>
      <c r="BS33" s="1002"/>
      <c r="BT33" s="1002"/>
      <c r="BU33" s="1002"/>
      <c r="BV33" s="1002"/>
      <c r="BW33" s="1002"/>
      <c r="CB33" s="1166"/>
      <c r="CC33" s="1166"/>
      <c r="CD33" s="1166"/>
      <c r="CE33" s="1166"/>
      <c r="CF33" s="1166"/>
      <c r="CG33" s="1166"/>
      <c r="CH33" s="1167"/>
      <c r="CI33" s="1167"/>
      <c r="CJ33" s="1000"/>
      <c r="CK33" s="1000"/>
      <c r="CL33" s="1000"/>
      <c r="CM33" s="1000"/>
      <c r="CN33" s="1000"/>
      <c r="CO33" s="1000"/>
      <c r="CP33" s="1000"/>
    </row>
    <row r="34" spans="1:94" ht="19.5" customHeight="1" x14ac:dyDescent="0.25">
      <c r="A34" s="2549">
        <v>31000013</v>
      </c>
      <c r="B34" s="4835" t="s">
        <v>1418</v>
      </c>
      <c r="C34" s="1615" t="s">
        <v>2777</v>
      </c>
      <c r="D34" s="141" t="s">
        <v>2778</v>
      </c>
      <c r="E34" s="180" t="s">
        <v>2779</v>
      </c>
      <c r="F34" s="163" t="s">
        <v>2780</v>
      </c>
      <c r="G34" s="141" t="s">
        <v>2781</v>
      </c>
      <c r="H34" s="142" t="s">
        <v>2782</v>
      </c>
      <c r="I34" s="142" t="s">
        <v>2783</v>
      </c>
      <c r="J34" s="142" t="s">
        <v>2784</v>
      </c>
      <c r="K34" s="247" t="s">
        <v>2785</v>
      </c>
      <c r="L34" s="142" t="s">
        <v>2786</v>
      </c>
      <c r="M34" s="142" t="s">
        <v>2787</v>
      </c>
      <c r="N34" s="142" t="s">
        <v>2788</v>
      </c>
      <c r="O34" s="142" t="s">
        <v>2789</v>
      </c>
      <c r="P34" s="142" t="s">
        <v>2790</v>
      </c>
      <c r="Q34" s="142" t="s">
        <v>2791</v>
      </c>
      <c r="R34" s="142" t="s">
        <v>2792</v>
      </c>
      <c r="S34" s="142" t="s">
        <v>2793</v>
      </c>
      <c r="T34" s="142" t="s">
        <v>2794</v>
      </c>
      <c r="U34" s="180" t="s">
        <v>2795</v>
      </c>
      <c r="V34" s="142" t="s">
        <v>2796</v>
      </c>
      <c r="W34" s="142" t="s">
        <v>2797</v>
      </c>
      <c r="X34" s="142" t="s">
        <v>2798</v>
      </c>
      <c r="Y34" s="142" t="s">
        <v>2799</v>
      </c>
      <c r="Z34" s="142" t="s">
        <v>2800</v>
      </c>
      <c r="AA34" s="142" t="s">
        <v>2801</v>
      </c>
      <c r="AB34" s="142" t="s">
        <v>2817</v>
      </c>
      <c r="AC34" s="142" t="s">
        <v>2818</v>
      </c>
      <c r="AD34" s="142" t="s">
        <v>2819</v>
      </c>
      <c r="AE34" s="142" t="s">
        <v>2821</v>
      </c>
      <c r="AF34" s="142" t="s">
        <v>2822</v>
      </c>
      <c r="AG34" s="498" t="s">
        <v>2823</v>
      </c>
      <c r="AH34" s="1162"/>
      <c r="AI34" s="998"/>
      <c r="AJ34" s="998"/>
      <c r="AK34" s="998"/>
      <c r="AL34" s="998"/>
      <c r="AM34" s="998"/>
      <c r="AN34" s="998"/>
      <c r="AO34" s="998"/>
      <c r="AP34" s="998"/>
      <c r="AQ34" s="998"/>
      <c r="AR34" s="998"/>
      <c r="AS34" s="998"/>
      <c r="AT34" s="998"/>
      <c r="AU34" s="998"/>
      <c r="AV34" s="998"/>
      <c r="AW34" s="998"/>
      <c r="AX34" s="1002"/>
      <c r="AY34" s="1002"/>
      <c r="AZ34" s="1002"/>
      <c r="BA34" s="1002"/>
      <c r="BB34" s="1002"/>
      <c r="BC34" s="1002"/>
      <c r="BD34" s="1002"/>
      <c r="BE34" s="1002"/>
      <c r="BF34" s="1002"/>
      <c r="BG34" s="1002"/>
      <c r="BH34" s="1002"/>
      <c r="BI34" s="1002"/>
      <c r="BJ34" s="1002"/>
      <c r="BK34" s="1002"/>
      <c r="BL34" s="1002"/>
      <c r="BM34" s="1002"/>
      <c r="BS34" s="1002"/>
      <c r="BT34" s="1002"/>
      <c r="BU34" s="1002"/>
      <c r="BV34" s="1002"/>
      <c r="BW34" s="1002"/>
      <c r="CB34" s="1166"/>
      <c r="CC34" s="1166"/>
      <c r="CD34" s="1166"/>
      <c r="CE34" s="1166"/>
      <c r="CF34" s="1166"/>
      <c r="CG34" s="1166"/>
      <c r="CH34" s="1167"/>
      <c r="CI34" s="1167"/>
      <c r="CJ34" s="1000"/>
      <c r="CK34" s="1000"/>
      <c r="CL34" s="1000"/>
      <c r="CM34" s="1000"/>
      <c r="CN34" s="1000"/>
      <c r="CO34" s="1000"/>
      <c r="CP34" s="1000"/>
    </row>
    <row r="35" spans="1:94" ht="19.5" customHeight="1" x14ac:dyDescent="0.25">
      <c r="A35" s="2549">
        <v>31000014</v>
      </c>
      <c r="B35" s="4835" t="s">
        <v>1462</v>
      </c>
      <c r="C35" s="1615" t="s">
        <v>2777</v>
      </c>
      <c r="D35" s="141" t="s">
        <v>2778</v>
      </c>
      <c r="E35" s="180" t="s">
        <v>2779</v>
      </c>
      <c r="F35" s="163" t="s">
        <v>2780</v>
      </c>
      <c r="G35" s="141" t="s">
        <v>2781</v>
      </c>
      <c r="H35" s="142" t="s">
        <v>2782</v>
      </c>
      <c r="I35" s="142" t="s">
        <v>2783</v>
      </c>
      <c r="J35" s="142" t="s">
        <v>2784</v>
      </c>
      <c r="K35" s="247" t="s">
        <v>2785</v>
      </c>
      <c r="L35" s="142" t="s">
        <v>2786</v>
      </c>
      <c r="M35" s="142" t="s">
        <v>2787</v>
      </c>
      <c r="N35" s="142" t="s">
        <v>2788</v>
      </c>
      <c r="O35" s="142" t="s">
        <v>2789</v>
      </c>
      <c r="P35" s="142" t="s">
        <v>2790</v>
      </c>
      <c r="Q35" s="142" t="s">
        <v>2791</v>
      </c>
      <c r="R35" s="142" t="s">
        <v>2792</v>
      </c>
      <c r="S35" s="142" t="s">
        <v>2793</v>
      </c>
      <c r="T35" s="142" t="s">
        <v>2794</v>
      </c>
      <c r="U35" s="180" t="s">
        <v>2795</v>
      </c>
      <c r="V35" s="142" t="s">
        <v>2796</v>
      </c>
      <c r="W35" s="142" t="s">
        <v>2797</v>
      </c>
      <c r="X35" s="142" t="s">
        <v>2798</v>
      </c>
      <c r="Y35" s="142" t="s">
        <v>2799</v>
      </c>
      <c r="Z35" s="142" t="s">
        <v>2800</v>
      </c>
      <c r="AA35" s="142" t="s">
        <v>2801</v>
      </c>
      <c r="AB35" s="142" t="s">
        <v>2817</v>
      </c>
      <c r="AC35" s="142" t="s">
        <v>2818</v>
      </c>
      <c r="AD35" s="142" t="s">
        <v>2819</v>
      </c>
      <c r="AE35" s="142" t="s">
        <v>2821</v>
      </c>
      <c r="AF35" s="142" t="s">
        <v>2822</v>
      </c>
      <c r="AG35" s="498" t="s">
        <v>2823</v>
      </c>
      <c r="AH35" s="1162"/>
      <c r="AI35" s="1002"/>
      <c r="AJ35" s="1002"/>
      <c r="AK35" s="1002"/>
      <c r="AL35" s="1002"/>
      <c r="AM35" s="1002"/>
      <c r="AN35" s="1002"/>
      <c r="AO35" s="1002"/>
      <c r="AP35" s="1002"/>
      <c r="AQ35" s="1002"/>
      <c r="AR35" s="1002"/>
      <c r="AS35" s="1002"/>
      <c r="AT35" s="1002"/>
      <c r="AU35" s="1002"/>
      <c r="AV35" s="1002"/>
      <c r="AW35" s="1002"/>
      <c r="AX35" s="1002"/>
      <c r="AY35" s="1002"/>
      <c r="AZ35" s="1002"/>
      <c r="BA35" s="1002"/>
      <c r="BB35" s="1002"/>
      <c r="BC35" s="1002"/>
      <c r="BD35" s="1002"/>
      <c r="BE35" s="1002"/>
      <c r="BF35" s="1002"/>
      <c r="BG35" s="1002"/>
      <c r="BH35" s="1002"/>
      <c r="BI35" s="1002"/>
      <c r="BJ35" s="1002"/>
      <c r="BK35" s="1002"/>
      <c r="BL35" s="1002"/>
      <c r="BM35" s="1002"/>
      <c r="BS35" s="1002"/>
      <c r="BT35" s="1002"/>
      <c r="BU35" s="1002"/>
      <c r="BV35" s="1002"/>
      <c r="BW35" s="1002"/>
      <c r="CB35" s="1166"/>
      <c r="CC35" s="1166"/>
      <c r="CD35" s="1166"/>
      <c r="CE35" s="1166"/>
      <c r="CF35" s="1166"/>
      <c r="CG35" s="1166"/>
      <c r="CH35" s="1167"/>
      <c r="CI35" s="1167"/>
      <c r="CJ35" s="1000"/>
      <c r="CK35" s="1000"/>
      <c r="CL35" s="1000"/>
      <c r="CM35" s="1000"/>
      <c r="CN35" s="1000"/>
      <c r="CO35" s="1000"/>
      <c r="CP35" s="1000"/>
    </row>
    <row r="36" spans="1:94" ht="19.5" customHeight="1" x14ac:dyDescent="0.25">
      <c r="A36" s="2549">
        <v>31000015</v>
      </c>
      <c r="B36" s="4835" t="s">
        <v>1461</v>
      </c>
      <c r="C36" s="1615" t="s">
        <v>2777</v>
      </c>
      <c r="D36" s="141" t="s">
        <v>2778</v>
      </c>
      <c r="E36" s="180" t="s">
        <v>2779</v>
      </c>
      <c r="F36" s="163" t="s">
        <v>2780</v>
      </c>
      <c r="G36" s="141" t="s">
        <v>2781</v>
      </c>
      <c r="H36" s="142" t="s">
        <v>2782</v>
      </c>
      <c r="I36" s="142" t="s">
        <v>2783</v>
      </c>
      <c r="J36" s="142" t="s">
        <v>2784</v>
      </c>
      <c r="K36" s="247" t="s">
        <v>2785</v>
      </c>
      <c r="L36" s="142" t="s">
        <v>2786</v>
      </c>
      <c r="M36" s="142" t="s">
        <v>2787</v>
      </c>
      <c r="N36" s="142" t="s">
        <v>2788</v>
      </c>
      <c r="O36" s="142" t="s">
        <v>2789</v>
      </c>
      <c r="P36" s="142" t="s">
        <v>2790</v>
      </c>
      <c r="Q36" s="142" t="s">
        <v>2791</v>
      </c>
      <c r="R36" s="142" t="s">
        <v>2792</v>
      </c>
      <c r="S36" s="142" t="s">
        <v>2793</v>
      </c>
      <c r="T36" s="142" t="s">
        <v>2794</v>
      </c>
      <c r="U36" s="180" t="s">
        <v>2795</v>
      </c>
      <c r="V36" s="142" t="s">
        <v>2796</v>
      </c>
      <c r="W36" s="142" t="s">
        <v>2797</v>
      </c>
      <c r="X36" s="142" t="s">
        <v>2798</v>
      </c>
      <c r="Y36" s="142" t="s">
        <v>2799</v>
      </c>
      <c r="Z36" s="142" t="s">
        <v>2800</v>
      </c>
      <c r="AA36" s="142" t="s">
        <v>2801</v>
      </c>
      <c r="AB36" s="142" t="s">
        <v>2817</v>
      </c>
      <c r="AC36" s="142" t="s">
        <v>2818</v>
      </c>
      <c r="AD36" s="142" t="s">
        <v>2819</v>
      </c>
      <c r="AE36" s="142" t="s">
        <v>2821</v>
      </c>
      <c r="AF36" s="142" t="s">
        <v>2822</v>
      </c>
      <c r="AG36" s="498" t="s">
        <v>2823</v>
      </c>
      <c r="AH36" s="1162"/>
      <c r="AI36" s="1002"/>
      <c r="AJ36" s="1002"/>
      <c r="AK36" s="1002"/>
      <c r="AL36" s="1002"/>
      <c r="AM36" s="1002"/>
      <c r="AN36" s="1002"/>
      <c r="AO36" s="1002"/>
      <c r="AP36" s="1002"/>
      <c r="AQ36" s="1002"/>
      <c r="AR36" s="1002"/>
      <c r="AS36" s="1002"/>
      <c r="AT36" s="1002"/>
      <c r="AU36" s="1002"/>
      <c r="AV36" s="1002"/>
      <c r="AW36" s="1002"/>
      <c r="AX36" s="1002"/>
      <c r="AY36" s="1002"/>
      <c r="AZ36" s="1002"/>
      <c r="BA36" s="1002"/>
      <c r="BB36" s="1002"/>
      <c r="BC36" s="1002"/>
      <c r="BD36" s="1002"/>
      <c r="BE36" s="1002"/>
      <c r="BF36" s="1002"/>
      <c r="BG36" s="1002"/>
      <c r="BH36" s="1002"/>
      <c r="BI36" s="1002"/>
      <c r="BJ36" s="1002"/>
      <c r="BK36" s="1002"/>
      <c r="BL36" s="1002"/>
      <c r="BM36" s="1002"/>
      <c r="BS36" s="1002"/>
      <c r="BT36" s="1002"/>
      <c r="BU36" s="1002"/>
      <c r="BV36" s="1002"/>
      <c r="BW36" s="1002"/>
      <c r="CB36" s="1166"/>
      <c r="CC36" s="1166"/>
      <c r="CD36" s="1166"/>
      <c r="CE36" s="1166"/>
      <c r="CF36" s="1166"/>
      <c r="CG36" s="1166"/>
      <c r="CH36" s="1167"/>
      <c r="CI36" s="1167"/>
      <c r="CJ36" s="1000"/>
      <c r="CK36" s="1000"/>
      <c r="CL36" s="1000"/>
      <c r="CM36" s="1000"/>
      <c r="CN36" s="1000"/>
      <c r="CO36" s="1000"/>
      <c r="CP36" s="1000"/>
    </row>
    <row r="37" spans="1:94" ht="19.5" customHeight="1" x14ac:dyDescent="0.25">
      <c r="A37" s="2549">
        <v>31000016</v>
      </c>
      <c r="B37" s="4835" t="s">
        <v>290</v>
      </c>
      <c r="C37" s="1615" t="s">
        <v>2777</v>
      </c>
      <c r="D37" s="141" t="s">
        <v>2778</v>
      </c>
      <c r="E37" s="180" t="s">
        <v>2779</v>
      </c>
      <c r="F37" s="163" t="s">
        <v>2780</v>
      </c>
      <c r="G37" s="141" t="s">
        <v>2781</v>
      </c>
      <c r="H37" s="142" t="s">
        <v>2782</v>
      </c>
      <c r="I37" s="142" t="s">
        <v>2783</v>
      </c>
      <c r="J37" s="142" t="s">
        <v>2784</v>
      </c>
      <c r="K37" s="247" t="s">
        <v>2785</v>
      </c>
      <c r="L37" s="142" t="s">
        <v>2786</v>
      </c>
      <c r="M37" s="142" t="s">
        <v>2787</v>
      </c>
      <c r="N37" s="142" t="s">
        <v>2788</v>
      </c>
      <c r="O37" s="142" t="s">
        <v>2789</v>
      </c>
      <c r="P37" s="142" t="s">
        <v>2790</v>
      </c>
      <c r="Q37" s="142" t="s">
        <v>2791</v>
      </c>
      <c r="R37" s="142" t="s">
        <v>2792</v>
      </c>
      <c r="S37" s="142" t="s">
        <v>2793</v>
      </c>
      <c r="T37" s="142" t="s">
        <v>2794</v>
      </c>
      <c r="U37" s="180" t="s">
        <v>2795</v>
      </c>
      <c r="V37" s="142" t="s">
        <v>2796</v>
      </c>
      <c r="W37" s="142" t="s">
        <v>2797</v>
      </c>
      <c r="X37" s="142" t="s">
        <v>2798</v>
      </c>
      <c r="Y37" s="142" t="s">
        <v>2799</v>
      </c>
      <c r="Z37" s="142" t="s">
        <v>2800</v>
      </c>
      <c r="AA37" s="142" t="s">
        <v>2801</v>
      </c>
      <c r="AB37" s="142" t="s">
        <v>2817</v>
      </c>
      <c r="AC37" s="142" t="s">
        <v>2818</v>
      </c>
      <c r="AD37" s="142" t="s">
        <v>2819</v>
      </c>
      <c r="AE37" s="142" t="s">
        <v>2821</v>
      </c>
      <c r="AF37" s="142" t="s">
        <v>2822</v>
      </c>
      <c r="AG37" s="498" t="s">
        <v>2823</v>
      </c>
      <c r="AH37" s="1162"/>
      <c r="AI37" s="1002"/>
      <c r="AJ37" s="1002"/>
      <c r="AK37" s="1002"/>
      <c r="AL37" s="1002"/>
      <c r="AM37" s="1002"/>
      <c r="AN37" s="1002"/>
      <c r="AO37" s="1002"/>
      <c r="AP37" s="1002"/>
      <c r="AQ37" s="1002"/>
      <c r="AR37" s="1002"/>
      <c r="AS37" s="1002"/>
      <c r="AT37" s="1002"/>
      <c r="AU37" s="1002"/>
      <c r="AV37" s="1002"/>
      <c r="AW37" s="1002"/>
      <c r="AX37" s="1002"/>
      <c r="AY37" s="1002"/>
      <c r="AZ37" s="1002"/>
      <c r="BA37" s="1002"/>
      <c r="BB37" s="1002"/>
      <c r="BC37" s="1002"/>
      <c r="BD37" s="1002"/>
      <c r="BE37" s="1002"/>
      <c r="BF37" s="1002"/>
      <c r="BG37" s="1002"/>
      <c r="BH37" s="1002"/>
      <c r="BI37" s="1002"/>
      <c r="BJ37" s="1002"/>
      <c r="BK37" s="1002"/>
      <c r="BL37" s="1002"/>
      <c r="BM37" s="1002"/>
      <c r="BS37" s="1002"/>
      <c r="BT37" s="1002"/>
      <c r="BU37" s="1002"/>
      <c r="BV37" s="1002"/>
      <c r="BW37" s="1002"/>
      <c r="CB37" s="1166"/>
      <c r="CC37" s="1166"/>
      <c r="CD37" s="1166"/>
      <c r="CE37" s="1166"/>
      <c r="CF37" s="1166"/>
      <c r="CG37" s="1166"/>
      <c r="CH37" s="1167"/>
      <c r="CI37" s="1167"/>
      <c r="CJ37" s="1000"/>
      <c r="CK37" s="1000"/>
      <c r="CL37" s="1000"/>
      <c r="CM37" s="1000"/>
      <c r="CN37" s="1000"/>
      <c r="CO37" s="1000"/>
      <c r="CP37" s="1000"/>
    </row>
    <row r="38" spans="1:94" ht="19.5" customHeight="1" x14ac:dyDescent="0.25">
      <c r="A38" s="2549">
        <v>31000017</v>
      </c>
      <c r="B38" s="4835" t="s">
        <v>1463</v>
      </c>
      <c r="C38" s="1615" t="s">
        <v>2777</v>
      </c>
      <c r="D38" s="141" t="s">
        <v>2778</v>
      </c>
      <c r="E38" s="180" t="s">
        <v>2779</v>
      </c>
      <c r="F38" s="163" t="s">
        <v>2780</v>
      </c>
      <c r="G38" s="141" t="s">
        <v>2781</v>
      </c>
      <c r="H38" s="142" t="s">
        <v>2782</v>
      </c>
      <c r="I38" s="142" t="s">
        <v>2783</v>
      </c>
      <c r="J38" s="142" t="s">
        <v>2784</v>
      </c>
      <c r="K38" s="247" t="s">
        <v>2785</v>
      </c>
      <c r="L38" s="142" t="s">
        <v>2786</v>
      </c>
      <c r="M38" s="142" t="s">
        <v>2787</v>
      </c>
      <c r="N38" s="142" t="s">
        <v>2788</v>
      </c>
      <c r="O38" s="142" t="s">
        <v>2789</v>
      </c>
      <c r="P38" s="142" t="s">
        <v>2790</v>
      </c>
      <c r="Q38" s="142" t="s">
        <v>2791</v>
      </c>
      <c r="R38" s="142" t="s">
        <v>2792</v>
      </c>
      <c r="S38" s="142" t="s">
        <v>2793</v>
      </c>
      <c r="T38" s="142" t="s">
        <v>2794</v>
      </c>
      <c r="U38" s="180" t="s">
        <v>2795</v>
      </c>
      <c r="V38" s="142" t="s">
        <v>2796</v>
      </c>
      <c r="W38" s="142" t="s">
        <v>2797</v>
      </c>
      <c r="X38" s="142" t="s">
        <v>2798</v>
      </c>
      <c r="Y38" s="142" t="s">
        <v>2799</v>
      </c>
      <c r="Z38" s="142" t="s">
        <v>2800</v>
      </c>
      <c r="AA38" s="142" t="s">
        <v>2801</v>
      </c>
      <c r="AB38" s="142" t="s">
        <v>2817</v>
      </c>
      <c r="AC38" s="142" t="s">
        <v>2818</v>
      </c>
      <c r="AD38" s="142" t="s">
        <v>2819</v>
      </c>
      <c r="AE38" s="142" t="s">
        <v>2821</v>
      </c>
      <c r="AF38" s="142" t="s">
        <v>2822</v>
      </c>
      <c r="AG38" s="498" t="s">
        <v>2823</v>
      </c>
      <c r="AH38" s="1162"/>
      <c r="AI38" s="1002"/>
      <c r="AJ38" s="1002"/>
      <c r="AK38" s="1002"/>
      <c r="AL38" s="1002"/>
      <c r="AM38" s="1002"/>
      <c r="AN38" s="1002"/>
      <c r="AO38" s="1002"/>
      <c r="AP38" s="1002"/>
      <c r="AQ38" s="1002"/>
      <c r="AR38" s="1002"/>
      <c r="AS38" s="1002"/>
      <c r="AT38" s="1002"/>
      <c r="AU38" s="1002"/>
      <c r="AV38" s="1002"/>
      <c r="AW38" s="1002"/>
      <c r="AX38" s="1002"/>
      <c r="AY38" s="1002"/>
      <c r="AZ38" s="1002"/>
      <c r="BA38" s="1002"/>
      <c r="BB38" s="1002"/>
      <c r="BC38" s="1002"/>
      <c r="BD38" s="1002"/>
      <c r="BE38" s="1002"/>
      <c r="BF38" s="1002"/>
      <c r="BG38" s="1002"/>
      <c r="BH38" s="1002"/>
      <c r="BI38" s="1002"/>
      <c r="BJ38" s="1002"/>
      <c r="BK38" s="1002"/>
      <c r="BL38" s="1002"/>
      <c r="BM38" s="1002"/>
      <c r="BS38" s="1002"/>
      <c r="BT38" s="1002"/>
      <c r="BU38" s="1002"/>
      <c r="BV38" s="1002"/>
      <c r="BW38" s="1002"/>
      <c r="CB38" s="1166"/>
      <c r="CC38" s="1166"/>
      <c r="CD38" s="1166"/>
      <c r="CE38" s="1166"/>
      <c r="CF38" s="1166"/>
      <c r="CG38" s="1166"/>
      <c r="CH38" s="1167"/>
      <c r="CI38" s="1167"/>
      <c r="CJ38" s="1000"/>
      <c r="CK38" s="1000"/>
      <c r="CL38" s="1000"/>
      <c r="CM38" s="1000"/>
      <c r="CN38" s="1000"/>
      <c r="CO38" s="1000"/>
      <c r="CP38" s="1000"/>
    </row>
    <row r="39" spans="1:94" ht="19.5" customHeight="1" x14ac:dyDescent="0.25">
      <c r="A39" s="2549">
        <v>31000018</v>
      </c>
      <c r="B39" s="4835" t="s">
        <v>1421</v>
      </c>
      <c r="C39" s="1615" t="s">
        <v>2777</v>
      </c>
      <c r="D39" s="141" t="s">
        <v>2778</v>
      </c>
      <c r="E39" s="180" t="s">
        <v>2779</v>
      </c>
      <c r="F39" s="163" t="s">
        <v>2780</v>
      </c>
      <c r="G39" s="141" t="s">
        <v>2781</v>
      </c>
      <c r="H39" s="142" t="s">
        <v>2782</v>
      </c>
      <c r="I39" s="142" t="s">
        <v>2783</v>
      </c>
      <c r="J39" s="142" t="s">
        <v>2784</v>
      </c>
      <c r="K39" s="247" t="s">
        <v>2785</v>
      </c>
      <c r="L39" s="142" t="s">
        <v>2786</v>
      </c>
      <c r="M39" s="142" t="s">
        <v>2787</v>
      </c>
      <c r="N39" s="142" t="s">
        <v>2788</v>
      </c>
      <c r="O39" s="142" t="s">
        <v>2789</v>
      </c>
      <c r="P39" s="142" t="s">
        <v>2790</v>
      </c>
      <c r="Q39" s="142" t="s">
        <v>2791</v>
      </c>
      <c r="R39" s="142" t="s">
        <v>2792</v>
      </c>
      <c r="S39" s="142" t="s">
        <v>2793</v>
      </c>
      <c r="T39" s="142" t="s">
        <v>2794</v>
      </c>
      <c r="U39" s="180" t="s">
        <v>2795</v>
      </c>
      <c r="V39" s="142" t="s">
        <v>2796</v>
      </c>
      <c r="W39" s="142" t="s">
        <v>2797</v>
      </c>
      <c r="X39" s="142" t="s">
        <v>2798</v>
      </c>
      <c r="Y39" s="142" t="s">
        <v>2799</v>
      </c>
      <c r="Z39" s="142" t="s">
        <v>2800</v>
      </c>
      <c r="AA39" s="142" t="s">
        <v>2801</v>
      </c>
      <c r="AB39" s="142" t="s">
        <v>2817</v>
      </c>
      <c r="AC39" s="142" t="s">
        <v>2818</v>
      </c>
      <c r="AD39" s="142" t="s">
        <v>2819</v>
      </c>
      <c r="AE39" s="142" t="s">
        <v>2821</v>
      </c>
      <c r="AF39" s="142" t="s">
        <v>2822</v>
      </c>
      <c r="AG39" s="498" t="s">
        <v>2823</v>
      </c>
      <c r="AH39" s="1162"/>
      <c r="AI39" s="1002"/>
      <c r="AJ39" s="1002"/>
      <c r="AK39" s="1002"/>
      <c r="AL39" s="1002"/>
      <c r="AM39" s="1002"/>
      <c r="AN39" s="1002"/>
      <c r="AO39" s="1002"/>
      <c r="AP39" s="1002"/>
      <c r="AQ39" s="1002"/>
      <c r="AR39" s="1002"/>
      <c r="AS39" s="1002"/>
      <c r="AT39" s="1002"/>
      <c r="AU39" s="1002"/>
      <c r="AV39" s="1002"/>
      <c r="AW39" s="1002"/>
      <c r="AX39" s="1002"/>
      <c r="AY39" s="1002"/>
      <c r="AZ39" s="1002"/>
      <c r="BA39" s="1002"/>
      <c r="BB39" s="1002"/>
      <c r="BC39" s="1002"/>
      <c r="BD39" s="1002"/>
      <c r="BE39" s="1002"/>
      <c r="BF39" s="1002"/>
      <c r="BG39" s="1002"/>
      <c r="BH39" s="1002"/>
      <c r="BI39" s="1002"/>
      <c r="BJ39" s="1002"/>
      <c r="BK39" s="1002"/>
      <c r="BL39" s="1002"/>
      <c r="BM39" s="1002"/>
      <c r="BS39" s="1002"/>
      <c r="BT39" s="1002"/>
      <c r="BU39" s="1002"/>
      <c r="BV39" s="1002"/>
      <c r="BW39" s="1002"/>
      <c r="CB39" s="1166"/>
      <c r="CC39" s="1166"/>
      <c r="CD39" s="1166"/>
      <c r="CE39" s="1166"/>
      <c r="CF39" s="1166"/>
      <c r="CG39" s="1166"/>
      <c r="CH39" s="1167"/>
      <c r="CI39" s="1167"/>
      <c r="CJ39" s="1000"/>
      <c r="CK39" s="1000"/>
      <c r="CL39" s="1000"/>
      <c r="CM39" s="1000"/>
      <c r="CN39" s="1000"/>
      <c r="CO39" s="1000"/>
      <c r="CP39" s="1000"/>
    </row>
    <row r="40" spans="1:94" ht="19.5" customHeight="1" x14ac:dyDescent="0.25">
      <c r="A40" s="2549">
        <v>31000019</v>
      </c>
      <c r="B40" s="4835" t="s">
        <v>3953</v>
      </c>
      <c r="C40" s="1615" t="s">
        <v>2777</v>
      </c>
      <c r="D40" s="141" t="s">
        <v>2778</v>
      </c>
      <c r="E40" s="180" t="s">
        <v>2779</v>
      </c>
      <c r="F40" s="163" t="s">
        <v>2780</v>
      </c>
      <c r="G40" s="141" t="s">
        <v>2781</v>
      </c>
      <c r="H40" s="142" t="s">
        <v>2782</v>
      </c>
      <c r="I40" s="142" t="s">
        <v>2783</v>
      </c>
      <c r="J40" s="142" t="s">
        <v>2784</v>
      </c>
      <c r="K40" s="247" t="s">
        <v>2785</v>
      </c>
      <c r="L40" s="142" t="s">
        <v>2786</v>
      </c>
      <c r="M40" s="142" t="s">
        <v>2787</v>
      </c>
      <c r="N40" s="142" t="s">
        <v>2788</v>
      </c>
      <c r="O40" s="142" t="s">
        <v>2789</v>
      </c>
      <c r="P40" s="142" t="s">
        <v>2790</v>
      </c>
      <c r="Q40" s="142" t="s">
        <v>2791</v>
      </c>
      <c r="R40" s="142" t="s">
        <v>2792</v>
      </c>
      <c r="S40" s="142" t="s">
        <v>2793</v>
      </c>
      <c r="T40" s="142" t="s">
        <v>2794</v>
      </c>
      <c r="U40" s="180" t="s">
        <v>2795</v>
      </c>
      <c r="V40" s="142" t="s">
        <v>2796</v>
      </c>
      <c r="W40" s="142" t="s">
        <v>2797</v>
      </c>
      <c r="X40" s="142" t="s">
        <v>2798</v>
      </c>
      <c r="Y40" s="142" t="s">
        <v>2799</v>
      </c>
      <c r="Z40" s="142" t="s">
        <v>2800</v>
      </c>
      <c r="AA40" s="142" t="s">
        <v>2801</v>
      </c>
      <c r="AB40" s="142" t="s">
        <v>2817</v>
      </c>
      <c r="AC40" s="142" t="s">
        <v>2818</v>
      </c>
      <c r="AD40" s="142" t="s">
        <v>2819</v>
      </c>
      <c r="AE40" s="142" t="s">
        <v>2821</v>
      </c>
      <c r="AF40" s="142" t="s">
        <v>2822</v>
      </c>
      <c r="AG40" s="498" t="s">
        <v>2823</v>
      </c>
      <c r="AH40" s="1162"/>
      <c r="AI40" s="1002"/>
      <c r="AJ40" s="1002"/>
      <c r="AK40" s="1002"/>
      <c r="AL40" s="1002"/>
      <c r="AM40" s="1002"/>
      <c r="AN40" s="1002"/>
      <c r="AO40" s="1002"/>
      <c r="AP40" s="1002"/>
      <c r="AQ40" s="1002"/>
      <c r="AR40" s="1002"/>
      <c r="AS40" s="1002"/>
      <c r="AT40" s="1002"/>
      <c r="AU40" s="1002"/>
      <c r="AV40" s="1002"/>
      <c r="AW40" s="1002"/>
      <c r="AX40" s="1002"/>
      <c r="AY40" s="1002"/>
      <c r="AZ40" s="1002"/>
      <c r="BA40" s="1002"/>
      <c r="BB40" s="1002"/>
      <c r="BC40" s="1002"/>
      <c r="BD40" s="1002"/>
      <c r="BE40" s="1002"/>
      <c r="BF40" s="1002"/>
      <c r="BG40" s="1002"/>
      <c r="BH40" s="1002"/>
      <c r="BI40" s="1002"/>
      <c r="BJ40" s="1002"/>
      <c r="BK40" s="1002"/>
      <c r="BL40" s="1002"/>
      <c r="BM40" s="1002"/>
      <c r="BS40" s="1002"/>
      <c r="BT40" s="1002"/>
      <c r="BU40" s="1002"/>
      <c r="BV40" s="1002"/>
      <c r="BW40" s="1002"/>
      <c r="CB40" s="1166"/>
      <c r="CC40" s="1166"/>
      <c r="CD40" s="1166"/>
      <c r="CE40" s="1166"/>
      <c r="CF40" s="1166"/>
      <c r="CG40" s="1166"/>
      <c r="CH40" s="1167"/>
      <c r="CI40" s="1167"/>
      <c r="CJ40" s="1000"/>
      <c r="CK40" s="1000"/>
      <c r="CL40" s="1000"/>
      <c r="CM40" s="1000"/>
      <c r="CN40" s="1000"/>
      <c r="CO40" s="1000"/>
      <c r="CP40" s="1000"/>
    </row>
    <row r="41" spans="1:94" ht="19.5" customHeight="1" x14ac:dyDescent="0.25">
      <c r="A41" s="2549">
        <v>31000020</v>
      </c>
      <c r="B41" s="4835" t="s">
        <v>1419</v>
      </c>
      <c r="C41" s="1615" t="s">
        <v>2777</v>
      </c>
      <c r="D41" s="141" t="s">
        <v>2778</v>
      </c>
      <c r="E41" s="180" t="s">
        <v>2779</v>
      </c>
      <c r="F41" s="163" t="s">
        <v>2780</v>
      </c>
      <c r="G41" s="141" t="s">
        <v>2781</v>
      </c>
      <c r="H41" s="142" t="s">
        <v>2782</v>
      </c>
      <c r="I41" s="142" t="s">
        <v>2783</v>
      </c>
      <c r="J41" s="142" t="s">
        <v>2784</v>
      </c>
      <c r="K41" s="247" t="s">
        <v>2785</v>
      </c>
      <c r="L41" s="142" t="s">
        <v>2786</v>
      </c>
      <c r="M41" s="142" t="s">
        <v>2787</v>
      </c>
      <c r="N41" s="142" t="s">
        <v>2788</v>
      </c>
      <c r="O41" s="142" t="s">
        <v>2789</v>
      </c>
      <c r="P41" s="142" t="s">
        <v>2790</v>
      </c>
      <c r="Q41" s="142" t="s">
        <v>2791</v>
      </c>
      <c r="R41" s="142" t="s">
        <v>2792</v>
      </c>
      <c r="S41" s="142" t="s">
        <v>2793</v>
      </c>
      <c r="T41" s="142" t="s">
        <v>2794</v>
      </c>
      <c r="U41" s="180" t="s">
        <v>2795</v>
      </c>
      <c r="V41" s="142" t="s">
        <v>2796</v>
      </c>
      <c r="W41" s="142" t="s">
        <v>2797</v>
      </c>
      <c r="X41" s="142" t="s">
        <v>2798</v>
      </c>
      <c r="Y41" s="142" t="s">
        <v>2799</v>
      </c>
      <c r="Z41" s="142" t="s">
        <v>2800</v>
      </c>
      <c r="AA41" s="142" t="s">
        <v>2801</v>
      </c>
      <c r="AB41" s="142" t="s">
        <v>2817</v>
      </c>
      <c r="AC41" s="142" t="s">
        <v>2818</v>
      </c>
      <c r="AD41" s="142" t="s">
        <v>2819</v>
      </c>
      <c r="AE41" s="142" t="s">
        <v>2821</v>
      </c>
      <c r="AF41" s="142" t="s">
        <v>2822</v>
      </c>
      <c r="AG41" s="498" t="s">
        <v>2823</v>
      </c>
      <c r="AH41" s="1162"/>
      <c r="AI41" s="1002"/>
      <c r="AJ41" s="1002"/>
      <c r="AK41" s="1002"/>
      <c r="AL41" s="1002"/>
      <c r="AM41" s="1002"/>
      <c r="AN41" s="1002"/>
      <c r="AO41" s="1002"/>
      <c r="AP41" s="1002"/>
      <c r="AQ41" s="1002"/>
      <c r="AR41" s="1002"/>
      <c r="AS41" s="1002"/>
      <c r="AT41" s="1002"/>
      <c r="AU41" s="1002"/>
      <c r="AV41" s="1002"/>
      <c r="AW41" s="1002"/>
      <c r="AX41" s="1002"/>
      <c r="AY41" s="1002"/>
      <c r="AZ41" s="1002"/>
      <c r="BA41" s="1002"/>
      <c r="BB41" s="1002"/>
      <c r="BC41" s="1002"/>
      <c r="BD41" s="1002"/>
      <c r="BE41" s="1002"/>
      <c r="BF41" s="1002"/>
      <c r="BG41" s="1002"/>
      <c r="BH41" s="1002"/>
      <c r="BI41" s="1002"/>
      <c r="BJ41" s="1002"/>
      <c r="BK41" s="1002"/>
      <c r="BL41" s="1002"/>
      <c r="BM41" s="1002"/>
      <c r="BS41" s="1002"/>
      <c r="BT41" s="1002"/>
      <c r="BU41" s="1002"/>
      <c r="BV41" s="1002"/>
      <c r="BW41" s="1002"/>
      <c r="CB41" s="1166"/>
      <c r="CC41" s="1166"/>
      <c r="CD41" s="1166"/>
      <c r="CE41" s="1166"/>
      <c r="CF41" s="1166"/>
      <c r="CG41" s="1166"/>
      <c r="CH41" s="1167"/>
      <c r="CI41" s="1167"/>
      <c r="CJ41" s="1000"/>
      <c r="CK41" s="1000"/>
      <c r="CL41" s="1000"/>
      <c r="CM41" s="1000"/>
      <c r="CN41" s="1000"/>
      <c r="CO41" s="1000"/>
      <c r="CP41" s="1000"/>
    </row>
    <row r="42" spans="1:94" ht="19.5" customHeight="1" x14ac:dyDescent="0.25">
      <c r="A42" s="2549">
        <v>31000021</v>
      </c>
      <c r="B42" s="4835" t="s">
        <v>212</v>
      </c>
      <c r="C42" s="1615" t="s">
        <v>2777</v>
      </c>
      <c r="D42" s="141" t="s">
        <v>2778</v>
      </c>
      <c r="E42" s="180" t="s">
        <v>2779</v>
      </c>
      <c r="F42" s="163" t="s">
        <v>2780</v>
      </c>
      <c r="G42" s="141" t="s">
        <v>2781</v>
      </c>
      <c r="H42" s="142" t="s">
        <v>2782</v>
      </c>
      <c r="I42" s="142" t="s">
        <v>2783</v>
      </c>
      <c r="J42" s="142" t="s">
        <v>2784</v>
      </c>
      <c r="K42" s="247" t="s">
        <v>2785</v>
      </c>
      <c r="L42" s="142" t="s">
        <v>2786</v>
      </c>
      <c r="M42" s="142" t="s">
        <v>2787</v>
      </c>
      <c r="N42" s="142" t="s">
        <v>2788</v>
      </c>
      <c r="O42" s="142" t="s">
        <v>2789</v>
      </c>
      <c r="P42" s="142" t="s">
        <v>2790</v>
      </c>
      <c r="Q42" s="142" t="s">
        <v>2791</v>
      </c>
      <c r="R42" s="142" t="s">
        <v>2792</v>
      </c>
      <c r="S42" s="142" t="s">
        <v>2793</v>
      </c>
      <c r="T42" s="142" t="s">
        <v>2794</v>
      </c>
      <c r="U42" s="180" t="s">
        <v>2795</v>
      </c>
      <c r="V42" s="142" t="s">
        <v>2796</v>
      </c>
      <c r="W42" s="142" t="s">
        <v>2797</v>
      </c>
      <c r="X42" s="142" t="s">
        <v>2798</v>
      </c>
      <c r="Y42" s="142" t="s">
        <v>2799</v>
      </c>
      <c r="Z42" s="142" t="s">
        <v>2800</v>
      </c>
      <c r="AA42" s="142" t="s">
        <v>2801</v>
      </c>
      <c r="AB42" s="142" t="s">
        <v>2817</v>
      </c>
      <c r="AC42" s="142" t="s">
        <v>2818</v>
      </c>
      <c r="AD42" s="142" t="s">
        <v>2819</v>
      </c>
      <c r="AE42" s="142" t="s">
        <v>2821</v>
      </c>
      <c r="AF42" s="142" t="s">
        <v>2822</v>
      </c>
      <c r="AG42" s="498" t="s">
        <v>2823</v>
      </c>
      <c r="AH42" s="1162"/>
      <c r="AI42" s="1002"/>
      <c r="AJ42" s="1002"/>
      <c r="AK42" s="1002"/>
      <c r="AL42" s="1002"/>
      <c r="AM42" s="1002"/>
      <c r="AN42" s="1002"/>
      <c r="AO42" s="1002"/>
      <c r="AP42" s="1002"/>
      <c r="AQ42" s="1002"/>
      <c r="AR42" s="1002"/>
      <c r="AS42" s="1002"/>
      <c r="AT42" s="1002"/>
      <c r="AU42" s="1002"/>
      <c r="AV42" s="1002"/>
      <c r="AW42" s="1002"/>
      <c r="AX42" s="1002"/>
      <c r="AY42" s="1002"/>
      <c r="AZ42" s="1002"/>
      <c r="BA42" s="1002"/>
      <c r="BB42" s="1002"/>
      <c r="BC42" s="1002"/>
      <c r="BD42" s="1002"/>
      <c r="BE42" s="1002"/>
      <c r="BF42" s="1002"/>
      <c r="BG42" s="1002"/>
      <c r="BH42" s="1002"/>
      <c r="BI42" s="1002"/>
      <c r="BJ42" s="1002"/>
      <c r="BK42" s="1002"/>
      <c r="BL42" s="1002"/>
      <c r="BM42" s="1002"/>
      <c r="BS42" s="1002"/>
      <c r="BT42" s="1002"/>
      <c r="BU42" s="1002"/>
      <c r="BV42" s="1002"/>
      <c r="BW42" s="1002"/>
      <c r="CB42" s="1166"/>
      <c r="CC42" s="1166"/>
      <c r="CD42" s="1166"/>
      <c r="CE42" s="1166"/>
      <c r="CF42" s="1166"/>
      <c r="CG42" s="1166"/>
      <c r="CH42" s="1167"/>
      <c r="CI42" s="1167"/>
      <c r="CJ42" s="1000"/>
      <c r="CK42" s="1000"/>
      <c r="CL42" s="1000"/>
      <c r="CM42" s="1000"/>
      <c r="CN42" s="1000"/>
      <c r="CO42" s="1000"/>
      <c r="CP42" s="1000"/>
    </row>
    <row r="43" spans="1:94" ht="19.5" customHeight="1" x14ac:dyDescent="0.25">
      <c r="A43" s="2549">
        <v>31000022</v>
      </c>
      <c r="B43" s="4835" t="s">
        <v>1465</v>
      </c>
      <c r="C43" s="1615" t="s">
        <v>2777</v>
      </c>
      <c r="D43" s="141" t="s">
        <v>2778</v>
      </c>
      <c r="E43" s="180" t="s">
        <v>2779</v>
      </c>
      <c r="F43" s="163" t="s">
        <v>2780</v>
      </c>
      <c r="G43" s="141" t="s">
        <v>2781</v>
      </c>
      <c r="H43" s="142" t="s">
        <v>2782</v>
      </c>
      <c r="I43" s="142" t="s">
        <v>2783</v>
      </c>
      <c r="J43" s="142" t="s">
        <v>2784</v>
      </c>
      <c r="K43" s="247" t="s">
        <v>2785</v>
      </c>
      <c r="L43" s="142" t="s">
        <v>2786</v>
      </c>
      <c r="M43" s="142" t="s">
        <v>2787</v>
      </c>
      <c r="N43" s="142" t="s">
        <v>2788</v>
      </c>
      <c r="O43" s="142" t="s">
        <v>2789</v>
      </c>
      <c r="P43" s="142" t="s">
        <v>2790</v>
      </c>
      <c r="Q43" s="142" t="s">
        <v>2791</v>
      </c>
      <c r="R43" s="142" t="s">
        <v>2792</v>
      </c>
      <c r="S43" s="142" t="s">
        <v>2793</v>
      </c>
      <c r="T43" s="142" t="s">
        <v>2794</v>
      </c>
      <c r="U43" s="180" t="s">
        <v>2795</v>
      </c>
      <c r="V43" s="142" t="s">
        <v>2796</v>
      </c>
      <c r="W43" s="142" t="s">
        <v>2797</v>
      </c>
      <c r="X43" s="142" t="s">
        <v>2798</v>
      </c>
      <c r="Y43" s="142" t="s">
        <v>2799</v>
      </c>
      <c r="Z43" s="142" t="s">
        <v>2800</v>
      </c>
      <c r="AA43" s="142" t="s">
        <v>2801</v>
      </c>
      <c r="AB43" s="142" t="s">
        <v>2817</v>
      </c>
      <c r="AC43" s="142" t="s">
        <v>2818</v>
      </c>
      <c r="AD43" s="142" t="s">
        <v>2819</v>
      </c>
      <c r="AE43" s="142" t="s">
        <v>2821</v>
      </c>
      <c r="AF43" s="142" t="s">
        <v>2822</v>
      </c>
      <c r="AG43" s="498" t="s">
        <v>2823</v>
      </c>
      <c r="AH43" s="1162"/>
      <c r="AI43" s="1002"/>
      <c r="AJ43" s="1002"/>
      <c r="AK43" s="1002"/>
      <c r="AL43" s="1002"/>
      <c r="AM43" s="1002"/>
      <c r="AN43" s="1002"/>
      <c r="AO43" s="1002"/>
      <c r="AP43" s="1002"/>
      <c r="AQ43" s="1002"/>
      <c r="AR43" s="1002"/>
      <c r="AS43" s="1002"/>
      <c r="AT43" s="1002"/>
      <c r="AU43" s="1002"/>
      <c r="AV43" s="1002"/>
      <c r="AW43" s="1002"/>
      <c r="AX43" s="1002"/>
      <c r="AY43" s="1002"/>
      <c r="AZ43" s="1002"/>
      <c r="BA43" s="1002"/>
      <c r="BB43" s="1002"/>
      <c r="BC43" s="1002"/>
      <c r="BD43" s="1002"/>
      <c r="BE43" s="1002"/>
      <c r="BF43" s="1002"/>
      <c r="BG43" s="1002"/>
      <c r="BH43" s="1002"/>
      <c r="BI43" s="1002"/>
      <c r="BJ43" s="1002"/>
      <c r="BK43" s="1002"/>
      <c r="BL43" s="1002"/>
      <c r="BM43" s="1002"/>
      <c r="BS43" s="1002"/>
      <c r="BT43" s="1002"/>
      <c r="BU43" s="1002"/>
      <c r="BV43" s="1002"/>
      <c r="BW43" s="1002"/>
      <c r="CB43" s="1166"/>
      <c r="CC43" s="1166"/>
      <c r="CD43" s="1166"/>
      <c r="CE43" s="1166"/>
      <c r="CF43" s="1166"/>
      <c r="CG43" s="1166"/>
      <c r="CH43" s="1167"/>
      <c r="CI43" s="1167"/>
      <c r="CJ43" s="1000"/>
      <c r="CK43" s="1000"/>
      <c r="CL43" s="1000"/>
      <c r="CM43" s="1000"/>
      <c r="CN43" s="1000"/>
      <c r="CO43" s="1000"/>
      <c r="CP43" s="1000"/>
    </row>
    <row r="44" spans="1:94" ht="19.5" customHeight="1" x14ac:dyDescent="0.25">
      <c r="A44" s="2549">
        <v>31000023</v>
      </c>
      <c r="B44" s="4835" t="s">
        <v>1420</v>
      </c>
      <c r="C44" s="1615" t="s">
        <v>2777</v>
      </c>
      <c r="D44" s="141" t="s">
        <v>2778</v>
      </c>
      <c r="E44" s="180" t="s">
        <v>2779</v>
      </c>
      <c r="F44" s="163" t="s">
        <v>2780</v>
      </c>
      <c r="G44" s="141" t="s">
        <v>2781</v>
      </c>
      <c r="H44" s="142" t="s">
        <v>2782</v>
      </c>
      <c r="I44" s="142" t="s">
        <v>2783</v>
      </c>
      <c r="J44" s="142" t="s">
        <v>2784</v>
      </c>
      <c r="K44" s="247" t="s">
        <v>2785</v>
      </c>
      <c r="L44" s="142" t="s">
        <v>2786</v>
      </c>
      <c r="M44" s="142" t="s">
        <v>2787</v>
      </c>
      <c r="N44" s="142" t="s">
        <v>2788</v>
      </c>
      <c r="O44" s="142" t="s">
        <v>2789</v>
      </c>
      <c r="P44" s="142" t="s">
        <v>2790</v>
      </c>
      <c r="Q44" s="142" t="s">
        <v>2791</v>
      </c>
      <c r="R44" s="142" t="s">
        <v>2792</v>
      </c>
      <c r="S44" s="142" t="s">
        <v>2793</v>
      </c>
      <c r="T44" s="142" t="s">
        <v>2794</v>
      </c>
      <c r="U44" s="180" t="s">
        <v>2795</v>
      </c>
      <c r="V44" s="142" t="s">
        <v>2796</v>
      </c>
      <c r="W44" s="142" t="s">
        <v>2797</v>
      </c>
      <c r="X44" s="142" t="s">
        <v>2798</v>
      </c>
      <c r="Y44" s="142" t="s">
        <v>2799</v>
      </c>
      <c r="Z44" s="142" t="s">
        <v>2800</v>
      </c>
      <c r="AA44" s="142" t="s">
        <v>2801</v>
      </c>
      <c r="AB44" s="142" t="s">
        <v>2817</v>
      </c>
      <c r="AC44" s="142" t="s">
        <v>2818</v>
      </c>
      <c r="AD44" s="142" t="s">
        <v>2819</v>
      </c>
      <c r="AE44" s="142" t="s">
        <v>2821</v>
      </c>
      <c r="AF44" s="142" t="s">
        <v>2822</v>
      </c>
      <c r="AG44" s="498" t="s">
        <v>2823</v>
      </c>
      <c r="AH44" s="1162"/>
      <c r="AI44" s="1002"/>
      <c r="AJ44" s="1002"/>
      <c r="AK44" s="1002"/>
      <c r="AL44" s="1002"/>
      <c r="AM44" s="1002"/>
      <c r="AN44" s="1002"/>
      <c r="AO44" s="1002"/>
      <c r="AP44" s="1002"/>
      <c r="AQ44" s="1002"/>
      <c r="AR44" s="1002"/>
      <c r="AS44" s="1002"/>
      <c r="AT44" s="1002"/>
      <c r="AU44" s="1002"/>
      <c r="AV44" s="1002"/>
      <c r="AW44" s="1002"/>
      <c r="AX44" s="1002"/>
      <c r="AY44" s="1002"/>
      <c r="AZ44" s="1002"/>
      <c r="BA44" s="1002"/>
      <c r="BB44" s="1002"/>
      <c r="BC44" s="1002"/>
      <c r="BD44" s="1002"/>
      <c r="BE44" s="1002"/>
      <c r="BF44" s="1002"/>
      <c r="BG44" s="1002"/>
      <c r="BH44" s="1002"/>
      <c r="BI44" s="1002"/>
      <c r="BJ44" s="1002"/>
      <c r="BK44" s="1002"/>
      <c r="BL44" s="1002"/>
      <c r="BM44" s="1002"/>
      <c r="BS44" s="1002"/>
      <c r="BT44" s="1002"/>
      <c r="BU44" s="1002"/>
      <c r="BV44" s="1002"/>
      <c r="BW44" s="1002"/>
      <c r="CB44" s="1166"/>
      <c r="CC44" s="1166"/>
      <c r="CD44" s="1166"/>
      <c r="CE44" s="1166"/>
      <c r="CF44" s="1166"/>
      <c r="CG44" s="1166"/>
      <c r="CH44" s="1167"/>
      <c r="CI44" s="1167"/>
      <c r="CJ44" s="1000"/>
      <c r="CK44" s="1000"/>
      <c r="CL44" s="1000"/>
      <c r="CM44" s="1000"/>
      <c r="CN44" s="1000"/>
      <c r="CO44" s="1000"/>
      <c r="CP44" s="1000"/>
    </row>
    <row r="45" spans="1:94" ht="19.5" customHeight="1" x14ac:dyDescent="0.25">
      <c r="A45" s="2549">
        <v>31000024</v>
      </c>
      <c r="B45" s="4836" t="s">
        <v>1464</v>
      </c>
      <c r="C45" s="1615" t="s">
        <v>2777</v>
      </c>
      <c r="D45" s="141" t="s">
        <v>2778</v>
      </c>
      <c r="E45" s="180" t="s">
        <v>2779</v>
      </c>
      <c r="F45" s="163" t="s">
        <v>2780</v>
      </c>
      <c r="G45" s="141" t="s">
        <v>2781</v>
      </c>
      <c r="H45" s="142" t="s">
        <v>2782</v>
      </c>
      <c r="I45" s="142" t="s">
        <v>2783</v>
      </c>
      <c r="J45" s="142" t="s">
        <v>2784</v>
      </c>
      <c r="K45" s="247" t="s">
        <v>2785</v>
      </c>
      <c r="L45" s="142" t="s">
        <v>2786</v>
      </c>
      <c r="M45" s="142" t="s">
        <v>2787</v>
      </c>
      <c r="N45" s="142" t="s">
        <v>2788</v>
      </c>
      <c r="O45" s="142" t="s">
        <v>2789</v>
      </c>
      <c r="P45" s="142" t="s">
        <v>2790</v>
      </c>
      <c r="Q45" s="142" t="s">
        <v>2791</v>
      </c>
      <c r="R45" s="142" t="s">
        <v>2792</v>
      </c>
      <c r="S45" s="142" t="s">
        <v>2793</v>
      </c>
      <c r="T45" s="142" t="s">
        <v>2794</v>
      </c>
      <c r="U45" s="180" t="s">
        <v>2795</v>
      </c>
      <c r="V45" s="142" t="s">
        <v>2796</v>
      </c>
      <c r="W45" s="142" t="s">
        <v>2797</v>
      </c>
      <c r="X45" s="142" t="s">
        <v>2798</v>
      </c>
      <c r="Y45" s="142" t="s">
        <v>2799</v>
      </c>
      <c r="Z45" s="142" t="s">
        <v>2800</v>
      </c>
      <c r="AA45" s="142" t="s">
        <v>2801</v>
      </c>
      <c r="AB45" s="142" t="s">
        <v>2817</v>
      </c>
      <c r="AC45" s="142" t="s">
        <v>2818</v>
      </c>
      <c r="AD45" s="142" t="s">
        <v>2819</v>
      </c>
      <c r="AE45" s="142" t="s">
        <v>2821</v>
      </c>
      <c r="AF45" s="142" t="s">
        <v>2822</v>
      </c>
      <c r="AG45" s="498" t="s">
        <v>2823</v>
      </c>
      <c r="AH45" s="1162"/>
      <c r="AI45" s="1002"/>
      <c r="AJ45" s="1002"/>
      <c r="AK45" s="1002"/>
      <c r="AL45" s="1002"/>
      <c r="AM45" s="1002"/>
      <c r="AN45" s="1002"/>
      <c r="AO45" s="1002"/>
      <c r="AP45" s="1002"/>
      <c r="AQ45" s="1002"/>
      <c r="AR45" s="1002"/>
      <c r="AS45" s="1002"/>
      <c r="AT45" s="1002"/>
      <c r="AU45" s="1002"/>
      <c r="AV45" s="1002"/>
      <c r="AW45" s="1002"/>
      <c r="AX45" s="1002"/>
      <c r="AY45" s="1002"/>
      <c r="AZ45" s="1002"/>
      <c r="BA45" s="1002"/>
      <c r="BB45" s="1002"/>
      <c r="BC45" s="1002"/>
      <c r="BD45" s="1002"/>
      <c r="BE45" s="1002"/>
      <c r="BF45" s="1002"/>
      <c r="BG45" s="1002"/>
      <c r="BH45" s="1002"/>
      <c r="BI45" s="1002"/>
      <c r="BJ45" s="1002"/>
      <c r="BK45" s="1002"/>
      <c r="BL45" s="1002"/>
      <c r="BM45" s="1002"/>
      <c r="BS45" s="1002"/>
      <c r="BT45" s="1002"/>
      <c r="BU45" s="1002"/>
      <c r="BV45" s="1002"/>
      <c r="BW45" s="1002"/>
      <c r="CB45" s="1166"/>
      <c r="CC45" s="1166"/>
      <c r="CD45" s="1166"/>
      <c r="CE45" s="1166"/>
      <c r="CF45" s="1166"/>
      <c r="CG45" s="1166"/>
      <c r="CH45" s="1167"/>
      <c r="CI45" s="1167"/>
      <c r="CJ45" s="1000"/>
      <c r="CK45" s="1000"/>
      <c r="CL45" s="1000"/>
      <c r="CM45" s="1000"/>
      <c r="CN45" s="1000"/>
      <c r="CO45" s="1000"/>
      <c r="CP45" s="1000"/>
    </row>
    <row r="46" spans="1:94" ht="19.5" customHeight="1" x14ac:dyDescent="0.25">
      <c r="A46" s="2549">
        <v>31000025</v>
      </c>
      <c r="B46" s="4837" t="s">
        <v>1422</v>
      </c>
      <c r="C46" s="1615" t="s">
        <v>2777</v>
      </c>
      <c r="D46" s="166" t="s">
        <v>2778</v>
      </c>
      <c r="E46" s="126" t="s">
        <v>2779</v>
      </c>
      <c r="F46" s="125" t="s">
        <v>2780</v>
      </c>
      <c r="G46" s="166" t="s">
        <v>2781</v>
      </c>
      <c r="H46" s="102" t="s">
        <v>2782</v>
      </c>
      <c r="I46" s="102" t="s">
        <v>2783</v>
      </c>
      <c r="J46" s="102" t="s">
        <v>2784</v>
      </c>
      <c r="K46" s="270" t="s">
        <v>2785</v>
      </c>
      <c r="L46" s="102" t="s">
        <v>2786</v>
      </c>
      <c r="M46" s="102" t="s">
        <v>2787</v>
      </c>
      <c r="N46" s="102" t="s">
        <v>2788</v>
      </c>
      <c r="O46" s="102" t="s">
        <v>2789</v>
      </c>
      <c r="P46" s="102" t="s">
        <v>2790</v>
      </c>
      <c r="Q46" s="102" t="s">
        <v>2791</v>
      </c>
      <c r="R46" s="102" t="s">
        <v>2792</v>
      </c>
      <c r="S46" s="102" t="s">
        <v>2793</v>
      </c>
      <c r="T46" s="102" t="s">
        <v>2794</v>
      </c>
      <c r="U46" s="126" t="s">
        <v>2795</v>
      </c>
      <c r="V46" s="102" t="s">
        <v>2796</v>
      </c>
      <c r="W46" s="102" t="s">
        <v>2797</v>
      </c>
      <c r="X46" s="102" t="s">
        <v>2798</v>
      </c>
      <c r="Y46" s="102" t="s">
        <v>2799</v>
      </c>
      <c r="Z46" s="102" t="s">
        <v>2800</v>
      </c>
      <c r="AA46" s="102" t="s">
        <v>2801</v>
      </c>
      <c r="AB46" s="102" t="s">
        <v>2817</v>
      </c>
      <c r="AC46" s="102" t="s">
        <v>2818</v>
      </c>
      <c r="AD46" s="102" t="s">
        <v>2819</v>
      </c>
      <c r="AE46" s="102" t="s">
        <v>2821</v>
      </c>
      <c r="AF46" s="102" t="s">
        <v>2822</v>
      </c>
      <c r="AG46" s="533" t="s">
        <v>2823</v>
      </c>
      <c r="AH46" s="1162"/>
      <c r="AI46" s="1002"/>
      <c r="AJ46" s="1002"/>
      <c r="AK46" s="1002"/>
      <c r="AL46" s="1002"/>
      <c r="AM46" s="1002"/>
      <c r="AN46" s="1002"/>
      <c r="AO46" s="1002"/>
      <c r="AP46" s="1002"/>
      <c r="AQ46" s="1002"/>
      <c r="AR46" s="1002"/>
      <c r="AS46" s="1002"/>
      <c r="AT46" s="1002"/>
      <c r="AU46" s="1002"/>
      <c r="AV46" s="1002"/>
      <c r="AW46" s="1002"/>
      <c r="AX46" s="1002"/>
      <c r="AY46" s="1002"/>
      <c r="AZ46" s="1002"/>
      <c r="BA46" s="1002"/>
      <c r="BB46" s="1002"/>
      <c r="BC46" s="1002"/>
      <c r="BD46" s="1002"/>
      <c r="BE46" s="1002"/>
      <c r="BF46" s="1002"/>
      <c r="BG46" s="1002"/>
      <c r="BH46" s="1002"/>
      <c r="BI46" s="1002"/>
      <c r="BJ46" s="1002"/>
      <c r="BK46" s="1002"/>
      <c r="BL46" s="1002"/>
      <c r="BM46" s="1002"/>
      <c r="BS46" s="1002"/>
      <c r="BT46" s="1002"/>
      <c r="BU46" s="1002"/>
      <c r="BV46" s="1002"/>
      <c r="BW46" s="1002"/>
      <c r="CB46" s="1166"/>
      <c r="CC46" s="1166"/>
      <c r="CD46" s="1166"/>
      <c r="CE46" s="1166"/>
      <c r="CF46" s="1166"/>
      <c r="CG46" s="1166"/>
      <c r="CH46" s="1167"/>
      <c r="CI46" s="1167"/>
      <c r="CJ46" s="1000"/>
      <c r="CK46" s="1000"/>
      <c r="CL46" s="1000"/>
      <c r="CM46" s="1000"/>
      <c r="CN46" s="1000"/>
      <c r="CO46" s="1000"/>
      <c r="CP46" s="1000"/>
    </row>
    <row r="47" spans="1:94" ht="18.75" customHeight="1" x14ac:dyDescent="0.25">
      <c r="A47" s="3720"/>
      <c r="B47" s="4838" t="s">
        <v>210</v>
      </c>
      <c r="C47" s="4839">
        <f>SUM(C33:C46)</f>
        <v>0</v>
      </c>
      <c r="D47" s="1857">
        <f>SUM(D33:D46)</f>
        <v>0</v>
      </c>
      <c r="E47" s="1857">
        <f t="shared" ref="E47:AG47" si="6">SUM(E33:E46)</f>
        <v>0</v>
      </c>
      <c r="F47" s="1868">
        <f t="shared" si="6"/>
        <v>0</v>
      </c>
      <c r="G47" s="4781">
        <f t="shared" si="6"/>
        <v>0</v>
      </c>
      <c r="H47" s="1857">
        <f t="shared" si="6"/>
        <v>0</v>
      </c>
      <c r="I47" s="1857">
        <f t="shared" si="6"/>
        <v>0</v>
      </c>
      <c r="J47" s="1857">
        <f t="shared" si="6"/>
        <v>0</v>
      </c>
      <c r="K47" s="4782">
        <f t="shared" si="6"/>
        <v>0</v>
      </c>
      <c r="L47" s="4782">
        <f t="shared" si="6"/>
        <v>0</v>
      </c>
      <c r="M47" s="4782">
        <f t="shared" si="6"/>
        <v>0</v>
      </c>
      <c r="N47" s="4782">
        <f t="shared" si="6"/>
        <v>0</v>
      </c>
      <c r="O47" s="4782">
        <f t="shared" si="6"/>
        <v>0</v>
      </c>
      <c r="P47" s="4782">
        <f t="shared" si="6"/>
        <v>0</v>
      </c>
      <c r="Q47" s="4782">
        <f t="shared" si="6"/>
        <v>0</v>
      </c>
      <c r="R47" s="4782">
        <f t="shared" si="6"/>
        <v>0</v>
      </c>
      <c r="S47" s="4782">
        <f t="shared" si="6"/>
        <v>0</v>
      </c>
      <c r="T47" s="4782">
        <f t="shared" si="6"/>
        <v>0</v>
      </c>
      <c r="U47" s="4782">
        <f t="shared" si="6"/>
        <v>0</v>
      </c>
      <c r="V47" s="4782">
        <f t="shared" si="6"/>
        <v>0</v>
      </c>
      <c r="W47" s="4782">
        <f t="shared" si="6"/>
        <v>0</v>
      </c>
      <c r="X47" s="4782">
        <f t="shared" si="6"/>
        <v>0</v>
      </c>
      <c r="Y47" s="4782">
        <f t="shared" si="6"/>
        <v>0</v>
      </c>
      <c r="Z47" s="4782">
        <f t="shared" si="6"/>
        <v>0</v>
      </c>
      <c r="AA47" s="4782">
        <f t="shared" si="6"/>
        <v>0</v>
      </c>
      <c r="AB47" s="4782">
        <f t="shared" si="6"/>
        <v>0</v>
      </c>
      <c r="AC47" s="4782">
        <f t="shared" si="6"/>
        <v>0</v>
      </c>
      <c r="AD47" s="4782">
        <f t="shared" si="6"/>
        <v>0</v>
      </c>
      <c r="AE47" s="4782">
        <f t="shared" si="6"/>
        <v>0</v>
      </c>
      <c r="AF47" s="4782">
        <f t="shared" si="6"/>
        <v>0</v>
      </c>
      <c r="AG47" s="4840">
        <f t="shared" si="6"/>
        <v>0</v>
      </c>
      <c r="AH47" s="1002"/>
      <c r="AI47" s="1002"/>
      <c r="AJ47" s="1002"/>
      <c r="AK47" s="1002"/>
      <c r="AL47" s="1002"/>
      <c r="AM47" s="1002"/>
      <c r="AN47" s="1002"/>
      <c r="AO47" s="1002"/>
      <c r="AP47" s="1002"/>
      <c r="AQ47" s="1002"/>
      <c r="AR47" s="1002"/>
      <c r="AS47" s="1002"/>
      <c r="AT47" s="1002"/>
      <c r="AU47" s="1002"/>
      <c r="AV47" s="1002"/>
      <c r="AW47" s="1002"/>
      <c r="AX47" s="1002"/>
      <c r="AY47" s="1002"/>
      <c r="AZ47" s="1002"/>
      <c r="BA47" s="1002"/>
      <c r="BB47" s="1002"/>
      <c r="BC47" s="1002"/>
      <c r="BD47" s="1002"/>
      <c r="BE47" s="1002"/>
      <c r="BF47" s="1002"/>
      <c r="BG47" s="1002"/>
      <c r="BH47" s="1002"/>
      <c r="BI47" s="1002"/>
      <c r="BJ47" s="1002"/>
      <c r="BK47" s="1002"/>
      <c r="BL47" s="1002"/>
      <c r="BM47" s="1002"/>
      <c r="BS47" s="1002"/>
      <c r="BT47" s="1002"/>
      <c r="BU47" s="1002"/>
      <c r="BV47" s="1002"/>
      <c r="BW47" s="1002"/>
      <c r="CB47" s="1000"/>
      <c r="CC47" s="1000"/>
      <c r="CD47" s="1000"/>
      <c r="CE47" s="1000"/>
      <c r="CF47" s="1000"/>
      <c r="CG47" s="1000"/>
      <c r="CH47" s="1040"/>
      <c r="CI47" s="1040"/>
      <c r="CJ47" s="1000"/>
      <c r="CK47" s="1000"/>
      <c r="CL47" s="1000"/>
      <c r="CM47" s="1000"/>
      <c r="CN47" s="1000"/>
      <c r="CO47" s="1000"/>
      <c r="CP47" s="1000"/>
    </row>
    <row r="48" spans="1:94" ht="32.1" customHeight="1" x14ac:dyDescent="0.25">
      <c r="B48" s="4824" t="s">
        <v>3954</v>
      </c>
      <c r="C48" s="1002"/>
      <c r="D48" s="1002"/>
      <c r="E48" s="1002"/>
      <c r="F48" s="1002"/>
      <c r="G48" s="1002"/>
      <c r="H48" s="1002"/>
      <c r="I48" s="1002"/>
      <c r="J48" s="1002"/>
      <c r="K48" s="1002"/>
      <c r="L48" s="1002"/>
      <c r="M48" s="1002"/>
      <c r="N48" s="1002"/>
      <c r="O48" s="1002"/>
      <c r="P48" s="1002"/>
      <c r="Q48" s="1002"/>
      <c r="R48" s="1002"/>
      <c r="S48" s="1002"/>
      <c r="T48" s="1002"/>
      <c r="U48" s="1002"/>
      <c r="V48" s="1002"/>
      <c r="W48" s="1002"/>
      <c r="X48" s="1002"/>
      <c r="Y48" s="1002"/>
      <c r="Z48" s="1002"/>
      <c r="AA48" s="1002"/>
      <c r="AB48" s="1002"/>
      <c r="AC48" s="1002"/>
      <c r="AD48" s="1002"/>
      <c r="AE48" s="1002"/>
      <c r="AF48" s="1002"/>
      <c r="AG48" s="1002"/>
      <c r="AH48" s="1002"/>
      <c r="AI48" s="1002"/>
      <c r="AJ48" s="1002"/>
      <c r="AK48" s="1002"/>
      <c r="AL48" s="1002"/>
      <c r="AM48" s="1002"/>
      <c r="AN48" s="1002"/>
      <c r="AO48" s="1002"/>
      <c r="AP48" s="1002"/>
      <c r="AQ48" s="1002"/>
      <c r="AR48" s="1002"/>
      <c r="AS48" s="1002"/>
      <c r="AT48" s="1002"/>
      <c r="AU48" s="1002"/>
      <c r="AV48" s="1002"/>
      <c r="AW48" s="1002"/>
      <c r="AX48" s="1002"/>
      <c r="AY48" s="1002"/>
      <c r="AZ48" s="1002"/>
      <c r="BA48" s="1002"/>
      <c r="BB48" s="1002"/>
      <c r="BC48" s="1002"/>
      <c r="BD48" s="1002"/>
      <c r="BE48" s="1002"/>
      <c r="BF48" s="1002"/>
      <c r="BG48" s="1002"/>
      <c r="BH48" s="1002"/>
      <c r="BI48" s="1002"/>
      <c r="BJ48" s="1002"/>
      <c r="BK48" s="1002"/>
      <c r="BL48" s="1002"/>
      <c r="BM48" s="1002"/>
      <c r="BN48" s="1002"/>
      <c r="BO48" s="1002"/>
      <c r="BP48" s="1002"/>
      <c r="BQ48" s="1002"/>
      <c r="BR48" s="1002"/>
      <c r="BS48" s="1002"/>
      <c r="BT48" s="1002"/>
      <c r="BU48" s="1002"/>
      <c r="BV48" s="1002"/>
      <c r="BW48" s="1002"/>
      <c r="BX48" s="1002"/>
      <c r="BY48" s="1002"/>
      <c r="BZ48" s="1002"/>
      <c r="CA48" s="1002"/>
      <c r="CB48" s="1000"/>
      <c r="CC48" s="1000"/>
      <c r="CD48" s="1000"/>
      <c r="CE48" s="1000"/>
      <c r="CF48" s="1000"/>
      <c r="CG48" s="1000"/>
      <c r="CH48" s="1040"/>
      <c r="CI48" s="1040"/>
      <c r="CJ48" s="1000"/>
      <c r="CK48" s="1000"/>
      <c r="CL48" s="1000"/>
      <c r="CM48" s="1000"/>
      <c r="CN48" s="1000"/>
      <c r="CO48" s="1000"/>
      <c r="CP48" s="1000"/>
    </row>
    <row r="49" spans="1:105" s="1006" customFormat="1" ht="21" customHeight="1" x14ac:dyDescent="0.2">
      <c r="B49" s="6914" t="s">
        <v>1627</v>
      </c>
      <c r="C49" s="6915"/>
      <c r="D49" s="6903" t="s">
        <v>210</v>
      </c>
      <c r="E49" s="6918" t="s">
        <v>1394</v>
      </c>
      <c r="F49" s="6920" t="s">
        <v>1395</v>
      </c>
      <c r="G49" s="6872" t="s">
        <v>1396</v>
      </c>
      <c r="H49" s="6874" t="s">
        <v>1452</v>
      </c>
      <c r="I49" s="6875"/>
      <c r="J49" s="6875"/>
      <c r="K49" s="6875"/>
      <c r="L49" s="6875"/>
      <c r="M49" s="6875"/>
      <c r="N49" s="6875"/>
      <c r="O49" s="6875"/>
      <c r="P49" s="6875"/>
      <c r="Q49" s="6875"/>
      <c r="R49" s="6875"/>
      <c r="S49" s="6875"/>
      <c r="T49" s="6875"/>
      <c r="U49" s="6875"/>
      <c r="V49" s="6875"/>
      <c r="W49" s="6875"/>
      <c r="X49" s="6875"/>
      <c r="Y49" s="6875"/>
      <c r="Z49" s="6875"/>
      <c r="AA49" s="6875"/>
      <c r="AB49" s="6875"/>
      <c r="AC49" s="6875"/>
      <c r="AD49" s="6875"/>
      <c r="AE49" s="6875"/>
      <c r="AF49" s="6875"/>
      <c r="AG49" s="6875"/>
      <c r="AH49" s="6255"/>
      <c r="AI49" s="1003"/>
      <c r="AJ49" s="1003"/>
      <c r="AK49" s="1003"/>
      <c r="AL49" s="1003"/>
      <c r="AM49" s="1003"/>
      <c r="AN49" s="1003"/>
      <c r="AO49" s="1003"/>
      <c r="AP49" s="1003"/>
      <c r="AQ49" s="1003"/>
      <c r="AR49" s="1003"/>
      <c r="AS49" s="1003"/>
      <c r="AT49" s="1003"/>
      <c r="AU49" s="1003"/>
      <c r="AV49" s="1003"/>
      <c r="AW49" s="1003"/>
      <c r="AX49" s="1003"/>
      <c r="AY49" s="1003"/>
      <c r="AZ49" s="1003"/>
      <c r="BA49" s="1003"/>
      <c r="BB49" s="1003"/>
      <c r="BC49" s="1003"/>
      <c r="BD49" s="1003"/>
      <c r="BE49" s="1003"/>
      <c r="BF49" s="1003"/>
      <c r="BG49" s="1003"/>
      <c r="BH49" s="1003"/>
      <c r="BI49" s="1003"/>
      <c r="BJ49" s="1003"/>
      <c r="BK49" s="1003"/>
      <c r="BL49" s="1003"/>
      <c r="BM49" s="1003"/>
      <c r="BN49" s="1003"/>
      <c r="BO49" s="1003"/>
      <c r="BP49" s="1003"/>
      <c r="BQ49" s="1003"/>
      <c r="BR49" s="1003"/>
      <c r="BS49" s="1003"/>
      <c r="BT49" s="1003"/>
      <c r="BU49" s="1003"/>
      <c r="BV49" s="1003"/>
      <c r="BW49" s="1003"/>
      <c r="CB49" s="1011"/>
      <c r="CC49" s="1011"/>
      <c r="CD49" s="1011"/>
      <c r="CE49" s="1011"/>
      <c r="CF49" s="1011"/>
      <c r="CG49" s="1011"/>
      <c r="CH49" s="1039"/>
      <c r="CI49" s="1039"/>
      <c r="CJ49" s="1011"/>
      <c r="CK49" s="1011"/>
      <c r="CL49" s="1011"/>
      <c r="CM49" s="1011"/>
      <c r="CN49" s="1011"/>
      <c r="CO49" s="1011"/>
      <c r="CP49" s="1011"/>
      <c r="CQ49" s="1012"/>
      <c r="CR49" s="1012"/>
      <c r="CS49" s="1012"/>
      <c r="CT49" s="1012"/>
      <c r="CU49" s="1012"/>
      <c r="CV49" s="1012"/>
      <c r="CW49" s="1012"/>
      <c r="CX49" s="1012"/>
      <c r="CY49" s="1012"/>
      <c r="CZ49" s="1012"/>
      <c r="DA49" s="1012"/>
    </row>
    <row r="50" spans="1:105" s="1006" customFormat="1" ht="66.75" customHeight="1" x14ac:dyDescent="0.2">
      <c r="B50" s="6916"/>
      <c r="C50" s="6917"/>
      <c r="D50" s="6905"/>
      <c r="E50" s="6919"/>
      <c r="F50" s="6921"/>
      <c r="G50" s="6873"/>
      <c r="H50" s="1642" t="s">
        <v>1609</v>
      </c>
      <c r="I50" s="1640" t="s">
        <v>1619</v>
      </c>
      <c r="J50" s="1640" t="s">
        <v>1610</v>
      </c>
      <c r="K50" s="1640" t="s">
        <v>1620</v>
      </c>
      <c r="L50" s="1639" t="s">
        <v>1457</v>
      </c>
      <c r="M50" s="4829" t="s">
        <v>1626</v>
      </c>
      <c r="N50" s="4770" t="s">
        <v>1639</v>
      </c>
      <c r="O50" s="4829" t="s">
        <v>1637</v>
      </c>
      <c r="P50" s="4829" t="s">
        <v>1633</v>
      </c>
      <c r="Q50" s="4830" t="s">
        <v>1621</v>
      </c>
      <c r="R50" s="4827" t="s">
        <v>1628</v>
      </c>
      <c r="S50" s="4827" t="s">
        <v>1612</v>
      </c>
      <c r="T50" s="4827" t="s">
        <v>1613</v>
      </c>
      <c r="U50" s="4830" t="s">
        <v>1622</v>
      </c>
      <c r="V50" s="4827" t="s">
        <v>1632</v>
      </c>
      <c r="W50" s="4827" t="s">
        <v>2206</v>
      </c>
      <c r="X50" s="4831" t="s">
        <v>1614</v>
      </c>
      <c r="Y50" s="4827" t="s">
        <v>1455</v>
      </c>
      <c r="Z50" s="4830" t="s">
        <v>1623</v>
      </c>
      <c r="AA50" s="4829" t="s">
        <v>1624</v>
      </c>
      <c r="AB50" s="4770" t="s">
        <v>1625</v>
      </c>
      <c r="AC50" s="4829" t="s">
        <v>2212</v>
      </c>
      <c r="AD50" s="4829" t="s">
        <v>1454</v>
      </c>
      <c r="AE50" s="4830" t="s">
        <v>1453</v>
      </c>
      <c r="AF50" s="4829" t="s">
        <v>1456</v>
      </c>
      <c r="AG50" s="4829" t="s">
        <v>1638</v>
      </c>
      <c r="AH50" s="4845" t="s">
        <v>1640</v>
      </c>
      <c r="AI50" s="1003"/>
      <c r="AJ50" s="1003"/>
      <c r="AK50" s="1003"/>
      <c r="AL50" s="1003"/>
      <c r="AM50" s="1003"/>
      <c r="AN50" s="1003"/>
      <c r="AO50" s="1003"/>
      <c r="AP50" s="1003"/>
      <c r="AQ50" s="1003"/>
      <c r="AR50" s="1003"/>
      <c r="AS50" s="1003"/>
      <c r="AT50" s="1003"/>
      <c r="AU50" s="1003"/>
      <c r="AV50" s="1003"/>
      <c r="AW50" s="1003"/>
      <c r="AX50" s="1003"/>
      <c r="AY50" s="1003"/>
      <c r="AZ50" s="1003"/>
      <c r="BA50" s="1003"/>
      <c r="BB50" s="1003"/>
      <c r="BC50" s="1003"/>
      <c r="BD50" s="1003"/>
      <c r="BE50" s="1003"/>
      <c r="BF50" s="1003"/>
      <c r="BG50" s="1003"/>
      <c r="BH50" s="1003"/>
      <c r="BI50" s="1003"/>
      <c r="BJ50" s="1003"/>
      <c r="BK50" s="1003"/>
      <c r="BL50" s="1003"/>
      <c r="BM50" s="1003"/>
      <c r="BN50" s="1003"/>
      <c r="BO50" s="1003"/>
      <c r="BP50" s="1003"/>
      <c r="BQ50" s="1003"/>
      <c r="BR50" s="1003"/>
      <c r="BS50" s="1003"/>
      <c r="BT50" s="1003"/>
      <c r="BU50" s="1003"/>
      <c r="BV50" s="1003"/>
      <c r="BW50" s="1003"/>
      <c r="CB50" s="1011"/>
      <c r="CC50" s="1011"/>
      <c r="CD50" s="1011"/>
      <c r="CE50" s="1011"/>
      <c r="CF50" s="1011"/>
      <c r="CG50" s="1011"/>
      <c r="CH50" s="1039"/>
      <c r="CI50" s="1039"/>
      <c r="CJ50" s="1011"/>
      <c r="CK50" s="1011"/>
      <c r="CL50" s="1011"/>
      <c r="CM50" s="1011"/>
      <c r="CN50" s="1011"/>
      <c r="CO50" s="1011"/>
      <c r="CP50" s="1011"/>
      <c r="CQ50" s="1012"/>
      <c r="CR50" s="1012"/>
      <c r="CS50" s="1012"/>
      <c r="CT50" s="1012"/>
      <c r="CU50" s="1012"/>
      <c r="CV50" s="1012"/>
      <c r="CW50" s="1012"/>
      <c r="CX50" s="1012"/>
      <c r="CY50" s="1012"/>
      <c r="CZ50" s="1012"/>
      <c r="DA50" s="1012"/>
    </row>
    <row r="51" spans="1:105" s="1006" customFormat="1" ht="18.75" customHeight="1" x14ac:dyDescent="0.2">
      <c r="A51" s="2549">
        <v>31000035</v>
      </c>
      <c r="B51" s="6878" t="s">
        <v>1424</v>
      </c>
      <c r="C51" s="6879"/>
      <c r="D51" s="3722" t="s">
        <v>2777</v>
      </c>
      <c r="E51" s="3723" t="s">
        <v>2778</v>
      </c>
      <c r="F51" s="3724" t="s">
        <v>2779</v>
      </c>
      <c r="G51" s="3725" t="s">
        <v>2780</v>
      </c>
      <c r="H51" s="3726" t="s">
        <v>2781</v>
      </c>
      <c r="I51" s="3727" t="s">
        <v>2782</v>
      </c>
      <c r="J51" s="3727" t="s">
        <v>2783</v>
      </c>
      <c r="K51" s="3727" t="s">
        <v>2784</v>
      </c>
      <c r="L51" s="3728" t="s">
        <v>2785</v>
      </c>
      <c r="M51" s="4846" t="s">
        <v>2786</v>
      </c>
      <c r="N51" s="4846" t="s">
        <v>2787</v>
      </c>
      <c r="O51" s="4846" t="s">
        <v>2788</v>
      </c>
      <c r="P51" s="4847" t="s">
        <v>2789</v>
      </c>
      <c r="Q51" s="4846" t="s">
        <v>2790</v>
      </c>
      <c r="R51" s="4846" t="s">
        <v>2791</v>
      </c>
      <c r="S51" s="4846" t="s">
        <v>2792</v>
      </c>
      <c r="T51" s="4846" t="s">
        <v>2793</v>
      </c>
      <c r="U51" s="4846" t="s">
        <v>2794</v>
      </c>
      <c r="V51" s="4846" t="s">
        <v>2795</v>
      </c>
      <c r="W51" s="4846" t="s">
        <v>2796</v>
      </c>
      <c r="X51" s="4846" t="s">
        <v>2797</v>
      </c>
      <c r="Y51" s="4846" t="s">
        <v>2798</v>
      </c>
      <c r="Z51" s="4846" t="s">
        <v>2799</v>
      </c>
      <c r="AA51" s="4846" t="s">
        <v>2800</v>
      </c>
      <c r="AB51" s="4848" t="s">
        <v>2801</v>
      </c>
      <c r="AC51" s="4848" t="s">
        <v>2817</v>
      </c>
      <c r="AD51" s="4848" t="s">
        <v>2818</v>
      </c>
      <c r="AE51" s="4848" t="s">
        <v>2819</v>
      </c>
      <c r="AF51" s="4846" t="s">
        <v>2821</v>
      </c>
      <c r="AG51" s="4847" t="s">
        <v>2822</v>
      </c>
      <c r="AH51" s="4849" t="s">
        <v>2823</v>
      </c>
      <c r="AI51" s="1162"/>
      <c r="AJ51" s="1003"/>
      <c r="AK51" s="1003"/>
      <c r="AL51" s="1003"/>
      <c r="AM51" s="1003"/>
      <c r="AN51" s="1003"/>
      <c r="AO51" s="1003"/>
      <c r="AP51" s="1003"/>
      <c r="AQ51" s="1003"/>
      <c r="AR51" s="1003"/>
      <c r="AS51" s="1003"/>
      <c r="AT51" s="1003"/>
      <c r="AU51" s="1003"/>
      <c r="AV51" s="1003"/>
      <c r="AW51" s="1003"/>
      <c r="AX51" s="1003"/>
      <c r="AY51" s="1003"/>
      <c r="AZ51" s="1003"/>
      <c r="BA51" s="1003"/>
      <c r="BB51" s="1003"/>
      <c r="BC51" s="1003"/>
      <c r="BD51" s="1003"/>
      <c r="BE51" s="1003"/>
      <c r="BF51" s="1003"/>
      <c r="BG51" s="1003"/>
      <c r="BH51" s="1003"/>
      <c r="BI51" s="1003"/>
      <c r="BJ51" s="1003"/>
      <c r="BK51" s="1003"/>
      <c r="BL51" s="1003"/>
      <c r="BM51" s="1003"/>
      <c r="BN51" s="1003"/>
      <c r="BO51" s="1003"/>
      <c r="BP51" s="1003"/>
      <c r="BQ51" s="1003"/>
      <c r="BR51" s="1003"/>
      <c r="BS51" s="1003"/>
      <c r="BT51" s="1003"/>
      <c r="BU51" s="1003"/>
      <c r="BV51" s="1003"/>
      <c r="BW51" s="1003"/>
      <c r="CB51" s="1166"/>
      <c r="CC51" s="1166"/>
      <c r="CD51" s="1166"/>
      <c r="CE51" s="1166"/>
      <c r="CF51" s="1166"/>
      <c r="CG51" s="1166"/>
      <c r="CH51" s="1167"/>
      <c r="CI51" s="1167"/>
      <c r="CJ51" s="1011"/>
      <c r="CK51" s="1011"/>
      <c r="CL51" s="1011"/>
      <c r="CM51" s="1011"/>
      <c r="CN51" s="1011"/>
      <c r="CO51" s="1011"/>
      <c r="CP51" s="1011"/>
      <c r="CQ51" s="1012"/>
      <c r="CR51" s="1012"/>
      <c r="CS51" s="1012"/>
      <c r="CT51" s="1012"/>
      <c r="CU51" s="1012"/>
      <c r="CV51" s="1012"/>
      <c r="CW51" s="1012"/>
      <c r="CX51" s="1012"/>
      <c r="CY51" s="1012"/>
      <c r="CZ51" s="1012"/>
      <c r="DA51" s="1012"/>
    </row>
    <row r="52" spans="1:105" s="1006" customFormat="1" ht="18.75" customHeight="1" x14ac:dyDescent="0.2">
      <c r="A52" s="2549">
        <v>31000036</v>
      </c>
      <c r="B52" s="6870" t="s">
        <v>1425</v>
      </c>
      <c r="C52" s="6871"/>
      <c r="D52" s="850" t="s">
        <v>2777</v>
      </c>
      <c r="E52" s="3669" t="s">
        <v>2778</v>
      </c>
      <c r="F52" s="3729" t="s">
        <v>2779</v>
      </c>
      <c r="G52" s="3670" t="s">
        <v>2780</v>
      </c>
      <c r="H52" s="3730" t="s">
        <v>2781</v>
      </c>
      <c r="I52" s="3731" t="s">
        <v>2782</v>
      </c>
      <c r="J52" s="3731" t="s">
        <v>2783</v>
      </c>
      <c r="K52" s="3731" t="s">
        <v>2784</v>
      </c>
      <c r="L52" s="3732" t="s">
        <v>2785</v>
      </c>
      <c r="M52" s="4850" t="s">
        <v>2786</v>
      </c>
      <c r="N52" s="4850" t="s">
        <v>2787</v>
      </c>
      <c r="O52" s="4850" t="s">
        <v>2788</v>
      </c>
      <c r="P52" s="4851" t="s">
        <v>2789</v>
      </c>
      <c r="Q52" s="4850" t="s">
        <v>2790</v>
      </c>
      <c r="R52" s="4850" t="s">
        <v>2791</v>
      </c>
      <c r="S52" s="4850" t="s">
        <v>2792</v>
      </c>
      <c r="T52" s="4850" t="s">
        <v>2793</v>
      </c>
      <c r="U52" s="4850" t="s">
        <v>2794</v>
      </c>
      <c r="V52" s="4850" t="s">
        <v>2795</v>
      </c>
      <c r="W52" s="4850" t="s">
        <v>2796</v>
      </c>
      <c r="X52" s="4850" t="s">
        <v>2797</v>
      </c>
      <c r="Y52" s="4850" t="s">
        <v>2798</v>
      </c>
      <c r="Z52" s="4850" t="s">
        <v>2799</v>
      </c>
      <c r="AA52" s="4850" t="s">
        <v>2800</v>
      </c>
      <c r="AB52" s="4852" t="s">
        <v>2801</v>
      </c>
      <c r="AC52" s="4852" t="s">
        <v>2817</v>
      </c>
      <c r="AD52" s="4852" t="s">
        <v>2818</v>
      </c>
      <c r="AE52" s="4852" t="s">
        <v>2819</v>
      </c>
      <c r="AF52" s="4850" t="s">
        <v>2821</v>
      </c>
      <c r="AG52" s="4851" t="s">
        <v>2822</v>
      </c>
      <c r="AH52" s="4853" t="s">
        <v>2823</v>
      </c>
      <c r="AI52" s="1162"/>
      <c r="AJ52" s="1003"/>
      <c r="AK52" s="1003"/>
      <c r="AL52" s="1003"/>
      <c r="AM52" s="1003"/>
      <c r="AN52" s="1003"/>
      <c r="AO52" s="1003"/>
      <c r="AP52" s="1003"/>
      <c r="AQ52" s="1003"/>
      <c r="AR52" s="1003"/>
      <c r="AS52" s="1003"/>
      <c r="AT52" s="1003"/>
      <c r="AU52" s="1003"/>
      <c r="AV52" s="1003"/>
      <c r="AW52" s="1003"/>
      <c r="AX52" s="1003"/>
      <c r="AY52" s="1003"/>
      <c r="AZ52" s="1003"/>
      <c r="BA52" s="1003"/>
      <c r="BB52" s="1003"/>
      <c r="BC52" s="1003"/>
      <c r="BD52" s="1003"/>
      <c r="BE52" s="1003"/>
      <c r="BF52" s="1003"/>
      <c r="BG52" s="1003"/>
      <c r="BH52" s="1003"/>
      <c r="BI52" s="1003"/>
      <c r="BJ52" s="1003"/>
      <c r="BK52" s="1003"/>
      <c r="BL52" s="1003"/>
      <c r="BM52" s="1003"/>
      <c r="BN52" s="1003"/>
      <c r="BO52" s="1003"/>
      <c r="BP52" s="1003"/>
      <c r="BQ52" s="1003"/>
      <c r="BR52" s="1003"/>
      <c r="BS52" s="1003"/>
      <c r="BT52" s="1003"/>
      <c r="BU52" s="1003"/>
      <c r="BV52" s="1003"/>
      <c r="BW52" s="1003"/>
      <c r="CB52" s="1166"/>
      <c r="CC52" s="1166"/>
      <c r="CD52" s="1166"/>
      <c r="CE52" s="1166"/>
      <c r="CF52" s="1166"/>
      <c r="CG52" s="1166"/>
      <c r="CH52" s="1167"/>
      <c r="CI52" s="1167"/>
      <c r="CJ52" s="1011"/>
      <c r="CK52" s="1011"/>
      <c r="CL52" s="1011"/>
      <c r="CM52" s="1011"/>
      <c r="CN52" s="1011"/>
      <c r="CO52" s="1011"/>
      <c r="CP52" s="1011"/>
      <c r="CQ52" s="1012"/>
      <c r="CR52" s="1012"/>
      <c r="CS52" s="1012"/>
      <c r="CT52" s="1012"/>
      <c r="CU52" s="1012"/>
      <c r="CV52" s="1012"/>
      <c r="CW52" s="1012"/>
      <c r="CX52" s="1012"/>
      <c r="CY52" s="1012"/>
      <c r="CZ52" s="1012"/>
      <c r="DA52" s="1012"/>
    </row>
    <row r="53" spans="1:105" s="1006" customFormat="1" ht="18.75" customHeight="1" x14ac:dyDescent="0.2">
      <c r="A53" s="2549">
        <v>31000037</v>
      </c>
      <c r="B53" s="6870" t="s">
        <v>1426</v>
      </c>
      <c r="C53" s="6871"/>
      <c r="D53" s="850" t="s">
        <v>2777</v>
      </c>
      <c r="E53" s="3669" t="s">
        <v>2778</v>
      </c>
      <c r="F53" s="3729" t="s">
        <v>2779</v>
      </c>
      <c r="G53" s="3670" t="s">
        <v>2780</v>
      </c>
      <c r="H53" s="3730" t="s">
        <v>2781</v>
      </c>
      <c r="I53" s="3731" t="s">
        <v>2782</v>
      </c>
      <c r="J53" s="3731" t="s">
        <v>2783</v>
      </c>
      <c r="K53" s="3731" t="s">
        <v>2784</v>
      </c>
      <c r="L53" s="3732" t="s">
        <v>2785</v>
      </c>
      <c r="M53" s="4850" t="s">
        <v>2786</v>
      </c>
      <c r="N53" s="4850" t="s">
        <v>2787</v>
      </c>
      <c r="O53" s="4850" t="s">
        <v>2788</v>
      </c>
      <c r="P53" s="4851" t="s">
        <v>2789</v>
      </c>
      <c r="Q53" s="4850" t="s">
        <v>2790</v>
      </c>
      <c r="R53" s="4850" t="s">
        <v>2791</v>
      </c>
      <c r="S53" s="4850" t="s">
        <v>2792</v>
      </c>
      <c r="T53" s="4850" t="s">
        <v>2793</v>
      </c>
      <c r="U53" s="4850" t="s">
        <v>2794</v>
      </c>
      <c r="V53" s="4850" t="s">
        <v>2795</v>
      </c>
      <c r="W53" s="4850" t="s">
        <v>2796</v>
      </c>
      <c r="X53" s="4850" t="s">
        <v>2797</v>
      </c>
      <c r="Y53" s="4850" t="s">
        <v>2798</v>
      </c>
      <c r="Z53" s="4850" t="s">
        <v>2799</v>
      </c>
      <c r="AA53" s="4850" t="s">
        <v>2800</v>
      </c>
      <c r="AB53" s="4852" t="s">
        <v>2801</v>
      </c>
      <c r="AC53" s="4852" t="s">
        <v>2817</v>
      </c>
      <c r="AD53" s="4852" t="s">
        <v>2818</v>
      </c>
      <c r="AE53" s="4852" t="s">
        <v>2819</v>
      </c>
      <c r="AF53" s="4850" t="s">
        <v>2821</v>
      </c>
      <c r="AG53" s="4851" t="s">
        <v>2822</v>
      </c>
      <c r="AH53" s="4853" t="s">
        <v>2823</v>
      </c>
      <c r="AI53" s="1162"/>
      <c r="AJ53" s="1003"/>
      <c r="AK53" s="1003"/>
      <c r="AL53" s="1003"/>
      <c r="AM53" s="1003"/>
      <c r="AN53" s="1003"/>
      <c r="AO53" s="1003"/>
      <c r="AP53" s="1003"/>
      <c r="AQ53" s="1003"/>
      <c r="AR53" s="1003"/>
      <c r="AS53" s="1003"/>
      <c r="AT53" s="1003"/>
      <c r="AU53" s="1003"/>
      <c r="AV53" s="1003"/>
      <c r="AW53" s="1003"/>
      <c r="AX53" s="1003"/>
      <c r="AY53" s="1003"/>
      <c r="AZ53" s="1003"/>
      <c r="BA53" s="1003"/>
      <c r="BB53" s="1003"/>
      <c r="BC53" s="1003"/>
      <c r="BD53" s="1003"/>
      <c r="BE53" s="1003"/>
      <c r="BF53" s="1003"/>
      <c r="BG53" s="1003"/>
      <c r="BH53" s="1003"/>
      <c r="BI53" s="1003"/>
      <c r="BJ53" s="1003"/>
      <c r="BK53" s="1003"/>
      <c r="BL53" s="1003"/>
      <c r="BM53" s="1003"/>
      <c r="BN53" s="1003"/>
      <c r="BO53" s="1003"/>
      <c r="BP53" s="1003"/>
      <c r="BQ53" s="1003"/>
      <c r="BR53" s="1003"/>
      <c r="BS53" s="1003"/>
      <c r="BT53" s="1003"/>
      <c r="BU53" s="1003"/>
      <c r="BV53" s="1003"/>
      <c r="BW53" s="1003"/>
      <c r="CB53" s="1166"/>
      <c r="CC53" s="1166"/>
      <c r="CD53" s="1166"/>
      <c r="CE53" s="1166"/>
      <c r="CF53" s="1166"/>
      <c r="CG53" s="1166"/>
      <c r="CH53" s="1167"/>
      <c r="CI53" s="1167"/>
      <c r="CJ53" s="1011"/>
      <c r="CK53" s="1011"/>
      <c r="CL53" s="1011"/>
      <c r="CM53" s="1011"/>
      <c r="CN53" s="1011"/>
      <c r="CO53" s="1011"/>
      <c r="CP53" s="1011"/>
      <c r="CQ53" s="1012"/>
      <c r="CR53" s="1012"/>
      <c r="CS53" s="1012"/>
      <c r="CT53" s="1012"/>
      <c r="CU53" s="1012"/>
      <c r="CV53" s="1012"/>
      <c r="CW53" s="1012"/>
      <c r="CX53" s="1012"/>
      <c r="CY53" s="1012"/>
      <c r="CZ53" s="1012"/>
      <c r="DA53" s="1012"/>
    </row>
    <row r="54" spans="1:105" s="1006" customFormat="1" ht="18.75" customHeight="1" x14ac:dyDescent="0.2">
      <c r="A54" s="2549">
        <v>31000038</v>
      </c>
      <c r="B54" s="6870" t="s">
        <v>1423</v>
      </c>
      <c r="C54" s="6871"/>
      <c r="D54" s="850" t="s">
        <v>2777</v>
      </c>
      <c r="E54" s="3669" t="s">
        <v>2778</v>
      </c>
      <c r="F54" s="3729" t="s">
        <v>2779</v>
      </c>
      <c r="G54" s="3670" t="s">
        <v>2780</v>
      </c>
      <c r="H54" s="3730" t="s">
        <v>2781</v>
      </c>
      <c r="I54" s="3731" t="s">
        <v>2782</v>
      </c>
      <c r="J54" s="3731" t="s">
        <v>2783</v>
      </c>
      <c r="K54" s="3731" t="s">
        <v>2784</v>
      </c>
      <c r="L54" s="3732" t="s">
        <v>2785</v>
      </c>
      <c r="M54" s="4850" t="s">
        <v>2786</v>
      </c>
      <c r="N54" s="4850" t="s">
        <v>2787</v>
      </c>
      <c r="O54" s="4850" t="s">
        <v>2788</v>
      </c>
      <c r="P54" s="4851" t="s">
        <v>2789</v>
      </c>
      <c r="Q54" s="4850" t="s">
        <v>2790</v>
      </c>
      <c r="R54" s="4850" t="s">
        <v>2791</v>
      </c>
      <c r="S54" s="4850" t="s">
        <v>2792</v>
      </c>
      <c r="T54" s="4850" t="s">
        <v>2793</v>
      </c>
      <c r="U54" s="4850" t="s">
        <v>2794</v>
      </c>
      <c r="V54" s="4850" t="s">
        <v>2795</v>
      </c>
      <c r="W54" s="4850" t="s">
        <v>2796</v>
      </c>
      <c r="X54" s="4850" t="s">
        <v>2797</v>
      </c>
      <c r="Y54" s="4850" t="s">
        <v>2798</v>
      </c>
      <c r="Z54" s="4850" t="s">
        <v>2799</v>
      </c>
      <c r="AA54" s="4850" t="s">
        <v>2800</v>
      </c>
      <c r="AB54" s="4852" t="s">
        <v>2801</v>
      </c>
      <c r="AC54" s="4852" t="s">
        <v>2817</v>
      </c>
      <c r="AD54" s="4852" t="s">
        <v>2818</v>
      </c>
      <c r="AE54" s="4852" t="s">
        <v>2819</v>
      </c>
      <c r="AF54" s="4850" t="s">
        <v>2821</v>
      </c>
      <c r="AG54" s="4851" t="s">
        <v>2822</v>
      </c>
      <c r="AH54" s="4853" t="s">
        <v>2823</v>
      </c>
      <c r="AI54" s="1162"/>
      <c r="AJ54" s="1003"/>
      <c r="AK54" s="1003"/>
      <c r="AL54" s="1003"/>
      <c r="AM54" s="1003"/>
      <c r="AN54" s="1003"/>
      <c r="AO54" s="1003"/>
      <c r="AP54" s="1003"/>
      <c r="AQ54" s="1003"/>
      <c r="AR54" s="1003"/>
      <c r="AS54" s="1003"/>
      <c r="AT54" s="1003"/>
      <c r="AU54" s="1003"/>
      <c r="AV54" s="1003"/>
      <c r="AW54" s="1003"/>
      <c r="AX54" s="1003"/>
      <c r="AY54" s="1003"/>
      <c r="AZ54" s="1003"/>
      <c r="BA54" s="1003"/>
      <c r="BB54" s="1003"/>
      <c r="BC54" s="1003"/>
      <c r="BD54" s="1003"/>
      <c r="BE54" s="1003"/>
      <c r="BF54" s="1003"/>
      <c r="BG54" s="1003"/>
      <c r="BH54" s="1003"/>
      <c r="BI54" s="1003"/>
      <c r="BJ54" s="1003"/>
      <c r="BK54" s="1003"/>
      <c r="BL54" s="1003"/>
      <c r="BM54" s="1003"/>
      <c r="BN54" s="1003"/>
      <c r="BO54" s="1003"/>
      <c r="BP54" s="1003"/>
      <c r="BQ54" s="1003"/>
      <c r="BR54" s="1003"/>
      <c r="BS54" s="1003"/>
      <c r="BT54" s="1003"/>
      <c r="BU54" s="1003"/>
      <c r="BV54" s="1003"/>
      <c r="BW54" s="1003"/>
      <c r="CB54" s="1166"/>
      <c r="CC54" s="1166"/>
      <c r="CD54" s="1166"/>
      <c r="CE54" s="1166"/>
      <c r="CF54" s="1166"/>
      <c r="CG54" s="1166"/>
      <c r="CH54" s="1167"/>
      <c r="CI54" s="1167"/>
      <c r="CJ54" s="1011"/>
      <c r="CK54" s="1011"/>
      <c r="CL54" s="1011"/>
      <c r="CM54" s="1011"/>
      <c r="CN54" s="1011"/>
      <c r="CO54" s="1011"/>
      <c r="CP54" s="1011"/>
      <c r="CQ54" s="1012"/>
      <c r="CR54" s="1012"/>
      <c r="CS54" s="1012"/>
      <c r="CT54" s="1012"/>
      <c r="CU54" s="1012"/>
      <c r="CV54" s="1012"/>
      <c r="CW54" s="1012"/>
      <c r="CX54" s="1012"/>
      <c r="CY54" s="1012"/>
      <c r="CZ54" s="1012"/>
      <c r="DA54" s="1012"/>
    </row>
    <row r="55" spans="1:105" s="1006" customFormat="1" ht="21.75" customHeight="1" x14ac:dyDescent="0.2">
      <c r="A55" s="2549">
        <v>31000026</v>
      </c>
      <c r="B55" s="4841" t="s">
        <v>3957</v>
      </c>
      <c r="C55" s="4842"/>
      <c r="D55" s="850" t="s">
        <v>2777</v>
      </c>
      <c r="E55" s="3669" t="s">
        <v>2778</v>
      </c>
      <c r="F55" s="3729" t="s">
        <v>2779</v>
      </c>
      <c r="G55" s="3670" t="s">
        <v>2780</v>
      </c>
      <c r="H55" s="3730" t="s">
        <v>2781</v>
      </c>
      <c r="I55" s="3731" t="s">
        <v>2782</v>
      </c>
      <c r="J55" s="3731" t="s">
        <v>2783</v>
      </c>
      <c r="K55" s="3731" t="s">
        <v>2784</v>
      </c>
      <c r="L55" s="3732" t="s">
        <v>2785</v>
      </c>
      <c r="M55" s="4850" t="s">
        <v>2786</v>
      </c>
      <c r="N55" s="4850" t="s">
        <v>2787</v>
      </c>
      <c r="O55" s="4850" t="s">
        <v>2788</v>
      </c>
      <c r="P55" s="4851" t="s">
        <v>2789</v>
      </c>
      <c r="Q55" s="4850" t="s">
        <v>2790</v>
      </c>
      <c r="R55" s="4850" t="s">
        <v>2791</v>
      </c>
      <c r="S55" s="4850" t="s">
        <v>2792</v>
      </c>
      <c r="T55" s="4850" t="s">
        <v>2793</v>
      </c>
      <c r="U55" s="4850" t="s">
        <v>2794</v>
      </c>
      <c r="V55" s="4850" t="s">
        <v>2795</v>
      </c>
      <c r="W55" s="4850" t="s">
        <v>2796</v>
      </c>
      <c r="X55" s="4850" t="s">
        <v>2797</v>
      </c>
      <c r="Y55" s="4850" t="s">
        <v>2798</v>
      </c>
      <c r="Z55" s="4850" t="s">
        <v>2799</v>
      </c>
      <c r="AA55" s="4850" t="s">
        <v>2800</v>
      </c>
      <c r="AB55" s="4852" t="s">
        <v>2801</v>
      </c>
      <c r="AC55" s="4852" t="s">
        <v>2817</v>
      </c>
      <c r="AD55" s="4852" t="s">
        <v>2818</v>
      </c>
      <c r="AE55" s="4852" t="s">
        <v>2819</v>
      </c>
      <c r="AF55" s="4850" t="s">
        <v>2821</v>
      </c>
      <c r="AG55" s="4851" t="s">
        <v>2822</v>
      </c>
      <c r="AH55" s="4853" t="s">
        <v>2823</v>
      </c>
      <c r="AI55" s="1162"/>
      <c r="AJ55" s="1003"/>
      <c r="AK55" s="1003"/>
      <c r="AL55" s="1003"/>
      <c r="AM55" s="1003"/>
      <c r="AN55" s="1003"/>
      <c r="AO55" s="1003"/>
      <c r="AP55" s="1003"/>
      <c r="AQ55" s="1003"/>
      <c r="AR55" s="1003"/>
      <c r="AS55" s="1003"/>
      <c r="AT55" s="1003"/>
      <c r="AU55" s="1003"/>
      <c r="AV55" s="1003"/>
      <c r="AW55" s="1003"/>
      <c r="AX55" s="1003"/>
      <c r="AY55" s="1003"/>
      <c r="AZ55" s="1003"/>
      <c r="BA55" s="1003"/>
      <c r="BB55" s="1003"/>
      <c r="BC55" s="1003"/>
      <c r="BD55" s="1003"/>
      <c r="BE55" s="1003"/>
      <c r="BF55" s="1003"/>
      <c r="BG55" s="1003"/>
      <c r="BH55" s="1003"/>
      <c r="BI55" s="1003"/>
      <c r="BJ55" s="1003"/>
      <c r="BK55" s="1003"/>
      <c r="BL55" s="1003"/>
      <c r="BM55" s="1003"/>
      <c r="BN55" s="1003"/>
      <c r="BO55" s="1003"/>
      <c r="BP55" s="1003"/>
      <c r="BQ55" s="1003"/>
      <c r="BR55" s="1003"/>
      <c r="BS55" s="1003"/>
      <c r="BT55" s="1003"/>
      <c r="BU55" s="1003"/>
      <c r="BV55" s="1003"/>
      <c r="BW55" s="1003"/>
      <c r="CB55" s="1166"/>
      <c r="CC55" s="1166"/>
      <c r="CD55" s="1166"/>
      <c r="CE55" s="1166"/>
      <c r="CF55" s="1166"/>
      <c r="CG55" s="1166"/>
      <c r="CH55" s="1167"/>
      <c r="CI55" s="1167"/>
      <c r="CJ55" s="1011"/>
      <c r="CK55" s="1011"/>
      <c r="CL55" s="1011"/>
      <c r="CM55" s="1011"/>
      <c r="CN55" s="1011"/>
      <c r="CO55" s="1011"/>
      <c r="CP55" s="1011"/>
      <c r="CQ55" s="1012"/>
      <c r="CR55" s="1012"/>
      <c r="CS55" s="1012"/>
      <c r="CT55" s="1012"/>
      <c r="CU55" s="1012"/>
      <c r="CV55" s="1012"/>
      <c r="CW55" s="1012"/>
      <c r="CX55" s="1012"/>
      <c r="CY55" s="1012"/>
      <c r="CZ55" s="1012"/>
      <c r="DA55" s="1012"/>
    </row>
    <row r="56" spans="1:105" s="1006" customFormat="1" ht="18.75" customHeight="1" x14ac:dyDescent="0.2">
      <c r="A56" s="2549">
        <v>31000047</v>
      </c>
      <c r="B56" s="4841" t="s">
        <v>3958</v>
      </c>
      <c r="C56" s="4842"/>
      <c r="D56" s="850" t="s">
        <v>2777</v>
      </c>
      <c r="E56" s="3669" t="s">
        <v>2778</v>
      </c>
      <c r="F56" s="3729" t="s">
        <v>2779</v>
      </c>
      <c r="G56" s="3670" t="s">
        <v>2780</v>
      </c>
      <c r="H56" s="3730" t="s">
        <v>2781</v>
      </c>
      <c r="I56" s="3731" t="s">
        <v>2782</v>
      </c>
      <c r="J56" s="3731" t="s">
        <v>2783</v>
      </c>
      <c r="K56" s="3731" t="s">
        <v>2784</v>
      </c>
      <c r="L56" s="3732" t="s">
        <v>2785</v>
      </c>
      <c r="M56" s="4850" t="s">
        <v>2786</v>
      </c>
      <c r="N56" s="4850" t="s">
        <v>2787</v>
      </c>
      <c r="O56" s="4850" t="s">
        <v>2788</v>
      </c>
      <c r="P56" s="4851" t="s">
        <v>2789</v>
      </c>
      <c r="Q56" s="4850" t="s">
        <v>2790</v>
      </c>
      <c r="R56" s="4850" t="s">
        <v>2791</v>
      </c>
      <c r="S56" s="4850" t="s">
        <v>2792</v>
      </c>
      <c r="T56" s="4850" t="s">
        <v>2793</v>
      </c>
      <c r="U56" s="4850" t="s">
        <v>2794</v>
      </c>
      <c r="V56" s="4850" t="s">
        <v>2795</v>
      </c>
      <c r="W56" s="4850" t="s">
        <v>2796</v>
      </c>
      <c r="X56" s="4850" t="s">
        <v>2797</v>
      </c>
      <c r="Y56" s="4850" t="s">
        <v>2798</v>
      </c>
      <c r="Z56" s="4850" t="s">
        <v>2799</v>
      </c>
      <c r="AA56" s="4850" t="s">
        <v>2800</v>
      </c>
      <c r="AB56" s="4852" t="s">
        <v>2801</v>
      </c>
      <c r="AC56" s="4852" t="s">
        <v>2817</v>
      </c>
      <c r="AD56" s="4852" t="s">
        <v>2818</v>
      </c>
      <c r="AE56" s="4852" t="s">
        <v>2819</v>
      </c>
      <c r="AF56" s="4850" t="s">
        <v>2821</v>
      </c>
      <c r="AG56" s="4851" t="s">
        <v>2822</v>
      </c>
      <c r="AH56" s="4853" t="s">
        <v>2823</v>
      </c>
      <c r="AI56" s="1162"/>
      <c r="AJ56" s="1003"/>
      <c r="AK56" s="1003"/>
      <c r="AL56" s="1003"/>
      <c r="AM56" s="1003"/>
      <c r="AN56" s="1003"/>
      <c r="AO56" s="1003"/>
      <c r="AP56" s="1003"/>
      <c r="AQ56" s="1003"/>
      <c r="AR56" s="1003"/>
      <c r="AS56" s="1003"/>
      <c r="AT56" s="1003"/>
      <c r="AU56" s="1003"/>
      <c r="AV56" s="1003"/>
      <c r="AW56" s="1003"/>
      <c r="AX56" s="1003"/>
      <c r="AY56" s="1003"/>
      <c r="AZ56" s="1003"/>
      <c r="BA56" s="1003"/>
      <c r="BB56" s="1003"/>
      <c r="BC56" s="1003"/>
      <c r="BD56" s="1003"/>
      <c r="BE56" s="1003"/>
      <c r="BF56" s="1003"/>
      <c r="BG56" s="1003"/>
      <c r="BH56" s="1003"/>
      <c r="BI56" s="1003"/>
      <c r="BJ56" s="1003"/>
      <c r="BK56" s="1003"/>
      <c r="BL56" s="1003"/>
      <c r="BM56" s="1003"/>
      <c r="BN56" s="1003"/>
      <c r="BO56" s="1003"/>
      <c r="BP56" s="1003"/>
      <c r="BQ56" s="1003"/>
      <c r="BR56" s="1003"/>
      <c r="BS56" s="1003"/>
      <c r="BT56" s="1003"/>
      <c r="BU56" s="1003"/>
      <c r="BV56" s="1003"/>
      <c r="BW56" s="1003"/>
      <c r="CB56" s="1166"/>
      <c r="CC56" s="1166"/>
      <c r="CD56" s="1166"/>
      <c r="CE56" s="1166"/>
      <c r="CF56" s="1166"/>
      <c r="CG56" s="1166"/>
      <c r="CH56" s="1167"/>
      <c r="CI56" s="1167"/>
      <c r="CJ56" s="1011"/>
      <c r="CK56" s="1011"/>
      <c r="CL56" s="1011"/>
      <c r="CM56" s="1011"/>
      <c r="CN56" s="1011"/>
      <c r="CO56" s="1011"/>
      <c r="CP56" s="1011"/>
      <c r="CQ56" s="1012"/>
      <c r="CR56" s="1012"/>
      <c r="CS56" s="1012"/>
      <c r="CT56" s="1012"/>
      <c r="CU56" s="1012"/>
      <c r="CV56" s="1012"/>
      <c r="CW56" s="1012"/>
      <c r="CX56" s="1012"/>
      <c r="CY56" s="1012"/>
      <c r="CZ56" s="1012"/>
      <c r="DA56" s="1012"/>
    </row>
    <row r="57" spans="1:105" s="1006" customFormat="1" ht="18.75" customHeight="1" x14ac:dyDescent="0.2">
      <c r="A57" s="2549">
        <v>31000027</v>
      </c>
      <c r="B57" s="4841" t="s">
        <v>3959</v>
      </c>
      <c r="C57" s="4842"/>
      <c r="D57" s="850" t="s">
        <v>2777</v>
      </c>
      <c r="E57" s="3669" t="s">
        <v>2778</v>
      </c>
      <c r="F57" s="3729" t="s">
        <v>2779</v>
      </c>
      <c r="G57" s="3670" t="s">
        <v>2780</v>
      </c>
      <c r="H57" s="3730" t="s">
        <v>2781</v>
      </c>
      <c r="I57" s="3731" t="s">
        <v>2782</v>
      </c>
      <c r="J57" s="3731" t="s">
        <v>2783</v>
      </c>
      <c r="K57" s="3731" t="s">
        <v>2784</v>
      </c>
      <c r="L57" s="3732" t="s">
        <v>2785</v>
      </c>
      <c r="M57" s="4850" t="s">
        <v>2786</v>
      </c>
      <c r="N57" s="4850" t="s">
        <v>2787</v>
      </c>
      <c r="O57" s="4850" t="s">
        <v>2788</v>
      </c>
      <c r="P57" s="4851" t="s">
        <v>2789</v>
      </c>
      <c r="Q57" s="4850" t="s">
        <v>2790</v>
      </c>
      <c r="R57" s="4850" t="s">
        <v>2791</v>
      </c>
      <c r="S57" s="4850" t="s">
        <v>2792</v>
      </c>
      <c r="T57" s="4850" t="s">
        <v>2793</v>
      </c>
      <c r="U57" s="4850" t="s">
        <v>2794</v>
      </c>
      <c r="V57" s="4850" t="s">
        <v>2795</v>
      </c>
      <c r="W57" s="4850" t="s">
        <v>2796</v>
      </c>
      <c r="X57" s="4850" t="s">
        <v>2797</v>
      </c>
      <c r="Y57" s="4850" t="s">
        <v>2798</v>
      </c>
      <c r="Z57" s="4850" t="s">
        <v>2799</v>
      </c>
      <c r="AA57" s="4850" t="s">
        <v>2800</v>
      </c>
      <c r="AB57" s="4852" t="s">
        <v>2801</v>
      </c>
      <c r="AC57" s="4852" t="s">
        <v>2817</v>
      </c>
      <c r="AD57" s="4852" t="s">
        <v>2818</v>
      </c>
      <c r="AE57" s="4852" t="s">
        <v>2819</v>
      </c>
      <c r="AF57" s="4850" t="s">
        <v>2821</v>
      </c>
      <c r="AG57" s="4851" t="s">
        <v>2822</v>
      </c>
      <c r="AH57" s="4853" t="s">
        <v>2823</v>
      </c>
      <c r="AI57" s="1162"/>
      <c r="AJ57" s="1003"/>
      <c r="AK57" s="1003"/>
      <c r="AL57" s="1003"/>
      <c r="AM57" s="1003"/>
      <c r="AN57" s="1003"/>
      <c r="AO57" s="1003"/>
      <c r="AP57" s="1003"/>
      <c r="AQ57" s="1003"/>
      <c r="AR57" s="1003"/>
      <c r="AS57" s="1003"/>
      <c r="AT57" s="1003"/>
      <c r="AU57" s="1003"/>
      <c r="AV57" s="1003"/>
      <c r="AW57" s="1003"/>
      <c r="AX57" s="1003"/>
      <c r="AY57" s="1003"/>
      <c r="AZ57" s="1003"/>
      <c r="BA57" s="1003"/>
      <c r="BB57" s="1003"/>
      <c r="BC57" s="1003"/>
      <c r="BD57" s="1003"/>
      <c r="BE57" s="1003"/>
      <c r="BF57" s="1003"/>
      <c r="BG57" s="1003"/>
      <c r="BH57" s="1003"/>
      <c r="BI57" s="1003"/>
      <c r="BJ57" s="1003"/>
      <c r="BK57" s="1003"/>
      <c r="BL57" s="1003"/>
      <c r="BM57" s="1003"/>
      <c r="BN57" s="1003"/>
      <c r="BO57" s="1003"/>
      <c r="BP57" s="1003"/>
      <c r="BQ57" s="1003"/>
      <c r="BR57" s="1003"/>
      <c r="BS57" s="1003"/>
      <c r="BT57" s="1003"/>
      <c r="BU57" s="1003"/>
      <c r="BV57" s="1003"/>
      <c r="BW57" s="1003"/>
      <c r="CB57" s="1166"/>
      <c r="CC57" s="1166"/>
      <c r="CD57" s="1166"/>
      <c r="CE57" s="1166"/>
      <c r="CF57" s="1166"/>
      <c r="CG57" s="1166"/>
      <c r="CH57" s="1167"/>
      <c r="CI57" s="1167"/>
      <c r="CJ57" s="1011"/>
      <c r="CK57" s="1011"/>
      <c r="CL57" s="1011"/>
      <c r="CM57" s="1011"/>
      <c r="CN57" s="1011"/>
      <c r="CO57" s="1011"/>
      <c r="CP57" s="1011"/>
      <c r="CQ57" s="1012"/>
      <c r="CR57" s="1012"/>
      <c r="CS57" s="1012"/>
      <c r="CT57" s="1012"/>
      <c r="CU57" s="1012"/>
      <c r="CV57" s="1012"/>
      <c r="CW57" s="1012"/>
      <c r="CX57" s="1012"/>
      <c r="CY57" s="1012"/>
      <c r="CZ57" s="1012"/>
      <c r="DA57" s="1012"/>
    </row>
    <row r="58" spans="1:105" s="1006" customFormat="1" ht="18.75" customHeight="1" x14ac:dyDescent="0.2">
      <c r="A58" s="2549">
        <v>31000028</v>
      </c>
      <c r="B58" s="4841" t="s">
        <v>3960</v>
      </c>
      <c r="C58" s="4842"/>
      <c r="D58" s="850" t="s">
        <v>2777</v>
      </c>
      <c r="E58" s="3669" t="s">
        <v>2778</v>
      </c>
      <c r="F58" s="3729" t="s">
        <v>2779</v>
      </c>
      <c r="G58" s="3670" t="s">
        <v>2780</v>
      </c>
      <c r="H58" s="3730" t="s">
        <v>2781</v>
      </c>
      <c r="I58" s="3731" t="s">
        <v>2782</v>
      </c>
      <c r="J58" s="3731" t="s">
        <v>2783</v>
      </c>
      <c r="K58" s="3731" t="s">
        <v>2784</v>
      </c>
      <c r="L58" s="3732" t="s">
        <v>2785</v>
      </c>
      <c r="M58" s="4850" t="s">
        <v>2786</v>
      </c>
      <c r="N58" s="4850" t="s">
        <v>2787</v>
      </c>
      <c r="O58" s="4850" t="s">
        <v>2788</v>
      </c>
      <c r="P58" s="4851" t="s">
        <v>2789</v>
      </c>
      <c r="Q58" s="4850" t="s">
        <v>2790</v>
      </c>
      <c r="R58" s="4850" t="s">
        <v>2791</v>
      </c>
      <c r="S58" s="4850" t="s">
        <v>2792</v>
      </c>
      <c r="T58" s="4850" t="s">
        <v>2793</v>
      </c>
      <c r="U58" s="4850" t="s">
        <v>2794</v>
      </c>
      <c r="V58" s="4850" t="s">
        <v>2795</v>
      </c>
      <c r="W58" s="4850" t="s">
        <v>2796</v>
      </c>
      <c r="X58" s="4850" t="s">
        <v>2797</v>
      </c>
      <c r="Y58" s="4850" t="s">
        <v>2798</v>
      </c>
      <c r="Z58" s="4850" t="s">
        <v>2799</v>
      </c>
      <c r="AA58" s="4850" t="s">
        <v>2800</v>
      </c>
      <c r="AB58" s="4852" t="s">
        <v>2801</v>
      </c>
      <c r="AC58" s="4852" t="s">
        <v>2817</v>
      </c>
      <c r="AD58" s="4852" t="s">
        <v>2818</v>
      </c>
      <c r="AE58" s="4852" t="s">
        <v>2819</v>
      </c>
      <c r="AF58" s="4850" t="s">
        <v>2821</v>
      </c>
      <c r="AG58" s="4851" t="s">
        <v>2822</v>
      </c>
      <c r="AH58" s="4853" t="s">
        <v>2823</v>
      </c>
      <c r="AI58" s="1162"/>
      <c r="AJ58" s="1003"/>
      <c r="AK58" s="1003"/>
      <c r="AL58" s="1003"/>
      <c r="AM58" s="1003"/>
      <c r="AN58" s="1003"/>
      <c r="AO58" s="1003"/>
      <c r="AP58" s="1003"/>
      <c r="AQ58" s="1003"/>
      <c r="AR58" s="1003"/>
      <c r="AS58" s="1003"/>
      <c r="AT58" s="1003"/>
      <c r="AU58" s="1003"/>
      <c r="AV58" s="1003"/>
      <c r="AW58" s="1003"/>
      <c r="AX58" s="1003"/>
      <c r="AY58" s="1003"/>
      <c r="AZ58" s="1003"/>
      <c r="BA58" s="1003"/>
      <c r="BB58" s="1003"/>
      <c r="BC58" s="1003"/>
      <c r="BD58" s="1003"/>
      <c r="BE58" s="1003"/>
      <c r="BF58" s="1003"/>
      <c r="BG58" s="1003"/>
      <c r="BH58" s="1003"/>
      <c r="BI58" s="1003"/>
      <c r="BJ58" s="1003"/>
      <c r="BK58" s="1003"/>
      <c r="BL58" s="1003"/>
      <c r="BM58" s="1003"/>
      <c r="BN58" s="1003"/>
      <c r="BO58" s="1003"/>
      <c r="BP58" s="1003"/>
      <c r="BQ58" s="1003"/>
      <c r="BR58" s="1003"/>
      <c r="BS58" s="1003"/>
      <c r="BT58" s="1003"/>
      <c r="BU58" s="1003"/>
      <c r="BV58" s="1003"/>
      <c r="BW58" s="1003"/>
      <c r="CB58" s="1166"/>
      <c r="CC58" s="1166"/>
      <c r="CD58" s="1166"/>
      <c r="CE58" s="1166"/>
      <c r="CF58" s="1166"/>
      <c r="CG58" s="1166"/>
      <c r="CH58" s="1167"/>
      <c r="CI58" s="1167"/>
      <c r="CJ58" s="1011"/>
      <c r="CK58" s="1011"/>
      <c r="CL58" s="1011"/>
      <c r="CM58" s="1011"/>
      <c r="CN58" s="1011"/>
      <c r="CO58" s="1011"/>
      <c r="CP58" s="1011"/>
      <c r="CQ58" s="1012"/>
      <c r="CR58" s="1012"/>
      <c r="CS58" s="1012"/>
      <c r="CT58" s="1012"/>
      <c r="CU58" s="1012"/>
      <c r="CV58" s="1012"/>
      <c r="CW58" s="1012"/>
      <c r="CX58" s="1012"/>
      <c r="CY58" s="1012"/>
      <c r="CZ58" s="1012"/>
      <c r="DA58" s="1012"/>
    </row>
    <row r="59" spans="1:105" s="1006" customFormat="1" ht="22.5" customHeight="1" x14ac:dyDescent="0.2">
      <c r="A59" s="2549">
        <v>31000048</v>
      </c>
      <c r="B59" s="6870" t="s">
        <v>3961</v>
      </c>
      <c r="C59" s="6871"/>
      <c r="D59" s="850" t="s">
        <v>2777</v>
      </c>
      <c r="E59" s="3669" t="s">
        <v>2778</v>
      </c>
      <c r="F59" s="3729" t="s">
        <v>2779</v>
      </c>
      <c r="G59" s="3670" t="s">
        <v>2780</v>
      </c>
      <c r="H59" s="3730" t="s">
        <v>2781</v>
      </c>
      <c r="I59" s="3731" t="s">
        <v>2782</v>
      </c>
      <c r="J59" s="3731" t="s">
        <v>2783</v>
      </c>
      <c r="K59" s="3731" t="s">
        <v>2784</v>
      </c>
      <c r="L59" s="3732" t="s">
        <v>2785</v>
      </c>
      <c r="M59" s="4850" t="s">
        <v>2786</v>
      </c>
      <c r="N59" s="4850" t="s">
        <v>2787</v>
      </c>
      <c r="O59" s="4850" t="s">
        <v>2788</v>
      </c>
      <c r="P59" s="4851" t="s">
        <v>2789</v>
      </c>
      <c r="Q59" s="4850" t="s">
        <v>2790</v>
      </c>
      <c r="R59" s="4850" t="s">
        <v>2791</v>
      </c>
      <c r="S59" s="4850" t="s">
        <v>2792</v>
      </c>
      <c r="T59" s="4850" t="s">
        <v>2793</v>
      </c>
      <c r="U59" s="4850" t="s">
        <v>2794</v>
      </c>
      <c r="V59" s="4850" t="s">
        <v>2795</v>
      </c>
      <c r="W59" s="4850" t="s">
        <v>2796</v>
      </c>
      <c r="X59" s="4850" t="s">
        <v>2797</v>
      </c>
      <c r="Y59" s="4850" t="s">
        <v>2798</v>
      </c>
      <c r="Z59" s="4850" t="s">
        <v>2799</v>
      </c>
      <c r="AA59" s="4850" t="s">
        <v>2800</v>
      </c>
      <c r="AB59" s="4852" t="s">
        <v>2801</v>
      </c>
      <c r="AC59" s="4852" t="s">
        <v>2817</v>
      </c>
      <c r="AD59" s="4852" t="s">
        <v>2818</v>
      </c>
      <c r="AE59" s="4852" t="s">
        <v>2819</v>
      </c>
      <c r="AF59" s="4850" t="s">
        <v>2821</v>
      </c>
      <c r="AG59" s="4851" t="s">
        <v>2822</v>
      </c>
      <c r="AH59" s="4853" t="s">
        <v>2823</v>
      </c>
      <c r="AI59" s="1162"/>
      <c r="AJ59" s="1003"/>
      <c r="AK59" s="1003"/>
      <c r="AL59" s="1003"/>
      <c r="AM59" s="1003"/>
      <c r="AN59" s="1003"/>
      <c r="AO59" s="1003"/>
      <c r="AP59" s="1003"/>
      <c r="AQ59" s="1003"/>
      <c r="AR59" s="1003"/>
      <c r="AS59" s="1003"/>
      <c r="AT59" s="1003"/>
      <c r="AU59" s="1003"/>
      <c r="AV59" s="1003"/>
      <c r="AW59" s="1003"/>
      <c r="AX59" s="1003"/>
      <c r="AY59" s="1003"/>
      <c r="AZ59" s="1003"/>
      <c r="BA59" s="1003"/>
      <c r="BB59" s="1003"/>
      <c r="BC59" s="1003"/>
      <c r="BD59" s="1003"/>
      <c r="BE59" s="1003"/>
      <c r="BF59" s="1003"/>
      <c r="BG59" s="1003"/>
      <c r="BH59" s="1003"/>
      <c r="BI59" s="1003"/>
      <c r="BJ59" s="1003"/>
      <c r="BK59" s="1003"/>
      <c r="BL59" s="1003"/>
      <c r="BM59" s="1003"/>
      <c r="BN59" s="1003"/>
      <c r="BO59" s="1003"/>
      <c r="BP59" s="1003"/>
      <c r="BQ59" s="1003"/>
      <c r="BR59" s="1003"/>
      <c r="BS59" s="1003"/>
      <c r="BT59" s="1003"/>
      <c r="BU59" s="1003"/>
      <c r="BV59" s="1003"/>
      <c r="BW59" s="1003"/>
      <c r="CB59" s="1166"/>
      <c r="CC59" s="1166"/>
      <c r="CD59" s="1166"/>
      <c r="CE59" s="1166"/>
      <c r="CF59" s="1166"/>
      <c r="CG59" s="1166"/>
      <c r="CH59" s="1167"/>
      <c r="CI59" s="1167"/>
      <c r="CJ59" s="1011"/>
      <c r="CK59" s="1011"/>
      <c r="CL59" s="1011"/>
      <c r="CM59" s="1011"/>
      <c r="CN59" s="1011"/>
      <c r="CO59" s="1011"/>
      <c r="CP59" s="1011"/>
      <c r="CQ59" s="1012"/>
      <c r="CR59" s="1012"/>
      <c r="CS59" s="1012"/>
      <c r="CT59" s="1012"/>
      <c r="CU59" s="1012"/>
      <c r="CV59" s="1012"/>
      <c r="CW59" s="1012"/>
      <c r="CX59" s="1012"/>
      <c r="CY59" s="1012"/>
      <c r="CZ59" s="1012"/>
      <c r="DA59" s="1012"/>
    </row>
    <row r="60" spans="1:105" s="1006" customFormat="1" ht="18.75" customHeight="1" x14ac:dyDescent="0.2">
      <c r="A60" s="2549">
        <v>31000049</v>
      </c>
      <c r="B60" s="6870" t="s">
        <v>1663</v>
      </c>
      <c r="C60" s="6871"/>
      <c r="D60" s="850" t="s">
        <v>2777</v>
      </c>
      <c r="E60" s="3669" t="s">
        <v>2778</v>
      </c>
      <c r="F60" s="3729" t="s">
        <v>2779</v>
      </c>
      <c r="G60" s="3670" t="s">
        <v>2780</v>
      </c>
      <c r="H60" s="3730" t="s">
        <v>2781</v>
      </c>
      <c r="I60" s="3731" t="s">
        <v>2782</v>
      </c>
      <c r="J60" s="3731" t="s">
        <v>2783</v>
      </c>
      <c r="K60" s="3731" t="s">
        <v>2784</v>
      </c>
      <c r="L60" s="3732" t="s">
        <v>2785</v>
      </c>
      <c r="M60" s="4850" t="s">
        <v>2786</v>
      </c>
      <c r="N60" s="4850" t="s">
        <v>2787</v>
      </c>
      <c r="O60" s="4850" t="s">
        <v>2788</v>
      </c>
      <c r="P60" s="4851" t="s">
        <v>2789</v>
      </c>
      <c r="Q60" s="4850" t="s">
        <v>2790</v>
      </c>
      <c r="R60" s="4850" t="s">
        <v>2791</v>
      </c>
      <c r="S60" s="4850" t="s">
        <v>2792</v>
      </c>
      <c r="T60" s="4850" t="s">
        <v>2793</v>
      </c>
      <c r="U60" s="4850" t="s">
        <v>2794</v>
      </c>
      <c r="V60" s="4850" t="s">
        <v>2795</v>
      </c>
      <c r="W60" s="4850" t="s">
        <v>2796</v>
      </c>
      <c r="X60" s="4850" t="s">
        <v>2797</v>
      </c>
      <c r="Y60" s="4850" t="s">
        <v>2798</v>
      </c>
      <c r="Z60" s="4850" t="s">
        <v>2799</v>
      </c>
      <c r="AA60" s="4850" t="s">
        <v>2800</v>
      </c>
      <c r="AB60" s="4852" t="s">
        <v>2801</v>
      </c>
      <c r="AC60" s="4852" t="s">
        <v>2817</v>
      </c>
      <c r="AD60" s="4852" t="s">
        <v>2818</v>
      </c>
      <c r="AE60" s="4852" t="s">
        <v>2819</v>
      </c>
      <c r="AF60" s="4850" t="s">
        <v>2821</v>
      </c>
      <c r="AG60" s="4851" t="s">
        <v>2822</v>
      </c>
      <c r="AH60" s="4853" t="s">
        <v>2823</v>
      </c>
      <c r="AI60" s="1162"/>
      <c r="AJ60" s="1003"/>
      <c r="AK60" s="1003"/>
      <c r="AL60" s="1003"/>
      <c r="AM60" s="1003"/>
      <c r="AN60" s="1003"/>
      <c r="AO60" s="1003"/>
      <c r="AP60" s="1003"/>
      <c r="AQ60" s="1003"/>
      <c r="AR60" s="1003"/>
      <c r="AS60" s="1003"/>
      <c r="AT60" s="1003"/>
      <c r="AU60" s="1003"/>
      <c r="AV60" s="1003"/>
      <c r="AW60" s="1003"/>
      <c r="AX60" s="1003"/>
      <c r="AY60" s="1003"/>
      <c r="AZ60" s="1003"/>
      <c r="BA60" s="1003"/>
      <c r="BB60" s="1003"/>
      <c r="BC60" s="1003"/>
      <c r="BD60" s="1003"/>
      <c r="BE60" s="1003"/>
      <c r="BF60" s="1003"/>
      <c r="BG60" s="1003"/>
      <c r="BH60" s="1003"/>
      <c r="BI60" s="1003"/>
      <c r="BJ60" s="1003"/>
      <c r="BK60" s="1003"/>
      <c r="BL60" s="1003"/>
      <c r="BM60" s="1003"/>
      <c r="BN60" s="1003"/>
      <c r="BO60" s="1003"/>
      <c r="BP60" s="1003"/>
      <c r="BQ60" s="1003"/>
      <c r="BR60" s="1003"/>
      <c r="BS60" s="1003"/>
      <c r="BT60" s="1003"/>
      <c r="BU60" s="1003"/>
      <c r="BV60" s="1003"/>
      <c r="BW60" s="1003"/>
      <c r="CB60" s="1166"/>
      <c r="CC60" s="1166"/>
      <c r="CD60" s="1166"/>
      <c r="CE60" s="1166"/>
      <c r="CF60" s="1166"/>
      <c r="CG60" s="1166"/>
      <c r="CH60" s="1167"/>
      <c r="CI60" s="1167"/>
      <c r="CJ60" s="1011"/>
      <c r="CK60" s="1011"/>
      <c r="CL60" s="1011"/>
      <c r="CM60" s="1011"/>
      <c r="CN60" s="1011"/>
      <c r="CO60" s="1011"/>
      <c r="CP60" s="1011"/>
      <c r="CQ60" s="1012"/>
      <c r="CR60" s="1012"/>
      <c r="CS60" s="1012"/>
      <c r="CT60" s="1012"/>
      <c r="CU60" s="1012"/>
      <c r="CV60" s="1012"/>
      <c r="CW60" s="1012"/>
      <c r="CX60" s="1012"/>
      <c r="CY60" s="1012"/>
      <c r="CZ60" s="1012"/>
      <c r="DA60" s="1012"/>
    </row>
    <row r="61" spans="1:105" s="1006" customFormat="1" ht="18.75" customHeight="1" x14ac:dyDescent="0.2">
      <c r="A61" s="2549">
        <v>31000029</v>
      </c>
      <c r="B61" s="4841" t="s">
        <v>3962</v>
      </c>
      <c r="C61" s="4842"/>
      <c r="D61" s="850" t="s">
        <v>2777</v>
      </c>
      <c r="E61" s="3669" t="s">
        <v>2778</v>
      </c>
      <c r="F61" s="3729" t="s">
        <v>2779</v>
      </c>
      <c r="G61" s="3670" t="s">
        <v>2780</v>
      </c>
      <c r="H61" s="3730" t="s">
        <v>2781</v>
      </c>
      <c r="I61" s="3731" t="s">
        <v>2782</v>
      </c>
      <c r="J61" s="3731" t="s">
        <v>2783</v>
      </c>
      <c r="K61" s="3731" t="s">
        <v>2784</v>
      </c>
      <c r="L61" s="3732" t="s">
        <v>2785</v>
      </c>
      <c r="M61" s="4850" t="s">
        <v>2786</v>
      </c>
      <c r="N61" s="4850" t="s">
        <v>2787</v>
      </c>
      <c r="O61" s="4850" t="s">
        <v>2788</v>
      </c>
      <c r="P61" s="4851" t="s">
        <v>2789</v>
      </c>
      <c r="Q61" s="4850" t="s">
        <v>2790</v>
      </c>
      <c r="R61" s="4850" t="s">
        <v>2791</v>
      </c>
      <c r="S61" s="4850" t="s">
        <v>2792</v>
      </c>
      <c r="T61" s="4850" t="s">
        <v>2793</v>
      </c>
      <c r="U61" s="4850" t="s">
        <v>2794</v>
      </c>
      <c r="V61" s="4850" t="s">
        <v>2795</v>
      </c>
      <c r="W61" s="4850" t="s">
        <v>2796</v>
      </c>
      <c r="X61" s="4850" t="s">
        <v>2797</v>
      </c>
      <c r="Y61" s="4850" t="s">
        <v>2798</v>
      </c>
      <c r="Z61" s="4850" t="s">
        <v>2799</v>
      </c>
      <c r="AA61" s="4850" t="s">
        <v>2800</v>
      </c>
      <c r="AB61" s="4852" t="s">
        <v>2801</v>
      </c>
      <c r="AC61" s="4852" t="s">
        <v>2817</v>
      </c>
      <c r="AD61" s="4852" t="s">
        <v>2818</v>
      </c>
      <c r="AE61" s="4852" t="s">
        <v>2819</v>
      </c>
      <c r="AF61" s="4850" t="s">
        <v>2821</v>
      </c>
      <c r="AG61" s="4851" t="s">
        <v>2822</v>
      </c>
      <c r="AH61" s="4853" t="s">
        <v>2823</v>
      </c>
      <c r="AI61" s="1162"/>
      <c r="AJ61" s="1003"/>
      <c r="AK61" s="1003"/>
      <c r="AL61" s="1003"/>
      <c r="AM61" s="1003"/>
      <c r="AN61" s="1003"/>
      <c r="AO61" s="1003"/>
      <c r="AP61" s="1003"/>
      <c r="AQ61" s="1003"/>
      <c r="AR61" s="1003"/>
      <c r="AS61" s="1003"/>
      <c r="AT61" s="1003"/>
      <c r="AU61" s="1003"/>
      <c r="AV61" s="1003"/>
      <c r="AW61" s="1003"/>
      <c r="AX61" s="1003"/>
      <c r="AY61" s="1003"/>
      <c r="AZ61" s="1003"/>
      <c r="BA61" s="1003"/>
      <c r="BB61" s="1003"/>
      <c r="BC61" s="1003"/>
      <c r="BD61" s="1003"/>
      <c r="BE61" s="1003"/>
      <c r="BF61" s="1003"/>
      <c r="BG61" s="1003"/>
      <c r="BH61" s="1003"/>
      <c r="BI61" s="1003"/>
      <c r="BJ61" s="1003"/>
      <c r="BK61" s="1003"/>
      <c r="BL61" s="1003"/>
      <c r="BM61" s="1003"/>
      <c r="BN61" s="1003"/>
      <c r="BO61" s="1003"/>
      <c r="BP61" s="1003"/>
      <c r="BQ61" s="1003"/>
      <c r="BR61" s="1003"/>
      <c r="BS61" s="1003"/>
      <c r="BT61" s="1003"/>
      <c r="BU61" s="1003"/>
      <c r="BV61" s="1003"/>
      <c r="BW61" s="1003"/>
      <c r="CB61" s="1166"/>
      <c r="CC61" s="1166"/>
      <c r="CD61" s="1166"/>
      <c r="CE61" s="1166"/>
      <c r="CF61" s="1166"/>
      <c r="CG61" s="1166"/>
      <c r="CH61" s="1167"/>
      <c r="CI61" s="1167"/>
      <c r="CJ61" s="1011"/>
      <c r="CK61" s="1011"/>
      <c r="CL61" s="1011"/>
      <c r="CM61" s="1011"/>
      <c r="CN61" s="1011"/>
      <c r="CO61" s="1011"/>
      <c r="CP61" s="1011"/>
      <c r="CQ61" s="1012"/>
      <c r="CR61" s="1012"/>
      <c r="CS61" s="1012"/>
      <c r="CT61" s="1012"/>
      <c r="CU61" s="1012"/>
      <c r="CV61" s="1012"/>
      <c r="CW61" s="1012"/>
      <c r="CX61" s="1012"/>
      <c r="CY61" s="1012"/>
      <c r="CZ61" s="1012"/>
      <c r="DA61" s="1012"/>
    </row>
    <row r="62" spans="1:105" s="1006" customFormat="1" ht="20.25" customHeight="1" x14ac:dyDescent="0.2">
      <c r="A62" s="2549">
        <v>31000050</v>
      </c>
      <c r="B62" s="4841" t="s">
        <v>3963</v>
      </c>
      <c r="C62" s="4842"/>
      <c r="D62" s="850" t="s">
        <v>2777</v>
      </c>
      <c r="E62" s="3669" t="s">
        <v>2778</v>
      </c>
      <c r="F62" s="3729" t="s">
        <v>2779</v>
      </c>
      <c r="G62" s="3670" t="s">
        <v>2780</v>
      </c>
      <c r="H62" s="3730" t="s">
        <v>2781</v>
      </c>
      <c r="I62" s="3731" t="s">
        <v>2782</v>
      </c>
      <c r="J62" s="3731" t="s">
        <v>2783</v>
      </c>
      <c r="K62" s="3731" t="s">
        <v>2784</v>
      </c>
      <c r="L62" s="3732" t="s">
        <v>2785</v>
      </c>
      <c r="M62" s="4850" t="s">
        <v>2786</v>
      </c>
      <c r="N62" s="4850" t="s">
        <v>2787</v>
      </c>
      <c r="O62" s="4850" t="s">
        <v>2788</v>
      </c>
      <c r="P62" s="4851" t="s">
        <v>2789</v>
      </c>
      <c r="Q62" s="4850" t="s">
        <v>2790</v>
      </c>
      <c r="R62" s="4850" t="s">
        <v>2791</v>
      </c>
      <c r="S62" s="4850" t="s">
        <v>2792</v>
      </c>
      <c r="T62" s="4850" t="s">
        <v>2793</v>
      </c>
      <c r="U62" s="4850" t="s">
        <v>2794</v>
      </c>
      <c r="V62" s="4850" t="s">
        <v>2795</v>
      </c>
      <c r="W62" s="4850" t="s">
        <v>2796</v>
      </c>
      <c r="X62" s="4850" t="s">
        <v>2797</v>
      </c>
      <c r="Y62" s="4850" t="s">
        <v>2798</v>
      </c>
      <c r="Z62" s="4850" t="s">
        <v>2799</v>
      </c>
      <c r="AA62" s="4850" t="s">
        <v>2800</v>
      </c>
      <c r="AB62" s="4852" t="s">
        <v>2801</v>
      </c>
      <c r="AC62" s="4852" t="s">
        <v>2817</v>
      </c>
      <c r="AD62" s="4852" t="s">
        <v>2818</v>
      </c>
      <c r="AE62" s="4852" t="s">
        <v>2819</v>
      </c>
      <c r="AF62" s="4850" t="s">
        <v>2821</v>
      </c>
      <c r="AG62" s="4851" t="s">
        <v>2822</v>
      </c>
      <c r="AH62" s="4853" t="s">
        <v>2823</v>
      </c>
      <c r="AI62" s="1162"/>
      <c r="AJ62" s="1003"/>
      <c r="AK62" s="1003"/>
      <c r="AL62" s="1003"/>
      <c r="AM62" s="1003"/>
      <c r="AN62" s="1003"/>
      <c r="AO62" s="1003"/>
      <c r="AP62" s="1003"/>
      <c r="AQ62" s="1003"/>
      <c r="AR62" s="1003"/>
      <c r="AS62" s="1003"/>
      <c r="AT62" s="1003"/>
      <c r="AU62" s="1003"/>
      <c r="AV62" s="1003"/>
      <c r="AW62" s="1003"/>
      <c r="AX62" s="1003"/>
      <c r="AY62" s="1003"/>
      <c r="AZ62" s="1003"/>
      <c r="BA62" s="1003"/>
      <c r="BB62" s="1003"/>
      <c r="BC62" s="1003"/>
      <c r="BD62" s="1003"/>
      <c r="BE62" s="1003"/>
      <c r="BF62" s="1003"/>
      <c r="BG62" s="1003"/>
      <c r="BH62" s="1003"/>
      <c r="BI62" s="1003"/>
      <c r="BJ62" s="1003"/>
      <c r="BK62" s="1003"/>
      <c r="BL62" s="1003"/>
      <c r="BM62" s="1003"/>
      <c r="BN62" s="1003"/>
      <c r="BO62" s="1003"/>
      <c r="BP62" s="1003"/>
      <c r="BQ62" s="1003"/>
      <c r="BR62" s="1003"/>
      <c r="BS62" s="1003"/>
      <c r="BT62" s="1003"/>
      <c r="BU62" s="1003"/>
      <c r="BV62" s="1003"/>
      <c r="BW62" s="1003"/>
      <c r="CB62" s="1166"/>
      <c r="CC62" s="1166"/>
      <c r="CD62" s="1166"/>
      <c r="CE62" s="1166"/>
      <c r="CF62" s="1166"/>
      <c r="CG62" s="1166"/>
      <c r="CH62" s="1167"/>
      <c r="CI62" s="1167"/>
      <c r="CJ62" s="1011"/>
      <c r="CK62" s="1011"/>
      <c r="CL62" s="1011"/>
      <c r="CM62" s="1011"/>
      <c r="CN62" s="1011"/>
      <c r="CO62" s="1011"/>
      <c r="CP62" s="1011"/>
      <c r="CQ62" s="1012"/>
      <c r="CR62" s="1012"/>
      <c r="CS62" s="1012"/>
      <c r="CT62" s="1012"/>
      <c r="CU62" s="1012"/>
      <c r="CV62" s="1012"/>
      <c r="CW62" s="1012"/>
      <c r="CX62" s="1012"/>
      <c r="CY62" s="1012"/>
      <c r="CZ62" s="1012"/>
      <c r="DA62" s="1012"/>
    </row>
    <row r="63" spans="1:105" s="1006" customFormat="1" ht="22.5" customHeight="1" x14ac:dyDescent="0.2">
      <c r="A63" s="2549">
        <v>31000031</v>
      </c>
      <c r="B63" s="6870" t="s">
        <v>3964</v>
      </c>
      <c r="C63" s="6871"/>
      <c r="D63" s="850" t="s">
        <v>2777</v>
      </c>
      <c r="E63" s="3669" t="s">
        <v>2778</v>
      </c>
      <c r="F63" s="3729" t="s">
        <v>2779</v>
      </c>
      <c r="G63" s="3670" t="s">
        <v>2780</v>
      </c>
      <c r="H63" s="3730" t="s">
        <v>2781</v>
      </c>
      <c r="I63" s="3731" t="s">
        <v>2782</v>
      </c>
      <c r="J63" s="3731" t="s">
        <v>2783</v>
      </c>
      <c r="K63" s="3731" t="s">
        <v>2784</v>
      </c>
      <c r="L63" s="3732" t="s">
        <v>2785</v>
      </c>
      <c r="M63" s="4850" t="s">
        <v>2786</v>
      </c>
      <c r="N63" s="4850" t="s">
        <v>2787</v>
      </c>
      <c r="O63" s="4850" t="s">
        <v>2788</v>
      </c>
      <c r="P63" s="4851" t="s">
        <v>2789</v>
      </c>
      <c r="Q63" s="4850" t="s">
        <v>2790</v>
      </c>
      <c r="R63" s="4850" t="s">
        <v>2791</v>
      </c>
      <c r="S63" s="4850" t="s">
        <v>2792</v>
      </c>
      <c r="T63" s="4850" t="s">
        <v>2793</v>
      </c>
      <c r="U63" s="4850" t="s">
        <v>2794</v>
      </c>
      <c r="V63" s="4850" t="s">
        <v>2795</v>
      </c>
      <c r="W63" s="4850" t="s">
        <v>2796</v>
      </c>
      <c r="X63" s="4850" t="s">
        <v>2797</v>
      </c>
      <c r="Y63" s="4850" t="s">
        <v>2798</v>
      </c>
      <c r="Z63" s="4850" t="s">
        <v>2799</v>
      </c>
      <c r="AA63" s="4850" t="s">
        <v>2800</v>
      </c>
      <c r="AB63" s="4852" t="s">
        <v>2801</v>
      </c>
      <c r="AC63" s="4852" t="s">
        <v>2817</v>
      </c>
      <c r="AD63" s="4852" t="s">
        <v>2818</v>
      </c>
      <c r="AE63" s="4852" t="s">
        <v>2819</v>
      </c>
      <c r="AF63" s="4850" t="s">
        <v>2821</v>
      </c>
      <c r="AG63" s="4851" t="s">
        <v>2822</v>
      </c>
      <c r="AH63" s="4853" t="s">
        <v>2823</v>
      </c>
      <c r="AI63" s="1162"/>
      <c r="AJ63" s="1003"/>
      <c r="AK63" s="1003"/>
      <c r="AL63" s="1003"/>
      <c r="AM63" s="1003"/>
      <c r="AN63" s="1003"/>
      <c r="AO63" s="1003"/>
      <c r="AP63" s="1003"/>
      <c r="AQ63" s="1003"/>
      <c r="AR63" s="1003"/>
      <c r="AS63" s="1003"/>
      <c r="AT63" s="1003"/>
      <c r="AU63" s="1003"/>
      <c r="AV63" s="1003"/>
      <c r="AW63" s="1003"/>
      <c r="AX63" s="1003"/>
      <c r="AY63" s="1003"/>
      <c r="AZ63" s="1003"/>
      <c r="BA63" s="1003"/>
      <c r="BB63" s="1003"/>
      <c r="BC63" s="1003"/>
      <c r="BD63" s="1003"/>
      <c r="BE63" s="1003"/>
      <c r="BF63" s="1003"/>
      <c r="BG63" s="1003"/>
      <c r="BH63" s="1003"/>
      <c r="BI63" s="1003"/>
      <c r="BJ63" s="1003"/>
      <c r="BK63" s="1003"/>
      <c r="BL63" s="1003"/>
      <c r="BM63" s="1003"/>
      <c r="BN63" s="1003"/>
      <c r="BO63" s="1003"/>
      <c r="BP63" s="1003"/>
      <c r="BQ63" s="1003"/>
      <c r="BR63" s="1003"/>
      <c r="BS63" s="1003"/>
      <c r="BT63" s="1003"/>
      <c r="BU63" s="1003"/>
      <c r="BV63" s="1003"/>
      <c r="BW63" s="1003"/>
      <c r="CB63" s="1166"/>
      <c r="CC63" s="1166"/>
      <c r="CD63" s="1166"/>
      <c r="CE63" s="1166"/>
      <c r="CF63" s="1166"/>
      <c r="CG63" s="1166"/>
      <c r="CH63" s="1167"/>
      <c r="CI63" s="1167"/>
      <c r="CJ63" s="1011"/>
      <c r="CK63" s="1011"/>
      <c r="CL63" s="1011"/>
      <c r="CM63" s="1011"/>
      <c r="CN63" s="1011"/>
      <c r="CO63" s="1011"/>
      <c r="CP63" s="1011"/>
      <c r="CQ63" s="1012"/>
      <c r="CR63" s="1012"/>
      <c r="CS63" s="1012"/>
      <c r="CT63" s="1012"/>
      <c r="CU63" s="1012"/>
      <c r="CV63" s="1012"/>
      <c r="CW63" s="1012"/>
      <c r="CX63" s="1012"/>
      <c r="CY63" s="1012"/>
      <c r="CZ63" s="1012"/>
      <c r="DA63" s="1012"/>
    </row>
    <row r="64" spans="1:105" s="1006" customFormat="1" ht="18.75" customHeight="1" x14ac:dyDescent="0.2">
      <c r="A64" s="2549">
        <v>31000032</v>
      </c>
      <c r="B64" s="4841" t="s">
        <v>3965</v>
      </c>
      <c r="C64" s="4842"/>
      <c r="D64" s="850" t="s">
        <v>2777</v>
      </c>
      <c r="E64" s="3669" t="s">
        <v>2778</v>
      </c>
      <c r="F64" s="3729" t="s">
        <v>2779</v>
      </c>
      <c r="G64" s="3670" t="s">
        <v>2780</v>
      </c>
      <c r="H64" s="3730" t="s">
        <v>2781</v>
      </c>
      <c r="I64" s="3731" t="s">
        <v>2782</v>
      </c>
      <c r="J64" s="3731" t="s">
        <v>2783</v>
      </c>
      <c r="K64" s="3731" t="s">
        <v>2784</v>
      </c>
      <c r="L64" s="3732" t="s">
        <v>2785</v>
      </c>
      <c r="M64" s="4850" t="s">
        <v>2786</v>
      </c>
      <c r="N64" s="4850" t="s">
        <v>2787</v>
      </c>
      <c r="O64" s="4850" t="s">
        <v>2788</v>
      </c>
      <c r="P64" s="4851" t="s">
        <v>2789</v>
      </c>
      <c r="Q64" s="4850" t="s">
        <v>2790</v>
      </c>
      <c r="R64" s="4850" t="s">
        <v>2791</v>
      </c>
      <c r="S64" s="4850" t="s">
        <v>2792</v>
      </c>
      <c r="T64" s="4850" t="s">
        <v>2793</v>
      </c>
      <c r="U64" s="4850" t="s">
        <v>2794</v>
      </c>
      <c r="V64" s="4850" t="s">
        <v>2795</v>
      </c>
      <c r="W64" s="4850" t="s">
        <v>2796</v>
      </c>
      <c r="X64" s="4850" t="s">
        <v>2797</v>
      </c>
      <c r="Y64" s="4850" t="s">
        <v>2798</v>
      </c>
      <c r="Z64" s="4850" t="s">
        <v>2799</v>
      </c>
      <c r="AA64" s="4850" t="s">
        <v>2800</v>
      </c>
      <c r="AB64" s="4852" t="s">
        <v>2801</v>
      </c>
      <c r="AC64" s="4852" t="s">
        <v>2817</v>
      </c>
      <c r="AD64" s="4852" t="s">
        <v>2818</v>
      </c>
      <c r="AE64" s="4852" t="s">
        <v>2819</v>
      </c>
      <c r="AF64" s="4850" t="s">
        <v>2821</v>
      </c>
      <c r="AG64" s="4851" t="s">
        <v>2822</v>
      </c>
      <c r="AH64" s="4853" t="s">
        <v>2823</v>
      </c>
      <c r="AI64" s="1162"/>
      <c r="AJ64" s="1003"/>
      <c r="AK64" s="1003"/>
      <c r="AL64" s="1003"/>
      <c r="AM64" s="1003"/>
      <c r="AN64" s="1003"/>
      <c r="AO64" s="1003"/>
      <c r="AP64" s="1003"/>
      <c r="AQ64" s="1003"/>
      <c r="AR64" s="1003"/>
      <c r="AS64" s="1003"/>
      <c r="AT64" s="1003"/>
      <c r="AU64" s="1003"/>
      <c r="AV64" s="1003"/>
      <c r="AW64" s="1003"/>
      <c r="AX64" s="1003"/>
      <c r="AY64" s="1003"/>
      <c r="AZ64" s="1003"/>
      <c r="BA64" s="1003"/>
      <c r="BB64" s="1003"/>
      <c r="BC64" s="1003"/>
      <c r="BD64" s="1003"/>
      <c r="BE64" s="1003"/>
      <c r="BF64" s="1003"/>
      <c r="BG64" s="1003"/>
      <c r="BH64" s="1003"/>
      <c r="BI64" s="1003"/>
      <c r="BJ64" s="1003"/>
      <c r="BK64" s="1003"/>
      <c r="BL64" s="1003"/>
      <c r="BM64" s="1003"/>
      <c r="BN64" s="1003"/>
      <c r="BO64" s="1003"/>
      <c r="BP64" s="1003"/>
      <c r="BQ64" s="1003"/>
      <c r="BR64" s="1003"/>
      <c r="BS64" s="1003"/>
      <c r="BT64" s="1003"/>
      <c r="BU64" s="1003"/>
      <c r="BV64" s="1003"/>
      <c r="BW64" s="1003"/>
      <c r="CB64" s="1166"/>
      <c r="CC64" s="1166"/>
      <c r="CD64" s="1166"/>
      <c r="CE64" s="1166"/>
      <c r="CF64" s="1166"/>
      <c r="CG64" s="1166"/>
      <c r="CH64" s="1167"/>
      <c r="CI64" s="1167"/>
      <c r="CJ64" s="1011"/>
      <c r="CK64" s="1011"/>
      <c r="CL64" s="1011"/>
      <c r="CM64" s="1011"/>
      <c r="CN64" s="1011"/>
      <c r="CO64" s="1011"/>
      <c r="CP64" s="1011"/>
      <c r="CQ64" s="1012"/>
      <c r="CR64" s="1012"/>
      <c r="CS64" s="1012"/>
      <c r="CT64" s="1012"/>
      <c r="CU64" s="1012"/>
      <c r="CV64" s="1012"/>
      <c r="CW64" s="1012"/>
      <c r="CX64" s="1012"/>
      <c r="CY64" s="1012"/>
      <c r="CZ64" s="1012"/>
      <c r="DA64" s="1012"/>
    </row>
    <row r="65" spans="1:105" s="1006" customFormat="1" ht="21" customHeight="1" x14ac:dyDescent="0.2">
      <c r="A65" s="2549">
        <v>31000033</v>
      </c>
      <c r="B65" s="6870" t="s">
        <v>3966</v>
      </c>
      <c r="C65" s="6871"/>
      <c r="D65" s="850" t="s">
        <v>2777</v>
      </c>
      <c r="E65" s="3669" t="s">
        <v>2778</v>
      </c>
      <c r="F65" s="3729" t="s">
        <v>2779</v>
      </c>
      <c r="G65" s="3670" t="s">
        <v>2780</v>
      </c>
      <c r="H65" s="3730" t="s">
        <v>2781</v>
      </c>
      <c r="I65" s="3731" t="s">
        <v>2782</v>
      </c>
      <c r="J65" s="3731" t="s">
        <v>2783</v>
      </c>
      <c r="K65" s="3731" t="s">
        <v>2784</v>
      </c>
      <c r="L65" s="3732" t="s">
        <v>2785</v>
      </c>
      <c r="M65" s="4850" t="s">
        <v>2786</v>
      </c>
      <c r="N65" s="4850" t="s">
        <v>2787</v>
      </c>
      <c r="O65" s="4850" t="s">
        <v>2788</v>
      </c>
      <c r="P65" s="4851" t="s">
        <v>2789</v>
      </c>
      <c r="Q65" s="4850" t="s">
        <v>2790</v>
      </c>
      <c r="R65" s="4850" t="s">
        <v>2791</v>
      </c>
      <c r="S65" s="4850" t="s">
        <v>2792</v>
      </c>
      <c r="T65" s="4850" t="s">
        <v>2793</v>
      </c>
      <c r="U65" s="4850" t="s">
        <v>2794</v>
      </c>
      <c r="V65" s="4850" t="s">
        <v>2795</v>
      </c>
      <c r="W65" s="4850" t="s">
        <v>2796</v>
      </c>
      <c r="X65" s="4850" t="s">
        <v>2797</v>
      </c>
      <c r="Y65" s="4850" t="s">
        <v>2798</v>
      </c>
      <c r="Z65" s="4850" t="s">
        <v>2799</v>
      </c>
      <c r="AA65" s="4850" t="s">
        <v>2800</v>
      </c>
      <c r="AB65" s="4852" t="s">
        <v>2801</v>
      </c>
      <c r="AC65" s="4852" t="s">
        <v>2817</v>
      </c>
      <c r="AD65" s="4852" t="s">
        <v>2818</v>
      </c>
      <c r="AE65" s="4852" t="s">
        <v>2819</v>
      </c>
      <c r="AF65" s="4850" t="s">
        <v>2821</v>
      </c>
      <c r="AG65" s="4851" t="s">
        <v>2822</v>
      </c>
      <c r="AH65" s="4853" t="s">
        <v>2823</v>
      </c>
      <c r="AI65" s="1162"/>
      <c r="AJ65" s="1003"/>
      <c r="AK65" s="1003"/>
      <c r="AL65" s="1003"/>
      <c r="AM65" s="1003"/>
      <c r="AN65" s="1003"/>
      <c r="AO65" s="1003"/>
      <c r="AP65" s="1003"/>
      <c r="AQ65" s="1003"/>
      <c r="AR65" s="1003"/>
      <c r="AS65" s="1003"/>
      <c r="AT65" s="1003"/>
      <c r="AU65" s="1003"/>
      <c r="AV65" s="1003"/>
      <c r="AW65" s="1003"/>
      <c r="AX65" s="1003"/>
      <c r="AY65" s="1003"/>
      <c r="AZ65" s="1003"/>
      <c r="BA65" s="1003"/>
      <c r="BB65" s="1003"/>
      <c r="BC65" s="1003"/>
      <c r="BD65" s="1003"/>
      <c r="BE65" s="1003"/>
      <c r="BF65" s="1003"/>
      <c r="BG65" s="1003"/>
      <c r="BH65" s="1003"/>
      <c r="BI65" s="1003"/>
      <c r="BJ65" s="1003"/>
      <c r="BK65" s="1003"/>
      <c r="BL65" s="1003"/>
      <c r="BM65" s="1003"/>
      <c r="BN65" s="1003"/>
      <c r="BO65" s="1003"/>
      <c r="BP65" s="1003"/>
      <c r="BQ65" s="1003"/>
      <c r="BR65" s="1003"/>
      <c r="BS65" s="1003"/>
      <c r="BT65" s="1003"/>
      <c r="BU65" s="1003"/>
      <c r="BV65" s="1003"/>
      <c r="BW65" s="1003"/>
      <c r="CB65" s="1166"/>
      <c r="CC65" s="1166"/>
      <c r="CD65" s="1166"/>
      <c r="CE65" s="1166"/>
      <c r="CF65" s="1166"/>
      <c r="CG65" s="1166"/>
      <c r="CH65" s="1167"/>
      <c r="CI65" s="1167"/>
      <c r="CJ65" s="1011"/>
      <c r="CK65" s="1011"/>
      <c r="CL65" s="1011"/>
      <c r="CM65" s="1011"/>
      <c r="CN65" s="1011"/>
      <c r="CO65" s="1011"/>
      <c r="CP65" s="1011"/>
      <c r="CQ65" s="1012"/>
      <c r="CR65" s="1012"/>
      <c r="CS65" s="1012"/>
      <c r="CT65" s="1012"/>
      <c r="CU65" s="1012"/>
      <c r="CV65" s="1012"/>
      <c r="CW65" s="1012"/>
      <c r="CX65" s="1012"/>
      <c r="CY65" s="1012"/>
      <c r="CZ65" s="1012"/>
      <c r="DA65" s="1012"/>
    </row>
    <row r="66" spans="1:105" s="1006" customFormat="1" ht="18.75" customHeight="1" x14ac:dyDescent="0.2">
      <c r="A66" s="2549">
        <v>31000034</v>
      </c>
      <c r="B66" s="4843" t="s">
        <v>3967</v>
      </c>
      <c r="C66" s="4844"/>
      <c r="D66" s="3733" t="s">
        <v>2777</v>
      </c>
      <c r="E66" s="3667" t="s">
        <v>2778</v>
      </c>
      <c r="F66" s="3734" t="s">
        <v>2779</v>
      </c>
      <c r="G66" s="3668" t="s">
        <v>2780</v>
      </c>
      <c r="H66" s="3735" t="s">
        <v>2781</v>
      </c>
      <c r="I66" s="3736" t="s">
        <v>2782</v>
      </c>
      <c r="J66" s="3736" t="s">
        <v>2783</v>
      </c>
      <c r="K66" s="3736" t="s">
        <v>2784</v>
      </c>
      <c r="L66" s="3737" t="s">
        <v>2785</v>
      </c>
      <c r="M66" s="4854" t="s">
        <v>2786</v>
      </c>
      <c r="N66" s="4854" t="s">
        <v>2787</v>
      </c>
      <c r="O66" s="4854" t="s">
        <v>2788</v>
      </c>
      <c r="P66" s="4855" t="s">
        <v>2789</v>
      </c>
      <c r="Q66" s="4854" t="s">
        <v>2790</v>
      </c>
      <c r="R66" s="4854" t="s">
        <v>2791</v>
      </c>
      <c r="S66" s="4854" t="s">
        <v>2792</v>
      </c>
      <c r="T66" s="4854" t="s">
        <v>2793</v>
      </c>
      <c r="U66" s="4854" t="s">
        <v>2794</v>
      </c>
      <c r="V66" s="4854" t="s">
        <v>2795</v>
      </c>
      <c r="W66" s="4854" t="s">
        <v>2796</v>
      </c>
      <c r="X66" s="4854" t="s">
        <v>2797</v>
      </c>
      <c r="Y66" s="4854" t="s">
        <v>2798</v>
      </c>
      <c r="Z66" s="4854" t="s">
        <v>2799</v>
      </c>
      <c r="AA66" s="4854" t="s">
        <v>2800</v>
      </c>
      <c r="AB66" s="4856" t="s">
        <v>2801</v>
      </c>
      <c r="AC66" s="4856" t="s">
        <v>2817</v>
      </c>
      <c r="AD66" s="4856" t="s">
        <v>2818</v>
      </c>
      <c r="AE66" s="4856" t="s">
        <v>2819</v>
      </c>
      <c r="AF66" s="4854" t="s">
        <v>2821</v>
      </c>
      <c r="AG66" s="4855" t="s">
        <v>2822</v>
      </c>
      <c r="AH66" s="4857" t="s">
        <v>2823</v>
      </c>
      <c r="AI66" s="1162"/>
      <c r="AJ66" s="1003"/>
      <c r="AK66" s="1003"/>
      <c r="AL66" s="1003"/>
      <c r="AM66" s="1003"/>
      <c r="AN66" s="1003"/>
      <c r="AO66" s="1003"/>
      <c r="AP66" s="1003"/>
      <c r="AQ66" s="1003"/>
      <c r="AR66" s="1003"/>
      <c r="AS66" s="1003"/>
      <c r="AT66" s="1003"/>
      <c r="AU66" s="1003"/>
      <c r="AV66" s="1003"/>
      <c r="AW66" s="1003"/>
      <c r="AX66" s="1003"/>
      <c r="AY66" s="1003"/>
      <c r="AZ66" s="1003"/>
      <c r="BA66" s="1003"/>
      <c r="BB66" s="1003"/>
      <c r="BC66" s="1003"/>
      <c r="BD66" s="1003"/>
      <c r="BE66" s="1003"/>
      <c r="BF66" s="1003"/>
      <c r="BG66" s="1003"/>
      <c r="BH66" s="1003"/>
      <c r="BI66" s="1003"/>
      <c r="BJ66" s="1003"/>
      <c r="BK66" s="1003"/>
      <c r="BL66" s="1003"/>
      <c r="BM66" s="1003"/>
      <c r="BN66" s="1003"/>
      <c r="BO66" s="1003"/>
      <c r="BP66" s="1003"/>
      <c r="BQ66" s="1003"/>
      <c r="BR66" s="1003"/>
      <c r="BS66" s="1003"/>
      <c r="BT66" s="1003"/>
      <c r="BU66" s="1003"/>
      <c r="BV66" s="1003"/>
      <c r="BW66" s="1003"/>
      <c r="CB66" s="1166"/>
      <c r="CC66" s="1166"/>
      <c r="CD66" s="1166"/>
      <c r="CE66" s="1166"/>
      <c r="CF66" s="1166"/>
      <c r="CG66" s="1166"/>
      <c r="CH66" s="1167"/>
      <c r="CI66" s="1167"/>
      <c r="CJ66" s="1011"/>
      <c r="CK66" s="1011"/>
      <c r="CL66" s="1011"/>
      <c r="CM66" s="1011"/>
      <c r="CN66" s="1011"/>
      <c r="CO66" s="1011"/>
      <c r="CP66" s="1011"/>
      <c r="CQ66" s="1012"/>
      <c r="CR66" s="1012"/>
      <c r="CS66" s="1012"/>
      <c r="CT66" s="1012"/>
      <c r="CU66" s="1012"/>
      <c r="CV66" s="1012"/>
      <c r="CW66" s="1012"/>
      <c r="CX66" s="1012"/>
      <c r="CY66" s="1012"/>
      <c r="CZ66" s="1012"/>
      <c r="DA66" s="1012"/>
    </row>
    <row r="67" spans="1:105" ht="21" customHeight="1" x14ac:dyDescent="0.25">
      <c r="A67" s="3720"/>
      <c r="B67" s="6930" t="s">
        <v>210</v>
      </c>
      <c r="C67" s="6931"/>
      <c r="D67" s="3638">
        <f>SUM(D51:D66)</f>
        <v>0</v>
      </c>
      <c r="E67" s="2733">
        <f>SUM(E51:E66)</f>
        <v>0</v>
      </c>
      <c r="F67" s="2734">
        <f>SUM(F51:F66)</f>
        <v>0</v>
      </c>
      <c r="G67" s="2735">
        <f t="shared" ref="G67:AH67" si="7">SUM(G51:G66)</f>
        <v>0</v>
      </c>
      <c r="H67" s="2733">
        <f t="shared" si="7"/>
        <v>0</v>
      </c>
      <c r="I67" s="2734">
        <f t="shared" si="7"/>
        <v>0</v>
      </c>
      <c r="J67" s="2734">
        <f t="shared" si="7"/>
        <v>0</v>
      </c>
      <c r="K67" s="2734">
        <f t="shared" si="7"/>
        <v>0</v>
      </c>
      <c r="L67" s="3721">
        <f t="shared" si="7"/>
        <v>0</v>
      </c>
      <c r="M67" s="2350">
        <f t="shared" si="7"/>
        <v>0</v>
      </c>
      <c r="N67" s="2350">
        <f t="shared" si="7"/>
        <v>0</v>
      </c>
      <c r="O67" s="2350">
        <f t="shared" si="7"/>
        <v>0</v>
      </c>
      <c r="P67" s="4858">
        <f t="shared" si="7"/>
        <v>0</v>
      </c>
      <c r="Q67" s="2350">
        <f t="shared" si="7"/>
        <v>0</v>
      </c>
      <c r="R67" s="2350">
        <f t="shared" si="7"/>
        <v>0</v>
      </c>
      <c r="S67" s="2350">
        <f t="shared" si="7"/>
        <v>0</v>
      </c>
      <c r="T67" s="2350">
        <f t="shared" si="7"/>
        <v>0</v>
      </c>
      <c r="U67" s="2350">
        <f t="shared" si="7"/>
        <v>0</v>
      </c>
      <c r="V67" s="2350">
        <f t="shared" si="7"/>
        <v>0</v>
      </c>
      <c r="W67" s="2350">
        <f t="shared" si="7"/>
        <v>0</v>
      </c>
      <c r="X67" s="2350">
        <f t="shared" si="7"/>
        <v>0</v>
      </c>
      <c r="Y67" s="2350">
        <f t="shared" si="7"/>
        <v>0</v>
      </c>
      <c r="Z67" s="2350">
        <f t="shared" si="7"/>
        <v>0</v>
      </c>
      <c r="AA67" s="2350">
        <f t="shared" si="7"/>
        <v>0</v>
      </c>
      <c r="AB67" s="4859">
        <f t="shared" si="7"/>
        <v>0</v>
      </c>
      <c r="AC67" s="4859">
        <f t="shared" si="7"/>
        <v>0</v>
      </c>
      <c r="AD67" s="4859">
        <f t="shared" si="7"/>
        <v>0</v>
      </c>
      <c r="AE67" s="4859">
        <f>SUM(AE51:AE66)</f>
        <v>0</v>
      </c>
      <c r="AF67" s="2350">
        <f t="shared" si="7"/>
        <v>0</v>
      </c>
      <c r="AG67" s="4858">
        <f t="shared" si="7"/>
        <v>0</v>
      </c>
      <c r="AH67" s="4860">
        <f t="shared" si="7"/>
        <v>0</v>
      </c>
      <c r="CH67" s="1167"/>
      <c r="CI67" s="1167"/>
    </row>
    <row r="68" spans="1:105" ht="25.5" customHeight="1" x14ac:dyDescent="0.25">
      <c r="B68" s="4824" t="s">
        <v>3955</v>
      </c>
      <c r="C68" s="1147"/>
      <c r="D68" s="1147"/>
      <c r="E68" s="1147"/>
      <c r="F68" s="1147"/>
      <c r="G68" s="1147"/>
      <c r="H68" s="1147"/>
      <c r="I68" s="1147"/>
      <c r="J68" s="1147"/>
      <c r="K68" s="1147"/>
      <c r="L68" s="1147"/>
      <c r="M68" s="1147"/>
      <c r="N68" s="1147"/>
      <c r="O68" s="1147"/>
      <c r="P68" s="1147"/>
      <c r="Q68" s="1147"/>
      <c r="R68" s="1147"/>
      <c r="S68" s="1147"/>
      <c r="T68" s="1147"/>
      <c r="U68" s="1147"/>
      <c r="V68" s="1147"/>
      <c r="W68" s="1147"/>
      <c r="X68" s="1147"/>
      <c r="Y68" s="1147"/>
      <c r="Z68" s="1147"/>
      <c r="AA68" s="1147"/>
      <c r="AB68" s="1147"/>
      <c r="AC68" s="1147"/>
      <c r="AD68" s="1147"/>
      <c r="AE68" s="1147"/>
      <c r="AF68" s="1147"/>
      <c r="AG68" s="1147"/>
      <c r="AH68" s="1147"/>
      <c r="AI68" s="1147"/>
      <c r="AJ68" s="1147"/>
      <c r="AK68" s="1147"/>
      <c r="AL68" s="1147"/>
      <c r="AM68" s="1147"/>
      <c r="AN68" s="1147"/>
      <c r="AO68" s="1147"/>
      <c r="AP68" s="1147"/>
      <c r="AQ68" s="1147"/>
      <c r="AR68" s="1147"/>
      <c r="AS68" s="1147"/>
      <c r="CH68" s="1167"/>
      <c r="CI68" s="1167"/>
    </row>
    <row r="69" spans="1:105" ht="21" customHeight="1" x14ac:dyDescent="0.25">
      <c r="B69" s="6932" t="s">
        <v>3956</v>
      </c>
      <c r="C69" s="6933"/>
      <c r="D69" s="6938" t="s">
        <v>2213</v>
      </c>
      <c r="E69" s="6886" t="s">
        <v>2211</v>
      </c>
      <c r="F69" s="6886"/>
      <c r="G69" s="6887"/>
      <c r="H69" s="6874" t="s">
        <v>2210</v>
      </c>
      <c r="I69" s="6875"/>
      <c r="J69" s="6875"/>
      <c r="K69" s="6875"/>
      <c r="L69" s="6875"/>
      <c r="M69" s="6875"/>
      <c r="N69" s="6875"/>
      <c r="O69" s="6253"/>
      <c r="P69" s="6779" t="s">
        <v>1416</v>
      </c>
      <c r="Q69" s="6278" t="s">
        <v>1618</v>
      </c>
      <c r="R69" s="6779" t="s">
        <v>1417</v>
      </c>
      <c r="S69" s="6779" t="s">
        <v>1357</v>
      </c>
      <c r="T69" s="6278" t="s">
        <v>1359</v>
      </c>
      <c r="U69" s="6779" t="s">
        <v>1358</v>
      </c>
      <c r="V69" s="6779" t="s">
        <v>1617</v>
      </c>
      <c r="CH69" s="1167"/>
      <c r="CI69" s="1167"/>
    </row>
    <row r="70" spans="1:105" ht="18.75" customHeight="1" x14ac:dyDescent="0.25">
      <c r="B70" s="6934"/>
      <c r="C70" s="6935"/>
      <c r="D70" s="6939"/>
      <c r="E70" s="6941"/>
      <c r="F70" s="6941"/>
      <c r="G70" s="6922"/>
      <c r="H70" s="6942" t="s">
        <v>2209</v>
      </c>
      <c r="I70" s="6943"/>
      <c r="J70" s="6944" t="s">
        <v>2208</v>
      </c>
      <c r="K70" s="6943"/>
      <c r="L70" s="6944" t="s">
        <v>641</v>
      </c>
      <c r="M70" s="6943"/>
      <c r="N70" s="6944" t="s">
        <v>2207</v>
      </c>
      <c r="O70" s="6943"/>
      <c r="P70" s="6929"/>
      <c r="Q70" s="6945"/>
      <c r="R70" s="6929"/>
      <c r="S70" s="6929"/>
      <c r="T70" s="6945"/>
      <c r="U70" s="6929"/>
      <c r="V70" s="6929"/>
      <c r="CH70" s="1167"/>
      <c r="CI70" s="1167"/>
    </row>
    <row r="71" spans="1:105" ht="22.5" customHeight="1" x14ac:dyDescent="0.25">
      <c r="B71" s="6936"/>
      <c r="C71" s="6937"/>
      <c r="D71" s="6940"/>
      <c r="E71" s="1762" t="s">
        <v>184</v>
      </c>
      <c r="F71" s="1761" t="s">
        <v>24</v>
      </c>
      <c r="G71" s="1761" t="s">
        <v>25</v>
      </c>
      <c r="H71" s="1760" t="s">
        <v>24</v>
      </c>
      <c r="I71" s="1758" t="s">
        <v>25</v>
      </c>
      <c r="J71" s="1759" t="s">
        <v>24</v>
      </c>
      <c r="K71" s="1758" t="s">
        <v>25</v>
      </c>
      <c r="L71" s="1759" t="s">
        <v>24</v>
      </c>
      <c r="M71" s="1758" t="s">
        <v>25</v>
      </c>
      <c r="N71" s="1759" t="s">
        <v>24</v>
      </c>
      <c r="O71" s="1758" t="s">
        <v>25</v>
      </c>
      <c r="P71" s="6780"/>
      <c r="Q71" s="6946"/>
      <c r="R71" s="6780"/>
      <c r="S71" s="6780"/>
      <c r="T71" s="6946"/>
      <c r="U71" s="6780"/>
      <c r="V71" s="6780"/>
      <c r="CH71" s="1167"/>
      <c r="CI71" s="1167"/>
    </row>
    <row r="72" spans="1:105" ht="20.25" customHeight="1" x14ac:dyDescent="0.25">
      <c r="A72" s="4663">
        <v>31000051</v>
      </c>
      <c r="B72" s="6947" t="s">
        <v>1619</v>
      </c>
      <c r="C72" s="6948"/>
      <c r="D72" s="1757" t="s">
        <v>2777</v>
      </c>
      <c r="E72" s="1183" t="s">
        <v>2778</v>
      </c>
      <c r="F72" s="1008" t="s">
        <v>2779</v>
      </c>
      <c r="G72" s="1008" t="s">
        <v>2780</v>
      </c>
      <c r="H72" s="825" t="s">
        <v>2781</v>
      </c>
      <c r="I72" s="849" t="s">
        <v>2782</v>
      </c>
      <c r="J72" s="825" t="s">
        <v>2783</v>
      </c>
      <c r="K72" s="849" t="s">
        <v>2784</v>
      </c>
      <c r="L72" s="825" t="s">
        <v>2785</v>
      </c>
      <c r="M72" s="849" t="s">
        <v>2786</v>
      </c>
      <c r="N72" s="825" t="s">
        <v>2787</v>
      </c>
      <c r="O72" s="849" t="s">
        <v>2788</v>
      </c>
      <c r="P72" s="1604" t="s">
        <v>2789</v>
      </c>
      <c r="Q72" s="1603" t="s">
        <v>2790</v>
      </c>
      <c r="R72" s="1604" t="s">
        <v>2791</v>
      </c>
      <c r="S72" s="1604" t="s">
        <v>2792</v>
      </c>
      <c r="T72" s="1604" t="s">
        <v>2793</v>
      </c>
      <c r="U72" s="1604" t="s">
        <v>2794</v>
      </c>
      <c r="V72" s="1604" t="s">
        <v>2795</v>
      </c>
      <c r="W72" s="1162" t="str">
        <f>CB72&amp;CC72</f>
        <v>* El número de Pacientes y/o Familiares y/o Funcionarios y/o Beneficiarios y/o Pueblos Originarios y/o Migrantes y/o Población SENAME NO DEBE ser mayor que el Total.</v>
      </c>
      <c r="CB72" s="1166" t="str">
        <f>IF(CH72=1,"* No olvide digitar la columna Pacientes y/o Familiares y/o Funcionarios y/o Beneficiarios y/o Pueblos Originario y/o Migrantes y/o Población SENAME (Digite Cero si no tiene). ","")</f>
        <v/>
      </c>
      <c r="CC72" s="1166" t="str">
        <f>IF(CI72=1,"* El número de Pacientes y/o Familiares y/o Funcionarios y/o Beneficiarios y/o Pueblos Originarios y/o Migrantes y/o Población SENAME NO DEBE ser mayor que el Total.","")</f>
        <v>* El número de Pacientes y/o Familiares y/o Funcionarios y/o Beneficiarios y/o Pueblos Originarios y/o Migrantes y/o Población SENAME NO DEBE ser mayor que el Total.</v>
      </c>
      <c r="CD72" s="1166"/>
      <c r="CE72" s="1166"/>
      <c r="CF72" s="1166"/>
      <c r="CG72" s="1166"/>
      <c r="CH72" s="1167">
        <f>IF(AND(E72&lt;&gt;0,OR(S72="",P72="",Q72="",R72="",S72="",T72="",U72="")),1,0)</f>
        <v>0</v>
      </c>
      <c r="CI72" s="1167">
        <f>IF(OR(E72&lt;P72,E72&lt;Q72,E72&lt;R72,E72&lt;S72,E72&lt;T72,E72&lt;U72),1,0)</f>
        <v>1</v>
      </c>
    </row>
    <row r="73" spans="1:105" ht="20.25" customHeight="1" x14ac:dyDescent="0.25">
      <c r="A73" s="4663">
        <v>31000052</v>
      </c>
      <c r="B73" s="6949" t="s">
        <v>1620</v>
      </c>
      <c r="C73" s="6950"/>
      <c r="D73" s="3738" t="s">
        <v>2777</v>
      </c>
      <c r="E73" s="3739" t="s">
        <v>2778</v>
      </c>
      <c r="F73" s="3740" t="s">
        <v>2779</v>
      </c>
      <c r="G73" s="3740" t="s">
        <v>2780</v>
      </c>
      <c r="H73" s="3741" t="s">
        <v>2781</v>
      </c>
      <c r="I73" s="3742" t="s">
        <v>2782</v>
      </c>
      <c r="J73" s="3741" t="s">
        <v>2783</v>
      </c>
      <c r="K73" s="3742" t="s">
        <v>2784</v>
      </c>
      <c r="L73" s="3741" t="s">
        <v>2785</v>
      </c>
      <c r="M73" s="3742" t="s">
        <v>2786</v>
      </c>
      <c r="N73" s="3741" t="s">
        <v>2787</v>
      </c>
      <c r="O73" s="3742" t="s">
        <v>2788</v>
      </c>
      <c r="P73" s="3797" t="s">
        <v>2789</v>
      </c>
      <c r="Q73" s="4861" t="s">
        <v>2790</v>
      </c>
      <c r="R73" s="3797" t="s">
        <v>2791</v>
      </c>
      <c r="S73" s="3797" t="s">
        <v>2792</v>
      </c>
      <c r="T73" s="3797" t="s">
        <v>2793</v>
      </c>
      <c r="U73" s="3797" t="s">
        <v>2794</v>
      </c>
      <c r="V73" s="3797" t="s">
        <v>2795</v>
      </c>
      <c r="W73" s="1162" t="str">
        <f t="shared" ref="W73:W85" si="8">CB73&amp;CC73</f>
        <v>* El número de Pacientes y/o Familiares y/o Funcionarios y/o Beneficiarios y/o Pueblos Originarios y/o Migrantes y/o Población SENAME NO DEBE ser mayor que el Total.</v>
      </c>
      <c r="CB73" s="1166" t="str">
        <f t="shared" ref="CB73:CB85" si="9">IF(CH73=1,"* No olvide digitar la columna Pacientes y/o Familiares y/o Funcionarios y/o Beneficiarios y/o Pueblos Originario y/o Migrantes y/o Población SENAME (Digite Cero si no tiene). ","")</f>
        <v/>
      </c>
      <c r="CC73" s="1166" t="str">
        <f t="shared" ref="CC73:CC85" si="10">IF(CI73=1,"* El número de Pacientes y/o Familiares y/o Funcionarios y/o Beneficiarios y/o Pueblos Originarios y/o Migrantes y/o Población SENAME NO DEBE ser mayor que el Total.","")</f>
        <v>* El número de Pacientes y/o Familiares y/o Funcionarios y/o Beneficiarios y/o Pueblos Originarios y/o Migrantes y/o Población SENAME NO DEBE ser mayor que el Total.</v>
      </c>
      <c r="CD73" s="1166"/>
      <c r="CE73" s="1166"/>
      <c r="CF73" s="1166"/>
      <c r="CG73" s="1166"/>
      <c r="CH73" s="1167">
        <f t="shared" ref="CH73:CH85" si="11">IF(AND(E73&lt;&gt;0,OR(S73="",P73="",Q73="",R73="",S73="",T73="",U73="")),1,0)</f>
        <v>0</v>
      </c>
      <c r="CI73" s="1167">
        <f t="shared" ref="CI73:CI85" si="12">IF(OR(E73&lt;P73,E73&lt;Q73,E73&lt;R73,E73&lt;S73,E73&lt;T73,E73&lt;U73),1,0)</f>
        <v>1</v>
      </c>
    </row>
    <row r="74" spans="1:105" ht="20.25" customHeight="1" x14ac:dyDescent="0.25">
      <c r="A74" s="4663">
        <v>31000054</v>
      </c>
      <c r="B74" s="6949" t="s">
        <v>1628</v>
      </c>
      <c r="C74" s="6950"/>
      <c r="D74" s="3743" t="s">
        <v>2777</v>
      </c>
      <c r="E74" s="3739" t="s">
        <v>2778</v>
      </c>
      <c r="F74" s="3740" t="s">
        <v>2779</v>
      </c>
      <c r="G74" s="3740" t="s">
        <v>2780</v>
      </c>
      <c r="H74" s="3741" t="s">
        <v>2781</v>
      </c>
      <c r="I74" s="3742" t="s">
        <v>2782</v>
      </c>
      <c r="J74" s="3741" t="s">
        <v>2783</v>
      </c>
      <c r="K74" s="3742" t="s">
        <v>2784</v>
      </c>
      <c r="L74" s="3741" t="s">
        <v>2785</v>
      </c>
      <c r="M74" s="3742" t="s">
        <v>2786</v>
      </c>
      <c r="N74" s="3741" t="s">
        <v>2787</v>
      </c>
      <c r="O74" s="3742" t="s">
        <v>2788</v>
      </c>
      <c r="P74" s="3797" t="s">
        <v>2789</v>
      </c>
      <c r="Q74" s="4861" t="s">
        <v>2790</v>
      </c>
      <c r="R74" s="3797" t="s">
        <v>2791</v>
      </c>
      <c r="S74" s="3797" t="s">
        <v>2792</v>
      </c>
      <c r="T74" s="3797" t="s">
        <v>2793</v>
      </c>
      <c r="U74" s="3797" t="s">
        <v>2794</v>
      </c>
      <c r="V74" s="3797" t="s">
        <v>2795</v>
      </c>
      <c r="W74" s="1162" t="str">
        <f t="shared" si="8"/>
        <v>* El número de Pacientes y/o Familiares y/o Funcionarios y/o Beneficiarios y/o Pueblos Originarios y/o Migrantes y/o Población SENAME NO DEBE ser mayor que el Total.</v>
      </c>
      <c r="CB74" s="1166" t="str">
        <f t="shared" si="9"/>
        <v/>
      </c>
      <c r="CC74" s="1166" t="str">
        <f t="shared" si="10"/>
        <v>* El número de Pacientes y/o Familiares y/o Funcionarios y/o Beneficiarios y/o Pueblos Originarios y/o Migrantes y/o Población SENAME NO DEBE ser mayor que el Total.</v>
      </c>
      <c r="CD74" s="1166"/>
      <c r="CE74" s="1166"/>
      <c r="CF74" s="1166"/>
      <c r="CG74" s="1166"/>
      <c r="CH74" s="1167">
        <f t="shared" si="11"/>
        <v>0</v>
      </c>
      <c r="CI74" s="1167">
        <f t="shared" si="12"/>
        <v>1</v>
      </c>
    </row>
    <row r="75" spans="1:105" ht="20.25" customHeight="1" x14ac:dyDescent="0.25">
      <c r="A75" s="4663">
        <v>31000055</v>
      </c>
      <c r="B75" s="6949" t="s">
        <v>1629</v>
      </c>
      <c r="C75" s="6950"/>
      <c r="D75" s="3743" t="s">
        <v>2777</v>
      </c>
      <c r="E75" s="3739" t="s">
        <v>2778</v>
      </c>
      <c r="F75" s="3740" t="s">
        <v>2779</v>
      </c>
      <c r="G75" s="3740" t="s">
        <v>2780</v>
      </c>
      <c r="H75" s="3741" t="s">
        <v>2781</v>
      </c>
      <c r="I75" s="3742" t="s">
        <v>2782</v>
      </c>
      <c r="J75" s="3741" t="s">
        <v>2783</v>
      </c>
      <c r="K75" s="3742" t="s">
        <v>2784</v>
      </c>
      <c r="L75" s="3741" t="s">
        <v>2785</v>
      </c>
      <c r="M75" s="3742" t="s">
        <v>2786</v>
      </c>
      <c r="N75" s="3741" t="s">
        <v>2787</v>
      </c>
      <c r="O75" s="3742" t="s">
        <v>2788</v>
      </c>
      <c r="P75" s="3797" t="s">
        <v>2789</v>
      </c>
      <c r="Q75" s="4861" t="s">
        <v>2790</v>
      </c>
      <c r="R75" s="3797" t="s">
        <v>2791</v>
      </c>
      <c r="S75" s="3797" t="s">
        <v>2792</v>
      </c>
      <c r="T75" s="3797" t="s">
        <v>2793</v>
      </c>
      <c r="U75" s="3797" t="s">
        <v>2794</v>
      </c>
      <c r="V75" s="3797" t="s">
        <v>2795</v>
      </c>
      <c r="W75" s="1162" t="str">
        <f t="shared" si="8"/>
        <v>* El número de Pacientes y/o Familiares y/o Funcionarios y/o Beneficiarios y/o Pueblos Originarios y/o Migrantes y/o Población SENAME NO DEBE ser mayor que el Total.</v>
      </c>
      <c r="CB75" s="1166" t="str">
        <f t="shared" si="9"/>
        <v/>
      </c>
      <c r="CC75" s="1166" t="str">
        <f t="shared" si="10"/>
        <v>* El número de Pacientes y/o Familiares y/o Funcionarios y/o Beneficiarios y/o Pueblos Originarios y/o Migrantes y/o Población SENAME NO DEBE ser mayor que el Total.</v>
      </c>
      <c r="CD75" s="1166"/>
      <c r="CE75" s="1166"/>
      <c r="CF75" s="1166"/>
      <c r="CG75" s="1166"/>
      <c r="CH75" s="1167">
        <f t="shared" si="11"/>
        <v>0</v>
      </c>
      <c r="CI75" s="1167">
        <f t="shared" si="12"/>
        <v>1</v>
      </c>
    </row>
    <row r="76" spans="1:105" ht="20.25" customHeight="1" x14ac:dyDescent="0.25">
      <c r="A76" s="4663">
        <v>31000056</v>
      </c>
      <c r="B76" s="6949" t="s">
        <v>1625</v>
      </c>
      <c r="C76" s="6950"/>
      <c r="D76" s="3738" t="s">
        <v>2777</v>
      </c>
      <c r="E76" s="3739" t="s">
        <v>2778</v>
      </c>
      <c r="F76" s="3740" t="s">
        <v>2779</v>
      </c>
      <c r="G76" s="3740" t="s">
        <v>2780</v>
      </c>
      <c r="H76" s="3741" t="s">
        <v>2781</v>
      </c>
      <c r="I76" s="3742" t="s">
        <v>2782</v>
      </c>
      <c r="J76" s="3741" t="s">
        <v>2783</v>
      </c>
      <c r="K76" s="3742" t="s">
        <v>2784</v>
      </c>
      <c r="L76" s="3741" t="s">
        <v>2785</v>
      </c>
      <c r="M76" s="3742" t="s">
        <v>2786</v>
      </c>
      <c r="N76" s="3741" t="s">
        <v>2787</v>
      </c>
      <c r="O76" s="3742" t="s">
        <v>2788</v>
      </c>
      <c r="P76" s="3797" t="s">
        <v>2789</v>
      </c>
      <c r="Q76" s="4861" t="s">
        <v>2790</v>
      </c>
      <c r="R76" s="3797" t="s">
        <v>2791</v>
      </c>
      <c r="S76" s="3797" t="s">
        <v>2792</v>
      </c>
      <c r="T76" s="3797" t="s">
        <v>2793</v>
      </c>
      <c r="U76" s="3797" t="s">
        <v>2794</v>
      </c>
      <c r="V76" s="3797" t="s">
        <v>2795</v>
      </c>
      <c r="W76" s="1162" t="str">
        <f t="shared" si="8"/>
        <v>* El número de Pacientes y/o Familiares y/o Funcionarios y/o Beneficiarios y/o Pueblos Originarios y/o Migrantes y/o Población SENAME NO DEBE ser mayor que el Total.</v>
      </c>
      <c r="CB76" s="1166" t="str">
        <f t="shared" si="9"/>
        <v/>
      </c>
      <c r="CC76" s="1166" t="str">
        <f t="shared" si="10"/>
        <v>* El número de Pacientes y/o Familiares y/o Funcionarios y/o Beneficiarios y/o Pueblos Originarios y/o Migrantes y/o Población SENAME NO DEBE ser mayor que el Total.</v>
      </c>
      <c r="CD76" s="1166"/>
      <c r="CE76" s="1166"/>
      <c r="CF76" s="1166"/>
      <c r="CG76" s="1166"/>
      <c r="CH76" s="1167">
        <f t="shared" si="11"/>
        <v>0</v>
      </c>
      <c r="CI76" s="1167">
        <f t="shared" si="12"/>
        <v>1</v>
      </c>
    </row>
    <row r="77" spans="1:105" ht="20.25" customHeight="1" x14ac:dyDescent="0.25">
      <c r="A77" s="4663">
        <v>31000057</v>
      </c>
      <c r="B77" s="6949" t="s">
        <v>1630</v>
      </c>
      <c r="C77" s="6950"/>
      <c r="D77" s="3743" t="s">
        <v>2777</v>
      </c>
      <c r="E77" s="3744" t="s">
        <v>2778</v>
      </c>
      <c r="F77" s="3740" t="s">
        <v>2779</v>
      </c>
      <c r="G77" s="3740" t="s">
        <v>2780</v>
      </c>
      <c r="H77" s="3741" t="s">
        <v>2781</v>
      </c>
      <c r="I77" s="3742" t="s">
        <v>2782</v>
      </c>
      <c r="J77" s="3741" t="s">
        <v>2783</v>
      </c>
      <c r="K77" s="3742" t="s">
        <v>2784</v>
      </c>
      <c r="L77" s="3741" t="s">
        <v>2785</v>
      </c>
      <c r="M77" s="3742" t="s">
        <v>2786</v>
      </c>
      <c r="N77" s="3741" t="s">
        <v>2787</v>
      </c>
      <c r="O77" s="3742" t="s">
        <v>2788</v>
      </c>
      <c r="P77" s="3797" t="s">
        <v>2789</v>
      </c>
      <c r="Q77" s="4861" t="s">
        <v>2790</v>
      </c>
      <c r="R77" s="3797" t="s">
        <v>2791</v>
      </c>
      <c r="S77" s="3797" t="s">
        <v>2792</v>
      </c>
      <c r="T77" s="3797" t="s">
        <v>2793</v>
      </c>
      <c r="U77" s="3797" t="s">
        <v>2794</v>
      </c>
      <c r="V77" s="3797" t="s">
        <v>2795</v>
      </c>
      <c r="W77" s="1162" t="str">
        <f t="shared" si="8"/>
        <v>* El número de Pacientes y/o Familiares y/o Funcionarios y/o Beneficiarios y/o Pueblos Originarios y/o Migrantes y/o Población SENAME NO DEBE ser mayor que el Total.</v>
      </c>
      <c r="CB77" s="1166" t="str">
        <f t="shared" si="9"/>
        <v/>
      </c>
      <c r="CC77" s="1166" t="str">
        <f t="shared" si="10"/>
        <v>* El número de Pacientes y/o Familiares y/o Funcionarios y/o Beneficiarios y/o Pueblos Originarios y/o Migrantes y/o Población SENAME NO DEBE ser mayor que el Total.</v>
      </c>
      <c r="CD77" s="1166"/>
      <c r="CE77" s="1166"/>
      <c r="CF77" s="1166"/>
      <c r="CG77" s="1166"/>
      <c r="CH77" s="1167">
        <f t="shared" si="11"/>
        <v>0</v>
      </c>
      <c r="CI77" s="1167">
        <f t="shared" si="12"/>
        <v>1</v>
      </c>
    </row>
    <row r="78" spans="1:105" ht="20.25" customHeight="1" x14ac:dyDescent="0.25">
      <c r="A78" s="4663">
        <v>31000058</v>
      </c>
      <c r="B78" s="6951" t="s">
        <v>1456</v>
      </c>
      <c r="C78" s="6952"/>
      <c r="D78" s="3738" t="s">
        <v>2777</v>
      </c>
      <c r="E78" s="3739" t="s">
        <v>2778</v>
      </c>
      <c r="F78" s="3740" t="s">
        <v>2779</v>
      </c>
      <c r="G78" s="3740" t="s">
        <v>2780</v>
      </c>
      <c r="H78" s="3741" t="s">
        <v>2781</v>
      </c>
      <c r="I78" s="3742" t="s">
        <v>2782</v>
      </c>
      <c r="J78" s="3741" t="s">
        <v>2783</v>
      </c>
      <c r="K78" s="3742" t="s">
        <v>2784</v>
      </c>
      <c r="L78" s="3741" t="s">
        <v>2785</v>
      </c>
      <c r="M78" s="3742" t="s">
        <v>2786</v>
      </c>
      <c r="N78" s="3741" t="s">
        <v>2787</v>
      </c>
      <c r="O78" s="3742" t="s">
        <v>2788</v>
      </c>
      <c r="P78" s="3797" t="s">
        <v>2789</v>
      </c>
      <c r="Q78" s="4861" t="s">
        <v>2790</v>
      </c>
      <c r="R78" s="3797" t="s">
        <v>2791</v>
      </c>
      <c r="S78" s="3797" t="s">
        <v>2792</v>
      </c>
      <c r="T78" s="3797" t="s">
        <v>2793</v>
      </c>
      <c r="U78" s="3797" t="s">
        <v>2794</v>
      </c>
      <c r="V78" s="3797" t="s">
        <v>2795</v>
      </c>
      <c r="W78" s="1162" t="str">
        <f t="shared" si="8"/>
        <v>* El número de Pacientes y/o Familiares y/o Funcionarios y/o Beneficiarios y/o Pueblos Originarios y/o Migrantes y/o Población SENAME NO DEBE ser mayor que el Total.</v>
      </c>
      <c r="CB78" s="1166" t="str">
        <f t="shared" si="9"/>
        <v/>
      </c>
      <c r="CC78" s="1166" t="str">
        <f t="shared" si="10"/>
        <v>* El número de Pacientes y/o Familiares y/o Funcionarios y/o Beneficiarios y/o Pueblos Originarios y/o Migrantes y/o Población SENAME NO DEBE ser mayor que el Total.</v>
      </c>
      <c r="CD78" s="1166"/>
      <c r="CE78" s="1166"/>
      <c r="CF78" s="1166"/>
      <c r="CG78" s="1166"/>
      <c r="CH78" s="1167">
        <f t="shared" si="11"/>
        <v>0</v>
      </c>
      <c r="CI78" s="1167">
        <f t="shared" si="12"/>
        <v>1</v>
      </c>
    </row>
    <row r="79" spans="1:105" ht="20.25" customHeight="1" x14ac:dyDescent="0.25">
      <c r="A79" s="4663">
        <v>31000059</v>
      </c>
      <c r="B79" s="6951" t="s">
        <v>1631</v>
      </c>
      <c r="C79" s="6952"/>
      <c r="D79" s="3738" t="s">
        <v>2777</v>
      </c>
      <c r="E79" s="3739" t="s">
        <v>2778</v>
      </c>
      <c r="F79" s="3740" t="s">
        <v>2779</v>
      </c>
      <c r="G79" s="3740" t="s">
        <v>2780</v>
      </c>
      <c r="H79" s="3741" t="s">
        <v>2781</v>
      </c>
      <c r="I79" s="3742" t="s">
        <v>2782</v>
      </c>
      <c r="J79" s="3741" t="s">
        <v>2783</v>
      </c>
      <c r="K79" s="3742" t="s">
        <v>2784</v>
      </c>
      <c r="L79" s="3741" t="s">
        <v>2785</v>
      </c>
      <c r="M79" s="3742" t="s">
        <v>2786</v>
      </c>
      <c r="N79" s="3741" t="s">
        <v>2787</v>
      </c>
      <c r="O79" s="3742" t="s">
        <v>2788</v>
      </c>
      <c r="P79" s="3797" t="s">
        <v>2789</v>
      </c>
      <c r="Q79" s="4861" t="s">
        <v>2790</v>
      </c>
      <c r="R79" s="3797" t="s">
        <v>2791</v>
      </c>
      <c r="S79" s="3797" t="s">
        <v>2792</v>
      </c>
      <c r="T79" s="3797" t="s">
        <v>2793</v>
      </c>
      <c r="U79" s="3797" t="s">
        <v>2794</v>
      </c>
      <c r="V79" s="3797" t="s">
        <v>2795</v>
      </c>
      <c r="W79" s="1162" t="str">
        <f t="shared" si="8"/>
        <v>* El número de Pacientes y/o Familiares y/o Funcionarios y/o Beneficiarios y/o Pueblos Originarios y/o Migrantes y/o Población SENAME NO DEBE ser mayor que el Total.</v>
      </c>
      <c r="CB79" s="1166" t="str">
        <f t="shared" si="9"/>
        <v/>
      </c>
      <c r="CC79" s="1166" t="str">
        <f t="shared" si="10"/>
        <v>* El número de Pacientes y/o Familiares y/o Funcionarios y/o Beneficiarios y/o Pueblos Originarios y/o Migrantes y/o Población SENAME NO DEBE ser mayor que el Total.</v>
      </c>
      <c r="CD79" s="1166"/>
      <c r="CE79" s="1166"/>
      <c r="CF79" s="1166"/>
      <c r="CG79" s="1166"/>
      <c r="CH79" s="1167">
        <f t="shared" si="11"/>
        <v>0</v>
      </c>
      <c r="CI79" s="1167">
        <f t="shared" si="12"/>
        <v>1</v>
      </c>
    </row>
    <row r="80" spans="1:105" ht="20.25" customHeight="1" x14ac:dyDescent="0.25">
      <c r="A80" s="4663">
        <v>31000060</v>
      </c>
      <c r="B80" s="4675" t="s">
        <v>3943</v>
      </c>
      <c r="C80" s="1641"/>
      <c r="D80" s="3743" t="s">
        <v>2777</v>
      </c>
      <c r="E80" s="3744" t="s">
        <v>2778</v>
      </c>
      <c r="F80" s="3740" t="s">
        <v>2779</v>
      </c>
      <c r="G80" s="3740" t="s">
        <v>2780</v>
      </c>
      <c r="H80" s="3741" t="s">
        <v>2781</v>
      </c>
      <c r="I80" s="3742" t="s">
        <v>2782</v>
      </c>
      <c r="J80" s="3741" t="s">
        <v>2783</v>
      </c>
      <c r="K80" s="3742" t="s">
        <v>2784</v>
      </c>
      <c r="L80" s="3741" t="s">
        <v>2785</v>
      </c>
      <c r="M80" s="3742" t="s">
        <v>2786</v>
      </c>
      <c r="N80" s="3741" t="s">
        <v>2787</v>
      </c>
      <c r="O80" s="3742" t="s">
        <v>2788</v>
      </c>
      <c r="P80" s="3797" t="s">
        <v>2789</v>
      </c>
      <c r="Q80" s="4861" t="s">
        <v>2790</v>
      </c>
      <c r="R80" s="3797" t="s">
        <v>2791</v>
      </c>
      <c r="S80" s="3797" t="s">
        <v>2792</v>
      </c>
      <c r="T80" s="3797" t="s">
        <v>2793</v>
      </c>
      <c r="U80" s="3797" t="s">
        <v>2794</v>
      </c>
      <c r="V80" s="3797" t="s">
        <v>2795</v>
      </c>
      <c r="W80" s="1162" t="str">
        <f t="shared" si="8"/>
        <v>* El número de Pacientes y/o Familiares y/o Funcionarios y/o Beneficiarios y/o Pueblos Originarios y/o Migrantes y/o Población SENAME NO DEBE ser mayor que el Total.</v>
      </c>
      <c r="CB80" s="1166" t="str">
        <f t="shared" si="9"/>
        <v/>
      </c>
      <c r="CC80" s="1166" t="str">
        <f t="shared" si="10"/>
        <v>* El número de Pacientes y/o Familiares y/o Funcionarios y/o Beneficiarios y/o Pueblos Originarios y/o Migrantes y/o Población SENAME NO DEBE ser mayor que el Total.</v>
      </c>
      <c r="CD80" s="1166"/>
      <c r="CE80" s="1166"/>
      <c r="CF80" s="1166"/>
      <c r="CG80" s="1166"/>
      <c r="CH80" s="1167">
        <f t="shared" si="11"/>
        <v>0</v>
      </c>
      <c r="CI80" s="1167">
        <f t="shared" si="12"/>
        <v>1</v>
      </c>
    </row>
    <row r="81" spans="1:105" ht="20.25" customHeight="1" x14ac:dyDescent="0.25">
      <c r="A81" s="4665">
        <v>31000064</v>
      </c>
      <c r="B81" s="6953" t="s">
        <v>2206</v>
      </c>
      <c r="C81" s="6954"/>
      <c r="D81" s="3738" t="s">
        <v>2777</v>
      </c>
      <c r="E81" s="3739" t="s">
        <v>2778</v>
      </c>
      <c r="F81" s="3740" t="s">
        <v>2779</v>
      </c>
      <c r="G81" s="3740" t="s">
        <v>2780</v>
      </c>
      <c r="H81" s="3741" t="s">
        <v>2781</v>
      </c>
      <c r="I81" s="3742" t="s">
        <v>2782</v>
      </c>
      <c r="J81" s="3741" t="s">
        <v>2783</v>
      </c>
      <c r="K81" s="3742" t="s">
        <v>2784</v>
      </c>
      <c r="L81" s="3741" t="s">
        <v>2785</v>
      </c>
      <c r="M81" s="3742" t="s">
        <v>2786</v>
      </c>
      <c r="N81" s="3741" t="s">
        <v>2787</v>
      </c>
      <c r="O81" s="3742" t="s">
        <v>2788</v>
      </c>
      <c r="P81" s="3797" t="s">
        <v>2789</v>
      </c>
      <c r="Q81" s="4861" t="s">
        <v>2790</v>
      </c>
      <c r="R81" s="3797" t="s">
        <v>2791</v>
      </c>
      <c r="S81" s="3797" t="s">
        <v>2792</v>
      </c>
      <c r="T81" s="3797" t="s">
        <v>2793</v>
      </c>
      <c r="U81" s="3797" t="s">
        <v>2794</v>
      </c>
      <c r="V81" s="3797" t="s">
        <v>2795</v>
      </c>
      <c r="W81" s="1162" t="str">
        <f t="shared" si="8"/>
        <v>* El número de Pacientes y/o Familiares y/o Funcionarios y/o Beneficiarios y/o Pueblos Originarios y/o Migrantes y/o Población SENAME NO DEBE ser mayor que el Total.</v>
      </c>
      <c r="CB81" s="1166" t="str">
        <f t="shared" si="9"/>
        <v/>
      </c>
      <c r="CC81" s="1166" t="str">
        <f t="shared" si="10"/>
        <v>* El número de Pacientes y/o Familiares y/o Funcionarios y/o Beneficiarios y/o Pueblos Originarios y/o Migrantes y/o Población SENAME NO DEBE ser mayor que el Total.</v>
      </c>
      <c r="CD81" s="1166"/>
      <c r="CE81" s="1166"/>
      <c r="CF81" s="1166"/>
      <c r="CG81" s="1166"/>
      <c r="CH81" s="1167">
        <f t="shared" si="11"/>
        <v>0</v>
      </c>
      <c r="CI81" s="1167">
        <f t="shared" si="12"/>
        <v>1</v>
      </c>
    </row>
    <row r="82" spans="1:105" s="4674" customFormat="1" ht="20.25" customHeight="1" x14ac:dyDescent="0.25">
      <c r="A82" s="4665">
        <v>31000065</v>
      </c>
      <c r="B82" s="6953" t="s">
        <v>1637</v>
      </c>
      <c r="C82" s="6954"/>
      <c r="D82" s="3738" t="s">
        <v>2777</v>
      </c>
      <c r="E82" s="4723" t="s">
        <v>2778</v>
      </c>
      <c r="F82" s="4724" t="s">
        <v>2779</v>
      </c>
      <c r="G82" s="4724" t="s">
        <v>2780</v>
      </c>
      <c r="H82" s="4725" t="s">
        <v>2781</v>
      </c>
      <c r="I82" s="4726" t="s">
        <v>2782</v>
      </c>
      <c r="J82" s="4725" t="s">
        <v>2783</v>
      </c>
      <c r="K82" s="4726" t="s">
        <v>2784</v>
      </c>
      <c r="L82" s="4725" t="s">
        <v>2785</v>
      </c>
      <c r="M82" s="4726" t="s">
        <v>2786</v>
      </c>
      <c r="N82" s="4725" t="s">
        <v>2787</v>
      </c>
      <c r="O82" s="4726" t="s">
        <v>2788</v>
      </c>
      <c r="P82" s="3797" t="s">
        <v>2789</v>
      </c>
      <c r="Q82" s="4861" t="s">
        <v>2790</v>
      </c>
      <c r="R82" s="3797" t="s">
        <v>2791</v>
      </c>
      <c r="S82" s="3797" t="s">
        <v>2792</v>
      </c>
      <c r="T82" s="3797" t="s">
        <v>2793</v>
      </c>
      <c r="U82" s="3797" t="s">
        <v>2794</v>
      </c>
      <c r="V82" s="3797" t="s">
        <v>2795</v>
      </c>
      <c r="W82" s="1162"/>
      <c r="CB82" s="1166"/>
      <c r="CC82" s="1166"/>
      <c r="CD82" s="1166"/>
      <c r="CE82" s="1166"/>
      <c r="CF82" s="1166"/>
      <c r="CG82" s="1166"/>
      <c r="CH82" s="1167"/>
      <c r="CI82" s="1167"/>
      <c r="CJ82" s="1010"/>
      <c r="CK82" s="1010"/>
      <c r="CL82" s="1010"/>
      <c r="CM82" s="1010"/>
      <c r="CN82" s="1010"/>
      <c r="CO82" s="1010"/>
      <c r="CP82" s="1010"/>
      <c r="CQ82" s="1010"/>
      <c r="CR82" s="1010"/>
      <c r="CS82" s="1010"/>
      <c r="CT82" s="1010"/>
      <c r="CU82" s="1010"/>
      <c r="CV82" s="1010"/>
      <c r="CW82" s="1010"/>
      <c r="CX82" s="1010"/>
      <c r="CY82" s="1010"/>
      <c r="CZ82" s="1010"/>
      <c r="DA82" s="1010"/>
    </row>
    <row r="83" spans="1:105" ht="20.25" customHeight="1" x14ac:dyDescent="0.25">
      <c r="A83" s="4663">
        <v>31000061</v>
      </c>
      <c r="B83" s="6951" t="s">
        <v>1632</v>
      </c>
      <c r="C83" s="6952"/>
      <c r="D83" s="3738" t="s">
        <v>2777</v>
      </c>
      <c r="E83" s="3739" t="s">
        <v>2778</v>
      </c>
      <c r="F83" s="3740" t="s">
        <v>2779</v>
      </c>
      <c r="G83" s="3740" t="s">
        <v>2780</v>
      </c>
      <c r="H83" s="3741" t="s">
        <v>2781</v>
      </c>
      <c r="I83" s="3742" t="s">
        <v>2782</v>
      </c>
      <c r="J83" s="3741" t="s">
        <v>2783</v>
      </c>
      <c r="K83" s="3742" t="s">
        <v>2784</v>
      </c>
      <c r="L83" s="3741" t="s">
        <v>2785</v>
      </c>
      <c r="M83" s="3742" t="s">
        <v>2786</v>
      </c>
      <c r="N83" s="3741" t="s">
        <v>2787</v>
      </c>
      <c r="O83" s="3742" t="s">
        <v>2788</v>
      </c>
      <c r="P83" s="3797" t="s">
        <v>2789</v>
      </c>
      <c r="Q83" s="4861" t="s">
        <v>2790</v>
      </c>
      <c r="R83" s="3797" t="s">
        <v>2791</v>
      </c>
      <c r="S83" s="3797" t="s">
        <v>2792</v>
      </c>
      <c r="T83" s="3797" t="s">
        <v>2793</v>
      </c>
      <c r="U83" s="3797" t="s">
        <v>2794</v>
      </c>
      <c r="V83" s="3797" t="s">
        <v>2795</v>
      </c>
      <c r="W83" s="1162" t="str">
        <f t="shared" si="8"/>
        <v>* El número de Pacientes y/o Familiares y/o Funcionarios y/o Beneficiarios y/o Pueblos Originarios y/o Migrantes y/o Población SENAME NO DEBE ser mayor que el Total.</v>
      </c>
      <c r="CB83" s="1166" t="str">
        <f t="shared" si="9"/>
        <v/>
      </c>
      <c r="CC83" s="1166" t="str">
        <f t="shared" si="10"/>
        <v>* El número de Pacientes y/o Familiares y/o Funcionarios y/o Beneficiarios y/o Pueblos Originarios y/o Migrantes y/o Población SENAME NO DEBE ser mayor que el Total.</v>
      </c>
      <c r="CD83" s="1166"/>
      <c r="CE83" s="1166"/>
      <c r="CF83" s="1166"/>
      <c r="CG83" s="1166"/>
      <c r="CH83" s="1167">
        <f t="shared" si="11"/>
        <v>0</v>
      </c>
      <c r="CI83" s="1167">
        <f t="shared" si="12"/>
        <v>1</v>
      </c>
    </row>
    <row r="84" spans="1:105" ht="20.25" customHeight="1" x14ac:dyDescent="0.25">
      <c r="A84" s="4663">
        <v>31000062</v>
      </c>
      <c r="B84" s="6951" t="s">
        <v>1633</v>
      </c>
      <c r="C84" s="6952"/>
      <c r="D84" s="3745" t="s">
        <v>2777</v>
      </c>
      <c r="E84" s="3746" t="s">
        <v>2778</v>
      </c>
      <c r="F84" s="3747" t="s">
        <v>2779</v>
      </c>
      <c r="G84" s="3746" t="s">
        <v>2780</v>
      </c>
      <c r="H84" s="3741" t="s">
        <v>2781</v>
      </c>
      <c r="I84" s="3742" t="s">
        <v>2782</v>
      </c>
      <c r="J84" s="3741" t="s">
        <v>2783</v>
      </c>
      <c r="K84" s="3742" t="s">
        <v>2784</v>
      </c>
      <c r="L84" s="3741" t="s">
        <v>2785</v>
      </c>
      <c r="M84" s="3742" t="s">
        <v>2786</v>
      </c>
      <c r="N84" s="3741" t="s">
        <v>2787</v>
      </c>
      <c r="O84" s="3742" t="s">
        <v>2788</v>
      </c>
      <c r="P84" s="3797" t="s">
        <v>2789</v>
      </c>
      <c r="Q84" s="4861" t="s">
        <v>2790</v>
      </c>
      <c r="R84" s="3797" t="s">
        <v>2791</v>
      </c>
      <c r="S84" s="3797" t="s">
        <v>2792</v>
      </c>
      <c r="T84" s="3797" t="s">
        <v>2793</v>
      </c>
      <c r="U84" s="3797" t="s">
        <v>2794</v>
      </c>
      <c r="V84" s="3797" t="s">
        <v>2795</v>
      </c>
      <c r="W84" s="1162" t="str">
        <f t="shared" si="8"/>
        <v>* El número de Pacientes y/o Familiares y/o Funcionarios y/o Beneficiarios y/o Pueblos Originarios y/o Migrantes y/o Población SENAME NO DEBE ser mayor que el Total.</v>
      </c>
      <c r="CB84" s="1166" t="str">
        <f t="shared" si="9"/>
        <v/>
      </c>
      <c r="CC84" s="1166" t="str">
        <f t="shared" si="10"/>
        <v>* El número de Pacientes y/o Familiares y/o Funcionarios y/o Beneficiarios y/o Pueblos Originarios y/o Migrantes y/o Población SENAME NO DEBE ser mayor que el Total.</v>
      </c>
      <c r="CD84" s="1166"/>
      <c r="CE84" s="1166"/>
      <c r="CF84" s="1166"/>
      <c r="CG84" s="1166"/>
      <c r="CH84" s="1167">
        <f t="shared" si="11"/>
        <v>0</v>
      </c>
      <c r="CI84" s="1167">
        <f t="shared" si="12"/>
        <v>1</v>
      </c>
    </row>
    <row r="85" spans="1:105" ht="20.25" customHeight="1" x14ac:dyDescent="0.25">
      <c r="A85" s="4663">
        <v>31000063</v>
      </c>
      <c r="B85" s="6955" t="s">
        <v>1397</v>
      </c>
      <c r="C85" s="6956"/>
      <c r="D85" s="3743" t="s">
        <v>2777</v>
      </c>
      <c r="E85" s="3744" t="s">
        <v>2778</v>
      </c>
      <c r="F85" s="3748" t="s">
        <v>2779</v>
      </c>
      <c r="G85" s="3749" t="s">
        <v>2780</v>
      </c>
      <c r="H85" s="3750" t="s">
        <v>2781</v>
      </c>
      <c r="I85" s="3751" t="s">
        <v>2782</v>
      </c>
      <c r="J85" s="3750" t="s">
        <v>2783</v>
      </c>
      <c r="K85" s="3751" t="s">
        <v>2784</v>
      </c>
      <c r="L85" s="3750" t="s">
        <v>2785</v>
      </c>
      <c r="M85" s="3751" t="s">
        <v>2786</v>
      </c>
      <c r="N85" s="3741" t="s">
        <v>2787</v>
      </c>
      <c r="O85" s="3742" t="s">
        <v>2788</v>
      </c>
      <c r="P85" s="4862" t="s">
        <v>2789</v>
      </c>
      <c r="Q85" s="4863" t="s">
        <v>2790</v>
      </c>
      <c r="R85" s="4862" t="s">
        <v>2791</v>
      </c>
      <c r="S85" s="4862" t="s">
        <v>2792</v>
      </c>
      <c r="T85" s="4862" t="s">
        <v>2793</v>
      </c>
      <c r="U85" s="4862" t="s">
        <v>2794</v>
      </c>
      <c r="V85" s="4862" t="s">
        <v>2795</v>
      </c>
      <c r="W85" s="1162" t="str">
        <f t="shared" si="8"/>
        <v>* El número de Pacientes y/o Familiares y/o Funcionarios y/o Beneficiarios y/o Pueblos Originarios y/o Migrantes y/o Población SENAME NO DEBE ser mayor que el Total.</v>
      </c>
      <c r="CB85" s="1166" t="str">
        <f t="shared" si="9"/>
        <v/>
      </c>
      <c r="CC85" s="1166" t="str">
        <f t="shared" si="10"/>
        <v>* El número de Pacientes y/o Familiares y/o Funcionarios y/o Beneficiarios y/o Pueblos Originarios y/o Migrantes y/o Población SENAME NO DEBE ser mayor que el Total.</v>
      </c>
      <c r="CD85" s="1166"/>
      <c r="CE85" s="1166"/>
      <c r="CF85" s="1166"/>
      <c r="CG85" s="1166"/>
      <c r="CH85" s="1167">
        <f t="shared" si="11"/>
        <v>0</v>
      </c>
      <c r="CI85" s="1167">
        <f t="shared" si="12"/>
        <v>1</v>
      </c>
    </row>
    <row r="86" spans="1:105" ht="20.25" customHeight="1" x14ac:dyDescent="0.25">
      <c r="A86" s="3720"/>
      <c r="B86" s="6930" t="s">
        <v>210</v>
      </c>
      <c r="C86" s="6931"/>
      <c r="D86" s="2236">
        <f>SUM(D72:D85)</f>
        <v>0</v>
      </c>
      <c r="E86" s="1756">
        <f>SUM(F86:G86)</f>
        <v>0</v>
      </c>
      <c r="F86" s="1755">
        <f t="shared" ref="F86:V86" si="13">SUM(F72:F85)</f>
        <v>0</v>
      </c>
      <c r="G86" s="1755">
        <f t="shared" si="13"/>
        <v>0</v>
      </c>
      <c r="H86" s="1755">
        <f t="shared" si="13"/>
        <v>0</v>
      </c>
      <c r="I86" s="1754">
        <f t="shared" si="13"/>
        <v>0</v>
      </c>
      <c r="J86" s="1754">
        <f t="shared" si="13"/>
        <v>0</v>
      </c>
      <c r="K86" s="1754">
        <f t="shared" si="13"/>
        <v>0</v>
      </c>
      <c r="L86" s="1754">
        <f t="shared" si="13"/>
        <v>0</v>
      </c>
      <c r="M86" s="1754">
        <f t="shared" si="13"/>
        <v>0</v>
      </c>
      <c r="N86" s="1754">
        <f t="shared" si="13"/>
        <v>0</v>
      </c>
      <c r="O86" s="1754">
        <f t="shared" si="13"/>
        <v>0</v>
      </c>
      <c r="P86" s="4864">
        <f t="shared" si="13"/>
        <v>0</v>
      </c>
      <c r="Q86" s="4864">
        <f t="shared" si="13"/>
        <v>0</v>
      </c>
      <c r="R86" s="4864">
        <f t="shared" si="13"/>
        <v>0</v>
      </c>
      <c r="S86" s="4864">
        <f t="shared" si="13"/>
        <v>0</v>
      </c>
      <c r="T86" s="4864">
        <f t="shared" si="13"/>
        <v>0</v>
      </c>
      <c r="U86" s="4864">
        <f t="shared" si="13"/>
        <v>0</v>
      </c>
      <c r="V86" s="4864">
        <f t="shared" si="13"/>
        <v>0</v>
      </c>
    </row>
    <row r="89" spans="1:105" x14ac:dyDescent="0.25">
      <c r="A89" t="s">
        <v>3740</v>
      </c>
    </row>
    <row r="90" spans="1:105" x14ac:dyDescent="0.25">
      <c r="A90" s="4663">
        <v>31000009</v>
      </c>
    </row>
    <row r="91" spans="1:105" x14ac:dyDescent="0.25">
      <c r="A91" s="4663">
        <v>31000010</v>
      </c>
    </row>
    <row r="92" spans="1:105" x14ac:dyDescent="0.25">
      <c r="A92" s="4663">
        <v>31000011</v>
      </c>
    </row>
    <row r="93" spans="1:105" x14ac:dyDescent="0.25">
      <c r="A93" s="4665">
        <v>31000053</v>
      </c>
    </row>
    <row r="95" spans="1:105" x14ac:dyDescent="0.25">
      <c r="A95" t="s">
        <v>3742</v>
      </c>
    </row>
    <row r="96" spans="1:105" x14ac:dyDescent="0.25">
      <c r="A96" s="4665">
        <v>31000064</v>
      </c>
    </row>
    <row r="97" spans="1:1" x14ac:dyDescent="0.25">
      <c r="A97" s="4665">
        <v>31000065</v>
      </c>
    </row>
    <row r="174" spans="2:100" ht="11.25" customHeight="1" x14ac:dyDescent="0.25"/>
    <row r="175" spans="2:100" s="206" customFormat="1" ht="14.25" hidden="1" x14ac:dyDescent="0.2">
      <c r="B175" s="206">
        <f>SUM(D29:AR29,C33:C47, D51:D67,E72:E86)</f>
        <v>0</v>
      </c>
      <c r="C175" s="206">
        <f>SUM(CH12:CI68)</f>
        <v>16</v>
      </c>
      <c r="CD175" s="1016"/>
      <c r="CE175" s="1016"/>
      <c r="CF175" s="1016"/>
      <c r="CG175" s="1016"/>
      <c r="CH175" s="1016"/>
      <c r="CI175" s="1016"/>
      <c r="CJ175" s="1016"/>
      <c r="CK175" s="1016"/>
      <c r="CL175" s="1016"/>
      <c r="CM175" s="1016"/>
      <c r="CN175" s="1016"/>
      <c r="CO175" s="1016"/>
      <c r="CP175" s="1016"/>
      <c r="CQ175" s="1016"/>
      <c r="CR175" s="1016"/>
      <c r="CS175" s="1016"/>
      <c r="CT175" s="1016"/>
      <c r="CU175" s="1016"/>
      <c r="CV175" s="1016"/>
    </row>
  </sheetData>
  <mergeCells count="85">
    <mergeCell ref="B86:C86"/>
    <mergeCell ref="B72:C72"/>
    <mergeCell ref="B73:C73"/>
    <mergeCell ref="B75:C75"/>
    <mergeCell ref="B76:C76"/>
    <mergeCell ref="B78:C78"/>
    <mergeCell ref="B79:C79"/>
    <mergeCell ref="B81:C81"/>
    <mergeCell ref="B82:C82"/>
    <mergeCell ref="B83:C83"/>
    <mergeCell ref="B85:C85"/>
    <mergeCell ref="B74:C74"/>
    <mergeCell ref="B77:C77"/>
    <mergeCell ref="B84:C84"/>
    <mergeCell ref="V69:V71"/>
    <mergeCell ref="B67:C67"/>
    <mergeCell ref="B69:C71"/>
    <mergeCell ref="D69:D71"/>
    <mergeCell ref="E69:G70"/>
    <mergeCell ref="H69:O69"/>
    <mergeCell ref="P69:P71"/>
    <mergeCell ref="H70:I70"/>
    <mergeCell ref="J70:K70"/>
    <mergeCell ref="L70:M70"/>
    <mergeCell ref="N70:O70"/>
    <mergeCell ref="Q69:Q71"/>
    <mergeCell ref="R69:R71"/>
    <mergeCell ref="S69:S71"/>
    <mergeCell ref="T69:T71"/>
    <mergeCell ref="U69:U71"/>
    <mergeCell ref="AX10:AX12"/>
    <mergeCell ref="G11:H11"/>
    <mergeCell ref="I11:J11"/>
    <mergeCell ref="K11:L11"/>
    <mergeCell ref="M11:N11"/>
    <mergeCell ref="O11:P11"/>
    <mergeCell ref="Q11:R11"/>
    <mergeCell ref="S11:T11"/>
    <mergeCell ref="U11:V11"/>
    <mergeCell ref="AQ10:AQ12"/>
    <mergeCell ref="AR10:AR12"/>
    <mergeCell ref="AS10:AS12"/>
    <mergeCell ref="AT10:AT12"/>
    <mergeCell ref="AU10:AU12"/>
    <mergeCell ref="AI11:AJ11"/>
    <mergeCell ref="AK11:AL11"/>
    <mergeCell ref="AW10:AW12"/>
    <mergeCell ref="A11:A12"/>
    <mergeCell ref="B59:C59"/>
    <mergeCell ref="AV10:AV12"/>
    <mergeCell ref="AP10:AP12"/>
    <mergeCell ref="B16:B28"/>
    <mergeCell ref="B29:C29"/>
    <mergeCell ref="B31:B32"/>
    <mergeCell ref="C31:C32"/>
    <mergeCell ref="D31:D32"/>
    <mergeCell ref="F31:F32"/>
    <mergeCell ref="G31:AG31"/>
    <mergeCell ref="B49:C50"/>
    <mergeCell ref="D49:D50"/>
    <mergeCell ref="E49:E50"/>
    <mergeCell ref="F49:F50"/>
    <mergeCell ref="AO10:AO12"/>
    <mergeCell ref="W11:X11"/>
    <mergeCell ref="Y11:Z11"/>
    <mergeCell ref="AA11:AB11"/>
    <mergeCell ref="AC11:AD11"/>
    <mergeCell ref="AE11:AF11"/>
    <mergeCell ref="AG11:AH11"/>
    <mergeCell ref="AM11:AN11"/>
    <mergeCell ref="B7:U7"/>
    <mergeCell ref="B10:C12"/>
    <mergeCell ref="D10:F11"/>
    <mergeCell ref="G10:AN10"/>
    <mergeCell ref="B13:B15"/>
    <mergeCell ref="B65:C65"/>
    <mergeCell ref="G49:G50"/>
    <mergeCell ref="H49:AH49"/>
    <mergeCell ref="E31:E32"/>
    <mergeCell ref="B51:C51"/>
    <mergeCell ref="B52:C52"/>
    <mergeCell ref="B53:C53"/>
    <mergeCell ref="B54:C54"/>
    <mergeCell ref="B60:C60"/>
    <mergeCell ref="B63:C63"/>
  </mergeCells>
  <phoneticPr fontId="87" type="noConversion"/>
  <dataValidations count="1">
    <dataValidation operator="greaterThanOrEqual" allowBlank="1" showInputMessage="1" showErrorMessage="1" error="Valor no Permitido" sqref="B1:B5 A13:A29 A90:A93 B74:C79 B80 C85 B83:B85 A72:A85 A51:A66 A33:A46 A96:A97" xr:uid="{00000000-0002-0000-1600-000000000000}"/>
  </dataValidations>
  <pageMargins left="0.7" right="0.7" top="0.75" bottom="0.75" header="0.3" footer="0.3"/>
  <pageSetup orientation="portrait" r:id="rId1"/>
  <extLst>
    <ext xmlns:mx="http://schemas.microsoft.com/office/mac/excel/2008/main" uri="{64002731-A6B0-56B0-2670-7721B7C09600}">
      <mx:PLV Mode="0" OnePage="0" WScale="0"/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Hoja22"/>
  <dimension ref="A1:AA141"/>
  <sheetViews>
    <sheetView showGridLines="0" showZeros="0" workbookViewId="0"/>
  </sheetViews>
  <sheetFormatPr baseColWidth="10" defaultColWidth="11.42578125" defaultRowHeight="12.75" x14ac:dyDescent="0.2"/>
  <cols>
    <col min="1" max="2" width="1.85546875" style="41" customWidth="1"/>
    <col min="3" max="3" width="18.42578125" style="41" customWidth="1"/>
    <col min="4" max="4" width="18.140625" style="41" customWidth="1"/>
    <col min="5" max="5" width="63.42578125" style="41" customWidth="1"/>
    <col min="6" max="6" width="18.7109375" style="41" customWidth="1"/>
    <col min="7" max="7" width="23" style="41" customWidth="1"/>
    <col min="8" max="8" width="42.42578125" style="41" customWidth="1"/>
    <col min="9" max="9" width="27.42578125" style="41" customWidth="1"/>
    <col min="10" max="19" width="11.42578125" style="41"/>
    <col min="20" max="20" width="0" style="41" hidden="1" customWidth="1"/>
    <col min="21" max="21" width="11.42578125" style="41" hidden="1" customWidth="1"/>
    <col min="22" max="26" width="37.140625" style="41" hidden="1" customWidth="1"/>
    <col min="27" max="27" width="11.42578125" style="41" hidden="1" customWidth="1"/>
    <col min="28" max="28" width="0" style="41" hidden="1" customWidth="1"/>
    <col min="29" max="16384" width="11.42578125" style="41"/>
  </cols>
  <sheetData>
    <row r="1" spans="1:27" ht="33" customHeight="1" x14ac:dyDescent="0.2">
      <c r="A1" s="43"/>
      <c r="B1" s="43"/>
      <c r="C1" s="61" t="s">
        <v>953</v>
      </c>
      <c r="D1" s="60"/>
      <c r="E1" s="60"/>
      <c r="F1" s="60"/>
      <c r="G1" s="60"/>
      <c r="H1" s="59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</row>
    <row r="2" spans="1:27" ht="23.25" customHeight="1" x14ac:dyDescent="0.25">
      <c r="A2" s="43"/>
      <c r="B2" s="43"/>
      <c r="C2" s="58" t="s">
        <v>952</v>
      </c>
      <c r="D2" s="57"/>
      <c r="E2" s="57"/>
      <c r="F2" s="57"/>
      <c r="G2" s="57"/>
      <c r="H2" s="56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</row>
    <row r="3" spans="1:27" ht="23.25" customHeight="1" x14ac:dyDescent="0.25">
      <c r="B3" s="43"/>
      <c r="C3" s="58" t="s">
        <v>951</v>
      </c>
      <c r="D3" s="57"/>
      <c r="E3" s="57"/>
      <c r="F3" s="57"/>
      <c r="G3" s="57"/>
      <c r="H3" s="56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  <c r="AA3" s="43"/>
    </row>
    <row r="4" spans="1:27" ht="23.25" customHeight="1" x14ac:dyDescent="0.25">
      <c r="A4" s="43"/>
      <c r="B4" s="43"/>
      <c r="C4" s="55" t="s">
        <v>950</v>
      </c>
      <c r="D4" s="54"/>
      <c r="E4" s="54"/>
      <c r="F4" s="54"/>
      <c r="G4" s="54"/>
      <c r="H4" s="5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</row>
    <row r="5" spans="1:27" ht="42.75" customHeight="1" x14ac:dyDescent="0.2">
      <c r="A5" s="43"/>
      <c r="B5" s="43"/>
      <c r="C5" s="52" t="str">
        <f>CONCATENATE("ESTABLECIMIENTO/ESTRATEGIA: ",NOMBRE!$B$3," - ","( ",NOMBRE!$C$3,NOMBRE!$D$3,NOMBRE!$E$3,NOMBRE!$F$3,NOMBRE!$G$3,NOMBRE!$H$3,NOMBRE!$I$3," )")</f>
        <v>ESTABLECIMIENTO/ESTRATEGIA:  - ( Falta Cód. Est. )</v>
      </c>
      <c r="D5" s="43"/>
      <c r="E5" s="43"/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  <c r="AA5" s="43"/>
    </row>
    <row r="6" spans="1:27" ht="34.5" customHeight="1" x14ac:dyDescent="0.2">
      <c r="A6" s="43"/>
      <c r="B6" s="43"/>
      <c r="C6" s="51" t="s">
        <v>949</v>
      </c>
      <c r="D6" s="51" t="s">
        <v>948</v>
      </c>
      <c r="E6" s="50" t="s">
        <v>947</v>
      </c>
      <c r="F6" s="50" t="s">
        <v>946</v>
      </c>
      <c r="G6" s="50" t="s">
        <v>327</v>
      </c>
      <c r="H6" s="50" t="s">
        <v>945</v>
      </c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</row>
    <row r="7" spans="1:27" ht="22.5" customHeight="1" x14ac:dyDescent="0.2">
      <c r="A7" s="43"/>
      <c r="B7" s="43"/>
      <c r="C7" s="45" t="s">
        <v>944</v>
      </c>
      <c r="D7" s="45">
        <f>NOMBRE!AG7</f>
        <v>5</v>
      </c>
      <c r="E7" s="43"/>
      <c r="F7" s="43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 t="s">
        <v>943</v>
      </c>
      <c r="Y7" s="43"/>
      <c r="Z7" s="43"/>
      <c r="AA7" s="43"/>
    </row>
    <row r="8" spans="1:27" ht="22.5" customHeight="1" x14ac:dyDescent="0.2">
      <c r="A8" s="43"/>
      <c r="B8" s="43"/>
      <c r="C8" s="45" t="s">
        <v>942</v>
      </c>
      <c r="D8" s="45">
        <f>'A01'!C186</f>
        <v>4</v>
      </c>
      <c r="E8" s="49"/>
      <c r="F8" s="48" t="str">
        <f>IF('A01'!B$186&gt;0,"","SIN DATOS")</f>
        <v>SIN DATOS</v>
      </c>
      <c r="G8" s="47"/>
      <c r="H8" s="46"/>
      <c r="I8" s="43"/>
      <c r="J8" s="43"/>
      <c r="K8" s="43"/>
      <c r="L8" s="43"/>
      <c r="M8" s="43"/>
      <c r="N8" s="43"/>
      <c r="O8" s="43"/>
      <c r="P8" s="43"/>
      <c r="Q8" s="43"/>
      <c r="R8" s="43"/>
      <c r="S8" s="43"/>
      <c r="T8" s="43"/>
      <c r="U8" s="43"/>
      <c r="V8" s="43"/>
      <c r="W8" s="43"/>
      <c r="X8" s="43" t="s">
        <v>941</v>
      </c>
      <c r="Y8" s="43"/>
      <c r="Z8" s="43"/>
      <c r="AA8" s="43"/>
    </row>
    <row r="9" spans="1:27" ht="22.5" customHeight="1" x14ac:dyDescent="0.2">
      <c r="A9" s="43"/>
      <c r="B9" s="43"/>
      <c r="C9" s="45" t="s">
        <v>940</v>
      </c>
      <c r="D9" s="1277">
        <f>+'A02'!C195</f>
        <v>0</v>
      </c>
      <c r="E9" s="46"/>
      <c r="F9" s="48" t="str">
        <f>IF('A02'!B$195&gt;0,"","SIN DATOS")</f>
        <v>SIN DATOS</v>
      </c>
      <c r="G9" s="47"/>
      <c r="H9" s="46"/>
      <c r="I9" s="43"/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43" t="s">
        <v>939</v>
      </c>
      <c r="Y9" s="43"/>
      <c r="Z9" s="43"/>
      <c r="AA9" s="43"/>
    </row>
    <row r="10" spans="1:27" ht="22.5" customHeight="1" x14ac:dyDescent="0.2">
      <c r="A10" s="43"/>
      <c r="B10" s="43"/>
      <c r="C10" s="45" t="s">
        <v>938</v>
      </c>
      <c r="D10" s="66">
        <f>+'A03'!C251</f>
        <v>0</v>
      </c>
      <c r="E10" s="46"/>
      <c r="F10" s="48" t="str">
        <f>IF('A03'!B251&gt;0,"","SIN DATOS")</f>
        <v>SIN DATOS</v>
      </c>
      <c r="G10" s="47"/>
      <c r="H10" s="46"/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 t="s">
        <v>937</v>
      </c>
      <c r="Y10" s="43"/>
      <c r="Z10" s="43"/>
      <c r="AA10" s="43"/>
    </row>
    <row r="11" spans="1:27" ht="22.5" customHeight="1" x14ac:dyDescent="0.2">
      <c r="A11" s="43"/>
      <c r="B11" s="43"/>
      <c r="C11" s="45" t="s">
        <v>936</v>
      </c>
      <c r="D11" s="1277">
        <f>+'A04'!C208</f>
        <v>6</v>
      </c>
      <c r="E11" s="46"/>
      <c r="F11" s="48" t="str">
        <f>IF('A04'!B208&gt;0,"","SIN DATOS")</f>
        <v>SIN DATOS</v>
      </c>
      <c r="G11" s="47"/>
      <c r="H11" s="46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 t="s">
        <v>935</v>
      </c>
      <c r="Y11" s="43"/>
      <c r="Z11" s="43"/>
      <c r="AA11" s="43"/>
    </row>
    <row r="12" spans="1:27" ht="22.5" customHeight="1" x14ac:dyDescent="0.2">
      <c r="A12" s="43"/>
      <c r="B12" s="43"/>
      <c r="C12" s="45" t="s">
        <v>934</v>
      </c>
      <c r="D12" s="1277" t="e">
        <f>+'A05'!C315</f>
        <v>#VALUE!</v>
      </c>
      <c r="E12" s="46"/>
      <c r="F12" s="48" t="str">
        <f>IF('A05'!B315&gt;0,"","SIN DATOS")</f>
        <v>SIN DATOS</v>
      </c>
      <c r="G12" s="47"/>
      <c r="H12" s="46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  <c r="AA12" s="43"/>
    </row>
    <row r="13" spans="1:27" ht="22.5" customHeight="1" x14ac:dyDescent="0.2">
      <c r="A13" s="43"/>
      <c r="B13" s="43"/>
      <c r="C13" s="45" t="s">
        <v>933</v>
      </c>
      <c r="D13" s="45">
        <f>+'A06'!C176</f>
        <v>94</v>
      </c>
      <c r="E13" s="46"/>
      <c r="F13" s="48" t="str">
        <f>IF('A06'!B176&gt;0,"","SIN DATOS")</f>
        <v>SIN DATOS</v>
      </c>
      <c r="G13" s="47"/>
      <c r="H13" s="46"/>
      <c r="I13" s="43"/>
      <c r="J13" s="43"/>
      <c r="K13" s="43"/>
      <c r="L13" s="43"/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  <c r="AA13" s="43"/>
    </row>
    <row r="14" spans="1:27" ht="22.5" customHeight="1" x14ac:dyDescent="0.2">
      <c r="A14" s="43"/>
      <c r="B14" s="43"/>
      <c r="C14" s="45" t="s">
        <v>932</v>
      </c>
      <c r="D14" s="45" t="e">
        <f>+'A07'!C193</f>
        <v>#VALUE!</v>
      </c>
      <c r="E14" s="46"/>
      <c r="F14" s="48" t="str">
        <f>IF('A07'!B193&gt;0,"","SIN DATOS")</f>
        <v>SIN DATOS</v>
      </c>
      <c r="G14" s="47"/>
      <c r="H14" s="46"/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  <c r="AA14" s="43"/>
    </row>
    <row r="15" spans="1:27" ht="22.5" customHeight="1" x14ac:dyDescent="0.2">
      <c r="A15" s="43"/>
      <c r="B15" s="43"/>
      <c r="C15" s="45" t="s">
        <v>931</v>
      </c>
      <c r="D15" s="45" t="e">
        <f>#REF!</f>
        <v>#REF!</v>
      </c>
      <c r="E15" s="46"/>
      <c r="F15" s="48" t="e">
        <f>IF(#REF!&gt;0,"","SIN DATOS")</f>
        <v>#REF!</v>
      </c>
      <c r="G15" s="47"/>
      <c r="H15" s="46"/>
      <c r="I15" s="43"/>
      <c r="J15" s="43"/>
      <c r="K15" s="43"/>
      <c r="L15" s="43"/>
      <c r="M15" s="43"/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  <c r="AA15" s="43"/>
    </row>
    <row r="16" spans="1:27" ht="22.5" customHeight="1" x14ac:dyDescent="0.2">
      <c r="A16" s="43"/>
      <c r="B16" s="43"/>
      <c r="C16" s="45" t="s">
        <v>930</v>
      </c>
      <c r="D16" s="45" t="e">
        <f>#REF!</f>
        <v>#REF!</v>
      </c>
      <c r="E16" s="46"/>
      <c r="F16" s="48" t="e">
        <f>IF(#REF!&gt;0,"","SIN DATOS")</f>
        <v>#REF!</v>
      </c>
      <c r="G16" s="47"/>
      <c r="H16" s="46"/>
      <c r="I16" s="43"/>
      <c r="J16" s="43"/>
      <c r="K16" s="43"/>
      <c r="L16" s="43"/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  <c r="AA16" s="43"/>
    </row>
    <row r="17" spans="1:27" ht="22.5" customHeight="1" x14ac:dyDescent="0.2">
      <c r="A17" s="43"/>
      <c r="B17" s="43"/>
      <c r="C17" s="45" t="s">
        <v>929</v>
      </c>
      <c r="D17" s="1277" t="e">
        <f>'A11'!C283</f>
        <v>#VALUE!</v>
      </c>
      <c r="E17" s="46"/>
      <c r="F17" s="48" t="str">
        <f>IF('A11'!B283&gt;0,"","SIN DATOS")</f>
        <v>SIN DATOS</v>
      </c>
      <c r="G17" s="47"/>
      <c r="H17" s="46"/>
      <c r="I17" s="43"/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  <c r="AA17" s="43"/>
    </row>
    <row r="18" spans="1:27" ht="22.5" customHeight="1" x14ac:dyDescent="0.2">
      <c r="A18" s="43"/>
      <c r="B18" s="43"/>
      <c r="C18" s="45" t="s">
        <v>928</v>
      </c>
      <c r="D18" s="1277" t="e">
        <f>A19a!C194</f>
        <v>#VALUE!</v>
      </c>
      <c r="E18" s="46"/>
      <c r="F18" s="48" t="str">
        <f>IF(A19a!B194&gt;0,"","SIN DATOS")</f>
        <v>SIN DATOS</v>
      </c>
      <c r="G18" s="47"/>
      <c r="H18" s="46"/>
      <c r="I18" s="43"/>
      <c r="J18" s="43"/>
      <c r="K18" s="43"/>
      <c r="L18" s="43"/>
      <c r="M18" s="43"/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  <c r="AA18" s="43"/>
    </row>
    <row r="19" spans="1:27" ht="22.5" customHeight="1" x14ac:dyDescent="0.2">
      <c r="A19" s="43"/>
      <c r="B19" s="43"/>
      <c r="C19" s="45" t="s">
        <v>927</v>
      </c>
      <c r="D19" s="1277">
        <f>A19b!C195</f>
        <v>0</v>
      </c>
      <c r="E19" s="46"/>
      <c r="F19" s="48" t="e">
        <f>IF(A19b!B195&gt;0,"","SIN DATOS")</f>
        <v>#VALUE!</v>
      </c>
      <c r="G19" s="47"/>
      <c r="H19" s="46"/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  <c r="AA19" s="43"/>
    </row>
    <row r="20" spans="1:27" ht="22.5" customHeight="1" x14ac:dyDescent="0.2">
      <c r="A20" s="43"/>
      <c r="B20" s="43"/>
      <c r="C20" s="45" t="s">
        <v>926</v>
      </c>
      <c r="D20" s="1032" t="e">
        <f>'A21'!C198</f>
        <v>#VALUE!</v>
      </c>
      <c r="E20" s="1033"/>
      <c r="F20" s="1034" t="str">
        <f>IF('A21'!B198&gt;0,"","SIN DATOS")</f>
        <v>SIN DATOS</v>
      </c>
      <c r="G20" s="47"/>
      <c r="H20" s="46"/>
      <c r="I20" s="43"/>
      <c r="J20" s="43"/>
      <c r="K20" s="43"/>
      <c r="L20" s="43"/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  <c r="AA20" s="43"/>
    </row>
    <row r="21" spans="1:27" ht="22.5" customHeight="1" x14ac:dyDescent="0.2">
      <c r="A21" s="43"/>
      <c r="B21" s="43"/>
      <c r="C21" s="45" t="s">
        <v>925</v>
      </c>
      <c r="D21" s="1035">
        <f>'A23'!C197</f>
        <v>0</v>
      </c>
      <c r="E21" s="1033"/>
      <c r="F21" s="1034" t="str">
        <f>IF('A23'!B197&gt;0,"","SIN DATOS")</f>
        <v>SIN DATOS</v>
      </c>
      <c r="G21" s="1036"/>
      <c r="H21" s="46"/>
      <c r="I21" s="43"/>
      <c r="J21" s="43"/>
      <c r="K21" s="43"/>
      <c r="L21" s="43"/>
      <c r="M21" s="43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  <c r="AA21" s="43"/>
    </row>
    <row r="22" spans="1:27" ht="22.5" customHeight="1" x14ac:dyDescent="0.2">
      <c r="A22" s="43"/>
      <c r="B22" s="43"/>
      <c r="C22" s="45" t="s">
        <v>924</v>
      </c>
      <c r="D22" s="1032" t="e">
        <f>+'A24'!C200</f>
        <v>#VALUE!</v>
      </c>
      <c r="E22" s="1033"/>
      <c r="F22" s="1034" t="str">
        <f>IF('A24'!B200&gt;0,"","SIN DATOS")</f>
        <v>SIN DATOS</v>
      </c>
      <c r="G22" s="1036"/>
      <c r="H22" s="46"/>
      <c r="I22" s="43"/>
      <c r="J22" s="43"/>
      <c r="K22" s="43"/>
      <c r="L22" s="43"/>
      <c r="M22" s="43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  <c r="AA22" s="43"/>
    </row>
    <row r="23" spans="1:27" ht="22.5" customHeight="1" x14ac:dyDescent="0.2">
      <c r="A23" s="43"/>
      <c r="B23" s="43"/>
      <c r="C23" s="45" t="s">
        <v>923</v>
      </c>
      <c r="D23" s="2385">
        <f>+'A25'!C195</f>
        <v>0</v>
      </c>
      <c r="E23" s="1033"/>
      <c r="F23" s="2386" t="str">
        <f>IF('A25'!B195&gt;0,"","SIN DATOS")</f>
        <v>SIN DATOS</v>
      </c>
      <c r="G23" s="1036"/>
      <c r="H23" s="1033"/>
      <c r="I23" s="43"/>
      <c r="J23" s="43"/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  <c r="AA23" s="43"/>
    </row>
    <row r="24" spans="1:27" ht="22.5" customHeight="1" x14ac:dyDescent="0.2">
      <c r="A24" s="43"/>
      <c r="B24" s="43"/>
      <c r="C24" s="45" t="s">
        <v>922</v>
      </c>
      <c r="D24" s="2385" t="e">
        <f>+#REF!</f>
        <v>#REF!</v>
      </c>
      <c r="E24" s="1033"/>
      <c r="F24" s="2386" t="e">
        <f>IF(#REF!&gt;0,"","SIN DATOS")</f>
        <v>#REF!</v>
      </c>
      <c r="G24" s="1036"/>
      <c r="H24" s="46"/>
      <c r="I24" s="43"/>
      <c r="J24" s="43"/>
      <c r="K24" s="43"/>
      <c r="L24" s="43"/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  <c r="AA24" s="43"/>
    </row>
    <row r="25" spans="1:27" ht="22.5" customHeight="1" x14ac:dyDescent="0.2">
      <c r="A25" s="43"/>
      <c r="B25" s="43"/>
      <c r="C25" s="45" t="s">
        <v>921</v>
      </c>
      <c r="D25" s="2385">
        <f>+'A27'!C200</f>
        <v>0</v>
      </c>
      <c r="E25" s="1033"/>
      <c r="F25" s="2386" t="str">
        <f>IF('A27'!B$200&gt;0,"","SIN DATOS")</f>
        <v>SIN DATOS</v>
      </c>
      <c r="G25" s="1036"/>
      <c r="H25" s="46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  <c r="AA25" s="43"/>
    </row>
    <row r="26" spans="1:27" ht="22.5" customHeight="1" x14ac:dyDescent="0.2">
      <c r="A26" s="43"/>
      <c r="B26" s="43"/>
      <c r="C26" s="45" t="s">
        <v>920</v>
      </c>
      <c r="D26" s="2385" t="e">
        <f>+'A28'!C400</f>
        <v>#VALUE!</v>
      </c>
      <c r="E26" s="1033"/>
      <c r="F26" s="2386" t="e">
        <f>IF('A28'!B400&gt;0,"","SIN DATOS")</f>
        <v>#VALUE!</v>
      </c>
      <c r="G26" s="1036"/>
      <c r="H26" s="46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</row>
    <row r="27" spans="1:27" ht="22.5" customHeight="1" x14ac:dyDescent="0.2">
      <c r="A27" s="43"/>
      <c r="B27" s="43"/>
      <c r="C27" s="45" t="s">
        <v>957</v>
      </c>
      <c r="D27" s="2385">
        <f>+'A29'!C228</f>
        <v>0</v>
      </c>
      <c r="E27" s="1033"/>
      <c r="F27" s="2386" t="str">
        <f>IF('A29'!B$228&gt;0,"","SIN DATOS")</f>
        <v>SIN DATOS</v>
      </c>
      <c r="G27" s="1038"/>
      <c r="H27" s="46"/>
      <c r="I27" s="43"/>
      <c r="J27" s="43"/>
      <c r="K27" s="43"/>
      <c r="L27" s="43"/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  <c r="AA27" s="43"/>
    </row>
    <row r="28" spans="1:27" ht="22.5" customHeight="1" x14ac:dyDescent="0.2">
      <c r="A28" s="43"/>
      <c r="B28" s="43"/>
      <c r="C28" s="45" t="s">
        <v>958</v>
      </c>
      <c r="D28" s="2385">
        <f>'A30 '!C181</f>
        <v>0</v>
      </c>
      <c r="E28" s="1033"/>
      <c r="F28" s="2386" t="str">
        <f>IF('A30 '!B181&gt;0,"","SIN DATOS")</f>
        <v>SIN DATOS</v>
      </c>
      <c r="G28" s="1038"/>
      <c r="H28" s="46"/>
      <c r="I28" s="43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  <c r="AA28" s="43"/>
    </row>
    <row r="29" spans="1:27" ht="22.5" customHeight="1" x14ac:dyDescent="0.2">
      <c r="A29" s="43"/>
      <c r="B29" s="43"/>
      <c r="C29" s="45" t="s">
        <v>1481</v>
      </c>
      <c r="D29" s="2385">
        <f>+'A31'!C175</f>
        <v>16</v>
      </c>
      <c r="E29" s="1033"/>
      <c r="F29" s="2386" t="str">
        <f>IF('A31'!B$175&gt;0,"","SIN DATOS")</f>
        <v>SIN DATOS</v>
      </c>
      <c r="G29" s="1038"/>
      <c r="H29" s="46"/>
      <c r="I29" s="43"/>
      <c r="J29" s="43"/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  <c r="AA29" s="43"/>
    </row>
    <row r="30" spans="1:27" ht="15" x14ac:dyDescent="0.2">
      <c r="A30" s="43"/>
      <c r="B30" s="43"/>
      <c r="C30" s="43"/>
      <c r="D30" s="45"/>
      <c r="E30" s="43"/>
      <c r="F30" s="43"/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  <c r="AA30" s="43"/>
    </row>
    <row r="31" spans="1:27" ht="27.75" customHeight="1" x14ac:dyDescent="0.2">
      <c r="A31" s="43"/>
      <c r="B31" s="43"/>
      <c r="C31" s="44" t="s">
        <v>42</v>
      </c>
      <c r="D31" s="44" t="e">
        <f>SUM(D7:D29)</f>
        <v>#VALUE!</v>
      </c>
      <c r="E31" s="43"/>
      <c r="F31" s="43"/>
      <c r="G31" s="43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</row>
    <row r="32" spans="1:27" x14ac:dyDescent="0.2">
      <c r="A32" s="43"/>
      <c r="B32" s="43"/>
      <c r="C32" s="43"/>
      <c r="D32" s="43"/>
      <c r="E32" s="43"/>
      <c r="F32" s="43"/>
      <c r="G32" s="43"/>
      <c r="H32" s="43"/>
      <c r="I32" s="43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  <c r="AA32" s="43"/>
    </row>
    <row r="33" spans="1:27" x14ac:dyDescent="0.2">
      <c r="A33" s="43"/>
      <c r="B33" s="43"/>
      <c r="C33" s="43"/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  <c r="AA33" s="43"/>
    </row>
    <row r="34" spans="1:27" x14ac:dyDescent="0.2">
      <c r="A34" s="43"/>
      <c r="B34" s="43"/>
      <c r="C34" s="43"/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  <c r="AA34" s="43"/>
    </row>
    <row r="35" spans="1:27" x14ac:dyDescent="0.2">
      <c r="A35" s="43"/>
      <c r="B35" s="43"/>
      <c r="C35" s="43"/>
      <c r="D35" s="43"/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  <c r="AA35" s="43"/>
    </row>
    <row r="36" spans="1:27" x14ac:dyDescent="0.2">
      <c r="A36" s="43"/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  <c r="AA36" s="43"/>
    </row>
    <row r="37" spans="1:27" x14ac:dyDescent="0.2">
      <c r="A37" s="43"/>
      <c r="B37" s="43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  <c r="AA37" s="43"/>
    </row>
    <row r="38" spans="1:27" x14ac:dyDescent="0.2">
      <c r="A38" s="43"/>
      <c r="B38" s="43"/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  <c r="AA38" s="43"/>
    </row>
    <row r="39" spans="1:27" x14ac:dyDescent="0.2">
      <c r="A39" s="43"/>
      <c r="B39" s="43"/>
      <c r="C39" s="43"/>
      <c r="D39" s="43"/>
      <c r="E39" s="43"/>
      <c r="F39" s="43"/>
      <c r="G39" s="43"/>
      <c r="H39" s="43"/>
      <c r="I39" s="43"/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43"/>
      <c r="AA39" s="43"/>
    </row>
    <row r="40" spans="1:27" x14ac:dyDescent="0.2">
      <c r="A40" s="43"/>
      <c r="B40" s="43"/>
      <c r="C40" s="43"/>
      <c r="D40" s="43"/>
      <c r="E40" s="43"/>
      <c r="F40" s="43"/>
      <c r="G40" s="43"/>
      <c r="H40" s="43"/>
      <c r="I40" s="43"/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43"/>
      <c r="AA40" s="43"/>
    </row>
    <row r="41" spans="1:27" x14ac:dyDescent="0.2">
      <c r="A41" s="43"/>
      <c r="B41" s="43"/>
      <c r="C41" s="43"/>
      <c r="D41" s="43"/>
      <c r="E41" s="43"/>
      <c r="F41" s="43"/>
      <c r="G41" s="43"/>
      <c r="H41" s="43"/>
      <c r="I41" s="43"/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  <c r="AA41" s="43"/>
    </row>
    <row r="42" spans="1:27" x14ac:dyDescent="0.2">
      <c r="A42" s="43"/>
      <c r="B42" s="43"/>
      <c r="C42" s="43"/>
      <c r="D42" s="43"/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</row>
    <row r="43" spans="1:27" x14ac:dyDescent="0.2">
      <c r="A43" s="43"/>
      <c r="B43" s="43"/>
      <c r="C43" s="43"/>
      <c r="D43" s="43"/>
      <c r="E43" s="43"/>
      <c r="F43" s="43"/>
      <c r="G43" s="43"/>
      <c r="H43" s="43"/>
      <c r="I43" s="43"/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43"/>
      <c r="AA43" s="43"/>
    </row>
    <row r="44" spans="1:27" x14ac:dyDescent="0.2">
      <c r="A44" s="43"/>
      <c r="B44" s="43"/>
      <c r="C44" s="43"/>
      <c r="D44" s="43"/>
      <c r="E44" s="43"/>
      <c r="F44" s="43"/>
      <c r="G44" s="43"/>
      <c r="H44" s="43"/>
      <c r="I44" s="43"/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43"/>
      <c r="AA44" s="43"/>
    </row>
    <row r="45" spans="1:27" x14ac:dyDescent="0.2">
      <c r="A45" s="43"/>
      <c r="B45" s="43"/>
      <c r="C45" s="43"/>
      <c r="D45" s="43"/>
      <c r="E45" s="43"/>
      <c r="F45" s="43"/>
      <c r="G45" s="43"/>
      <c r="H45" s="43"/>
      <c r="I45" s="43"/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43"/>
      <c r="AA45" s="43"/>
    </row>
    <row r="46" spans="1:27" x14ac:dyDescent="0.2">
      <c r="A46" s="43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43"/>
      <c r="AA46" s="43"/>
    </row>
    <row r="47" spans="1:27" x14ac:dyDescent="0.2">
      <c r="A47" s="43"/>
      <c r="B47" s="43"/>
      <c r="C47" s="43"/>
      <c r="D47" s="43"/>
      <c r="E47" s="43"/>
      <c r="F47" s="43"/>
      <c r="G47" s="43"/>
      <c r="H47" s="43"/>
      <c r="I47" s="43"/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43"/>
      <c r="AA47" s="43"/>
    </row>
    <row r="48" spans="1:27" x14ac:dyDescent="0.2">
      <c r="A48" s="43"/>
      <c r="B48" s="43"/>
      <c r="C48" s="43"/>
      <c r="D48" s="43"/>
      <c r="E48" s="43"/>
      <c r="F48" s="43"/>
      <c r="G48" s="43"/>
      <c r="H48" s="43"/>
      <c r="I48" s="43"/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43"/>
      <c r="AA48" s="43"/>
    </row>
    <row r="49" spans="1:27" x14ac:dyDescent="0.2">
      <c r="A49" s="43"/>
      <c r="B49" s="43"/>
      <c r="C49" s="43"/>
      <c r="D49" s="43"/>
      <c r="E49" s="43"/>
      <c r="F49" s="43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43"/>
      <c r="AA49" s="43"/>
    </row>
    <row r="50" spans="1:27" x14ac:dyDescent="0.2">
      <c r="A50" s="43"/>
      <c r="B50" s="43"/>
      <c r="C50" s="43"/>
      <c r="D50" s="43"/>
      <c r="E50" s="43"/>
      <c r="F50" s="43"/>
      <c r="G50" s="43"/>
      <c r="H50" s="43"/>
      <c r="I50" s="43"/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43"/>
      <c r="AA50" s="43"/>
    </row>
    <row r="51" spans="1:27" x14ac:dyDescent="0.2">
      <c r="A51" s="43"/>
      <c r="B51" s="43"/>
      <c r="C51" s="43"/>
      <c r="D51" s="43"/>
      <c r="E51" s="43"/>
      <c r="F51" s="43"/>
      <c r="G51" s="43"/>
      <c r="H51" s="43"/>
      <c r="I51" s="43"/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43"/>
      <c r="AA51" s="43"/>
    </row>
    <row r="52" spans="1:27" x14ac:dyDescent="0.2">
      <c r="A52" s="43"/>
      <c r="B52" s="43"/>
      <c r="C52" s="43"/>
      <c r="D52" s="43"/>
      <c r="E52" s="43"/>
      <c r="F52" s="43"/>
      <c r="G52" s="43"/>
      <c r="H52" s="43"/>
      <c r="I52" s="43"/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43"/>
      <c r="AA52" s="43"/>
    </row>
    <row r="53" spans="1:27" x14ac:dyDescent="0.2">
      <c r="A53" s="43"/>
      <c r="B53" s="43"/>
      <c r="C53" s="43"/>
      <c r="D53" s="43"/>
      <c r="E53" s="43"/>
      <c r="F53" s="43"/>
      <c r="G53" s="43"/>
      <c r="H53" s="43"/>
      <c r="I53" s="43"/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43"/>
      <c r="AA53" s="43"/>
    </row>
    <row r="54" spans="1:27" x14ac:dyDescent="0.2">
      <c r="A54" s="43"/>
      <c r="B54" s="43"/>
      <c r="C54" s="43"/>
      <c r="D54" s="43"/>
      <c r="E54" s="43"/>
      <c r="F54" s="43"/>
      <c r="G54" s="43"/>
      <c r="H54" s="43"/>
      <c r="I54" s="43"/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43"/>
      <c r="AA54" s="43"/>
    </row>
    <row r="55" spans="1:27" x14ac:dyDescent="0.2">
      <c r="A55" s="43"/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43"/>
      <c r="AA55" s="43"/>
    </row>
    <row r="56" spans="1:27" x14ac:dyDescent="0.2">
      <c r="A56" s="43"/>
      <c r="B56" s="43"/>
      <c r="C56" s="43"/>
      <c r="D56" s="43"/>
      <c r="E56" s="43"/>
      <c r="F56" s="43"/>
      <c r="G56" s="43"/>
      <c r="H56" s="43"/>
      <c r="I56" s="43"/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43"/>
      <c r="AA56" s="43"/>
    </row>
    <row r="57" spans="1:27" x14ac:dyDescent="0.2">
      <c r="A57" s="43"/>
      <c r="B57" s="43"/>
      <c r="C57" s="43"/>
      <c r="D57" s="43"/>
      <c r="E57" s="43"/>
      <c r="F57" s="43"/>
      <c r="G57" s="43"/>
      <c r="H57" s="43"/>
      <c r="I57" s="43"/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43"/>
      <c r="AA57" s="43"/>
    </row>
    <row r="58" spans="1:27" x14ac:dyDescent="0.2">
      <c r="A58" s="43"/>
      <c r="B58" s="43"/>
      <c r="C58" s="43"/>
      <c r="D58" s="43"/>
      <c r="E58" s="43"/>
      <c r="F58" s="43"/>
      <c r="G58" s="43"/>
      <c r="H58" s="43"/>
      <c r="I58" s="43"/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43"/>
      <c r="AA58" s="43"/>
    </row>
    <row r="59" spans="1:27" x14ac:dyDescent="0.2">
      <c r="A59" s="43"/>
      <c r="B59" s="43"/>
      <c r="C59" s="43"/>
      <c r="D59" s="43"/>
      <c r="E59" s="43"/>
      <c r="F59" s="43"/>
      <c r="G59" s="43"/>
      <c r="H59" s="43"/>
      <c r="I59" s="43"/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43"/>
      <c r="AA59" s="43"/>
    </row>
    <row r="60" spans="1:27" x14ac:dyDescent="0.2">
      <c r="A60" s="43"/>
      <c r="B60" s="43"/>
      <c r="C60" s="43"/>
      <c r="D60" s="43"/>
      <c r="E60" s="43"/>
      <c r="F60" s="43"/>
      <c r="G60" s="43"/>
      <c r="H60" s="43"/>
      <c r="I60" s="43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43"/>
      <c r="AA60" s="43"/>
    </row>
    <row r="61" spans="1:27" x14ac:dyDescent="0.2">
      <c r="A61" s="43"/>
      <c r="B61" s="43"/>
      <c r="C61" s="43"/>
      <c r="D61" s="43"/>
      <c r="E61" s="43"/>
      <c r="F61" s="43"/>
      <c r="G61" s="43"/>
      <c r="H61" s="43"/>
      <c r="I61" s="43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43"/>
      <c r="AA61" s="43"/>
    </row>
    <row r="62" spans="1:27" x14ac:dyDescent="0.2">
      <c r="A62" s="43"/>
      <c r="B62" s="43"/>
      <c r="C62" s="43"/>
      <c r="D62" s="43"/>
      <c r="E62" s="43"/>
      <c r="F62" s="43"/>
      <c r="G62" s="43"/>
      <c r="H62" s="43"/>
      <c r="I62" s="43"/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43"/>
      <c r="AA62" s="43"/>
    </row>
    <row r="63" spans="1:27" x14ac:dyDescent="0.2">
      <c r="A63" s="43"/>
      <c r="B63" s="43"/>
      <c r="C63" s="43"/>
      <c r="D63" s="43"/>
      <c r="E63" s="43"/>
      <c r="F63" s="43"/>
      <c r="G63" s="43"/>
      <c r="H63" s="43"/>
      <c r="I63" s="43"/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43"/>
      <c r="AA63" s="43"/>
    </row>
    <row r="64" spans="1:27" x14ac:dyDescent="0.2">
      <c r="A64" s="43"/>
      <c r="B64" s="43"/>
      <c r="C64" s="43"/>
      <c r="D64" s="43"/>
      <c r="E64" s="43"/>
      <c r="F64" s="43"/>
      <c r="G64" s="43"/>
      <c r="H64" s="43"/>
      <c r="I64" s="43"/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43"/>
      <c r="AA64" s="43"/>
    </row>
    <row r="141" s="42" customFormat="1" x14ac:dyDescent="0.2"/>
  </sheetData>
  <dataValidations count="1">
    <dataValidation type="list" allowBlank="1" showInputMessage="1" showErrorMessage="1" sqref="WVO983051:WVO983069 JC8:JC29 SY8:SY29 ACU8:ACU29 AMQ8:AMQ29 AWM8:AWM29 BGI8:BGI29 BQE8:BQE29 CAA8:CAA29 CJW8:CJW29 CTS8:CTS29 DDO8:DDO29 DNK8:DNK29 DXG8:DXG29 EHC8:EHC29 EQY8:EQY29 FAU8:FAU29 FKQ8:FKQ29 FUM8:FUM29 GEI8:GEI29 GOE8:GOE29 GYA8:GYA29 HHW8:HHW29 HRS8:HRS29 IBO8:IBO29 ILK8:ILK29 IVG8:IVG29 JFC8:JFC29 JOY8:JOY29 JYU8:JYU29 KIQ8:KIQ29 KSM8:KSM29 LCI8:LCI29 LME8:LME29 LWA8:LWA29 MFW8:MFW29 MPS8:MPS29 MZO8:MZO29 NJK8:NJK29 NTG8:NTG29 ODC8:ODC29 OMY8:OMY29 OWU8:OWU29 PGQ8:PGQ29 PQM8:PQM29 QAI8:QAI29 QKE8:QKE29 QUA8:QUA29 RDW8:RDW29 RNS8:RNS29 RXO8:RXO29 SHK8:SHK29 SRG8:SRG29 TBC8:TBC29 TKY8:TKY29 TUU8:TUU29 UEQ8:UEQ29 UOM8:UOM29 UYI8:UYI29 VIE8:VIE29 VSA8:VSA29 WBW8:WBW29 WLS8:WLS29 WVO8:WVO29 G65547:G65565 JC65547:JC65565 SY65547:SY65565 ACU65547:ACU65565 AMQ65547:AMQ65565 AWM65547:AWM65565 BGI65547:BGI65565 BQE65547:BQE65565 CAA65547:CAA65565 CJW65547:CJW65565 CTS65547:CTS65565 DDO65547:DDO65565 DNK65547:DNK65565 DXG65547:DXG65565 EHC65547:EHC65565 EQY65547:EQY65565 FAU65547:FAU65565 FKQ65547:FKQ65565 FUM65547:FUM65565 GEI65547:GEI65565 GOE65547:GOE65565 GYA65547:GYA65565 HHW65547:HHW65565 HRS65547:HRS65565 IBO65547:IBO65565 ILK65547:ILK65565 IVG65547:IVG65565 JFC65547:JFC65565 JOY65547:JOY65565 JYU65547:JYU65565 KIQ65547:KIQ65565 KSM65547:KSM65565 LCI65547:LCI65565 LME65547:LME65565 LWA65547:LWA65565 MFW65547:MFW65565 MPS65547:MPS65565 MZO65547:MZO65565 NJK65547:NJK65565 NTG65547:NTG65565 ODC65547:ODC65565 OMY65547:OMY65565 OWU65547:OWU65565 PGQ65547:PGQ65565 PQM65547:PQM65565 QAI65547:QAI65565 QKE65547:QKE65565 QUA65547:QUA65565 RDW65547:RDW65565 RNS65547:RNS65565 RXO65547:RXO65565 SHK65547:SHK65565 SRG65547:SRG65565 TBC65547:TBC65565 TKY65547:TKY65565 TUU65547:TUU65565 UEQ65547:UEQ65565 UOM65547:UOM65565 UYI65547:UYI65565 VIE65547:VIE65565 VSA65547:VSA65565 WBW65547:WBW65565 WLS65547:WLS65565 WVO65547:WVO65565 G131083:G131101 JC131083:JC131101 SY131083:SY131101 ACU131083:ACU131101 AMQ131083:AMQ131101 AWM131083:AWM131101 BGI131083:BGI131101 BQE131083:BQE131101 CAA131083:CAA131101 CJW131083:CJW131101 CTS131083:CTS131101 DDO131083:DDO131101 DNK131083:DNK131101 DXG131083:DXG131101 EHC131083:EHC131101 EQY131083:EQY131101 FAU131083:FAU131101 FKQ131083:FKQ131101 FUM131083:FUM131101 GEI131083:GEI131101 GOE131083:GOE131101 GYA131083:GYA131101 HHW131083:HHW131101 HRS131083:HRS131101 IBO131083:IBO131101 ILK131083:ILK131101 IVG131083:IVG131101 JFC131083:JFC131101 JOY131083:JOY131101 JYU131083:JYU131101 KIQ131083:KIQ131101 KSM131083:KSM131101 LCI131083:LCI131101 LME131083:LME131101 LWA131083:LWA131101 MFW131083:MFW131101 MPS131083:MPS131101 MZO131083:MZO131101 NJK131083:NJK131101 NTG131083:NTG131101 ODC131083:ODC131101 OMY131083:OMY131101 OWU131083:OWU131101 PGQ131083:PGQ131101 PQM131083:PQM131101 QAI131083:QAI131101 QKE131083:QKE131101 QUA131083:QUA131101 RDW131083:RDW131101 RNS131083:RNS131101 RXO131083:RXO131101 SHK131083:SHK131101 SRG131083:SRG131101 TBC131083:TBC131101 TKY131083:TKY131101 TUU131083:TUU131101 UEQ131083:UEQ131101 UOM131083:UOM131101 UYI131083:UYI131101 VIE131083:VIE131101 VSA131083:VSA131101 WBW131083:WBW131101 WLS131083:WLS131101 WVO131083:WVO131101 G196619:G196637 JC196619:JC196637 SY196619:SY196637 ACU196619:ACU196637 AMQ196619:AMQ196637 AWM196619:AWM196637 BGI196619:BGI196637 BQE196619:BQE196637 CAA196619:CAA196637 CJW196619:CJW196637 CTS196619:CTS196637 DDO196619:DDO196637 DNK196619:DNK196637 DXG196619:DXG196637 EHC196619:EHC196637 EQY196619:EQY196637 FAU196619:FAU196637 FKQ196619:FKQ196637 FUM196619:FUM196637 GEI196619:GEI196637 GOE196619:GOE196637 GYA196619:GYA196637 HHW196619:HHW196637 HRS196619:HRS196637 IBO196619:IBO196637 ILK196619:ILK196637 IVG196619:IVG196637 JFC196619:JFC196637 JOY196619:JOY196637 JYU196619:JYU196637 KIQ196619:KIQ196637 KSM196619:KSM196637 LCI196619:LCI196637 LME196619:LME196637 LWA196619:LWA196637 MFW196619:MFW196637 MPS196619:MPS196637 MZO196619:MZO196637 NJK196619:NJK196637 NTG196619:NTG196637 ODC196619:ODC196637 OMY196619:OMY196637 OWU196619:OWU196637 PGQ196619:PGQ196637 PQM196619:PQM196637 QAI196619:QAI196637 QKE196619:QKE196637 QUA196619:QUA196637 RDW196619:RDW196637 RNS196619:RNS196637 RXO196619:RXO196637 SHK196619:SHK196637 SRG196619:SRG196637 TBC196619:TBC196637 TKY196619:TKY196637 TUU196619:TUU196637 UEQ196619:UEQ196637 UOM196619:UOM196637 UYI196619:UYI196637 VIE196619:VIE196637 VSA196619:VSA196637 WBW196619:WBW196637 WLS196619:WLS196637 WVO196619:WVO196637 G262155:G262173 JC262155:JC262173 SY262155:SY262173 ACU262155:ACU262173 AMQ262155:AMQ262173 AWM262155:AWM262173 BGI262155:BGI262173 BQE262155:BQE262173 CAA262155:CAA262173 CJW262155:CJW262173 CTS262155:CTS262173 DDO262155:DDO262173 DNK262155:DNK262173 DXG262155:DXG262173 EHC262155:EHC262173 EQY262155:EQY262173 FAU262155:FAU262173 FKQ262155:FKQ262173 FUM262155:FUM262173 GEI262155:GEI262173 GOE262155:GOE262173 GYA262155:GYA262173 HHW262155:HHW262173 HRS262155:HRS262173 IBO262155:IBO262173 ILK262155:ILK262173 IVG262155:IVG262173 JFC262155:JFC262173 JOY262155:JOY262173 JYU262155:JYU262173 KIQ262155:KIQ262173 KSM262155:KSM262173 LCI262155:LCI262173 LME262155:LME262173 LWA262155:LWA262173 MFW262155:MFW262173 MPS262155:MPS262173 MZO262155:MZO262173 NJK262155:NJK262173 NTG262155:NTG262173 ODC262155:ODC262173 OMY262155:OMY262173 OWU262155:OWU262173 PGQ262155:PGQ262173 PQM262155:PQM262173 QAI262155:QAI262173 QKE262155:QKE262173 QUA262155:QUA262173 RDW262155:RDW262173 RNS262155:RNS262173 RXO262155:RXO262173 SHK262155:SHK262173 SRG262155:SRG262173 TBC262155:TBC262173 TKY262155:TKY262173 TUU262155:TUU262173 UEQ262155:UEQ262173 UOM262155:UOM262173 UYI262155:UYI262173 VIE262155:VIE262173 VSA262155:VSA262173 WBW262155:WBW262173 WLS262155:WLS262173 WVO262155:WVO262173 G327691:G327709 JC327691:JC327709 SY327691:SY327709 ACU327691:ACU327709 AMQ327691:AMQ327709 AWM327691:AWM327709 BGI327691:BGI327709 BQE327691:BQE327709 CAA327691:CAA327709 CJW327691:CJW327709 CTS327691:CTS327709 DDO327691:DDO327709 DNK327691:DNK327709 DXG327691:DXG327709 EHC327691:EHC327709 EQY327691:EQY327709 FAU327691:FAU327709 FKQ327691:FKQ327709 FUM327691:FUM327709 GEI327691:GEI327709 GOE327691:GOE327709 GYA327691:GYA327709 HHW327691:HHW327709 HRS327691:HRS327709 IBO327691:IBO327709 ILK327691:ILK327709 IVG327691:IVG327709 JFC327691:JFC327709 JOY327691:JOY327709 JYU327691:JYU327709 KIQ327691:KIQ327709 KSM327691:KSM327709 LCI327691:LCI327709 LME327691:LME327709 LWA327691:LWA327709 MFW327691:MFW327709 MPS327691:MPS327709 MZO327691:MZO327709 NJK327691:NJK327709 NTG327691:NTG327709 ODC327691:ODC327709 OMY327691:OMY327709 OWU327691:OWU327709 PGQ327691:PGQ327709 PQM327691:PQM327709 QAI327691:QAI327709 QKE327691:QKE327709 QUA327691:QUA327709 RDW327691:RDW327709 RNS327691:RNS327709 RXO327691:RXO327709 SHK327691:SHK327709 SRG327691:SRG327709 TBC327691:TBC327709 TKY327691:TKY327709 TUU327691:TUU327709 UEQ327691:UEQ327709 UOM327691:UOM327709 UYI327691:UYI327709 VIE327691:VIE327709 VSA327691:VSA327709 WBW327691:WBW327709 WLS327691:WLS327709 WVO327691:WVO327709 G393227:G393245 JC393227:JC393245 SY393227:SY393245 ACU393227:ACU393245 AMQ393227:AMQ393245 AWM393227:AWM393245 BGI393227:BGI393245 BQE393227:BQE393245 CAA393227:CAA393245 CJW393227:CJW393245 CTS393227:CTS393245 DDO393227:DDO393245 DNK393227:DNK393245 DXG393227:DXG393245 EHC393227:EHC393245 EQY393227:EQY393245 FAU393227:FAU393245 FKQ393227:FKQ393245 FUM393227:FUM393245 GEI393227:GEI393245 GOE393227:GOE393245 GYA393227:GYA393245 HHW393227:HHW393245 HRS393227:HRS393245 IBO393227:IBO393245 ILK393227:ILK393245 IVG393227:IVG393245 JFC393227:JFC393245 JOY393227:JOY393245 JYU393227:JYU393245 KIQ393227:KIQ393245 KSM393227:KSM393245 LCI393227:LCI393245 LME393227:LME393245 LWA393227:LWA393245 MFW393227:MFW393245 MPS393227:MPS393245 MZO393227:MZO393245 NJK393227:NJK393245 NTG393227:NTG393245 ODC393227:ODC393245 OMY393227:OMY393245 OWU393227:OWU393245 PGQ393227:PGQ393245 PQM393227:PQM393245 QAI393227:QAI393245 QKE393227:QKE393245 QUA393227:QUA393245 RDW393227:RDW393245 RNS393227:RNS393245 RXO393227:RXO393245 SHK393227:SHK393245 SRG393227:SRG393245 TBC393227:TBC393245 TKY393227:TKY393245 TUU393227:TUU393245 UEQ393227:UEQ393245 UOM393227:UOM393245 UYI393227:UYI393245 VIE393227:VIE393245 VSA393227:VSA393245 WBW393227:WBW393245 WLS393227:WLS393245 WVO393227:WVO393245 G458763:G458781 JC458763:JC458781 SY458763:SY458781 ACU458763:ACU458781 AMQ458763:AMQ458781 AWM458763:AWM458781 BGI458763:BGI458781 BQE458763:BQE458781 CAA458763:CAA458781 CJW458763:CJW458781 CTS458763:CTS458781 DDO458763:DDO458781 DNK458763:DNK458781 DXG458763:DXG458781 EHC458763:EHC458781 EQY458763:EQY458781 FAU458763:FAU458781 FKQ458763:FKQ458781 FUM458763:FUM458781 GEI458763:GEI458781 GOE458763:GOE458781 GYA458763:GYA458781 HHW458763:HHW458781 HRS458763:HRS458781 IBO458763:IBO458781 ILK458763:ILK458781 IVG458763:IVG458781 JFC458763:JFC458781 JOY458763:JOY458781 JYU458763:JYU458781 KIQ458763:KIQ458781 KSM458763:KSM458781 LCI458763:LCI458781 LME458763:LME458781 LWA458763:LWA458781 MFW458763:MFW458781 MPS458763:MPS458781 MZO458763:MZO458781 NJK458763:NJK458781 NTG458763:NTG458781 ODC458763:ODC458781 OMY458763:OMY458781 OWU458763:OWU458781 PGQ458763:PGQ458781 PQM458763:PQM458781 QAI458763:QAI458781 QKE458763:QKE458781 QUA458763:QUA458781 RDW458763:RDW458781 RNS458763:RNS458781 RXO458763:RXO458781 SHK458763:SHK458781 SRG458763:SRG458781 TBC458763:TBC458781 TKY458763:TKY458781 TUU458763:TUU458781 UEQ458763:UEQ458781 UOM458763:UOM458781 UYI458763:UYI458781 VIE458763:VIE458781 VSA458763:VSA458781 WBW458763:WBW458781 WLS458763:WLS458781 WVO458763:WVO458781 G524299:G524317 JC524299:JC524317 SY524299:SY524317 ACU524299:ACU524317 AMQ524299:AMQ524317 AWM524299:AWM524317 BGI524299:BGI524317 BQE524299:BQE524317 CAA524299:CAA524317 CJW524299:CJW524317 CTS524299:CTS524317 DDO524299:DDO524317 DNK524299:DNK524317 DXG524299:DXG524317 EHC524299:EHC524317 EQY524299:EQY524317 FAU524299:FAU524317 FKQ524299:FKQ524317 FUM524299:FUM524317 GEI524299:GEI524317 GOE524299:GOE524317 GYA524299:GYA524317 HHW524299:HHW524317 HRS524299:HRS524317 IBO524299:IBO524317 ILK524299:ILK524317 IVG524299:IVG524317 JFC524299:JFC524317 JOY524299:JOY524317 JYU524299:JYU524317 KIQ524299:KIQ524317 KSM524299:KSM524317 LCI524299:LCI524317 LME524299:LME524317 LWA524299:LWA524317 MFW524299:MFW524317 MPS524299:MPS524317 MZO524299:MZO524317 NJK524299:NJK524317 NTG524299:NTG524317 ODC524299:ODC524317 OMY524299:OMY524317 OWU524299:OWU524317 PGQ524299:PGQ524317 PQM524299:PQM524317 QAI524299:QAI524317 QKE524299:QKE524317 QUA524299:QUA524317 RDW524299:RDW524317 RNS524299:RNS524317 RXO524299:RXO524317 SHK524299:SHK524317 SRG524299:SRG524317 TBC524299:TBC524317 TKY524299:TKY524317 TUU524299:TUU524317 UEQ524299:UEQ524317 UOM524299:UOM524317 UYI524299:UYI524317 VIE524299:VIE524317 VSA524299:VSA524317 WBW524299:WBW524317 WLS524299:WLS524317 WVO524299:WVO524317 G589835:G589853 JC589835:JC589853 SY589835:SY589853 ACU589835:ACU589853 AMQ589835:AMQ589853 AWM589835:AWM589853 BGI589835:BGI589853 BQE589835:BQE589853 CAA589835:CAA589853 CJW589835:CJW589853 CTS589835:CTS589853 DDO589835:DDO589853 DNK589835:DNK589853 DXG589835:DXG589853 EHC589835:EHC589853 EQY589835:EQY589853 FAU589835:FAU589853 FKQ589835:FKQ589853 FUM589835:FUM589853 GEI589835:GEI589853 GOE589835:GOE589853 GYA589835:GYA589853 HHW589835:HHW589853 HRS589835:HRS589853 IBO589835:IBO589853 ILK589835:ILK589853 IVG589835:IVG589853 JFC589835:JFC589853 JOY589835:JOY589853 JYU589835:JYU589853 KIQ589835:KIQ589853 KSM589835:KSM589853 LCI589835:LCI589853 LME589835:LME589853 LWA589835:LWA589853 MFW589835:MFW589853 MPS589835:MPS589853 MZO589835:MZO589853 NJK589835:NJK589853 NTG589835:NTG589853 ODC589835:ODC589853 OMY589835:OMY589853 OWU589835:OWU589853 PGQ589835:PGQ589853 PQM589835:PQM589853 QAI589835:QAI589853 QKE589835:QKE589853 QUA589835:QUA589853 RDW589835:RDW589853 RNS589835:RNS589853 RXO589835:RXO589853 SHK589835:SHK589853 SRG589835:SRG589853 TBC589835:TBC589853 TKY589835:TKY589853 TUU589835:TUU589853 UEQ589835:UEQ589853 UOM589835:UOM589853 UYI589835:UYI589853 VIE589835:VIE589853 VSA589835:VSA589853 WBW589835:WBW589853 WLS589835:WLS589853 WVO589835:WVO589853 G655371:G655389 JC655371:JC655389 SY655371:SY655389 ACU655371:ACU655389 AMQ655371:AMQ655389 AWM655371:AWM655389 BGI655371:BGI655389 BQE655371:BQE655389 CAA655371:CAA655389 CJW655371:CJW655389 CTS655371:CTS655389 DDO655371:DDO655389 DNK655371:DNK655389 DXG655371:DXG655389 EHC655371:EHC655389 EQY655371:EQY655389 FAU655371:FAU655389 FKQ655371:FKQ655389 FUM655371:FUM655389 GEI655371:GEI655389 GOE655371:GOE655389 GYA655371:GYA655389 HHW655371:HHW655389 HRS655371:HRS655389 IBO655371:IBO655389 ILK655371:ILK655389 IVG655371:IVG655389 JFC655371:JFC655389 JOY655371:JOY655389 JYU655371:JYU655389 KIQ655371:KIQ655389 KSM655371:KSM655389 LCI655371:LCI655389 LME655371:LME655389 LWA655371:LWA655389 MFW655371:MFW655389 MPS655371:MPS655389 MZO655371:MZO655389 NJK655371:NJK655389 NTG655371:NTG655389 ODC655371:ODC655389 OMY655371:OMY655389 OWU655371:OWU655389 PGQ655371:PGQ655389 PQM655371:PQM655389 QAI655371:QAI655389 QKE655371:QKE655389 QUA655371:QUA655389 RDW655371:RDW655389 RNS655371:RNS655389 RXO655371:RXO655389 SHK655371:SHK655389 SRG655371:SRG655389 TBC655371:TBC655389 TKY655371:TKY655389 TUU655371:TUU655389 UEQ655371:UEQ655389 UOM655371:UOM655389 UYI655371:UYI655389 VIE655371:VIE655389 VSA655371:VSA655389 WBW655371:WBW655389 WLS655371:WLS655389 WVO655371:WVO655389 G720907:G720925 JC720907:JC720925 SY720907:SY720925 ACU720907:ACU720925 AMQ720907:AMQ720925 AWM720907:AWM720925 BGI720907:BGI720925 BQE720907:BQE720925 CAA720907:CAA720925 CJW720907:CJW720925 CTS720907:CTS720925 DDO720907:DDO720925 DNK720907:DNK720925 DXG720907:DXG720925 EHC720907:EHC720925 EQY720907:EQY720925 FAU720907:FAU720925 FKQ720907:FKQ720925 FUM720907:FUM720925 GEI720907:GEI720925 GOE720907:GOE720925 GYA720907:GYA720925 HHW720907:HHW720925 HRS720907:HRS720925 IBO720907:IBO720925 ILK720907:ILK720925 IVG720907:IVG720925 JFC720907:JFC720925 JOY720907:JOY720925 JYU720907:JYU720925 KIQ720907:KIQ720925 KSM720907:KSM720925 LCI720907:LCI720925 LME720907:LME720925 LWA720907:LWA720925 MFW720907:MFW720925 MPS720907:MPS720925 MZO720907:MZO720925 NJK720907:NJK720925 NTG720907:NTG720925 ODC720907:ODC720925 OMY720907:OMY720925 OWU720907:OWU720925 PGQ720907:PGQ720925 PQM720907:PQM720925 QAI720907:QAI720925 QKE720907:QKE720925 QUA720907:QUA720925 RDW720907:RDW720925 RNS720907:RNS720925 RXO720907:RXO720925 SHK720907:SHK720925 SRG720907:SRG720925 TBC720907:TBC720925 TKY720907:TKY720925 TUU720907:TUU720925 UEQ720907:UEQ720925 UOM720907:UOM720925 UYI720907:UYI720925 VIE720907:VIE720925 VSA720907:VSA720925 WBW720907:WBW720925 WLS720907:WLS720925 WVO720907:WVO720925 G786443:G786461 JC786443:JC786461 SY786443:SY786461 ACU786443:ACU786461 AMQ786443:AMQ786461 AWM786443:AWM786461 BGI786443:BGI786461 BQE786443:BQE786461 CAA786443:CAA786461 CJW786443:CJW786461 CTS786443:CTS786461 DDO786443:DDO786461 DNK786443:DNK786461 DXG786443:DXG786461 EHC786443:EHC786461 EQY786443:EQY786461 FAU786443:FAU786461 FKQ786443:FKQ786461 FUM786443:FUM786461 GEI786443:GEI786461 GOE786443:GOE786461 GYA786443:GYA786461 HHW786443:HHW786461 HRS786443:HRS786461 IBO786443:IBO786461 ILK786443:ILK786461 IVG786443:IVG786461 JFC786443:JFC786461 JOY786443:JOY786461 JYU786443:JYU786461 KIQ786443:KIQ786461 KSM786443:KSM786461 LCI786443:LCI786461 LME786443:LME786461 LWA786443:LWA786461 MFW786443:MFW786461 MPS786443:MPS786461 MZO786443:MZO786461 NJK786443:NJK786461 NTG786443:NTG786461 ODC786443:ODC786461 OMY786443:OMY786461 OWU786443:OWU786461 PGQ786443:PGQ786461 PQM786443:PQM786461 QAI786443:QAI786461 QKE786443:QKE786461 QUA786443:QUA786461 RDW786443:RDW786461 RNS786443:RNS786461 RXO786443:RXO786461 SHK786443:SHK786461 SRG786443:SRG786461 TBC786443:TBC786461 TKY786443:TKY786461 TUU786443:TUU786461 UEQ786443:UEQ786461 UOM786443:UOM786461 UYI786443:UYI786461 VIE786443:VIE786461 VSA786443:VSA786461 WBW786443:WBW786461 WLS786443:WLS786461 WVO786443:WVO786461 G851979:G851997 JC851979:JC851997 SY851979:SY851997 ACU851979:ACU851997 AMQ851979:AMQ851997 AWM851979:AWM851997 BGI851979:BGI851997 BQE851979:BQE851997 CAA851979:CAA851997 CJW851979:CJW851997 CTS851979:CTS851997 DDO851979:DDO851997 DNK851979:DNK851997 DXG851979:DXG851997 EHC851979:EHC851997 EQY851979:EQY851997 FAU851979:FAU851997 FKQ851979:FKQ851997 FUM851979:FUM851997 GEI851979:GEI851997 GOE851979:GOE851997 GYA851979:GYA851997 HHW851979:HHW851997 HRS851979:HRS851997 IBO851979:IBO851997 ILK851979:ILK851997 IVG851979:IVG851997 JFC851979:JFC851997 JOY851979:JOY851997 JYU851979:JYU851997 KIQ851979:KIQ851997 KSM851979:KSM851997 LCI851979:LCI851997 LME851979:LME851997 LWA851979:LWA851997 MFW851979:MFW851997 MPS851979:MPS851997 MZO851979:MZO851997 NJK851979:NJK851997 NTG851979:NTG851997 ODC851979:ODC851997 OMY851979:OMY851997 OWU851979:OWU851997 PGQ851979:PGQ851997 PQM851979:PQM851997 QAI851979:QAI851997 QKE851979:QKE851997 QUA851979:QUA851997 RDW851979:RDW851997 RNS851979:RNS851997 RXO851979:RXO851997 SHK851979:SHK851997 SRG851979:SRG851997 TBC851979:TBC851997 TKY851979:TKY851997 TUU851979:TUU851997 UEQ851979:UEQ851997 UOM851979:UOM851997 UYI851979:UYI851997 VIE851979:VIE851997 VSA851979:VSA851997 WBW851979:WBW851997 WLS851979:WLS851997 WVO851979:WVO851997 G917515:G917533 JC917515:JC917533 SY917515:SY917533 ACU917515:ACU917533 AMQ917515:AMQ917533 AWM917515:AWM917533 BGI917515:BGI917533 BQE917515:BQE917533 CAA917515:CAA917533 CJW917515:CJW917533 CTS917515:CTS917533 DDO917515:DDO917533 DNK917515:DNK917533 DXG917515:DXG917533 EHC917515:EHC917533 EQY917515:EQY917533 FAU917515:FAU917533 FKQ917515:FKQ917533 FUM917515:FUM917533 GEI917515:GEI917533 GOE917515:GOE917533 GYA917515:GYA917533 HHW917515:HHW917533 HRS917515:HRS917533 IBO917515:IBO917533 ILK917515:ILK917533 IVG917515:IVG917533 JFC917515:JFC917533 JOY917515:JOY917533 JYU917515:JYU917533 KIQ917515:KIQ917533 KSM917515:KSM917533 LCI917515:LCI917533 LME917515:LME917533 LWA917515:LWA917533 MFW917515:MFW917533 MPS917515:MPS917533 MZO917515:MZO917533 NJK917515:NJK917533 NTG917515:NTG917533 ODC917515:ODC917533 OMY917515:OMY917533 OWU917515:OWU917533 PGQ917515:PGQ917533 PQM917515:PQM917533 QAI917515:QAI917533 QKE917515:QKE917533 QUA917515:QUA917533 RDW917515:RDW917533 RNS917515:RNS917533 RXO917515:RXO917533 SHK917515:SHK917533 SRG917515:SRG917533 TBC917515:TBC917533 TKY917515:TKY917533 TUU917515:TUU917533 UEQ917515:UEQ917533 UOM917515:UOM917533 UYI917515:UYI917533 VIE917515:VIE917533 VSA917515:VSA917533 WBW917515:WBW917533 WLS917515:WLS917533 WVO917515:WVO917533 G983051:G983069 JC983051:JC983069 SY983051:SY983069 ACU983051:ACU983069 AMQ983051:AMQ983069 AWM983051:AWM983069 BGI983051:BGI983069 BQE983051:BQE983069 CAA983051:CAA983069 CJW983051:CJW983069 CTS983051:CTS983069 DDO983051:DDO983069 DNK983051:DNK983069 DXG983051:DXG983069 EHC983051:EHC983069 EQY983051:EQY983069 FAU983051:FAU983069 FKQ983051:FKQ983069 FUM983051:FUM983069 GEI983051:GEI983069 GOE983051:GOE983069 GYA983051:GYA983069 HHW983051:HHW983069 HRS983051:HRS983069 IBO983051:IBO983069 ILK983051:ILK983069 IVG983051:IVG983069 JFC983051:JFC983069 JOY983051:JOY983069 JYU983051:JYU983069 KIQ983051:KIQ983069 KSM983051:KSM983069 LCI983051:LCI983069 LME983051:LME983069 LWA983051:LWA983069 MFW983051:MFW983069 MPS983051:MPS983069 MZO983051:MZO983069 NJK983051:NJK983069 NTG983051:NTG983069 ODC983051:ODC983069 OMY983051:OMY983069 OWU983051:OWU983069 PGQ983051:PGQ983069 PQM983051:PQM983069 QAI983051:QAI983069 QKE983051:QKE983069 QUA983051:QUA983069 RDW983051:RDW983069 RNS983051:RNS983069 RXO983051:RXO983069 SHK983051:SHK983069 SRG983051:SRG983069 TBC983051:TBC983069 TKY983051:TKY983069 TUU983051:TUU983069 UEQ983051:UEQ983069 UOM983051:UOM983069 UYI983051:UYI983069 VIE983051:VIE983069 VSA983051:VSA983069 WBW983051:WBW983069 WLS983051:WLS983069 G8:G29" xr:uid="{00000000-0002-0000-1700-000000000000}">
      <formula1>$X$7:$X$11</formula1>
    </dataValidation>
  </dataValidations>
  <pageMargins left="0.74803149606299213" right="0.74803149606299213" top="0.98425196850393704" bottom="0.98425196850393704" header="0" footer="0"/>
  <headerFooter alignWithMargins="0"/>
  <colBreaks count="1" manualBreakCount="1">
    <brk id="8" max="28" man="1"/>
  </colBreaks>
  <extLst>
    <ext xmlns:mx="http://schemas.microsoft.com/office/mac/excel/2008/main" uri="{64002731-A6B0-56B0-2670-7721B7C09600}">
      <mx:PLV Mode="0" OnePage="0" WScale="0"/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Hoja24"/>
  <dimension ref="A1:X12"/>
  <sheetViews>
    <sheetView showGridLines="0" showZeros="0" workbookViewId="0">
      <selection sqref="A1:N1"/>
    </sheetView>
  </sheetViews>
  <sheetFormatPr baseColWidth="10" defaultColWidth="3.140625" defaultRowHeight="12.75" x14ac:dyDescent="0.2"/>
  <cols>
    <col min="1" max="1" width="15.42578125" style="41" customWidth="1"/>
    <col min="2" max="2" width="43.42578125" style="41" customWidth="1"/>
    <col min="3" max="4" width="3.140625" style="41" customWidth="1"/>
    <col min="5" max="5" width="22.7109375" style="41" customWidth="1"/>
    <col min="6" max="6" width="5.140625" style="41" customWidth="1"/>
    <col min="7" max="11" width="3.140625" style="41" customWidth="1"/>
    <col min="12" max="12" width="3.7109375" style="41" customWidth="1"/>
    <col min="13" max="20" width="3.140625" style="41" customWidth="1"/>
    <col min="21" max="21" width="7.28515625" style="41" customWidth="1"/>
    <col min="22" max="16384" width="3.140625" style="41"/>
  </cols>
  <sheetData>
    <row r="1" spans="1:24" ht="54" customHeight="1" thickBot="1" x14ac:dyDescent="0.25">
      <c r="A1" s="6957" t="s">
        <v>956</v>
      </c>
      <c r="B1" s="6958"/>
      <c r="C1" s="6958"/>
      <c r="D1" s="6958"/>
      <c r="E1" s="6958"/>
      <c r="F1" s="6958"/>
      <c r="G1" s="6958"/>
      <c r="H1" s="6958"/>
      <c r="I1" s="6958"/>
      <c r="J1" s="6958"/>
      <c r="K1" s="6958"/>
      <c r="L1" s="6958"/>
      <c r="M1" s="6958"/>
      <c r="N1" s="6959"/>
    </row>
    <row r="3" spans="1:24" ht="22.5" customHeight="1" x14ac:dyDescent="0.2">
      <c r="A3" s="65" t="str">
        <f>CONCATENATE("ESTABLECIMIENTO/ESTRATEGIA: ",NOMBRE!B3," - ","( ",NOMBRE!C3,NOMBRE!D3,NOMBRE!E3,NOMBRE!F3,NOMBRE!G3,NOMBRE!H3," )")</f>
        <v>ESTABLECIMIENTO/ESTRATEGIA:  - (  )</v>
      </c>
    </row>
    <row r="4" spans="1:24" ht="12.75" customHeight="1" thickBot="1" x14ac:dyDescent="0.25">
      <c r="X4" s="64"/>
    </row>
    <row r="5" spans="1:24" ht="52.5" customHeight="1" thickBot="1" x14ac:dyDescent="0.25">
      <c r="B5" s="63" t="s">
        <v>955</v>
      </c>
      <c r="E5" s="63"/>
    </row>
    <row r="6" spans="1:24" ht="6.75" customHeight="1" thickBot="1" x14ac:dyDescent="0.25"/>
    <row r="7" spans="1:24" ht="16.5" customHeight="1" x14ac:dyDescent="0.2">
      <c r="B7" s="6960" t="e">
        <f>IF(Contro!D31&gt;0,"ANTES DE EJECUTAR SUS MACROS REVISE LA HOJA CONTROL, EXISTEN ERRORES","")</f>
        <v>#VALUE!</v>
      </c>
      <c r="C7" s="6961"/>
      <c r="D7" s="6961"/>
      <c r="E7" s="6961"/>
      <c r="F7" s="6961"/>
      <c r="G7" s="6961"/>
      <c r="H7" s="6962"/>
    </row>
    <row r="8" spans="1:24" ht="16.5" customHeight="1" thickBot="1" x14ac:dyDescent="0.25">
      <c r="B8" s="6963"/>
      <c r="C8" s="6964"/>
      <c r="D8" s="6964"/>
      <c r="E8" s="6964"/>
      <c r="F8" s="6964"/>
      <c r="G8" s="6964"/>
      <c r="H8" s="6965"/>
    </row>
    <row r="9" spans="1:24" ht="16.5" customHeight="1" x14ac:dyDescent="0.2"/>
    <row r="10" spans="1:24" ht="16.5" customHeight="1" x14ac:dyDescent="0.2">
      <c r="B10" s="62" t="s">
        <v>954</v>
      </c>
    </row>
    <row r="11" spans="1:24" ht="16.5" customHeight="1" x14ac:dyDescent="0.2"/>
    <row r="12" spans="1:24" ht="16.5" customHeight="1" x14ac:dyDescent="0.2"/>
  </sheetData>
  <sheetProtection password="BCF3" sheet="1" objects="1" scenarios="1"/>
  <mergeCells count="2">
    <mergeCell ref="A1:N1"/>
    <mergeCell ref="B7:H8"/>
  </mergeCells>
  <pageMargins left="0.7" right="0.7" top="0.75" bottom="0.75" header="0.3" footer="0.3"/>
  <drawing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25</vt:i4>
      </vt:variant>
      <vt:variant>
        <vt:lpstr>Rangos con nombre</vt:lpstr>
      </vt:variant>
      <vt:variant>
        <vt:i4>2</vt:i4>
      </vt:variant>
    </vt:vector>
  </HeadingPairs>
  <TitlesOfParts>
    <vt:vector size="27" baseType="lpstr">
      <vt:lpstr>NOMBRE</vt:lpstr>
      <vt:lpstr>A01</vt:lpstr>
      <vt:lpstr>A02</vt:lpstr>
      <vt:lpstr>A03</vt:lpstr>
      <vt:lpstr>A04</vt:lpstr>
      <vt:lpstr>A05</vt:lpstr>
      <vt:lpstr>A06</vt:lpstr>
      <vt:lpstr>A07</vt:lpstr>
      <vt:lpstr>A08</vt:lpstr>
      <vt:lpstr>A09</vt:lpstr>
      <vt:lpstr>A11</vt:lpstr>
      <vt:lpstr>A19a</vt:lpstr>
      <vt:lpstr>A19b</vt:lpstr>
      <vt:lpstr>A21</vt:lpstr>
      <vt:lpstr>A23</vt:lpstr>
      <vt:lpstr>A24</vt:lpstr>
      <vt:lpstr>A25</vt:lpstr>
      <vt:lpstr>A26</vt:lpstr>
      <vt:lpstr>A27</vt:lpstr>
      <vt:lpstr>A28</vt:lpstr>
      <vt:lpstr>A29</vt:lpstr>
      <vt:lpstr>A30 </vt:lpstr>
      <vt:lpstr>A31</vt:lpstr>
      <vt:lpstr>Contro</vt:lpstr>
      <vt:lpstr>MACROS</vt:lpstr>
      <vt:lpstr>'A24'!Área_de_impresión</vt:lpstr>
      <vt:lpstr>Contro!Área_de_impresión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</dc:creator>
  <cp:lastModifiedBy>Viviana Fabiola Reyes Ortiz</cp:lastModifiedBy>
  <cp:lastPrinted>2017-12-22T19:59:04Z</cp:lastPrinted>
  <dcterms:created xsi:type="dcterms:W3CDTF">2016-11-22T01:43:45Z</dcterms:created>
  <dcterms:modified xsi:type="dcterms:W3CDTF">2022-08-03T20:45:31Z</dcterms:modified>
</cp:coreProperties>
</file>